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ink/ink11.xml" ContentType="application/inkml+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ink/ink12.xml" ContentType="application/inkml+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codeName="ThisWorkbook" defaultThemeVersion="166925"/>
  <mc:AlternateContent xmlns:mc="http://schemas.openxmlformats.org/markup-compatibility/2006">
    <mc:Choice Requires="x15">
      <x15ac:absPath xmlns:x15ac="http://schemas.microsoft.com/office/spreadsheetml/2010/11/ac" url="https://d.docs.live.net/d55e916249d8decc/Documents/UDESA/05_Cuatrimestre/MercadoCapitales/"/>
    </mc:Choice>
  </mc:AlternateContent>
  <xr:revisionPtr revIDLastSave="0" documentId="8_{435F2C0B-023E-604D-91BC-DB3F124FD150}" xr6:coauthVersionLast="47" xr6:coauthVersionMax="47" xr10:uidLastSave="{00000000-0000-0000-0000-000000000000}"/>
  <bookViews>
    <workbookView xWindow="0" yWindow="500" windowWidth="27860" windowHeight="19640" activeTab="3" xr2:uid="{89154083-F8CD-A04F-B0EC-9179D7D1D068}"/>
  </bookViews>
  <sheets>
    <sheet name="Sheet2" sheetId="18" r:id="rId1"/>
    <sheet name="NOTAS" sheetId="2" r:id="rId2"/>
    <sheet name="P_guia" sheetId="5" r:id="rId3"/>
    <sheet name="extra" sheetId="19" r:id="rId4"/>
    <sheet name="BODIE" sheetId="11" r:id="rId5"/>
    <sheet name="BODIE_CAPM" sheetId="13" r:id="rId6"/>
    <sheet name="P_tut" sheetId="8" r:id="rId7"/>
    <sheet name="P_tut2" sheetId="15" r:id="rId8"/>
    <sheet name="P_tut3" sheetId="16" r:id="rId9"/>
    <sheet name="P_01_C10" sheetId="4" r:id="rId10"/>
    <sheet name="P_02_C11" sheetId="3" r:id="rId11"/>
    <sheet name="P_03_C12" sheetId="6" r:id="rId12"/>
    <sheet name="P_04_C13" sheetId="12" r:id="rId13"/>
    <sheet name="P_05_C14" sheetId="14" r:id="rId14"/>
  </sheets>
  <definedNames>
    <definedName name="solver_adj" localSheetId="4" hidden="1">BODIE!$AB$470</definedName>
    <definedName name="solver_adj" localSheetId="3" hidden="1">extra!$K$55</definedName>
    <definedName name="solver_cvg" localSheetId="4" hidden="1">0.0001</definedName>
    <definedName name="solver_cvg" localSheetId="3" hidden="1">0.0001</definedName>
    <definedName name="solver_drv" localSheetId="4" hidden="1">1</definedName>
    <definedName name="solver_drv" localSheetId="3" hidden="1">1</definedName>
    <definedName name="solver_eng" localSheetId="4" hidden="1">1</definedName>
    <definedName name="solver_eng" localSheetId="3" hidden="1">1</definedName>
    <definedName name="solver_itr" localSheetId="4" hidden="1">2147483647</definedName>
    <definedName name="solver_itr" localSheetId="3" hidden="1">2147483647</definedName>
    <definedName name="solver_lhs1" localSheetId="4" hidden="1">BODIE!$AC$355</definedName>
    <definedName name="solver_lin" localSheetId="4" hidden="1">2</definedName>
    <definedName name="solver_lin" localSheetId="3" hidden="1">2</definedName>
    <definedName name="solver_mip" localSheetId="4" hidden="1">2147483647</definedName>
    <definedName name="solver_mip" localSheetId="3" hidden="1">2147483647</definedName>
    <definedName name="solver_mni" localSheetId="4" hidden="1">30</definedName>
    <definedName name="solver_mni" localSheetId="3" hidden="1">30</definedName>
    <definedName name="solver_mrt" localSheetId="4" hidden="1">0.075</definedName>
    <definedName name="solver_mrt" localSheetId="3" hidden="1">0.075</definedName>
    <definedName name="solver_msl" localSheetId="4" hidden="1">2</definedName>
    <definedName name="solver_msl" localSheetId="3" hidden="1">2</definedName>
    <definedName name="solver_neg" localSheetId="4" hidden="1">2</definedName>
    <definedName name="solver_neg" localSheetId="3" hidden="1">2</definedName>
    <definedName name="solver_nod" localSheetId="4" hidden="1">2147483647</definedName>
    <definedName name="solver_nod" localSheetId="3" hidden="1">2147483647</definedName>
    <definedName name="solver_num" localSheetId="4" hidden="1">0</definedName>
    <definedName name="solver_num" localSheetId="3" hidden="1">0</definedName>
    <definedName name="solver_opt" localSheetId="4" hidden="1">BODIE!$AE$470</definedName>
    <definedName name="solver_opt" localSheetId="3" hidden="1">extra!$N$55</definedName>
    <definedName name="solver_pre" localSheetId="4" hidden="1">0.000001</definedName>
    <definedName name="solver_pre" localSheetId="3" hidden="1">0.000001</definedName>
    <definedName name="solver_rbv" localSheetId="4" hidden="1">1</definedName>
    <definedName name="solver_rbv" localSheetId="3" hidden="1">1</definedName>
    <definedName name="solver_rel1" localSheetId="4" hidden="1">3</definedName>
    <definedName name="solver_rhs1" localSheetId="4" hidden="1">0</definedName>
    <definedName name="solver_rlx" localSheetId="4" hidden="1">2</definedName>
    <definedName name="solver_rlx" localSheetId="3" hidden="1">2</definedName>
    <definedName name="solver_rsd" localSheetId="4" hidden="1">0</definedName>
    <definedName name="solver_rsd" localSheetId="3" hidden="1">0</definedName>
    <definedName name="solver_scl" localSheetId="4" hidden="1">1</definedName>
    <definedName name="solver_scl" localSheetId="3" hidden="1">1</definedName>
    <definedName name="solver_sho" localSheetId="4" hidden="1">2</definedName>
    <definedName name="solver_sho" localSheetId="3" hidden="1">2</definedName>
    <definedName name="solver_ssz" localSheetId="4" hidden="1">100</definedName>
    <definedName name="solver_ssz" localSheetId="3" hidden="1">100</definedName>
    <definedName name="solver_tim" localSheetId="4" hidden="1">2147483647</definedName>
    <definedName name="solver_tim" localSheetId="3" hidden="1">2147483647</definedName>
    <definedName name="solver_tol" localSheetId="4" hidden="1">0.01</definedName>
    <definedName name="solver_tol" localSheetId="3" hidden="1">0.01</definedName>
    <definedName name="solver_typ" localSheetId="4" hidden="1">3</definedName>
    <definedName name="solver_typ" localSheetId="3" hidden="1">2</definedName>
    <definedName name="solver_val" localSheetId="4" hidden="1">0.18</definedName>
    <definedName name="solver_val" localSheetId="3" hidden="1">0</definedName>
    <definedName name="solver_ver" localSheetId="4" hidden="1">2</definedName>
    <definedName name="solver_ver" localSheetId="3" hidden="1">2</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1" i="19" l="1"/>
  <c r="C62" i="19"/>
  <c r="C61" i="19"/>
  <c r="F70" i="19"/>
  <c r="C51" i="19"/>
  <c r="G49" i="19"/>
  <c r="E49" i="19"/>
  <c r="C50" i="19"/>
  <c r="C49" i="19"/>
  <c r="N63" i="19"/>
  <c r="N64" i="19" s="1"/>
  <c r="N65" i="19" s="1"/>
  <c r="N66" i="19" s="1"/>
  <c r="N67" i="19" s="1"/>
  <c r="N68" i="19" s="1"/>
  <c r="N69" i="19" s="1"/>
  <c r="N70" i="19" s="1"/>
  <c r="N71" i="19" s="1"/>
  <c r="N72" i="19" s="1"/>
  <c r="N73" i="19" s="1"/>
  <c r="N74" i="19" s="1"/>
  <c r="N75" i="19" s="1"/>
  <c r="N76" i="19" s="1"/>
  <c r="N77" i="19" s="1"/>
  <c r="N78" i="19" s="1"/>
  <c r="N79" i="19" s="1"/>
  <c r="N80" i="19" s="1"/>
  <c r="N81" i="19" s="1"/>
  <c r="N62" i="19"/>
  <c r="P62" i="19"/>
  <c r="P61" i="19"/>
  <c r="M62" i="19"/>
  <c r="M63" i="19"/>
  <c r="M64" i="19"/>
  <c r="M65" i="19"/>
  <c r="M66" i="19"/>
  <c r="M67" i="19"/>
  <c r="M68" i="19"/>
  <c r="M69" i="19"/>
  <c r="M70" i="19"/>
  <c r="M71" i="19"/>
  <c r="M72" i="19"/>
  <c r="M73" i="19"/>
  <c r="M74" i="19"/>
  <c r="M75" i="19"/>
  <c r="M76" i="19"/>
  <c r="M77" i="19"/>
  <c r="M78" i="19"/>
  <c r="M79" i="19"/>
  <c r="M80" i="19"/>
  <c r="M81" i="19"/>
  <c r="M61" i="19"/>
  <c r="O62" i="19"/>
  <c r="O61" i="19"/>
  <c r="K62" i="19"/>
  <c r="K63" i="19" s="1"/>
  <c r="L61" i="19"/>
  <c r="L55" i="19"/>
  <c r="N55" i="19" s="1"/>
  <c r="L54" i="19"/>
  <c r="M34" i="19"/>
  <c r="M35" i="19"/>
  <c r="M36" i="19"/>
  <c r="M37" i="19"/>
  <c r="M38" i="19"/>
  <c r="M39" i="19"/>
  <c r="M40" i="19"/>
  <c r="M41" i="19"/>
  <c r="M42" i="19"/>
  <c r="M43" i="19"/>
  <c r="M44" i="19"/>
  <c r="M45" i="19"/>
  <c r="M46" i="19"/>
  <c r="M47" i="19"/>
  <c r="M48" i="19"/>
  <c r="M49" i="19"/>
  <c r="M50" i="19"/>
  <c r="M51" i="19"/>
  <c r="M52" i="19"/>
  <c r="M53" i="19"/>
  <c r="M33" i="19"/>
  <c r="N33" i="19"/>
  <c r="L33" i="19"/>
  <c r="K34" i="19"/>
  <c r="N28" i="19"/>
  <c r="D14" i="19"/>
  <c r="D13" i="19"/>
  <c r="C9" i="19"/>
  <c r="B15" i="19"/>
  <c r="B16" i="19" s="1"/>
  <c r="C8" i="19"/>
  <c r="L29" i="5"/>
  <c r="L28" i="5" s="1"/>
  <c r="T17" i="5"/>
  <c r="T16" i="5"/>
  <c r="T9" i="5"/>
  <c r="T10" i="5"/>
  <c r="T11" i="5"/>
  <c r="T12" i="5"/>
  <c r="T13" i="5"/>
  <c r="T14" i="5"/>
  <c r="O16" i="5"/>
  <c r="O18" i="5" s="1"/>
  <c r="P18" i="5"/>
  <c r="P16" i="5"/>
  <c r="P63" i="19" l="1"/>
  <c r="O63" i="19"/>
  <c r="P64" i="19"/>
  <c r="O64" i="19"/>
  <c r="L63" i="19"/>
  <c r="K64" i="19"/>
  <c r="L62" i="19"/>
  <c r="M55" i="19"/>
  <c r="O55" i="19" s="1"/>
  <c r="M54" i="19"/>
  <c r="N54" i="19"/>
  <c r="K35" i="19"/>
  <c r="L34" i="19"/>
  <c r="O33" i="19"/>
  <c r="P65" i="19" l="1"/>
  <c r="O65" i="19"/>
  <c r="K65" i="19"/>
  <c r="L64" i="19"/>
  <c r="O54" i="19"/>
  <c r="K36" i="19"/>
  <c r="L35" i="19"/>
  <c r="N34" i="19"/>
  <c r="O34" i="19" s="1"/>
  <c r="O66" i="19" l="1"/>
  <c r="P66" i="19"/>
  <c r="L65" i="19"/>
  <c r="K66" i="19"/>
  <c r="K37" i="19"/>
  <c r="L36" i="19"/>
  <c r="N35" i="19"/>
  <c r="O35" i="19" s="1"/>
  <c r="O67" i="19" l="1"/>
  <c r="P67" i="19"/>
  <c r="L66" i="19"/>
  <c r="K67" i="19"/>
  <c r="N36" i="19"/>
  <c r="O36" i="19"/>
  <c r="K38" i="19"/>
  <c r="L37" i="19"/>
  <c r="O68" i="19" l="1"/>
  <c r="P68" i="19"/>
  <c r="K68" i="19"/>
  <c r="L67" i="19"/>
  <c r="N37" i="19"/>
  <c r="O37" i="19" s="1"/>
  <c r="K39" i="19"/>
  <c r="L38" i="19"/>
  <c r="N38" i="19"/>
  <c r="P69" i="19" l="1"/>
  <c r="O69" i="19"/>
  <c r="K69" i="19"/>
  <c r="L68" i="19"/>
  <c r="O38" i="19"/>
  <c r="K40" i="19"/>
  <c r="L39" i="19"/>
  <c r="O70" i="19" l="1"/>
  <c r="P70" i="19"/>
  <c r="L69" i="19"/>
  <c r="K70" i="19"/>
  <c r="N39" i="19"/>
  <c r="O39" i="19" s="1"/>
  <c r="K41" i="19"/>
  <c r="L40" i="19"/>
  <c r="O71" i="19" l="1"/>
  <c r="P71" i="19"/>
  <c r="L70" i="19"/>
  <c r="K71" i="19"/>
  <c r="N40" i="19"/>
  <c r="O40" i="19" s="1"/>
  <c r="K42" i="19"/>
  <c r="L41" i="19"/>
  <c r="N41" i="19"/>
  <c r="P72" i="19" l="1"/>
  <c r="O72" i="19"/>
  <c r="L71" i="19"/>
  <c r="K72" i="19"/>
  <c r="K43" i="19"/>
  <c r="L42" i="19"/>
  <c r="N42" i="19"/>
  <c r="O41" i="19"/>
  <c r="P73" i="19" l="1"/>
  <c r="O73" i="19"/>
  <c r="K73" i="19"/>
  <c r="L72" i="19"/>
  <c r="O42" i="19"/>
  <c r="K44" i="19"/>
  <c r="L43" i="19"/>
  <c r="P74" i="19" l="1"/>
  <c r="O74" i="19"/>
  <c r="K74" i="19"/>
  <c r="L73" i="19"/>
  <c r="N43" i="19"/>
  <c r="O43" i="19" s="1"/>
  <c r="K45" i="19"/>
  <c r="L44" i="19"/>
  <c r="P75" i="19" l="1"/>
  <c r="O75" i="19"/>
  <c r="K75" i="19"/>
  <c r="L74" i="19"/>
  <c r="N44" i="19"/>
  <c r="O44" i="19" s="1"/>
  <c r="K46" i="19"/>
  <c r="L45" i="19"/>
  <c r="P76" i="19" l="1"/>
  <c r="O76" i="19"/>
  <c r="L75" i="19"/>
  <c r="K76" i="19"/>
  <c r="O45" i="19"/>
  <c r="N45" i="19"/>
  <c r="K47" i="19"/>
  <c r="L46" i="19"/>
  <c r="P77" i="19" l="1"/>
  <c r="O77" i="19"/>
  <c r="L76" i="19"/>
  <c r="K77" i="19"/>
  <c r="N46" i="19"/>
  <c r="O46" i="19" s="1"/>
  <c r="K48" i="19"/>
  <c r="L47" i="19"/>
  <c r="P78" i="19" l="1"/>
  <c r="O78" i="19"/>
  <c r="K78" i="19"/>
  <c r="L77" i="19"/>
  <c r="K49" i="19"/>
  <c r="L48" i="19"/>
  <c r="N47" i="19"/>
  <c r="O47" i="19" s="1"/>
  <c r="P79" i="19" l="1"/>
  <c r="O79" i="19"/>
  <c r="L78" i="19"/>
  <c r="K79" i="19"/>
  <c r="N48" i="19"/>
  <c r="O48" i="19" s="1"/>
  <c r="K50" i="19"/>
  <c r="L49" i="19"/>
  <c r="P80" i="19" l="1"/>
  <c r="O80" i="19"/>
  <c r="L79" i="19"/>
  <c r="K80" i="19"/>
  <c r="N49" i="19"/>
  <c r="O49" i="19" s="1"/>
  <c r="K51" i="19"/>
  <c r="N50" i="19"/>
  <c r="L50" i="19"/>
  <c r="P81" i="19" l="1"/>
  <c r="O81" i="19"/>
  <c r="K81" i="19"/>
  <c r="L81" i="19" s="1"/>
  <c r="L80" i="19"/>
  <c r="O50" i="19"/>
  <c r="K52" i="19"/>
  <c r="L51" i="19"/>
  <c r="L52" i="19" l="1"/>
  <c r="K53" i="19"/>
  <c r="N52" i="19"/>
  <c r="N51" i="19"/>
  <c r="O51" i="19" s="1"/>
  <c r="L53" i="19" l="1"/>
  <c r="N53" i="19"/>
  <c r="O52" i="19"/>
  <c r="O53" i="19" l="1"/>
  <c r="B6" i="16" l="1"/>
  <c r="T28" i="15"/>
  <c r="S27" i="15"/>
  <c r="R26" i="15"/>
  <c r="U38" i="15"/>
  <c r="U37" i="15"/>
  <c r="U36" i="15"/>
  <c r="Q38" i="15"/>
  <c r="R38" i="15"/>
  <c r="Q39" i="15"/>
  <c r="R39" i="15"/>
  <c r="Q40" i="15"/>
  <c r="R40" i="15"/>
  <c r="Q41" i="15"/>
  <c r="R41" i="15"/>
  <c r="Q42" i="15"/>
  <c r="R42" i="15"/>
  <c r="Q43" i="15"/>
  <c r="R43" i="15"/>
  <c r="Q44" i="15"/>
  <c r="R44" i="15"/>
  <c r="Q45" i="15"/>
  <c r="R45" i="15"/>
  <c r="Q46" i="15"/>
  <c r="R46" i="15"/>
  <c r="Q47" i="15"/>
  <c r="R47" i="15"/>
  <c r="Q48" i="15"/>
  <c r="R48" i="15"/>
  <c r="P39" i="15"/>
  <c r="P40" i="15"/>
  <c r="P41" i="15"/>
  <c r="P42" i="15"/>
  <c r="P43" i="15"/>
  <c r="P44" i="15"/>
  <c r="P45" i="15"/>
  <c r="P46" i="15"/>
  <c r="P47" i="15"/>
  <c r="P48" i="15"/>
  <c r="P38" i="15"/>
  <c r="D31" i="15"/>
  <c r="D18" i="15"/>
  <c r="A18" i="15"/>
  <c r="AC470" i="11"/>
  <c r="AE470" i="11" s="1"/>
  <c r="AC469" i="11"/>
  <c r="AE469" i="11" s="1"/>
  <c r="AE446" i="11"/>
  <c r="AE450" i="11"/>
  <c r="AE460" i="11"/>
  <c r="AB464" i="11"/>
  <c r="AB465" i="11" s="1"/>
  <c r="AC441" i="11"/>
  <c r="AD441" i="11" s="1"/>
  <c r="AC442" i="11"/>
  <c r="AE442" i="11" s="1"/>
  <c r="AC446" i="11"/>
  <c r="AD446" i="11" s="1"/>
  <c r="AC450" i="11"/>
  <c r="AD450" i="11" s="1"/>
  <c r="AC451" i="11"/>
  <c r="AE451" i="11" s="1"/>
  <c r="AC452" i="11"/>
  <c r="AE452" i="11" s="1"/>
  <c r="AC460" i="11"/>
  <c r="AC461" i="11"/>
  <c r="AE461" i="11" s="1"/>
  <c r="AC462" i="11"/>
  <c r="AE462" i="11" s="1"/>
  <c r="AB444" i="11"/>
  <c r="AB443" i="11" s="1"/>
  <c r="AB442" i="11" s="1"/>
  <c r="AB441" i="11" s="1"/>
  <c r="AB440" i="11" s="1"/>
  <c r="AC440" i="11" s="1"/>
  <c r="AE440" i="11" s="1"/>
  <c r="AB445" i="11"/>
  <c r="AB463" i="11"/>
  <c r="AC463" i="11" s="1"/>
  <c r="AE463" i="11" s="1"/>
  <c r="AB447" i="11"/>
  <c r="AB448" i="11" s="1"/>
  <c r="AB449" i="11" s="1"/>
  <c r="AB450" i="11" s="1"/>
  <c r="AB451" i="11" s="1"/>
  <c r="AB452" i="11" s="1"/>
  <c r="AB453" i="11" s="1"/>
  <c r="AB454" i="11" s="1"/>
  <c r="AB455" i="11" s="1"/>
  <c r="AB456" i="11" s="1"/>
  <c r="AB457" i="11" s="1"/>
  <c r="AB458" i="11" s="1"/>
  <c r="AB459" i="11" s="1"/>
  <c r="AB460" i="11" s="1"/>
  <c r="AB461" i="11" s="1"/>
  <c r="AD461" i="11" s="1"/>
  <c r="AC355" i="11"/>
  <c r="AC354" i="11"/>
  <c r="AF240" i="11"/>
  <c r="AE242" i="11"/>
  <c r="AG242" i="11"/>
  <c r="AF242" i="11"/>
  <c r="AD242" i="11"/>
  <c r="AD442" i="11" l="1"/>
  <c r="AD460" i="11"/>
  <c r="AE441" i="11"/>
  <c r="AC459" i="11"/>
  <c r="AD440" i="11"/>
  <c r="AD457" i="11"/>
  <c r="AC458" i="11"/>
  <c r="AC457" i="11"/>
  <c r="AE457" i="11" s="1"/>
  <c r="AD455" i="11"/>
  <c r="AC456" i="11"/>
  <c r="AE456" i="11" s="1"/>
  <c r="AC449" i="11"/>
  <c r="AC448" i="11"/>
  <c r="AE448" i="11" s="1"/>
  <c r="AD456" i="11"/>
  <c r="AC447" i="11"/>
  <c r="AE447" i="11" s="1"/>
  <c r="AD447" i="11"/>
  <c r="AC455" i="11"/>
  <c r="AE455" i="11" s="1"/>
  <c r="AC445" i="11"/>
  <c r="AE445" i="11" s="1"/>
  <c r="AD463" i="11"/>
  <c r="AD453" i="11"/>
  <c r="AC464" i="11"/>
  <c r="AE464" i="11" s="1"/>
  <c r="AC454" i="11"/>
  <c r="AE454" i="11" s="1"/>
  <c r="AC444" i="11"/>
  <c r="AE444" i="11" s="1"/>
  <c r="AD444" i="11"/>
  <c r="AD462" i="11"/>
  <c r="AD452" i="11"/>
  <c r="AC453" i="11"/>
  <c r="AE453" i="11" s="1"/>
  <c r="AC443" i="11"/>
  <c r="AE443" i="11" s="1"/>
  <c r="AD443" i="11"/>
  <c r="AD451" i="11"/>
  <c r="AD470" i="11"/>
  <c r="AD469" i="11"/>
  <c r="AC465" i="11"/>
  <c r="AE465" i="11" s="1"/>
  <c r="AB466" i="11"/>
  <c r="AD355" i="11"/>
  <c r="AD354" i="11"/>
  <c r="AE458" i="11" l="1"/>
  <c r="AD458" i="11"/>
  <c r="AD449" i="11"/>
  <c r="AE449" i="11"/>
  <c r="AE459" i="11"/>
  <c r="AD459" i="11"/>
  <c r="AD445" i="11"/>
  <c r="AD454" i="11"/>
  <c r="AD464" i="11"/>
  <c r="AD448" i="11"/>
  <c r="AD465" i="11"/>
  <c r="AB467" i="11"/>
  <c r="AC466" i="11"/>
  <c r="AE466" i="11" s="1"/>
  <c r="AD466" i="11" l="1"/>
  <c r="AC467" i="11"/>
  <c r="AE467" i="11" s="1"/>
  <c r="AB468" i="11"/>
  <c r="AD467" i="11" l="1"/>
  <c r="AC468" i="11"/>
  <c r="AE468" i="11" s="1"/>
  <c r="AD468" i="11" l="1"/>
  <c r="AB338" i="11"/>
  <c r="AB337" i="11" s="1"/>
  <c r="AB336" i="11" s="1"/>
  <c r="AB335" i="11" s="1"/>
  <c r="AB334" i="11" s="1"/>
  <c r="AB333" i="11" s="1"/>
  <c r="AC333" i="11" s="1"/>
  <c r="AC353" i="11"/>
  <c r="AD377" i="11"/>
  <c r="AC352" i="11"/>
  <c r="AD359" i="11"/>
  <c r="AD360" i="11" s="1"/>
  <c r="AD361" i="11" s="1"/>
  <c r="AD362" i="11" s="1"/>
  <c r="AD363" i="11" s="1"/>
  <c r="AD364" i="11" s="1"/>
  <c r="AD365" i="11" s="1"/>
  <c r="AD366" i="11" s="1"/>
  <c r="AD367" i="11" s="1"/>
  <c r="AD368" i="11" s="1"/>
  <c r="AD369" i="11" s="1"/>
  <c r="AD370" i="11" s="1"/>
  <c r="AC351" i="11"/>
  <c r="AC339" i="11"/>
  <c r="AD339" i="11" s="1"/>
  <c r="AB340" i="11"/>
  <c r="AB341" i="11" s="1"/>
  <c r="Y332" i="11"/>
  <c r="AC243" i="11"/>
  <c r="Z173" i="11"/>
  <c r="AE181" i="11"/>
  <c r="AE182" i="11"/>
  <c r="AE183" i="11"/>
  <c r="AE184" i="11"/>
  <c r="AE185" i="11"/>
  <c r="AE180" i="11"/>
  <c r="Z172" i="11"/>
  <c r="Z167" i="11"/>
  <c r="AB149" i="11"/>
  <c r="Z156" i="11"/>
  <c r="Z155" i="11"/>
  <c r="Z154" i="11"/>
  <c r="Y150" i="11"/>
  <c r="AB148" i="11" s="1"/>
  <c r="AA146" i="11"/>
  <c r="AD371" i="11" l="1"/>
  <c r="AE355" i="11"/>
  <c r="AE354" i="11"/>
  <c r="AG243" i="11"/>
  <c r="AE243" i="11"/>
  <c r="AF243" i="11"/>
  <c r="AC338" i="11"/>
  <c r="AD338" i="11" s="1"/>
  <c r="AE351" i="11"/>
  <c r="AC340" i="11"/>
  <c r="AE340" i="11" s="1"/>
  <c r="AC244" i="11"/>
  <c r="AD243" i="11"/>
  <c r="AC337" i="11"/>
  <c r="AD337" i="11" s="1"/>
  <c r="AD333" i="11"/>
  <c r="AC335" i="11"/>
  <c r="AD335" i="11" s="1"/>
  <c r="AC334" i="11"/>
  <c r="AD334" i="11" s="1"/>
  <c r="AE333" i="11"/>
  <c r="AC336" i="11"/>
  <c r="AE336" i="11" s="1"/>
  <c r="AE352" i="11"/>
  <c r="AE339" i="11"/>
  <c r="AE353" i="11"/>
  <c r="AD353" i="11"/>
  <c r="AD378" i="11"/>
  <c r="AD379" i="11" s="1"/>
  <c r="AD380" i="11" s="1"/>
  <c r="AD352" i="11"/>
  <c r="AB342" i="11"/>
  <c r="AC341" i="11"/>
  <c r="AE341" i="11" s="1"/>
  <c r="AB133" i="11"/>
  <c r="AC133" i="11" s="1"/>
  <c r="AC128" i="11"/>
  <c r="AB129" i="11"/>
  <c r="AB130" i="11" s="1"/>
  <c r="Y138" i="11"/>
  <c r="Z133" i="11"/>
  <c r="Z134" i="11"/>
  <c r="Z132" i="11"/>
  <c r="AB122" i="11"/>
  <c r="AB132" i="11" s="1"/>
  <c r="AC132" i="11" s="1"/>
  <c r="Y128" i="11"/>
  <c r="AB121" i="11" s="1"/>
  <c r="Y139" i="11" s="1"/>
  <c r="Y93" i="11"/>
  <c r="V94" i="11"/>
  <c r="V95" i="11" s="1"/>
  <c r="V96" i="11" s="1"/>
  <c r="V97" i="11" s="1"/>
  <c r="V98" i="11" s="1"/>
  <c r="W94" i="11"/>
  <c r="W95" i="11" s="1"/>
  <c r="W89" i="11"/>
  <c r="X94" i="11" s="1"/>
  <c r="AD336" i="11" l="1"/>
  <c r="AG373" i="11"/>
  <c r="AI373" i="11" s="1"/>
  <c r="AG374" i="11"/>
  <c r="AI374" i="11" s="1"/>
  <c r="AE338" i="11"/>
  <c r="AD372" i="11"/>
  <c r="AE244" i="11"/>
  <c r="AF244" i="11"/>
  <c r="AG244" i="11"/>
  <c r="AD340" i="11"/>
  <c r="AE337" i="11"/>
  <c r="AK373" i="11"/>
  <c r="AM373" i="11" s="1"/>
  <c r="AE334" i="11"/>
  <c r="AE335" i="11"/>
  <c r="AC245" i="11"/>
  <c r="AD244" i="11"/>
  <c r="AC358" i="11"/>
  <c r="AE370" i="11" s="1"/>
  <c r="AC376" i="11"/>
  <c r="AE376" i="11" s="1"/>
  <c r="AD381" i="11"/>
  <c r="AB343" i="11"/>
  <c r="AC342" i="11"/>
  <c r="AE342" i="11" s="1"/>
  <c r="AD341" i="11"/>
  <c r="X93" i="11"/>
  <c r="Z93" i="11" s="1"/>
  <c r="Y94" i="11"/>
  <c r="AA94" i="11" s="1"/>
  <c r="W96" i="11"/>
  <c r="Y95" i="11"/>
  <c r="X95" i="11"/>
  <c r="AB131" i="11"/>
  <c r="AC130" i="11"/>
  <c r="AC129" i="11"/>
  <c r="Y74" i="11"/>
  <c r="Y75" i="11"/>
  <c r="Y76" i="11"/>
  <c r="Y73" i="11"/>
  <c r="Y66" i="11"/>
  <c r="Y67" i="11"/>
  <c r="Y68" i="11"/>
  <c r="Y65" i="11"/>
  <c r="W40" i="11"/>
  <c r="X40" i="11"/>
  <c r="Z39" i="11"/>
  <c r="Z38" i="11" s="1"/>
  <c r="W38" i="11" s="1"/>
  <c r="Y40" i="11"/>
  <c r="Z41" i="11"/>
  <c r="W41" i="11" s="1"/>
  <c r="Z31" i="11"/>
  <c r="AB22" i="11"/>
  <c r="Y19" i="11"/>
  <c r="Y16" i="11"/>
  <c r="AE371" i="11" l="1"/>
  <c r="AE372" i="11"/>
  <c r="AK374" i="11"/>
  <c r="AM374" i="11"/>
  <c r="AE373" i="11"/>
  <c r="AE374" i="11"/>
  <c r="AF245" i="11"/>
  <c r="AE245" i="11"/>
  <c r="AG245" i="11"/>
  <c r="AE381" i="11"/>
  <c r="AE380" i="11"/>
  <c r="AC246" i="11"/>
  <c r="AD245" i="11"/>
  <c r="AE377" i="11"/>
  <c r="AE378" i="11"/>
  <c r="AE379" i="11"/>
  <c r="AA95" i="11"/>
  <c r="AD382" i="11"/>
  <c r="AE382" i="11" s="1"/>
  <c r="AA93" i="11"/>
  <c r="AB344" i="11"/>
  <c r="AC343" i="11"/>
  <c r="AE343" i="11"/>
  <c r="AD342" i="11"/>
  <c r="X39" i="11"/>
  <c r="X38" i="11"/>
  <c r="Z94" i="11"/>
  <c r="X41" i="11"/>
  <c r="Z95" i="11"/>
  <c r="AA24" i="11"/>
  <c r="W39" i="11"/>
  <c r="AC131" i="11"/>
  <c r="Y39" i="11"/>
  <c r="W97" i="11"/>
  <c r="X96" i="11"/>
  <c r="Y96" i="11"/>
  <c r="Z37" i="11"/>
  <c r="Y38" i="11"/>
  <c r="Y22" i="11"/>
  <c r="AB16" i="11" s="1"/>
  <c r="Z42" i="11"/>
  <c r="Y41" i="11"/>
  <c r="C182" i="11"/>
  <c r="C157" i="11"/>
  <c r="C154" i="11"/>
  <c r="F163" i="11" s="1"/>
  <c r="C143" i="11"/>
  <c r="C146" i="11" s="1"/>
  <c r="C147" i="11" s="1"/>
  <c r="F82" i="11"/>
  <c r="E82" i="11"/>
  <c r="D82" i="11"/>
  <c r="F81" i="11"/>
  <c r="E81" i="11"/>
  <c r="D81" i="11"/>
  <c r="C75" i="11"/>
  <c r="C76" i="11" s="1"/>
  <c r="C23" i="11"/>
  <c r="C31" i="11" s="1"/>
  <c r="C32" i="11" s="1"/>
  <c r="C49" i="11" s="1"/>
  <c r="Y8" i="8"/>
  <c r="O9" i="8"/>
  <c r="O10" i="8"/>
  <c r="N10" i="8"/>
  <c r="N9" i="8"/>
  <c r="O8" i="8"/>
  <c r="N8" i="8"/>
  <c r="O7" i="8"/>
  <c r="N7" i="8"/>
  <c r="O6" i="8"/>
  <c r="N6" i="8"/>
  <c r="O5" i="8"/>
  <c r="O11" i="8" s="1"/>
  <c r="N5" i="8"/>
  <c r="R12" i="8" s="1"/>
  <c r="AE246" i="11" l="1"/>
  <c r="AF246" i="11"/>
  <c r="AG246" i="11"/>
  <c r="AC247" i="11"/>
  <c r="AD246" i="11"/>
  <c r="AD383" i="11"/>
  <c r="AE383" i="11" s="1"/>
  <c r="AB345" i="11"/>
  <c r="AC344" i="11"/>
  <c r="AE344" i="11" s="1"/>
  <c r="AD343" i="11"/>
  <c r="D96" i="11"/>
  <c r="X37" i="11"/>
  <c r="W37" i="11"/>
  <c r="AA96" i="11"/>
  <c r="Z96" i="11"/>
  <c r="W98" i="11"/>
  <c r="Y97" i="11"/>
  <c r="X97" i="11"/>
  <c r="C77" i="11"/>
  <c r="E96" i="11"/>
  <c r="X42" i="11"/>
  <c r="W42" i="11"/>
  <c r="F96" i="11"/>
  <c r="Z36" i="11"/>
  <c r="Y37" i="11"/>
  <c r="Z43" i="11"/>
  <c r="Y42" i="11"/>
  <c r="C86" i="11"/>
  <c r="C87" i="11" s="1"/>
  <c r="C88" i="11" s="1"/>
  <c r="C155" i="11"/>
  <c r="C42" i="11"/>
  <c r="C57" i="11" s="1"/>
  <c r="F143" i="11"/>
  <c r="C148" i="11" s="1"/>
  <c r="C56" i="11"/>
  <c r="D60" i="11" s="1"/>
  <c r="F144" i="11"/>
  <c r="C149" i="11" s="1"/>
  <c r="F162" i="11"/>
  <c r="N11" i="8"/>
  <c r="T21" i="8" s="1" a="1"/>
  <c r="T21" i="8" s="1"/>
  <c r="Y9" i="8"/>
  <c r="O12" i="8" s="1"/>
  <c r="Q3" i="8"/>
  <c r="X8" i="8"/>
  <c r="N12" i="8" s="1"/>
  <c r="B13" i="2"/>
  <c r="AF247" i="11" l="1"/>
  <c r="AG247" i="11"/>
  <c r="AE247" i="11"/>
  <c r="AC248" i="11"/>
  <c r="AD247" i="11"/>
  <c r="AD384" i="11"/>
  <c r="AE384" i="11" s="1"/>
  <c r="AB346" i="11"/>
  <c r="AC345" i="11"/>
  <c r="AE345" i="11" s="1"/>
  <c r="AD344" i="11"/>
  <c r="Z97" i="11"/>
  <c r="AA97" i="11"/>
  <c r="X43" i="11"/>
  <c r="W43" i="11"/>
  <c r="X36" i="11"/>
  <c r="W36" i="11"/>
  <c r="Y98" i="11"/>
  <c r="X98" i="11"/>
  <c r="G96" i="11"/>
  <c r="Z35" i="11"/>
  <c r="Y36" i="11"/>
  <c r="Z44" i="11"/>
  <c r="Y43" i="11"/>
  <c r="D148" i="11"/>
  <c r="B63" i="11"/>
  <c r="C60" i="11"/>
  <c r="B64" i="11" s="1"/>
  <c r="D162" i="11"/>
  <c r="C158" i="11"/>
  <c r="D163" i="11"/>
  <c r="R11" i="8"/>
  <c r="AE248" i="11" l="1"/>
  <c r="AF248" i="11"/>
  <c r="AG248" i="11"/>
  <c r="AC249" i="11"/>
  <c r="AD248" i="11"/>
  <c r="AD385" i="11"/>
  <c r="AE385" i="11" s="1"/>
  <c r="AB347" i="11"/>
  <c r="AB348" i="11" s="1"/>
  <c r="AC346" i="11"/>
  <c r="AE346" i="11" s="1"/>
  <c r="AD345" i="11"/>
  <c r="Z98" i="11"/>
  <c r="AA98" i="11"/>
  <c r="X35" i="11"/>
  <c r="W35" i="11"/>
  <c r="X44" i="11"/>
  <c r="W44" i="11"/>
  <c r="D106" i="11"/>
  <c r="D112" i="11"/>
  <c r="Y35" i="11"/>
  <c r="Z45" i="11"/>
  <c r="Y44" i="11"/>
  <c r="Y13" i="8"/>
  <c r="X14" i="8"/>
  <c r="O14" i="5"/>
  <c r="O13" i="5"/>
  <c r="O12" i="5"/>
  <c r="O11" i="5"/>
  <c r="O10" i="5"/>
  <c r="O9" i="5"/>
  <c r="N10" i="5"/>
  <c r="N11" i="5"/>
  <c r="N12" i="5"/>
  <c r="N13" i="5"/>
  <c r="N14" i="5"/>
  <c r="N9" i="5"/>
  <c r="AC348" i="11" l="1"/>
  <c r="AE348" i="11"/>
  <c r="AD348" i="11"/>
  <c r="AF249" i="11"/>
  <c r="AG249" i="11"/>
  <c r="AE249" i="11"/>
  <c r="AC250" i="11"/>
  <c r="AD249" i="11"/>
  <c r="AD386" i="11"/>
  <c r="AE386" i="11" s="1"/>
  <c r="AB349" i="11"/>
  <c r="AC347" i="11"/>
  <c r="AE347" i="11" s="1"/>
  <c r="AD346" i="11"/>
  <c r="X45" i="11"/>
  <c r="W45" i="11"/>
  <c r="Z46" i="11"/>
  <c r="Y45" i="11"/>
  <c r="L17" i="5"/>
  <c r="S12" i="5" s="1"/>
  <c r="L16" i="5"/>
  <c r="P9" i="5" s="1"/>
  <c r="H110" i="3"/>
  <c r="J110" i="3" s="1"/>
  <c r="G110" i="3"/>
  <c r="H109" i="3"/>
  <c r="J109" i="3" s="1"/>
  <c r="G109" i="3"/>
  <c r="H108" i="3"/>
  <c r="J108" i="3" s="1"/>
  <c r="G108" i="3"/>
  <c r="H107" i="3"/>
  <c r="J107" i="3" s="1"/>
  <c r="G107" i="3"/>
  <c r="H106" i="3"/>
  <c r="J106" i="3" s="1"/>
  <c r="G106" i="3"/>
  <c r="H105" i="3"/>
  <c r="J105" i="3" s="1"/>
  <c r="G105" i="3"/>
  <c r="H104" i="3"/>
  <c r="J104" i="3" s="1"/>
  <c r="G104" i="3"/>
  <c r="H103" i="3"/>
  <c r="J103" i="3" s="1"/>
  <c r="G103" i="3"/>
  <c r="H102" i="3"/>
  <c r="J102" i="3" s="1"/>
  <c r="G102" i="3"/>
  <c r="H101" i="3"/>
  <c r="J101" i="3" s="1"/>
  <c r="G101" i="3"/>
  <c r="H100" i="3"/>
  <c r="J100" i="3" s="1"/>
  <c r="G100" i="3"/>
  <c r="H99" i="3"/>
  <c r="J99" i="3" s="1"/>
  <c r="G99" i="3"/>
  <c r="H98" i="3"/>
  <c r="J98" i="3" s="1"/>
  <c r="G98" i="3"/>
  <c r="H97" i="3"/>
  <c r="J97" i="3" s="1"/>
  <c r="G97" i="3"/>
  <c r="H96" i="3"/>
  <c r="J96" i="3" s="1"/>
  <c r="G96" i="3"/>
  <c r="H95" i="3"/>
  <c r="J95" i="3" s="1"/>
  <c r="G95" i="3"/>
  <c r="H94" i="3"/>
  <c r="J94" i="3" s="1"/>
  <c r="G94" i="3"/>
  <c r="H93" i="3"/>
  <c r="J93" i="3" s="1"/>
  <c r="G93" i="3"/>
  <c r="H92" i="3"/>
  <c r="J92" i="3" s="1"/>
  <c r="G92" i="3"/>
  <c r="H91" i="3"/>
  <c r="J91" i="3" s="1"/>
  <c r="G91" i="3"/>
  <c r="H90" i="3"/>
  <c r="J90" i="3" s="1"/>
  <c r="G90" i="3"/>
  <c r="H89" i="3"/>
  <c r="J89" i="3" s="1"/>
  <c r="G89" i="3"/>
  <c r="H88" i="3"/>
  <c r="J88" i="3" s="1"/>
  <c r="G88" i="3"/>
  <c r="H87" i="3"/>
  <c r="G87" i="3"/>
  <c r="F151" i="4"/>
  <c r="E151" i="4"/>
  <c r="D151" i="4"/>
  <c r="H150" i="4"/>
  <c r="I150" i="4" s="1"/>
  <c r="F149" i="4"/>
  <c r="E149" i="4"/>
  <c r="D149" i="4"/>
  <c r="H149" i="4" s="1"/>
  <c r="I149" i="4" s="1"/>
  <c r="H148" i="4"/>
  <c r="I148" i="4" s="1"/>
  <c r="H147" i="4"/>
  <c r="D163" i="4" s="1"/>
  <c r="F112" i="4"/>
  <c r="D121" i="4" s="1"/>
  <c r="E112" i="4"/>
  <c r="D112" i="4"/>
  <c r="H111" i="4"/>
  <c r="I111" i="4" s="1"/>
  <c r="F110" i="4"/>
  <c r="E110" i="4"/>
  <c r="D110" i="4"/>
  <c r="H109" i="4"/>
  <c r="I109" i="4" s="1"/>
  <c r="H108" i="4"/>
  <c r="I108" i="4" s="1"/>
  <c r="H92" i="4"/>
  <c r="I92" i="4" s="1"/>
  <c r="F91" i="4"/>
  <c r="E91" i="4"/>
  <c r="D91" i="4"/>
  <c r="H90" i="4"/>
  <c r="I90" i="4" s="1"/>
  <c r="H89" i="4"/>
  <c r="I89" i="4" s="1"/>
  <c r="F65" i="4"/>
  <c r="E65" i="4"/>
  <c r="D65" i="4"/>
  <c r="H64" i="4"/>
  <c r="I64" i="4" s="1"/>
  <c r="H63" i="4"/>
  <c r="I63" i="4" s="1"/>
  <c r="D23" i="4"/>
  <c r="D33" i="4" s="1"/>
  <c r="D41" i="4" s="1"/>
  <c r="AF250" i="11" l="1"/>
  <c r="AG250" i="11"/>
  <c r="AE250" i="11"/>
  <c r="AD250" i="11"/>
  <c r="AD387" i="11"/>
  <c r="AB350" i="11"/>
  <c r="AC349" i="11"/>
  <c r="AE349" i="11" s="1"/>
  <c r="AD347" i="11"/>
  <c r="X46" i="11"/>
  <c r="W46" i="11"/>
  <c r="Z47" i="11"/>
  <c r="Y46" i="11"/>
  <c r="I107" i="3"/>
  <c r="S10" i="5"/>
  <c r="P13" i="5"/>
  <c r="Q12" i="5"/>
  <c r="L27" i="5"/>
  <c r="R11" i="5"/>
  <c r="R9" i="5"/>
  <c r="P11" i="5"/>
  <c r="S13" i="5"/>
  <c r="R13" i="5"/>
  <c r="S11" i="5"/>
  <c r="R12" i="5"/>
  <c r="R14" i="5"/>
  <c r="P10" i="5"/>
  <c r="R10" i="5"/>
  <c r="P14" i="5"/>
  <c r="P12" i="5"/>
  <c r="Q13" i="5"/>
  <c r="S14" i="5"/>
  <c r="Q14" i="5"/>
  <c r="S9" i="5"/>
  <c r="Q9" i="5"/>
  <c r="Q10" i="5"/>
  <c r="Q11" i="5"/>
  <c r="J77" i="3"/>
  <c r="J78" i="3"/>
  <c r="K101" i="3" s="1"/>
  <c r="I89" i="3"/>
  <c r="I91" i="3"/>
  <c r="I95" i="3"/>
  <c r="I99" i="3"/>
  <c r="I103" i="3"/>
  <c r="I109" i="3"/>
  <c r="J87" i="3"/>
  <c r="J80" i="3" s="1"/>
  <c r="I88" i="3"/>
  <c r="I90" i="3"/>
  <c r="I92" i="3"/>
  <c r="I94" i="3"/>
  <c r="I96" i="3"/>
  <c r="I98" i="3"/>
  <c r="I100" i="3"/>
  <c r="I102" i="3"/>
  <c r="I104" i="3"/>
  <c r="I106" i="3"/>
  <c r="I110" i="3"/>
  <c r="I87" i="3"/>
  <c r="I93" i="3"/>
  <c r="I97" i="3"/>
  <c r="I101" i="3"/>
  <c r="I105" i="3"/>
  <c r="I108" i="3"/>
  <c r="E119" i="4"/>
  <c r="D73" i="4"/>
  <c r="E120" i="4" s="1"/>
  <c r="E121" i="4"/>
  <c r="H112" i="4"/>
  <c r="I112" i="4" s="1"/>
  <c r="K33" i="4"/>
  <c r="H91" i="4"/>
  <c r="I91" i="4" s="1"/>
  <c r="D119" i="4"/>
  <c r="H151" i="4"/>
  <c r="I151" i="4" s="1"/>
  <c r="D56" i="4"/>
  <c r="D120" i="4" s="1"/>
  <c r="H110" i="4"/>
  <c r="I110" i="4" s="1"/>
  <c r="I147" i="4"/>
  <c r="H65" i="4"/>
  <c r="I65" i="4" s="1"/>
  <c r="AE387" i="11" l="1"/>
  <c r="AD388" i="11"/>
  <c r="AC350" i="11"/>
  <c r="AE350" i="11" s="1"/>
  <c r="AD349" i="11"/>
  <c r="W47" i="11"/>
  <c r="X47" i="11"/>
  <c r="Z48" i="11"/>
  <c r="Y47" i="11"/>
  <c r="K97" i="3"/>
  <c r="K91" i="3"/>
  <c r="K105" i="3"/>
  <c r="K95" i="3"/>
  <c r="K94" i="3"/>
  <c r="K110" i="3"/>
  <c r="K103" i="3"/>
  <c r="K87" i="3"/>
  <c r="K88" i="3"/>
  <c r="K98" i="3"/>
  <c r="K96" i="3"/>
  <c r="K90" i="3"/>
  <c r="K107" i="3"/>
  <c r="K100" i="3"/>
  <c r="K104" i="3"/>
  <c r="K109" i="3"/>
  <c r="K89" i="3"/>
  <c r="K92" i="3"/>
  <c r="K93" i="3"/>
  <c r="K108" i="3"/>
  <c r="K99" i="3"/>
  <c r="K106" i="3"/>
  <c r="K102" i="3"/>
  <c r="L20" i="5"/>
  <c r="L23" i="5" s="1"/>
  <c r="L19" i="5"/>
  <c r="L22" i="5" s="1"/>
  <c r="J79" i="3"/>
  <c r="D75" i="4"/>
  <c r="AD389" i="11" l="1"/>
  <c r="AE388" i="11"/>
  <c r="AD350" i="11"/>
  <c r="X48" i="11"/>
  <c r="W48" i="11"/>
  <c r="Z49" i="11"/>
  <c r="Y48" i="11"/>
  <c r="N42" i="5"/>
  <c r="O42" i="5" s="1"/>
  <c r="AD390" i="11" l="1"/>
  <c r="AE389" i="11"/>
  <c r="AD351" i="11"/>
  <c r="W49" i="11"/>
  <c r="X49" i="11"/>
  <c r="Z50" i="11"/>
  <c r="Y49" i="11"/>
  <c r="N37" i="5"/>
  <c r="O37" i="5" s="1"/>
  <c r="N39" i="5"/>
  <c r="O39" i="5" s="1"/>
  <c r="N38" i="5"/>
  <c r="O38" i="5" s="1"/>
  <c r="N43" i="5"/>
  <c r="O43" i="5" s="1"/>
  <c r="N41" i="5"/>
  <c r="O41" i="5" s="1"/>
  <c r="N36" i="5"/>
  <c r="O36" i="5" s="1"/>
  <c r="N35" i="5"/>
  <c r="O35" i="5" s="1"/>
  <c r="N33" i="5"/>
  <c r="O33" i="5" s="1"/>
  <c r="N34" i="5"/>
  <c r="O34" i="5" s="1"/>
  <c r="N40" i="5"/>
  <c r="O40" i="5" s="1"/>
  <c r="J81" i="3"/>
  <c r="J82" i="3"/>
  <c r="AD391" i="11" l="1"/>
  <c r="AE391" i="11" s="1"/>
  <c r="AE390" i="11"/>
  <c r="W50" i="11"/>
  <c r="X50" i="11"/>
  <c r="Z51" i="11"/>
  <c r="Y50" i="11"/>
  <c r="AE359" i="11" l="1"/>
  <c r="AE369" i="11"/>
  <c r="AE365" i="11"/>
  <c r="AE367" i="11"/>
  <c r="AE368" i="11"/>
  <c r="AE360" i="11"/>
  <c r="AE358" i="11"/>
  <c r="AE361" i="11"/>
  <c r="AE362" i="11"/>
  <c r="AE363" i="11"/>
  <c r="AE364" i="11"/>
  <c r="AE366" i="11"/>
  <c r="W51" i="11"/>
  <c r="X51" i="11"/>
  <c r="Z52" i="11"/>
  <c r="Y51" i="11"/>
  <c r="X52" i="11" l="1"/>
  <c r="W52" i="11"/>
  <c r="Z53" i="11"/>
  <c r="Y52" i="11"/>
  <c r="W53" i="11" l="1"/>
  <c r="X53" i="11"/>
  <c r="Z54" i="11"/>
  <c r="Y53" i="11"/>
  <c r="X54" i="11" l="1"/>
  <c r="W54" i="11"/>
  <c r="Z55" i="11"/>
  <c r="Y54" i="11"/>
  <c r="X55" i="11" l="1"/>
  <c r="W55" i="11"/>
  <c r="Z56" i="11"/>
  <c r="Y55" i="11"/>
  <c r="X56" i="11" l="1"/>
  <c r="W56" i="11"/>
  <c r="Z57" i="11"/>
  <c r="Y56" i="11"/>
  <c r="X57" i="11" l="1"/>
  <c r="W57" i="11"/>
  <c r="Z58" i="11"/>
  <c r="Y57" i="11"/>
  <c r="X58" i="11" l="1"/>
  <c r="W58" i="11"/>
  <c r="Z59" i="11"/>
  <c r="Y58" i="11"/>
  <c r="W59" i="11" l="1"/>
  <c r="X59" i="11"/>
  <c r="Z60" i="11"/>
  <c r="Y59" i="11"/>
  <c r="W60" i="11" l="1"/>
  <c r="X60" i="11"/>
  <c r="Z61" i="11"/>
  <c r="Y60" i="11"/>
  <c r="X61" i="11" l="1"/>
  <c r="W61" i="11"/>
  <c r="Y61" i="11"/>
</calcChain>
</file>

<file path=xl/sharedStrings.xml><?xml version="1.0" encoding="utf-8"?>
<sst xmlns="http://schemas.openxmlformats.org/spreadsheetml/2006/main" count="987" uniqueCount="775">
  <si>
    <t>Ejemplo:</t>
  </si>
  <si>
    <t>El valor de la acción Best Candy es sensible al precio del azúcar. En los años en que el azúcar</t>
  </si>
  <si>
    <t>los cultivos son bajos, el precio del azúcar aumenta significativamente y Best Candy sufre pérdidas considerables.</t>
  </si>
  <si>
    <t>Podemos describir las fortunas de Best Candy utilizando el siguiente análisis de escenarios:</t>
  </si>
  <si>
    <t>Año normal para Azucar</t>
  </si>
  <si>
    <t>Año anormal para Azucar</t>
  </si>
  <si>
    <t>Mercado Bursátil alcista</t>
  </si>
  <si>
    <t>Mercado Bursátil Bajista</t>
  </si>
  <si>
    <t>Crisis de Azucar</t>
  </si>
  <si>
    <t>Probabilidad</t>
  </si>
  <si>
    <t>Best</t>
  </si>
  <si>
    <t>Rentabilidad</t>
  </si>
  <si>
    <t>Regla 1</t>
  </si>
  <si>
    <t>Regla 2</t>
  </si>
  <si>
    <t>Si no estuviera al cuadrado,</t>
  </si>
  <si>
    <t>En desvío estandar,</t>
  </si>
  <si>
    <t>Regla 3</t>
  </si>
  <si>
    <t xml:space="preserve">Humanex es una compañía que tiene Invertido el:  </t>
  </si>
  <si>
    <t>de su dinero en Best Candy</t>
  </si>
  <si>
    <t>en letras del Tesoro, que tiene un rendimiento de:</t>
  </si>
  <si>
    <t>Retorno Esperado</t>
  </si>
  <si>
    <t>Desvío Estandar</t>
  </si>
  <si>
    <t>T Bills</t>
  </si>
  <si>
    <t>0,5 Best+0,5 Tbills</t>
  </si>
  <si>
    <t>Regla 4</t>
  </si>
  <si>
    <t xml:space="preserve">Después de Investigar la industria del azucar y del caramelo, se descubre que durante los años de escasez de azúcar, SugarKane,  </t>
  </si>
  <si>
    <t>una gran empresa de azúcar hawaiana, cosecha beneficios inusuales y su precio de las acciones se dispara.</t>
  </si>
  <si>
    <t>Un análisis de escenario de las acciones de SugarKane se ve así:</t>
  </si>
  <si>
    <t>Sugar</t>
  </si>
  <si>
    <t xml:space="preserve">SugarKane ofrece un excelente potencial de cobertura para los tenedores de las mejores acciones debido a su retorno es más alta </t>
  </si>
  <si>
    <t>precisamente cuando el retorno de Best es el más bajo, durante una crisis de azúcar.</t>
  </si>
  <si>
    <t>Supongamos que invertimos de este modo:</t>
  </si>
  <si>
    <t>de su dinero en Sugar Kane</t>
  </si>
  <si>
    <t>0,5 Best+0,5 Sugar</t>
  </si>
  <si>
    <t>Resumen de la rentabilidad y el riesgo de las tres alternativas :</t>
  </si>
  <si>
    <t>Retorno Esperdo</t>
  </si>
  <si>
    <t>Todo en Best Candy</t>
  </si>
  <si>
    <t>50% Best Candy y 50% T Bills</t>
  </si>
  <si>
    <t>50% Best Candy y 50% Sugar Kane</t>
  </si>
  <si>
    <t>=(C91*(C92-D101)^2+D91*(D92-D101)^2+E91*(E92-D101)^2)^(1/2)</t>
  </si>
  <si>
    <t xml:space="preserve">La cartera de cobertura con SugarKane domina claramente la simple estrategia de reducción de riesgos de invertir en T-bills seguros. </t>
  </si>
  <si>
    <t>Tiene mayor expectativa retorno y desviación estándar inferior a la mitad de la cartera de T-bill.</t>
  </si>
  <si>
    <t>Para cuantificar el potencial de cobertura o diversificación de un activo, utilizamos los covarianza y correlación.</t>
  </si>
  <si>
    <t>La covarianza mide cuánto los rendimientos de dos los activos se mueven en tándem.</t>
  </si>
  <si>
    <t>Para medir la covarianza, miramos las "sorpresas" de retorno, o las desviaciones de las expectativas valor, en cada escenario.</t>
  </si>
  <si>
    <t>&gt; 0 si las dos acciones se mueven juntas en el escenario</t>
  </si>
  <si>
    <t>&lt; 0 si las dos acciones se mueven en forma opuesta en el escenario</t>
  </si>
  <si>
    <t>Cerca de 0 no habría relación</t>
  </si>
  <si>
    <t>Entonces una buena medida sería ver que pasa en promedio en todos los escenarios</t>
  </si>
  <si>
    <t>Si tuviera una serie de rendimiento en distintos t,</t>
  </si>
  <si>
    <t>Una estadística más fácil de interpretar que la covarianza es el coeficiente de correlación</t>
  </si>
  <si>
    <t>Un coeficiente de correlación de -1 indica una relación lineal negativa perfecta</t>
  </si>
  <si>
    <t>Un coeficiente de correlación de +1 indica una relación lineal positiva perfecta.</t>
  </si>
  <si>
    <t>Un coeficiente de correlación de 0 indica ausencia de relación lineal.</t>
  </si>
  <si>
    <t>Regla 5</t>
  </si>
  <si>
    <t xml:space="preserve">destaca el efecto de la covarianza sobre el riesgo de la cartera. </t>
  </si>
  <si>
    <t xml:space="preserve">Una covarianza positiva  aumenta la varianza de la cartera </t>
  </si>
  <si>
    <t>y una covarianza negativa actúa para reducir el riesgo.</t>
  </si>
  <si>
    <t>PORTFOLIO</t>
  </si>
  <si>
    <t>Ejemplo</t>
  </si>
  <si>
    <t>correlacion negativa</t>
  </si>
  <si>
    <t>una empresa que reacciona de forma inversa a otra en la misma situacion</t>
  </si>
  <si>
    <t>COVARIANZA</t>
  </si>
  <si>
    <t xml:space="preserve">   </t>
  </si>
  <si>
    <t>/beta = cov() / (var de mercado)^2</t>
  </si>
  <si>
    <t>""2CAPM</t>
  </si>
  <si>
    <t>RELACION DE LOS ELEMENTOS</t>
  </si>
  <si>
    <t>COEF DE CORRELACION</t>
  </si>
  <si>
    <t>cov (i j)</t>
  </si>
  <si>
    <t>sqrt var i * sqrt var j</t>
  </si>
  <si>
    <t>coef = -1</t>
  </si>
  <si>
    <t>relacion negativa perfecta</t>
  </si>
  <si>
    <t>un rendimiento bajo de sugar es un rendimeinto bajo de best</t>
  </si>
  <si>
    <t>, -----&gt; 18:40</t>
  </si>
  <si>
    <t>VARIANZA</t>
  </si>
  <si>
    <t>Retorno esperado, varianzas covarianzas de Activos Individuales - Fórmulas propias</t>
  </si>
  <si>
    <t>Activos:</t>
  </si>
  <si>
    <t>YPFD.BA</t>
  </si>
  <si>
    <t>Timestamp</t>
  </si>
  <si>
    <t>Trade Close</t>
  </si>
  <si>
    <t>LEDE.BA</t>
  </si>
  <si>
    <t>PORTFOLIOS EFICIENTES</t>
  </si>
  <si>
    <t>MARKOWITZ</t>
  </si>
  <si>
    <t>ASIGNACION DE CAPITAL ENTRE ACTIVO RIESGOSO Y UNO RISK FREE</t>
  </si>
  <si>
    <t>Retorno</t>
  </si>
  <si>
    <t>VALOR ESPERADO</t>
  </si>
  <si>
    <t>SPX</t>
  </si>
  <si>
    <t>GE.N</t>
  </si>
  <si>
    <t>E(SPX)</t>
  </si>
  <si>
    <t>E(GE.N)</t>
  </si>
  <si>
    <t>VAR(SPX)</t>
  </si>
  <si>
    <t>VAR(GE.N)</t>
  </si>
  <si>
    <t>CORRELACION</t>
  </si>
  <si>
    <t>VARIAZA</t>
  </si>
  <si>
    <t>(Rspx - E(SPX))</t>
  </si>
  <si>
    <t>(Rspx - E(SPX))^2</t>
  </si>
  <si>
    <t>Rspx</t>
  </si>
  <si>
    <t>Rgen</t>
  </si>
  <si>
    <t>(Rgen - E(GEN))^2</t>
  </si>
  <si>
    <t>standard dev SPX</t>
  </si>
  <si>
    <t>standard dev GEN</t>
  </si>
  <si>
    <t>(Rgen - E(GEN))</t>
  </si>
  <si>
    <t>Portfolio</t>
  </si>
  <si>
    <t>E(P)</t>
  </si>
  <si>
    <t>standard (P)</t>
  </si>
  <si>
    <t>GE</t>
  </si>
  <si>
    <t>var (P)</t>
  </si>
  <si>
    <t>ESPERANZA</t>
  </si>
  <si>
    <t>VAR</t>
  </si>
  <si>
    <t>S&amp;P 500</t>
  </si>
  <si>
    <t>GRAFICO</t>
  </si>
  <si>
    <t>DES</t>
  </si>
  <si>
    <t>CMV</t>
  </si>
  <si>
    <t>30% = w_1^2*var_1+w_2*var_2+2*(w_1*w_2*std_1*std_2*corr)</t>
  </si>
  <si>
    <t>PORTFOLIO 2</t>
  </si>
  <si>
    <t>Zvi Bodie &amp; Alex Kane &amp; Alan Marcus. (2004) Investments, Quinta Edición. España: MacGraw Hill. Capítulos 5, 6 y 7.</t>
  </si>
  <si>
    <t xml:space="preserve">Zvi Bodie &amp; Alex Kane &amp; Alan Marcus. (2004) Investments, Quinta Edición. España: MacGraw Hill. Capítulos 8. </t>
  </si>
  <si>
    <t>MATEMATICA DE PORTFOLIOS</t>
  </si>
  <si>
    <t>50% invertido en Best Candy</t>
  </si>
  <si>
    <t>CRISIS</t>
  </si>
  <si>
    <t>BEARISH</t>
  </si>
  <si>
    <t>BULLISH</t>
  </si>
  <si>
    <t>Posibles escenarios del retorno de Best Candy</t>
  </si>
  <si>
    <t>HUMANEX =</t>
  </si>
  <si>
    <t>Reglas para las propiedades de activos riesgosos y portfolios</t>
  </si>
  <si>
    <t>REGLA 1</t>
  </si>
  <si>
    <t>Retorno esperado</t>
  </si>
  <si>
    <t>E(R_best)</t>
  </si>
  <si>
    <t>REGLA 2</t>
  </si>
  <si>
    <t>Varianza</t>
  </si>
  <si>
    <t>Desvio Estandar</t>
  </si>
  <si>
    <t>REGLA 3</t>
  </si>
  <si>
    <t>Retorno de un portfolio</t>
  </si>
  <si>
    <t>Si Humanex invierte el otro 50% en T-Bills Risk-free</t>
  </si>
  <si>
    <t>con retorno</t>
  </si>
  <si>
    <t xml:space="preserve">El retorno del portfolio es el promedio ponderado (por el peso en el portfolio) </t>
  </si>
  <si>
    <t>de los retornos esperados de cada activo que lo constituye</t>
  </si>
  <si>
    <t>sin riesgo</t>
  </si>
  <si>
    <t>Este tipo de porfolios tienen como desvio estandar =</t>
  </si>
  <si>
    <t>desvio del activo riesgoso * proporcion del portfolio invertida en ese activo</t>
  </si>
  <si>
    <t>SD(Humanex)</t>
  </si>
  <si>
    <t>Esencialmente, está reduciendo su exposicion al riesgo a la mitad</t>
  </si>
  <si>
    <t>ya que el desvio estandard mide que tanto variarían los retornos</t>
  </si>
  <si>
    <t>como la mitad del portfolio no tiene riesgo y la otra mitad si</t>
  </si>
  <si>
    <t>entonces riesgo del porfolio es la mitad del riesgo de la porcion riesgosa</t>
  </si>
  <si>
    <t>Reducir la exposicion al riesgo reduce el retorno esperado tambien</t>
  </si>
  <si>
    <t>E(R_Best)</t>
  </si>
  <si>
    <t>E(R_Humanex)</t>
  </si>
  <si>
    <t>SD(Best)</t>
  </si>
  <si>
    <t>Var(Best)</t>
  </si>
  <si>
    <t>PRIMA DE RIESGO</t>
  </si>
  <si>
    <t>E(R_TBill)</t>
  </si>
  <si>
    <t>MITAD MITAD</t>
  </si>
  <si>
    <t>SOLO BEST</t>
  </si>
  <si>
    <t>La reduccion en retorno esperado de invertir todo en Best a hacer mitad uno mitad otro es la prima de riesgo</t>
  </si>
  <si>
    <t>Perdida entre Humanex y Best</t>
  </si>
  <si>
    <t>Diferencia en la prima de riesgo</t>
  </si>
  <si>
    <t>REGLA 4</t>
  </si>
  <si>
    <t>Dos activos riesgosos</t>
  </si>
  <si>
    <t>Un activo riesgoso y otro sin riesgo</t>
  </si>
  <si>
    <t>Caso de rendimientos independientes</t>
  </si>
  <si>
    <t>Covarianzas son iguales a 0</t>
  </si>
  <si>
    <t>Interesa ver el efecto de diversificar</t>
  </si>
  <si>
    <t>(tener muchos activos)</t>
  </si>
  <si>
    <t>Como covarianza es 0 no le sumo</t>
  </si>
  <si>
    <t xml:space="preserve"> 2*(w w sigma sigma p)</t>
  </si>
  <si>
    <t>N = cantidad de eactivos</t>
  </si>
  <si>
    <t>lim as n-&gt; infty ; todo tiende a 0</t>
  </si>
  <si>
    <t>Caso de rendimientos NO independientes</t>
  </si>
  <si>
    <t>quiero sumar las varianzas</t>
  </si>
  <si>
    <t>no queres que sean iguales porque ya las sumaste antes</t>
  </si>
  <si>
    <t>Es lo mismo esto</t>
  </si>
  <si>
    <t>reescribir 1/N * 1/N de esa forma</t>
  </si>
  <si>
    <t>es mas. facil</t>
  </si>
  <si>
    <t>N * (N-1) cantidad de covarianzas</t>
  </si>
  <si>
    <t>Covarianzas promedio</t>
  </si>
  <si>
    <t>Si n -&gt; infty ; el var del portfolio tiende a la cov. promedio</t>
  </si>
  <si>
    <t>Portfolios Eficientes</t>
  </si>
  <si>
    <t>El objetivo es buscar la frontera eficiente</t>
  </si>
  <si>
    <t>Frontera eficiente</t>
  </si>
  <si>
    <t>EL objetivo es estar lo mas alto de E(R)</t>
  </si>
  <si>
    <t>y mas bajo de sigma posible</t>
  </si>
  <si>
    <t>Si esta es la forntera de psiblidadad</t>
  </si>
  <si>
    <t>lo eficiente va aser donde cruza la recta</t>
  </si>
  <si>
    <t>Capital allocation line (posibles portfolios)</t>
  </si>
  <si>
    <t>Maximizar sharpe</t>
  </si>
  <si>
    <t>Portfolio Tangente</t>
  </si>
  <si>
    <t xml:space="preserve">CAPM </t>
  </si>
  <si>
    <t>Modelo de Pricing</t>
  </si>
  <si>
    <t>Busco tasas de descuento para activos</t>
  </si>
  <si>
    <t>Se está en equilibiro</t>
  </si>
  <si>
    <t>Todos están con la alocacion que maximiza su utilidad</t>
  </si>
  <si>
    <t>PORTFOLIO: CAPM</t>
  </si>
  <si>
    <t>limpiearse : que la cantidad ofrecida sea igual a la demandada</t>
  </si>
  <si>
    <t>nadie tiene incentivos a cambiar</t>
  </si>
  <si>
    <t>Modelos de equilibrio en el Mercado de Capitales. Evaluación de la perfomance de carteras de inversiones.</t>
  </si>
  <si>
    <t>Rentabilidad y Riesgo de carteras. Construcción de carteras eficientes.</t>
  </si>
  <si>
    <t>PORTFOLIO 1</t>
  </si>
  <si>
    <t>Benninga, Simon. “Financial Modelling”. The MIT Press, 1999. Capítulo 7.</t>
  </si>
  <si>
    <t>Marín, José y Rubio, Gonzalo. “Economía Financiera”. Editor: Antoni Bosch, Barcelona 2001. Capítulos 6</t>
  </si>
  <si>
    <t>Benninga, Simon. “Financial Modelling”. The MIT Press, 1999. Capítulo 5 y 6.</t>
  </si>
  <si>
    <t>Marín, José y Rubio, Gonzalo. “Economía Financiera”. Editor: Antoni Bosch, Barcelona 2001. Capítulos 5</t>
  </si>
  <si>
    <t>SUPUESTOS CAPM</t>
  </si>
  <si>
    <t>Todos resuelven el mismo problema</t>
  </si>
  <si>
    <t>pero entonces eligirian el mismo portfolio eficiente</t>
  </si>
  <si>
    <t>// todos esperan que pase lo mismo en el futuro</t>
  </si>
  <si>
    <t>tomadores de precios</t>
  </si>
  <si>
    <t>solamente acpetan el precio: no los pueden modificiar</t>
  </si>
  <si>
    <t>CAPITAL ALLOCATION LINE</t>
  </si>
  <si>
    <t>Igual que en markoqitz</t>
  </si>
  <si>
    <t xml:space="preserve">el equilibrio general lleva a que </t>
  </si>
  <si>
    <t>portfolio tangente = portfolio de mercado</t>
  </si>
  <si>
    <t>Consecuencia de equilibrio</t>
  </si>
  <si>
    <t>Todos eligen el mimso porfolio de mercados</t>
  </si>
  <si>
    <t>Esa es la security market line</t>
  </si>
  <si>
    <t>(es una consecuancia de las assumptions)</t>
  </si>
  <si>
    <t>Derivacion de  Security Market Line</t>
  </si>
  <si>
    <t>Combinar riskfree con uno riesgoso</t>
  </si>
  <si>
    <t>Precio del riesgo</t>
  </si>
  <si>
    <t>Riesgo</t>
  </si>
  <si>
    <t>DELTA + lo que vendes de riskfree y compras e activo de mercado</t>
  </si>
  <si>
    <t>E(R_Kane)</t>
  </si>
  <si>
    <t>Var(Kane)</t>
  </si>
  <si>
    <t>SD(Kane)</t>
  </si>
  <si>
    <t>El retorno de kane es mas alto cuando el de Best es mas bajo</t>
  </si>
  <si>
    <t>SugarKane:</t>
  </si>
  <si>
    <t>Tienen volatilidad mas o mnos parecida</t>
  </si>
  <si>
    <t>Best:</t>
  </si>
  <si>
    <t xml:space="preserve">It has h1gher expected retum and lower standard deviation than the one-half T-bill portfolio. </t>
  </si>
  <si>
    <t>The numbers speak for themselves.</t>
  </si>
  <si>
    <t xml:space="preserve">The hedge portfolio including SugarKane clearly dorninates the simple risk-reduction strategy of investing in safe T-bills. </t>
  </si>
  <si>
    <t>Covarianza</t>
  </si>
  <si>
    <t xml:space="preserve">To quantify the hedging or diversification potential of an asset, </t>
  </si>
  <si>
    <t>Correlacion</t>
  </si>
  <si>
    <t>COV(Best, Kane) =</t>
  </si>
  <si>
    <t>Un estadisitico que hace mas facil interpretar el valor de la covarianza</t>
  </si>
  <si>
    <t>está entre -1 y 1</t>
  </si>
  <si>
    <t>-1 = correlacion negativa perfecta</t>
  </si>
  <si>
    <t>1 = correlacion positiva perfect</t>
  </si>
  <si>
    <t>Varianza con dos activos riesgosos</t>
  </si>
  <si>
    <t>E(R_Kane+Best)</t>
  </si>
  <si>
    <t>Var(Kane+Best)</t>
  </si>
  <si>
    <t>SD(Kane+Best)</t>
  </si>
  <si>
    <t>CORR(Best, Kane) =</t>
  </si>
  <si>
    <t>VAR(Best, Kane) =</t>
  </si>
  <si>
    <t>Capital Allocation between the Risky Asset and the Risk-Free Asset</t>
  </si>
  <si>
    <t>CAPITAL ALLOCATION DECISIONS</t>
  </si>
  <si>
    <t>managing risk-return trade-off</t>
  </si>
  <si>
    <t>que proporcion del portfolio poner en titulos riesgosos de alto retorno vs titulos seguros con bajo retorno</t>
  </si>
  <si>
    <t>como se distribuyen las inversiones riesgosas en distintas clases de activos ej, stocks bonds real estate</t>
  </si>
  <si>
    <t>SECURITY SELECTION DECISION</t>
  </si>
  <si>
    <t>ASSET ALLOCATION DECISION</t>
  </si>
  <si>
    <t>que titulos en particular seleccionar en particular de cada clase de activos</t>
  </si>
  <si>
    <t>top down analysiis:</t>
  </si>
  <si>
    <t xml:space="preserve">When investors partake in frequent capital or asset allocation revisions, they are called market timers. </t>
  </si>
  <si>
    <t>CAPITAL ALLOCATION PROBLEM</t>
  </si>
  <si>
    <t>1. determinar el tradoff entre riesgo y retorno para elegir como dividir entre riesgosas y no riesgosas</t>
  </si>
  <si>
    <t>2. el nivel de aversion al riesgo va a mostrar como se van a seleccionar</t>
  </si>
  <si>
    <t xml:space="preserve">
When we shift wealth from the risky portfolio to the risk-free asset, we do not change the relative proportions of the various risky assets within the risky portfolio.</t>
  </si>
  <si>
    <t>Rather, we reduce the relative weight of the risky portfolio as a whole in favor of risk-
free assets.</t>
  </si>
  <si>
    <t>Ejemplo portfolio</t>
  </si>
  <si>
    <t>Valor</t>
  </si>
  <si>
    <t>risk free</t>
  </si>
  <si>
    <t>risky</t>
  </si>
  <si>
    <t>IBM</t>
  </si>
  <si>
    <t>GM</t>
  </si>
  <si>
    <t>risk weight</t>
  </si>
  <si>
    <t>riskfree weight</t>
  </si>
  <si>
    <t>ibm weight</t>
  </si>
  <si>
    <t>PESO GENERAL</t>
  </si>
  <si>
    <t>gm weight</t>
  </si>
  <si>
    <t>pasar de 0,7 riesgoso a 0,56 riesgoso</t>
  </si>
  <si>
    <t>risky termina siendo</t>
  </si>
  <si>
    <t xml:space="preserve">del tol p_risky se van </t>
  </si>
  <si>
    <t>y eso se usa para comprar mas risk free</t>
  </si>
  <si>
    <t>riskfree termina siendo</t>
  </si>
  <si>
    <t>tambien</t>
  </si>
  <si>
    <t>300000 * (1-0,56 )</t>
  </si>
  <si>
    <t>42000 + 90000</t>
  </si>
  <si>
    <t>SE DEJARON LAS PROPORCIONES DE CADA ACTIVO EN LA PARTE RIESGOSA SIN CAMBIAR</t>
  </si>
  <si>
    <t>de ibm se van</t>
  </si>
  <si>
    <t>de gm se van</t>
  </si>
  <si>
    <t>queda</t>
  </si>
  <si>
    <t>300000 * 0,56</t>
  </si>
  <si>
    <t xml:space="preserve">SI SE DECIDE REDUCIR LA PROPOCION DEL TOTAL RIESGOSA </t>
  </si>
  <si>
    <t>210000 - 168000</t>
  </si>
  <si>
    <t>(que se agregan al riskfree)</t>
  </si>
  <si>
    <t>SIGUE SIENDO</t>
  </si>
  <si>
    <t xml:space="preserve">Rather than thinking of our risky holdings as IBM and GM stock separately, </t>
  </si>
  <si>
    <t xml:space="preserve">we may view our holdings as if they were in a single fund that holds IBM and GM in fixed pro- portions. </t>
  </si>
  <si>
    <t>El fondo riesgoso es un activo por si mimso aparte que consiste de una proporcion fija de activos dentro de ella</t>
  </si>
  <si>
    <t xml:space="preserve">As long as we do not alter the weights of each stock within the risky portfolio, </t>
  </si>
  <si>
    <t xml:space="preserve">the prob- ability distribution of the rate of return on the risky portfolio remains unchanged by the asset reallocation. </t>
  </si>
  <si>
    <t>What will change is the probability distribution of the rate of retum on the complete portfolio that consists of the risky asset and the risk-free asset.</t>
  </si>
  <si>
    <t>CAP 5 )</t>
  </si>
  <si>
    <t>CAP 6 )</t>
  </si>
  <si>
    <t>E(Rp)</t>
  </si>
  <si>
    <t>SD(Rp)</t>
  </si>
  <si>
    <t>Rf</t>
  </si>
  <si>
    <t>risk premium</t>
  </si>
  <si>
    <t>w invertido en risky a</t>
  </si>
  <si>
    <t>y</t>
  </si>
  <si>
    <t>invertido en rf</t>
  </si>
  <si>
    <t>1-y</t>
  </si>
  <si>
    <t>Rc</t>
  </si>
  <si>
    <t>y*r_p + (1-y) * r_f</t>
  </si>
  <si>
    <t>r_p</t>
  </si>
  <si>
    <t>risky rate of return</t>
  </si>
  <si>
    <t>E(Rc)</t>
  </si>
  <si>
    <t>y*E(Rp) + (1-y) * r_f</t>
  </si>
  <si>
    <t>y*E(Rp) + r_f - y*r_f</t>
  </si>
  <si>
    <t xml:space="preserve">r_f - y*r_f + y*E(Rp) </t>
  </si>
  <si>
    <t>r_f - y *( r_f +E(Rp) )</t>
  </si>
  <si>
    <t>r_f + y *( r_f - E(Rp) )</t>
  </si>
  <si>
    <t>lo de ahi es el risk premium!</t>
  </si>
  <si>
    <t>La tasa de retorno BASE de cualquier portfiolio es el retorno risk free</t>
  </si>
  <si>
    <t>Además de eso, se ESPERA que gane una prima de riesgo que depende de:</t>
  </si>
  <si>
    <t>el risk premium del activo riesgoso en el portfolio (P: activo riesgoso, [que es un portfolio con activos riesgosos en realdiad] )</t>
  </si>
  <si>
    <t>la proporcion del portfolio completo que esta invertida en activos riesgosos</t>
  </si>
  <si>
    <t>Retorno total de la cartera</t>
  </si>
  <si>
    <t>REAL</t>
  </si>
  <si>
    <t>Retorno ESPERADO de la cartera</t>
  </si>
  <si>
    <r>
      <t xml:space="preserve">Investors are assumed to be risk averse and thus unwilling to </t>
    </r>
    <r>
      <rPr>
        <sz val="11"/>
        <color theme="1"/>
        <rFont val="Times"/>
      </rPr>
      <t xml:space="preserve">take on a risky position without a positive risk premium. </t>
    </r>
  </si>
  <si>
    <t>La desviacion estandard del portfolio con un activo riesgoso y uno risk free</t>
  </si>
  <si>
    <t>un activo riesgoso y uno risk free</t>
  </si>
  <si>
    <t>es simlpemente el peso del a ctivo riesgoso por la desviacion de ese activo riesgoso</t>
  </si>
  <si>
    <t>Ahora se pueden plotear las caracteristicas del portfolio como FUNCION DE Y</t>
  </si>
  <si>
    <t>The expected return - standard deviation combination for the risk-free asset, F, appears on the vertical axis because the standard deviation is zero. The risky asset, P, is plotted with a standard deviation, a p = 22% and expected return of 15%. If an investor chooses to invest solely in the risky asset, then y = 1.0, and the resulting portfolio is P. If the chosen position is y = O, then 1 - y = 1.0, and the resulting portfolio is the risk-free portfolio F.</t>
  </si>
  <si>
    <t>Todos los posibles portfolios para valores de y</t>
  </si>
  <si>
    <t>La funcion es esta</t>
  </si>
  <si>
    <t>SDc = SDp * y</t>
  </si>
  <si>
    <t>como funciones de y</t>
  </si>
  <si>
    <t xml:space="preserve"> It also increases portfolio standard deviation at the rate 22%.</t>
  </si>
  <si>
    <t>Increasing the fraction of the overall portfolio invested in the risky asset increases the expected retum by the risk premium which is 8%.</t>
  </si>
  <si>
    <t xml:space="preserve"> The extra return per extra risk is thus 8/22 = .36.</t>
  </si>
  <si>
    <t>risk premium / SDp</t>
  </si>
  <si>
    <t>cuanto aumenta en % el retorno por 1 punto de SD es</t>
  </si>
  <si>
    <t>CAL</t>
  </si>
  <si>
    <t>PENDIENTE : REWARD TO VARIABILITY RATIO</t>
  </si>
  <si>
    <t>E(Rc) = 0,07 + 0,5*0,08</t>
  </si>
  <si>
    <t>si y = 0,5</t>
  </si>
  <si>
    <t>SDc</t>
  </si>
  <si>
    <t>0,05 * 0,22</t>
  </si>
  <si>
    <t>CON UN SHORT podes moverte a la derecha de P</t>
  </si>
  <si>
    <t>ejemplo</t>
  </si>
  <si>
    <t>presupuesto de 300000</t>
  </si>
  <si>
    <t>pide prestado 120000</t>
  </si>
  <si>
    <t>el total 420000 lo invierte en el risky asset</t>
  </si>
  <si>
    <t>leevraged position en el activo riesgoso</t>
  </si>
  <si>
    <t>financiado con un prestamo</t>
  </si>
  <si>
    <t>y = 420000/300000</t>
  </si>
  <si>
    <t>short position</t>
  </si>
  <si>
    <t>Obviamente crece la desviacion estandar</t>
  </si>
  <si>
    <t>TASA SIN RIESGO DE VERDAD</t>
  </si>
  <si>
    <t>nadie puede pedir prestado a la riskfree si no sos el gobierno</t>
  </si>
  <si>
    <t>hay una rf_b</t>
  </si>
  <si>
    <t>ej. 0,09</t>
  </si>
  <si>
    <t>entonces la CAL tiene una pendiente con risk premium menor</t>
  </si>
  <si>
    <t>si la rf_b es mayor</t>
  </si>
  <si>
    <t>y la pendiente es menor</t>
  </si>
  <si>
    <t>por eso la recta tiene otra forma despues de que tiene que</t>
  </si>
  <si>
    <t>empezar a shortearse para proporcionar el portfolio completo</t>
  </si>
  <si>
    <t>a la izquierda de P; él PRESTA a 0,07 al gobierno en risk free</t>
  </si>
  <si>
    <t xml:space="preserve">a la derecha de P; él PIDE PRESTADO a 0,09 </t>
  </si>
  <si>
    <t>asi que y&gt; 1; el inversor esta piediendo prestado para financiar</t>
  </si>
  <si>
    <t>inversiones adicionales en activos riesgoso</t>
  </si>
  <si>
    <t>y si y &gt; 1 ; l pendiente es menor</t>
  </si>
  <si>
    <t>"on margin"</t>
  </si>
  <si>
    <t xml:space="preserve">E(Rc) =  r_f + y *( E(Rp)  - r_f ) </t>
  </si>
  <si>
    <t>Pendiente: (premium)/(SDp)</t>
  </si>
  <si>
    <t>RISK AVERSION</t>
  </si>
  <si>
    <t>CAPITAL MARKET LINE</t>
  </si>
  <si>
    <t>qué activos van en P, el portfolio riesgoso</t>
  </si>
  <si>
    <t>estrategia pasiva</t>
  </si>
  <si>
    <t>estategia activa</t>
  </si>
  <si>
    <t>We cal! the capital allocation line provided by one-month T-bills and a broad index of common stocks the capital market line (CML)</t>
  </si>
  <si>
    <t>. A passive strategy generales an investrnent opportunity·set that is represented by the CML.</t>
  </si>
  <si>
    <t>sin analisis directo o intirecto de titulos que se incluyirian</t>
  </si>
  <si>
    <t>CML es la CAL para un money market , o safe tbill, y un fndo que sigue las proporciones de algiun indice real</t>
  </si>
  <si>
    <t>6 )</t>
  </si>
  <si>
    <t>PORTFOLIO RIESGOSO</t>
  </si>
  <si>
    <t>Fuentes de riesgo de un activo</t>
  </si>
  <si>
    <t>1. factores macroeconomicos : inflacion, tasa d e interes, business cycle</t>
  </si>
  <si>
    <t>2. factores especificos a la empresa; contratacion , desarrollo</t>
  </si>
  <si>
    <t>DIVERSIFICACION</t>
  </si>
  <si>
    <t>si bien de los riesgos de 1) no se puede evitar; con otra empresa en el portfolio se escapa del riesgo especifico a la firma</t>
  </si>
  <si>
    <t>solo cuando todo el riesgo de un portfolio es especifico a la firma , ahi se puede reducir riesgo diversificando a niveles arbitrariamente bajos</t>
  </si>
  <si>
    <t>insurance principle</t>
  </si>
  <si>
    <t>EJEMPLO PORTFOLIO CON DOS ACTIVOS</t>
  </si>
  <si>
    <t>D</t>
  </si>
  <si>
    <t>long term bonds portfolio</t>
  </si>
  <si>
    <t>E</t>
  </si>
  <si>
    <t>Equities porfolio</t>
  </si>
  <si>
    <t>r_p =wD * rD + wE * rE</t>
  </si>
  <si>
    <t>si la correlacion es 1</t>
  </si>
  <si>
    <t>entonces la varianza del portfolio es</t>
  </si>
  <si>
    <t>en todos los demas casos : cuando la correlacion es menos que 1; entonces la desviacion del portfolio va a ser menos que el promedio ponderado de las desviaciones que lo componen</t>
  </si>
  <si>
    <t>Because the portfolio expected return is always the weighted average of its component expected returns, whereas its
standard deviation is less than the weighted average of the componen! standard deviations, porifolios of less than peifectly correlated assets always offer better risk-return opportunities than the individual component securities on their own.</t>
  </si>
  <si>
    <t>la desviacion estandar d eun portfoli ode acivos es menos que el promedio ponderado de los desvios de los activos que lo componen</t>
  </si>
  <si>
    <t>a menos correlacion mas eficiencia</t>
  </si>
  <si>
    <t xml:space="preserve">en el caso que la correlacion sea -1; la desviacion del portfolio va ser la mas baja que puede ser </t>
  </si>
  <si>
    <t>perfectly hedge</t>
  </si>
  <si>
    <t>CON EL EJEMPLO</t>
  </si>
  <si>
    <t>la desviacion va a cambiar con distintos pesos</t>
  </si>
  <si>
    <t xml:space="preserve">PROMEDIO </t>
  </si>
  <si>
    <t>STANDARD</t>
  </si>
  <si>
    <t>Column 1</t>
  </si>
  <si>
    <t>Column 2</t>
  </si>
  <si>
    <t>ER</t>
  </si>
  <si>
    <t>CORREL</t>
  </si>
  <si>
    <t>WEIGHTS</t>
  </si>
  <si>
    <t>SD con p = 0.3</t>
  </si>
  <si>
    <t>Portfolio de minima varianza</t>
  </si>
  <si>
    <t>SDmin &lt; cualquiera de los dos por si solos</t>
  </si>
  <si>
    <t>efecto de la diversificaccion\</t>
  </si>
  <si>
    <t>con p = 1; no hay ventaja en diversificar</t>
  </si>
  <si>
    <t>el desvio del portfolio es el promedio ponderado</t>
  </si>
  <si>
    <t>de los desvios que lo componen</t>
  </si>
  <si>
    <t>Correlacion = 0</t>
  </si>
  <si>
    <t>la diversificacion sí es efectiva</t>
  </si>
  <si>
    <t>el riesgo del portfolio es mas bajo</t>
  </si>
  <si>
    <t>CAPM</t>
  </si>
  <si>
    <t>7 )</t>
  </si>
  <si>
    <t>Correlacion = -1 : se puede llegar a cov 0</t>
  </si>
  <si>
    <t>Relacion entre retorno y riesgo del portgolio - dados los parametros</t>
  </si>
  <si>
    <t>PORTFOLIO OPPORTUNITY SETS</t>
  </si>
  <si>
    <t>Opportunity set para p = 0.3</t>
  </si>
  <si>
    <t>Son las combinaciones de retorno esperado  desviacion estandar para</t>
  </si>
  <si>
    <t>todos los portfolios que se pueden construir a partir de dos  activos disponibles</t>
  </si>
  <si>
    <t>Asset allocation with stocks and bonds and bills</t>
  </si>
  <si>
    <t>Con uno seguro y dos riesgosos</t>
  </si>
  <si>
    <t xml:space="preserve">los dos seguros tienen un opportunity set </t>
  </si>
  <si>
    <t>esos juntos + rf tienen un CAL</t>
  </si>
  <si>
    <t>generalizacion para muchos activos</t>
  </si>
  <si>
    <t>Next, we identify the optima! portfalio of risky assets by finding the portfalio weights that result in the steepest CAL.</t>
  </si>
  <si>
    <t xml:space="preserve">First, we identify the risk-return combinations available from the set of risky assets. </t>
  </si>
  <si>
    <t xml:space="preserve"> Finally, we choose an appropriate complete port- falio by mixing the risk-free asset with the optima! risky portfolio. </t>
  </si>
  <si>
    <t>1. risk return oportunities</t>
  </si>
  <si>
    <t>es la frontera de minima varianza</t>
  </si>
  <si>
    <t>el grafico con la menor varianza posible para cierto retorno</t>
  </si>
  <si>
    <t>Siempre los activos por si solos van a ser mas varianza que las combinaciones</t>
  </si>
  <si>
    <t>se descarta la parte de abajo y se queda la efficient frontier</t>
  </si>
  <si>
    <t>2. ahora con el risk free asset</t>
  </si>
  <si>
    <t>busca la cal con mayor reward to variability (la de mayor penidente)</t>
  </si>
  <si>
    <t>3. un mix apropiado entre P y T-bills</t>
  </si>
  <si>
    <t>DE NUEVO</t>
  </si>
  <si>
    <t>1. se necesitan las estimaciones de retorno esperado de cada titulo y estimaciones de la matriz de covarianzas</t>
  </si>
  <si>
    <t>el retorno esperado</t>
  </si>
  <si>
    <t>datos de la matriz de covarianzas</t>
  </si>
  <si>
    <t>con un tiempo horizonte; se pueden hacer estimaciones a ese horizonte</t>
  </si>
  <si>
    <t>ej. hold un año</t>
  </si>
  <si>
    <t>con n titulos</t>
  </si>
  <si>
    <t>en t_0, hay precios p0_1 .... p0_n</t>
  </si>
  <si>
    <t>y se hacen predicciones</t>
  </si>
  <si>
    <t>en t_0, hay precios E(p1_1) ....E( p1_n )</t>
  </si>
  <si>
    <t>y dividendos</t>
  </si>
  <si>
    <t>ahora se tienen.n estimaciones de E(r_i)</t>
  </si>
  <si>
    <t>y una matriz de n x n con las covarianzas</t>
  </si>
  <si>
    <t>y los n elementos diagonales son las varianzas</t>
  </si>
  <si>
    <t>n^2 - n ) / 2 elementos son estimaciones de covarianzas</t>
  </si>
  <si>
    <t>auch</t>
  </si>
  <si>
    <t>n(n-1) / 2</t>
  </si>
  <si>
    <t>y ahora se pueden calcular los pesos</t>
  </si>
  <si>
    <t xml:space="preserve">CAPITAL ALLOCATION AND SEPARATION </t>
  </si>
  <si>
    <t>ahora introducimos el activo sin riesgo</t>
  </si>
  <si>
    <t>SEPARATION PROPERTY</t>
  </si>
  <si>
    <t>la eleccion de portfolio se puede separar en dos tareas idependeibtes</t>
  </si>
  <si>
    <t>1. determinar el portfolio riesgoso P optimo: que s el mismo para todos</t>
  </si>
  <si>
    <t>2. decidir encima de la CAL depende de preferencias</t>
  </si>
  <si>
    <t>ASSET ALLOCATION AND SECURITY SELECTION</t>
  </si>
  <si>
    <t>teoria de security seleciton y asset allocation son las mismas</t>
  </si>
  <si>
    <t>8 )</t>
  </si>
  <si>
    <t>para predecir relacion riesgo retorno</t>
  </si>
  <si>
    <t>MODEL ASSUMPTIONS</t>
  </si>
  <si>
    <t>asegurar que los individuos son tan similares como se pueda</t>
  </si>
  <si>
    <t>solo varia la riqueza inicial y la tolerancia al riesgo</t>
  </si>
  <si>
    <t>1 . Hay muchos inversores y la riqueza personal de cada uno es ínfima comparada con la riqueza total de todos los inversres</t>
  </si>
  <si>
    <t>los precios no se ven afectados por sus propios movimientos</t>
  </si>
  <si>
    <t>(competencia perfecta)</t>
  </si>
  <si>
    <t>6 . Todos los inversores analizan las acciones de la misma forma y tienen la misma vision del mundo -- &gt; identicas estimaciones de las probabilidades de cashflow</t>
  </si>
  <si>
    <t>Dado una lista de precios de los titulos, todos derivan la misma lista para encajarla el modelo de markowitz</t>
  </si>
  <si>
    <r>
      <t xml:space="preserve">2 . Todos tienen el mismo </t>
    </r>
    <r>
      <rPr>
        <b/>
        <sz val="12"/>
        <color theme="1"/>
        <rFont val="Calibri"/>
        <family val="2"/>
        <scheme val="minor"/>
      </rPr>
      <t xml:space="preserve">HOLDING PERIOD </t>
    </r>
  </si>
  <si>
    <r>
      <t xml:space="preserve">3 . Solo se invierte en </t>
    </r>
    <r>
      <rPr>
        <b/>
        <sz val="12"/>
        <color theme="1"/>
        <rFont val="Calibri"/>
        <family val="2"/>
        <scheme val="minor"/>
      </rPr>
      <t>PUBLICLY TRADED ASSETS</t>
    </r>
    <r>
      <rPr>
        <sz val="12"/>
        <color theme="1"/>
        <rFont val="Calibri"/>
        <family val="2"/>
        <scheme val="minor"/>
      </rPr>
      <t xml:space="preserve"> (stocks, bonds and risk free borrowing ) : se ignoran otro tipos de inversiones como capital humano ets</t>
    </r>
  </si>
  <si>
    <r>
      <t xml:space="preserve">4 . No se pagan impuestos ni hay </t>
    </r>
    <r>
      <rPr>
        <b/>
        <sz val="12"/>
        <color theme="1"/>
        <rFont val="Calibri"/>
        <family val="2"/>
        <scheme val="minor"/>
      </rPr>
      <t xml:space="preserve">COSTOS DE TRANSACCION </t>
    </r>
    <r>
      <rPr>
        <sz val="12"/>
        <color theme="1"/>
        <rFont val="Calibri"/>
        <family val="2"/>
        <scheme val="minor"/>
      </rPr>
      <t xml:space="preserve">(comisiones, cargos de serivicio ) </t>
    </r>
  </si>
  <si>
    <r>
      <t xml:space="preserve">5 . Todos son </t>
    </r>
    <r>
      <rPr>
        <b/>
        <sz val="12"/>
        <color theme="1"/>
        <rFont val="Calibri"/>
        <family val="2"/>
        <scheme val="minor"/>
      </rPr>
      <t>RACIONALES</t>
    </r>
    <r>
      <rPr>
        <sz val="12"/>
        <color theme="1"/>
        <rFont val="Calibri"/>
        <family val="2"/>
        <scheme val="minor"/>
      </rPr>
      <t xml:space="preserve"> y usan el criterio de media varianza para tener un portfolio optimo</t>
    </r>
  </si>
  <si>
    <r>
      <t xml:space="preserve">Son </t>
    </r>
    <r>
      <rPr>
        <b/>
        <sz val="12"/>
        <color theme="1"/>
        <rFont val="Calibri"/>
        <family val="2"/>
        <scheme val="minor"/>
      </rPr>
      <t>PRICE - TAKERS</t>
    </r>
  </si>
  <si>
    <t xml:space="preserve">entonces tienen la misma esperanza y matriz de covarianzas </t>
  </si>
  <si>
    <t>HOMOGENOUS EXPECTATIONS</t>
  </si>
  <si>
    <t>Portfoio P</t>
  </si>
  <si>
    <t>PROB</t>
  </si>
  <si>
    <t>RETURN</t>
  </si>
  <si>
    <t>Risk Free</t>
  </si>
  <si>
    <t>RISK PREMIUM</t>
  </si>
  <si>
    <t>RISK PREM</t>
  </si>
  <si>
    <t>0.1 = E(P)%  - r_f%</t>
  </si>
  <si>
    <t>0.1 = E(P)%  - 0.05</t>
  </si>
  <si>
    <t>E(p)%</t>
  </si>
  <si>
    <t>Precio P</t>
  </si>
  <si>
    <t>1 )</t>
  </si>
  <si>
    <t xml:space="preserve">a ) </t>
  </si>
  <si>
    <t xml:space="preserve">b ) </t>
  </si>
  <si>
    <t xml:space="preserve">E(rP) </t>
  </si>
  <si>
    <t>c )</t>
  </si>
  <si>
    <t>RISK PREM requerida</t>
  </si>
  <si>
    <t>E(p) exigido</t>
  </si>
  <si>
    <t xml:space="preserve">d ) </t>
  </si>
  <si>
    <t>A mayor sea la prima de riesgo exigida</t>
  </si>
  <si>
    <t>menos va a valer el activo</t>
  </si>
  <si>
    <t>menos va a ser el precio</t>
  </si>
  <si>
    <t>es decir que a mayor retorno esperado exigido (por el mercado)</t>
  </si>
  <si>
    <t>aussi o a menos sea la risk free,</t>
  </si>
  <si>
    <t>2)</t>
  </si>
  <si>
    <t>MAXIMO A para para el cual el risky se preiere a risk free</t>
  </si>
  <si>
    <t>0,08 &lt; 0,1-0,005A0,15^2</t>
  </si>
  <si>
    <t>A &lt;</t>
  </si>
  <si>
    <t>SD(P)</t>
  </si>
  <si>
    <t>r_f</t>
  </si>
  <si>
    <t>x</t>
  </si>
  <si>
    <t xml:space="preserve">U = </t>
  </si>
  <si>
    <t xml:space="preserve">A = </t>
  </si>
  <si>
    <t>: E() - SD()*0,5*3</t>
  </si>
  <si>
    <t>E() =</t>
  </si>
  <si>
    <t>0,05 + SD^2*0,5*3</t>
  </si>
  <si>
    <t>3 )</t>
  </si>
  <si>
    <t>4 )</t>
  </si>
  <si>
    <t>5)</t>
  </si>
  <si>
    <t>4)</t>
  </si>
  <si>
    <t>6)</t>
  </si>
  <si>
    <t>INVERSION</t>
  </si>
  <si>
    <t>SD</t>
  </si>
  <si>
    <t>E(r)</t>
  </si>
  <si>
    <t>U = E(r) - 0,5 * A * SD^2</t>
  </si>
  <si>
    <t>el que de mas retorno</t>
  </si>
  <si>
    <t>investor aversion to risk</t>
  </si>
  <si>
    <t>A</t>
  </si>
  <si>
    <t>es la prima de riesgo</t>
  </si>
  <si>
    <t>9 ) a)</t>
  </si>
  <si>
    <t>b )</t>
  </si>
  <si>
    <t>certainty equivalent rate</t>
  </si>
  <si>
    <t>10)</t>
  </si>
  <si>
    <t xml:space="preserve">E(SP) = </t>
  </si>
  <si>
    <t xml:space="preserve">SD(SP) = </t>
  </si>
  <si>
    <t xml:space="preserve">PREMIUM = </t>
  </si>
  <si>
    <t>T-Bill =</t>
  </si>
  <si>
    <t>risk_premium = Expected - risk_free</t>
  </si>
  <si>
    <t>W_b</t>
  </si>
  <si>
    <t>W_I</t>
  </si>
  <si>
    <t>VAR(P)</t>
  </si>
  <si>
    <t>A = 3</t>
  </si>
  <si>
    <t>U = E - 0,5*A*var</t>
  </si>
  <si>
    <t>11 )</t>
  </si>
  <si>
    <t>12 )</t>
  </si>
  <si>
    <t>A = 5</t>
  </si>
  <si>
    <t>13)</t>
  </si>
  <si>
    <t>Kane</t>
  </si>
  <si>
    <t>1)</t>
  </si>
  <si>
    <t>T-Bills</t>
  </si>
  <si>
    <t xml:space="preserve">w_p = </t>
  </si>
  <si>
    <t xml:space="preserve">w_t = </t>
  </si>
  <si>
    <t>CP</t>
  </si>
  <si>
    <t xml:space="preserve">E(CP) = </t>
  </si>
  <si>
    <t xml:space="preserve">SD(CP) = </t>
  </si>
  <si>
    <t>RP:</t>
  </si>
  <si>
    <t>w_a</t>
  </si>
  <si>
    <t>w_b</t>
  </si>
  <si>
    <t>w_c</t>
  </si>
  <si>
    <t>3)</t>
  </si>
  <si>
    <t>reward to variability (S) de RP y de CP</t>
  </si>
  <si>
    <t>rtv(CP)</t>
  </si>
  <si>
    <t>rtv(RP)</t>
  </si>
  <si>
    <t>OVERALL</t>
  </si>
  <si>
    <t>IN P</t>
  </si>
  <si>
    <t>E()</t>
  </si>
  <si>
    <t xml:space="preserve">E(RP) = </t>
  </si>
  <si>
    <t xml:space="preserve">SD(RP) = </t>
  </si>
  <si>
    <t>SHARPE RATIO</t>
  </si>
  <si>
    <t>PENDIENTE</t>
  </si>
  <si>
    <t>REWARD TO VARIABILITY</t>
  </si>
  <si>
    <t xml:space="preserve">5) </t>
  </si>
  <si>
    <t>y = ?</t>
  </si>
  <si>
    <t xml:space="preserve">7) </t>
  </si>
  <si>
    <t>y ?</t>
  </si>
  <si>
    <t xml:space="preserve">la utilidad de mi cliente </t>
  </si>
  <si>
    <t>A =</t>
  </si>
  <si>
    <t>8)</t>
  </si>
  <si>
    <t>SD(SP) =</t>
  </si>
  <si>
    <t>MY FUND</t>
  </si>
  <si>
    <t xml:space="preserve">E(T) = </t>
  </si>
  <si>
    <t xml:space="preserve">9) </t>
  </si>
  <si>
    <t>borrrow</t>
  </si>
  <si>
    <t>E(SP)</t>
  </si>
  <si>
    <t>SD(SP)</t>
  </si>
  <si>
    <t>E(MY)</t>
  </si>
  <si>
    <t>SD(MY)</t>
  </si>
  <si>
    <t>STOCK</t>
  </si>
  <si>
    <t>BOND</t>
  </si>
  <si>
    <t>Correl</t>
  </si>
  <si>
    <t>COV</t>
  </si>
  <si>
    <t>la varianza del portfolio es weighted average de la suma de covarianzas y cada peso es el producto de la proporcion en el producto con si mismo</t>
  </si>
  <si>
    <t>wS * E(S) + (1-wS) * E(B)</t>
  </si>
  <si>
    <t>wS</t>
  </si>
  <si>
    <t>1 - wS</t>
  </si>
  <si>
    <t>wS^2 * SD(S)^2 + wB^2 * SD(B)^2 + 2 * wD * wS * COV</t>
  </si>
  <si>
    <t xml:space="preserve">E(T) </t>
  </si>
  <si>
    <t>SD(CAL)</t>
  </si>
  <si>
    <t>SHARPE</t>
  </si>
  <si>
    <t>MIN VAR</t>
  </si>
  <si>
    <t>TEST</t>
  </si>
  <si>
    <t>PORTF. OPT.</t>
  </si>
  <si>
    <t>y RISK :</t>
  </si>
  <si>
    <t>y TBILL :</t>
  </si>
  <si>
    <t>y S</t>
  </si>
  <si>
    <t>y B</t>
  </si>
  <si>
    <t>SECURITY MARKET LINE</t>
  </si>
  <si>
    <t>15)</t>
  </si>
  <si>
    <t>E(T)</t>
  </si>
  <si>
    <t>E (BORROWING)</t>
  </si>
  <si>
    <t>E (INVESTING)</t>
  </si>
  <si>
    <t>U(INVESTING)</t>
  </si>
  <si>
    <t>U(Borrowing)</t>
  </si>
  <si>
    <t xml:space="preserve">6) </t>
  </si>
  <si>
    <t>7)</t>
  </si>
  <si>
    <t>obj 15</t>
  </si>
  <si>
    <t>obj 29</t>
  </si>
  <si>
    <t>SD(S)</t>
  </si>
  <si>
    <t>E(S)</t>
  </si>
  <si>
    <t>E(G)</t>
  </si>
  <si>
    <t>SD(G)</t>
  </si>
  <si>
    <t xml:space="preserve">CORREL = </t>
  </si>
  <si>
    <t>wG</t>
  </si>
  <si>
    <t xml:space="preserve"> la proporcion de cada uno  es el precio de mercado del activo ==  (precio de una accion * cantidad de acciones) /(valor total de todos los activos del mercado)</t>
  </si>
  <si>
    <t>y entonces la CML (la linea del risk free al porfolio de mercado, tambien es la mejor allocation line</t>
  </si>
  <si>
    <t>todos tienen M como su porfolio riesgoso optimo, lo unico en lo que difieren todos es la cantidad invertida en ese en vez del risk free asset</t>
  </si>
  <si>
    <t>A bar es el promedio de risk aversion</t>
  </si>
  <si>
    <r>
      <t xml:space="preserve">3. la </t>
    </r>
    <r>
      <rPr>
        <b/>
        <sz val="12"/>
        <color theme="1"/>
        <rFont val="Calibri"/>
        <family val="2"/>
        <scheme val="minor"/>
      </rPr>
      <t xml:space="preserve">PRIMA DE RIESGO DEL MARKET PORFFOLIO </t>
    </r>
    <r>
      <rPr>
        <sz val="12"/>
        <color theme="1"/>
        <rFont val="Calibri"/>
        <family val="2"/>
        <scheme val="minor"/>
      </rPr>
      <t>va a ser proporcional a su riesgo y el nivel de aviersiona l riesgo de el inversor representativo</t>
    </r>
  </si>
  <si>
    <r>
      <t>2. El market portfolio está en la frontera efiiente y</t>
    </r>
    <r>
      <rPr>
        <b/>
        <sz val="12"/>
        <color theme="1"/>
        <rFont val="Calibri"/>
        <family val="2"/>
        <scheme val="minor"/>
      </rPr>
      <t xml:space="preserve"> ES la tangencia con la CAL que derivan TODOS los inversores </t>
    </r>
  </si>
  <si>
    <r>
      <t>1.</t>
    </r>
    <r>
      <rPr>
        <b/>
        <sz val="12"/>
        <color theme="1"/>
        <rFont val="Calibri"/>
        <family val="2"/>
        <scheme val="minor"/>
      </rPr>
      <t xml:space="preserve"> todos los inversores tienen un porfolio de activos reiesgosos que mimetiza los activos del MARKET PORTFOLIO</t>
    </r>
    <r>
      <rPr>
        <sz val="12"/>
        <color theme="1"/>
        <rFont val="Calibri"/>
        <family val="2"/>
        <scheme val="minor"/>
      </rPr>
      <t xml:space="preserve"> (con todos los activos que hay)</t>
    </r>
  </si>
  <si>
    <r>
      <t xml:space="preserve">4. la prima de riesgo de un aactivo </t>
    </r>
    <r>
      <rPr>
        <b/>
        <sz val="12"/>
        <color theme="1"/>
        <rFont val="Calibri"/>
        <family val="2"/>
        <scheme val="minor"/>
      </rPr>
      <t xml:space="preserve">individual </t>
    </r>
    <r>
      <rPr>
        <sz val="12"/>
        <color theme="1"/>
        <rFont val="Calibri"/>
        <family val="2"/>
        <scheme val="minor"/>
      </rPr>
      <t>es proprocional ala prima de reisood el mercado y el coeficiente beta del titulo , relativo al market portfolio</t>
    </r>
  </si>
  <si>
    <t>BETA</t>
  </si>
  <si>
    <t>mide cuanto los retornos en el activo y el mercado se mueven en tandem</t>
  </si>
  <si>
    <t>Contribuion de un activo particular a la varianza del portfolio</t>
  </si>
  <si>
    <t>Prima de riesgo de un activo</t>
  </si>
  <si>
    <t>Los prestamos netos entre todos tienn que dar 0: entonces la posicion promedio en el portfolio pptimo es 100% (y=1)</t>
  </si>
  <si>
    <t xml:space="preserve">y como y = 1: </t>
  </si>
  <si>
    <t>cuando se compran stocks, la demanda sube los precios y reduce las tasasd de retorno y prima de riesgo</t>
  </si>
  <si>
    <t>si baja la prima de riesgo entonces los inversores pasan a invertir mas en el risk free que en el market portfolio</t>
  </si>
  <si>
    <t>En equilibrio la prima de riesgo en el market porfolio debe ser lo suficientemente grande para que los inversores tengan la cantidad disponible de activos</t>
  </si>
  <si>
    <t>si la prima de riesgo es muy alta va a habaer demanda en exceso de titulos y el precio sube,, si es muy baja los inversores no van a holdear suficiente para agotar la oferta</t>
  </si>
  <si>
    <t>Esa ecuacion lo que dice es que la prima de riesgo en EQUILIBRIO del marketportfolio es proporcional al riesgo de mercado (la varianza) y el nivel de aversion al riesgo</t>
  </si>
  <si>
    <t>CAPM se basa e que la prima de riesgo apropiada para un activo va a determinarse por su contribucion al riesgo del overall portfolio</t>
  </si>
  <si>
    <t>y el riesgo de portfolio es lo que inporta y lo que determina la prima de riesgo demandada</t>
  </si>
  <si>
    <t>la varianza del market portfolio usa una bordered portfolio matrix</t>
  </si>
  <si>
    <t>con los weights en el borde</t>
  </si>
  <si>
    <t>varianza del portfolio es sumar todos los elementos de la matriz de covarianzas , multiplicando cada elemento por el weight de su columna y su fila</t>
  </si>
  <si>
    <r>
      <rPr>
        <b/>
        <sz val="12"/>
        <color theme="1"/>
        <rFont val="Calibri"/>
        <family val="2"/>
        <scheme val="minor"/>
      </rPr>
      <t xml:space="preserve">lo que contribuye un stock </t>
    </r>
    <r>
      <rPr>
        <sz val="12"/>
        <color theme="1"/>
        <rFont val="Calibri"/>
        <family val="2"/>
        <scheme val="minor"/>
      </rPr>
      <t>a la varianza es  la suma de todas las covarianzas en la columna de ese stock , y cada cov primer se mutiplia por el weight en la fila y en la columna</t>
    </r>
  </si>
  <si>
    <t>EJEMPLO</t>
  </si>
  <si>
    <t>OTRA OPCION</t>
  </si>
  <si>
    <t>todos estos terminos entre corchetes se pueden reexpresar</t>
  </si>
  <si>
    <t>entonces tambien</t>
  </si>
  <si>
    <t>Basicamente la contribucion de GE por ejemplo es</t>
  </si>
  <si>
    <t>su weight en el portfolio * COV(market return, GE return )</t>
  </si>
  <si>
    <t>EJEMPLO : si la covarianza entre el portfolio de mercado es negativa :</t>
  </si>
  <si>
    <t>Ge estabiliza los retornos de todo el porfolio , poroveyendo retornos que se mueven inversamente con el mercado</t>
  </si>
  <si>
    <t>CONTRIBUCION AL RISK PREMIUM del MP</t>
  </si>
  <si>
    <t>EL MARKET PORTFOLIO ES EL EFICIENTE</t>
  </si>
  <si>
    <t>es la tengencia en el mean variance plane</t>
  </si>
  <si>
    <t>la reward to risk ratio de invertir en el markeet portfolio es</t>
  </si>
  <si>
    <t>MARKET PRICE OF RISK</t>
  </si>
  <si>
    <t>extra return demanded to bear the risk</t>
  </si>
  <si>
    <t>para el portfolio en si mismo la varianza es una medida apropiada de riesgo</t>
  </si>
  <si>
    <t>para los COMPONENTES de el portfolio eficiente (ej. GE) se mide el riesgo cmo la contribucion a la varianza del portfolio (que depende de su cvarianza con el mercado)</t>
  </si>
  <si>
    <t>En equilibrio , todas las inversiones deberian ofrecer el mismo reward to isk ratio</t>
  </si>
  <si>
    <t>si hubiera un mejor ratio en una inversion que en otra, entonces la gente pregereiria esa y al subir la demanda sube el precio</t>
  </si>
  <si>
    <t>incrementarian la proporcion con mejor ratio y bajarian los otros</t>
  </si>
  <si>
    <t>esto pondria precion en los precios de los titulos y los ratios se ecualizan</t>
  </si>
  <si>
    <t>el reward to risk ratio de GE(un activo) y el portfolio de mercado denen ser iguales</t>
  </si>
  <si>
    <t xml:space="preserve">y en tonces la risk premium justa de GM  seria </t>
  </si>
  <si>
    <t>como fraccion de la variaza total del market portfolio</t>
  </si>
  <si>
    <t>es el beta</t>
  </si>
  <si>
    <t>BETA DE UN ACTIVO</t>
  </si>
  <si>
    <t xml:space="preserve">Esto es la contribucion de de GE a la varianza del market portfolio </t>
  </si>
  <si>
    <t>expected return -beta relationship</t>
  </si>
  <si>
    <t xml:space="preserve">esta ecuacion dice que </t>
  </si>
  <si>
    <t>la tasa de retorno esperada total es la suma de</t>
  </si>
  <si>
    <t>el risk free rate +</t>
  </si>
  <si>
    <t xml:space="preserve">el risk premium </t>
  </si>
  <si>
    <t xml:space="preserve">el tamaño del risk premium es </t>
  </si>
  <si>
    <t>l producto de un benchmark risk premium (el premium total del mercado)</t>
  </si>
  <si>
    <t>con el riesgo relativo del activo particular (medido en el beta)</t>
  </si>
  <si>
    <t>La prima de riesgo NO depende de la volatilidad total de la inversion</t>
  </si>
  <si>
    <t>POR EJEMPLO:</t>
  </si>
  <si>
    <t>una empresa que desarrolla una droga que puede tener mucho exito o mucho fracaso</t>
  </si>
  <si>
    <t xml:space="preserve">va a tener una varianza alta </t>
  </si>
  <si>
    <t>pero los inversores no van a demandar un alto retorno esperado</t>
  </si>
  <si>
    <t>el exito de la empresa es en gran parte independiente del riesgo macroeconomico y del retorno del resto del portfolio diversficado</t>
  </si>
  <si>
    <t>su contribucion al riesgo total del portfolio es baja entonces no requiere tan grande la prima de riesgo</t>
  </si>
  <si>
    <t>En CAPM , el riesgo sistemico tiene que tener un precio , siginificando que requiere una alta prima de riesgo</t>
  </si>
  <si>
    <t>pero el riesgo especifico a la firma no debe ser valuado por el mercado</t>
  </si>
  <si>
    <t xml:space="preserve">SI la relacion retorno - beta existe para todos los activos </t>
  </si>
  <si>
    <t>tambien existe para cualquier combinacion o weighted average de activos</t>
  </si>
  <si>
    <t>imaginando que un portfolio P tiene pesos w_k</t>
  </si>
  <si>
    <t>la ecucacion de capm para cada stock y multiplicando por el peso de ese stock seria</t>
  </si>
  <si>
    <t>el CAPM sigue sosteniendose para el portfolio total</t>
  </si>
  <si>
    <t>y tambien se cumple para el market portfolio</t>
  </si>
  <si>
    <t>y tambien beta de mercado = 1</t>
  </si>
  <si>
    <t>1 tambien es el weighted average sw beta sobre todos los activos</t>
  </si>
  <si>
    <t xml:space="preserve">el beta de un activo es una medida del riesgo </t>
  </si>
  <si>
    <t>risk averse mean variance investors measure risj if the optimal risky portofolio by its variance</t>
  </si>
  <si>
    <t>la prima de riesgo de un activo depende de su contribucion a el riesgo total del portfolio</t>
  </si>
  <si>
    <t>la prima de riesgo es directamente proporcional al beta y al risk premium del market portfolio</t>
  </si>
  <si>
    <t>la sml es plotear un grafico beta-returns</t>
  </si>
  <si>
    <t xml:space="preserve">market beta es 1, la oendiente es la prima de riesgo </t>
  </si>
  <si>
    <r>
      <t xml:space="preserve">COmparadoa con la CML : ue grafica las primas de riesgo de de los portfolios </t>
    </r>
    <r>
      <rPr>
        <b/>
        <sz val="12"/>
        <color theme="1"/>
        <rFont val="Calibri"/>
        <family val="2"/>
        <scheme val="minor"/>
      </rPr>
      <t>eficientes</t>
    </r>
    <r>
      <rPr>
        <sz val="12"/>
        <color theme="1"/>
        <rFont val="Calibri"/>
        <family val="2"/>
        <scheme val="minor"/>
      </rPr>
      <t xml:space="preserve">  (compuestos por el mercado y el risk free), como funcion del desvio del portfoloio</t>
    </r>
  </si>
  <si>
    <t>y en el caso de portfolios eficientemente distribuidos el desvio estandard es una medida de riesgo</t>
  </si>
  <si>
    <r>
      <t xml:space="preserve">La SML, a diferencia, graphica la prima de riesgo de </t>
    </r>
    <r>
      <rPr>
        <b/>
        <sz val="12"/>
        <color theme="1"/>
        <rFont val="Calibri"/>
        <family val="2"/>
        <scheme val="minor"/>
      </rPr>
      <t>un activo en particula</t>
    </r>
    <r>
      <rPr>
        <sz val="12"/>
        <color theme="1"/>
        <rFont val="Calibri"/>
        <family val="2"/>
        <scheme val="minor"/>
      </rPr>
      <t xml:space="preserve"> </t>
    </r>
  </si>
  <si>
    <t xml:space="preserve">la medida relevante para activos individuales como parre de portfolios diversificados  bien no es su desvio o varianza: </t>
  </si>
  <si>
    <t>es en cambio su contribucion a la varianza del portfolio de mercado;</t>
  </si>
  <si>
    <t>la SML es valida para el portfolio eficiente y para activos individuales</t>
  </si>
  <si>
    <t>la SML es un Benchmark para evaluar la performance de una iunversion</t>
  </si>
  <si>
    <t>todos los activos estan en la SML en equilibrio</t>
  </si>
  <si>
    <t>los activos con el precio justo vab a estar en la sml ; su retorno es comensurable a su riesgo</t>
  </si>
  <si>
    <t>si alguien analiza una activo (ya no en CAPM) y ve que puede ser bueno comprarlo (o bajopriceado)</t>
  </si>
  <si>
    <t>el retorno que va a proporcionar va a ser en exceso de del que estipula la SML</t>
  </si>
  <si>
    <t xml:space="preserve">la underpriced va. a estar por encima de laSML </t>
  </si>
  <si>
    <t>dado sus betas , sus retornos esprasd sojn mas grandes que los que dictaria el sml</t>
  </si>
  <si>
    <r>
      <t xml:space="preserve">la diferencia entre el el equilibrio y el retornorealmente esperado se llama </t>
    </r>
    <r>
      <rPr>
        <b/>
        <sz val="12"/>
        <color theme="1"/>
        <rFont val="Calibri"/>
        <family val="2"/>
        <scheme val="minor"/>
      </rPr>
      <t>alpha</t>
    </r>
  </si>
  <si>
    <t xml:space="preserve">si el market reurn se esperaria en 14% ; el activo tiene beta de 1,2 ; T-bil = 6% ; </t>
  </si>
  <si>
    <t>en la sml esto tendria retorno de 6% + 1,2 * (14%-6%)</t>
  </si>
  <si>
    <t>pero si creyeras que en realidad tiene retorno de 17% , el alpha implicito es de 1,4%</t>
  </si>
  <si>
    <t>xyz</t>
  </si>
  <si>
    <t>er</t>
  </si>
  <si>
    <t>beta</t>
  </si>
  <si>
    <t>abc</t>
  </si>
  <si>
    <t xml:space="preserve">rm </t>
  </si>
  <si>
    <t>rf</t>
  </si>
  <si>
    <t xml:space="preserve">rf </t>
  </si>
  <si>
    <t>rm</t>
  </si>
  <si>
    <t>Timestamp Trade Close Trade Close Trade Close</t>
  </si>
  <si>
    <t>acn</t>
  </si>
  <si>
    <t>amz</t>
  </si>
  <si>
    <t>aapl</t>
  </si>
  <si>
    <t>Column 3</t>
  </si>
  <si>
    <t>market premium</t>
  </si>
  <si>
    <t>market return</t>
  </si>
  <si>
    <t>TEORICAS</t>
  </si>
  <si>
    <t>TUTORIALES</t>
  </si>
  <si>
    <t>DE DONDE SALE LA SML</t>
  </si>
  <si>
    <t>PORTFOLIO GUIA 1</t>
  </si>
  <si>
    <t>GUIA CAPM 2</t>
  </si>
  <si>
    <t>GUIA CAPM 1</t>
  </si>
  <si>
    <t xml:space="preserve">REWARD TO RISK RATIO : </t>
  </si>
  <si>
    <t>E(R) B=1</t>
  </si>
  <si>
    <t>E(a) = rf + beta [E(M) -rf)</t>
  </si>
  <si>
    <t>B = 0,05</t>
  </si>
  <si>
    <t>1.b</t>
  </si>
  <si>
    <t>1.a</t>
  </si>
  <si>
    <t>B = 0,15</t>
  </si>
  <si>
    <t>1.c</t>
  </si>
  <si>
    <t xml:space="preserve">beta </t>
  </si>
  <si>
    <t>p =</t>
  </si>
  <si>
    <t>pt=1</t>
  </si>
  <si>
    <t>pt=0</t>
  </si>
  <si>
    <t>s1</t>
  </si>
  <si>
    <t>s2</t>
  </si>
  <si>
    <t>E(R)</t>
  </si>
  <si>
    <t>w = s1</t>
  </si>
  <si>
    <t>1-w = s2</t>
  </si>
  <si>
    <t>FEASIBLE SET</t>
  </si>
  <si>
    <t>max ratio</t>
  </si>
  <si>
    <t>min var</t>
  </si>
  <si>
    <t>r2</t>
  </si>
  <si>
    <t>w*</t>
  </si>
  <si>
    <t>sigma m</t>
  </si>
  <si>
    <t>COV(r2, rm)</t>
  </si>
  <si>
    <t>efectivamente el beta es negativo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</si>
</sst>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0000_-;\-* #,##0.0000_-;_-* &quot;-&quot;??_-;_-@_-"/>
    <numFmt numFmtId="165" formatCode="_-* #,##0.000_-;\-* #,##0.000_-;_-* &quot;-&quot;????_-;_-@_-"/>
    <numFmt numFmtId="166" formatCode="0.000%"/>
    <numFmt numFmtId="167" formatCode="0.00000"/>
    <numFmt numFmtId="168" formatCode="0.000000"/>
    <numFmt numFmtId="169" formatCode="0.0000"/>
    <numFmt numFmtId="170" formatCode="0.0%"/>
    <numFmt numFmtId="171" formatCode="dd/mm/yyyy;@"/>
    <numFmt numFmtId="172" formatCode="_(* #,##0.00000_);_(* \(#,##0.00000\);_(* &quot;-&quot;??_);_(@_)"/>
  </numFmts>
  <fonts count="24">
    <font>
      <sz val="12"/>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1"/>
      <color rgb="FF212121"/>
      <name val="Inherit"/>
    </font>
    <font>
      <sz val="12"/>
      <color rgb="FF212121"/>
      <name val="Inherit"/>
    </font>
    <font>
      <b/>
      <sz val="11"/>
      <color theme="1"/>
      <name val="Calibri"/>
      <family val="2"/>
      <scheme val="minor"/>
    </font>
    <font>
      <sz val="10"/>
      <color theme="1"/>
      <name val="Calibri"/>
      <family val="2"/>
      <scheme val="minor"/>
    </font>
    <font>
      <b/>
      <i/>
      <u/>
      <sz val="20"/>
      <color theme="1"/>
      <name val="Calibri"/>
      <family val="2"/>
      <scheme val="minor"/>
    </font>
    <font>
      <b/>
      <sz val="16"/>
      <color theme="1"/>
      <name val="Calibri"/>
      <family val="2"/>
      <scheme val="minor"/>
    </font>
    <font>
      <b/>
      <i/>
      <u/>
      <sz val="24"/>
      <color theme="1"/>
      <name val="Calibri"/>
      <family val="2"/>
      <scheme val="minor"/>
    </font>
    <font>
      <sz val="12"/>
      <color theme="1"/>
      <name val="Helvetica"/>
      <family val="2"/>
    </font>
    <font>
      <sz val="12"/>
      <color rgb="FF000000"/>
      <name val="Calibri"/>
      <family val="2"/>
      <scheme val="minor"/>
    </font>
    <font>
      <b/>
      <u/>
      <sz val="12"/>
      <color theme="1"/>
      <name val="Calibri"/>
      <family val="2"/>
      <scheme val="minor"/>
    </font>
    <font>
      <b/>
      <i/>
      <u/>
      <sz val="12"/>
      <color theme="1"/>
      <name val="Calibri"/>
      <family val="2"/>
      <scheme val="minor"/>
    </font>
    <font>
      <i/>
      <sz val="12"/>
      <color theme="1"/>
      <name val="Calibri"/>
      <family val="2"/>
      <scheme val="minor"/>
    </font>
    <font>
      <i/>
      <u/>
      <sz val="12"/>
      <color theme="1"/>
      <name val="Calibri"/>
      <family val="2"/>
      <scheme val="minor"/>
    </font>
    <font>
      <i/>
      <sz val="10"/>
      <color theme="1"/>
      <name val="Calibri"/>
      <family val="2"/>
      <scheme val="minor"/>
    </font>
    <font>
      <sz val="11"/>
      <color theme="1"/>
      <name val="Times"/>
    </font>
    <font>
      <sz val="8"/>
      <name val="Calibri"/>
      <family val="2"/>
      <scheme val="minor"/>
    </font>
    <font>
      <sz val="10"/>
      <color rgb="FFFF0000"/>
      <name val="Calibri"/>
      <family val="2"/>
      <scheme val="minor"/>
    </font>
    <font>
      <sz val="12"/>
      <color theme="0"/>
      <name val="Calibri"/>
      <family val="2"/>
      <scheme val="minor"/>
    </font>
    <font>
      <b/>
      <sz val="20"/>
      <color theme="1"/>
      <name val="Calibri"/>
      <family val="2"/>
      <scheme val="minor"/>
    </font>
    <font>
      <u/>
      <sz val="14"/>
      <color theme="9" tint="-0.499984740745262"/>
      <name val="Calibri"/>
      <family val="2"/>
      <scheme val="minor"/>
    </font>
  </fonts>
  <fills count="12">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theme="9" tint="0.39997558519241921"/>
        <bgColor indexed="64"/>
      </patternFill>
    </fill>
    <fill>
      <patternFill patternType="solid">
        <fgColor rgb="FFFFC000"/>
        <bgColor indexed="64"/>
      </patternFill>
    </fill>
    <fill>
      <patternFill patternType="solid">
        <fgColor theme="4"/>
        <bgColor indexed="64"/>
      </patternFill>
    </fill>
    <fill>
      <patternFill patternType="solid">
        <fgColor rgb="FF002060"/>
        <bgColor indexed="64"/>
      </patternFill>
    </fill>
    <fill>
      <patternFill patternType="solid">
        <fgColor theme="1"/>
        <bgColor indexed="64"/>
      </patternFill>
    </fill>
  </fills>
  <borders count="5">
    <border>
      <left/>
      <right/>
      <top/>
      <bottom/>
      <diagonal/>
    </border>
    <border>
      <left/>
      <right/>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16">
    <xf numFmtId="0" fontId="0" fillId="0" borderId="0" xfId="0"/>
    <xf numFmtId="0" fontId="0" fillId="2" borderId="0" xfId="0" applyFill="1"/>
    <xf numFmtId="0" fontId="3" fillId="2" borderId="0" xfId="0" applyFont="1" applyFill="1"/>
    <xf numFmtId="0" fontId="4" fillId="2" borderId="0" xfId="0" applyFont="1" applyFill="1" applyAlignment="1">
      <alignment horizontal="left" vertical="center"/>
    </xf>
    <xf numFmtId="0" fontId="0" fillId="2" borderId="0" xfId="0" applyFill="1" applyAlignment="1">
      <alignment vertical="center" textRotation="90"/>
    </xf>
    <xf numFmtId="0" fontId="5" fillId="0" borderId="0" xfId="0" applyFont="1" applyAlignment="1">
      <alignment horizontal="left" vertical="center"/>
    </xf>
    <xf numFmtId="0" fontId="2" fillId="3" borderId="1" xfId="0" applyFont="1" applyFill="1" applyBorder="1" applyAlignment="1">
      <alignment horizontal="center" vertical="center" wrapText="1"/>
    </xf>
    <xf numFmtId="0" fontId="2" fillId="2" borderId="0" xfId="0" applyFont="1" applyFill="1" applyAlignment="1">
      <alignment horizontal="center"/>
    </xf>
    <xf numFmtId="0" fontId="0" fillId="2" borderId="0" xfId="0" applyFill="1" applyAlignment="1">
      <alignment wrapText="1"/>
    </xf>
    <xf numFmtId="0" fontId="0" fillId="3" borderId="2" xfId="0" applyFill="1" applyBorder="1" applyAlignment="1">
      <alignment wrapText="1"/>
    </xf>
    <xf numFmtId="0" fontId="0" fillId="3" borderId="2" xfId="0" applyFill="1" applyBorder="1" applyAlignment="1">
      <alignment horizontal="center" wrapText="1"/>
    </xf>
    <xf numFmtId="0" fontId="6" fillId="2" borderId="0" xfId="0" applyFont="1" applyFill="1"/>
    <xf numFmtId="9" fontId="0" fillId="2" borderId="0" xfId="0" applyNumberFormat="1" applyFill="1"/>
    <xf numFmtId="0" fontId="0" fillId="2" borderId="0" xfId="0" applyFill="1" applyAlignment="1">
      <alignment horizontal="left"/>
    </xf>
    <xf numFmtId="164" fontId="0" fillId="2" borderId="0" xfId="1" applyNumberFormat="1" applyFont="1" applyFill="1"/>
    <xf numFmtId="9" fontId="0" fillId="2" borderId="0" xfId="2" applyFont="1" applyFill="1"/>
    <xf numFmtId="9" fontId="0" fillId="2" borderId="0" xfId="2" applyFont="1" applyFill="1" applyAlignment="1">
      <alignment horizontal="left"/>
    </xf>
    <xf numFmtId="0" fontId="0" fillId="2" borderId="0" xfId="0" applyFill="1" applyAlignment="1">
      <alignment vertical="center" textRotation="90" wrapText="1"/>
    </xf>
    <xf numFmtId="0" fontId="7" fillId="2" borderId="0" xfId="0" applyFont="1" applyFill="1"/>
    <xf numFmtId="10" fontId="0" fillId="2" borderId="0" xfId="2" applyNumberFormat="1" applyFont="1" applyFill="1"/>
    <xf numFmtId="165" fontId="0" fillId="2" borderId="0" xfId="0" applyNumberFormat="1" applyFill="1"/>
    <xf numFmtId="0" fontId="6" fillId="2" borderId="0" xfId="0" applyFont="1" applyFill="1" applyAlignment="1">
      <alignment horizontal="left"/>
    </xf>
    <xf numFmtId="49" fontId="0" fillId="2" borderId="0" xfId="0" applyNumberFormat="1" applyFill="1"/>
    <xf numFmtId="0" fontId="8" fillId="0" borderId="0" xfId="0" applyFont="1"/>
    <xf numFmtId="0" fontId="3" fillId="2" borderId="0" xfId="0" applyFont="1" applyFill="1" applyAlignment="1">
      <alignment horizontal="center"/>
    </xf>
    <xf numFmtId="0" fontId="0" fillId="4" borderId="0" xfId="0" applyFill="1"/>
    <xf numFmtId="10" fontId="0" fillId="4" borderId="0" xfId="2" applyNumberFormat="1" applyFont="1" applyFill="1"/>
    <xf numFmtId="166" fontId="0" fillId="4" borderId="0" xfId="2" applyNumberFormat="1" applyFont="1" applyFill="1"/>
    <xf numFmtId="164" fontId="0" fillId="4" borderId="0" xfId="0" applyNumberFormat="1" applyFill="1"/>
    <xf numFmtId="164" fontId="0" fillId="2" borderId="0" xfId="0" applyNumberFormat="1" applyFill="1"/>
    <xf numFmtId="14" fontId="0" fillId="2" borderId="0" xfId="0" applyNumberFormat="1" applyFill="1"/>
    <xf numFmtId="43" fontId="0" fillId="3" borderId="0" xfId="1" applyFont="1" applyFill="1"/>
    <xf numFmtId="43" fontId="0" fillId="2" borderId="0" xfId="1" applyFont="1" applyFill="1"/>
    <xf numFmtId="14" fontId="0" fillId="2" borderId="0" xfId="1" applyNumberFormat="1" applyFont="1" applyFill="1"/>
    <xf numFmtId="2" fontId="0" fillId="2" borderId="0" xfId="1" applyNumberFormat="1" applyFont="1" applyFill="1"/>
    <xf numFmtId="0" fontId="9" fillId="3" borderId="0" xfId="0" applyFont="1" applyFill="1"/>
    <xf numFmtId="0" fontId="0" fillId="0" borderId="0" xfId="0" quotePrefix="1"/>
    <xf numFmtId="0" fontId="10" fillId="0" borderId="0" xfId="0" applyFont="1"/>
    <xf numFmtId="0" fontId="14" fillId="0" borderId="0" xfId="0" applyFont="1"/>
    <xf numFmtId="0" fontId="0" fillId="0" borderId="0" xfId="0" applyAlignment="1">
      <alignment horizontal="center" vertical="center"/>
    </xf>
    <xf numFmtId="0" fontId="0" fillId="5" borderId="0" xfId="0" applyFill="1" applyAlignment="1">
      <alignment horizontal="center" vertical="center"/>
    </xf>
    <xf numFmtId="0" fontId="7" fillId="0" borderId="0" xfId="0" applyFont="1" applyAlignment="1">
      <alignment horizontal="left" vertical="center" wrapText="1"/>
    </xf>
    <xf numFmtId="0" fontId="0" fillId="0" borderId="0" xfId="0" applyAlignment="1">
      <alignment horizontal="left" vertical="center"/>
    </xf>
    <xf numFmtId="0" fontId="17" fillId="5" borderId="0" xfId="0" applyFont="1" applyFill="1" applyAlignment="1">
      <alignment horizontal="left" vertical="center" wrapText="1"/>
    </xf>
    <xf numFmtId="14" fontId="0" fillId="5" borderId="0" xfId="0" applyNumberFormat="1" applyFill="1" applyAlignment="1">
      <alignment horizontal="center" vertical="center"/>
    </xf>
    <xf numFmtId="2" fontId="0" fillId="0" borderId="0" xfId="1" applyNumberFormat="1" applyFont="1"/>
    <xf numFmtId="2" fontId="2" fillId="5" borderId="0" xfId="1" applyNumberFormat="1" applyFont="1" applyFill="1"/>
    <xf numFmtId="2" fontId="0" fillId="5" borderId="0" xfId="1" applyNumberFormat="1" applyFont="1" applyFill="1"/>
    <xf numFmtId="2" fontId="11" fillId="5" borderId="0" xfId="1" applyNumberFormat="1" applyFont="1" applyFill="1"/>
    <xf numFmtId="2" fontId="11" fillId="0" borderId="0" xfId="1" applyNumberFormat="1" applyFont="1"/>
    <xf numFmtId="2" fontId="2" fillId="0" borderId="0" xfId="1" applyNumberFormat="1" applyFont="1"/>
    <xf numFmtId="168" fontId="0" fillId="0" borderId="0" xfId="0" applyNumberFormat="1"/>
    <xf numFmtId="0" fontId="0" fillId="0" borderId="1" xfId="0" applyBorder="1"/>
    <xf numFmtId="0" fontId="15" fillId="0" borderId="4" xfId="0" applyFont="1" applyBorder="1" applyAlignment="1">
      <alignment horizontal="center"/>
    </xf>
    <xf numFmtId="167" fontId="0" fillId="0" borderId="0" xfId="1" applyNumberFormat="1" applyFont="1"/>
    <xf numFmtId="0" fontId="20" fillId="0" borderId="0" xfId="0" applyFont="1" applyAlignment="1">
      <alignment horizontal="left" vertical="center" wrapText="1"/>
    </xf>
    <xf numFmtId="0" fontId="0" fillId="5" borderId="0" xfId="0" applyFill="1"/>
    <xf numFmtId="2" fontId="8" fillId="5" borderId="0" xfId="1" applyNumberFormat="1" applyFont="1" applyFill="1"/>
    <xf numFmtId="169" fontId="0" fillId="5" borderId="0" xfId="0" applyNumberFormat="1" applyFill="1"/>
    <xf numFmtId="169" fontId="0" fillId="0" borderId="0" xfId="0" applyNumberFormat="1"/>
    <xf numFmtId="169" fontId="2" fillId="5" borderId="0" xfId="1" applyNumberFormat="1" applyFont="1" applyFill="1"/>
    <xf numFmtId="169" fontId="8" fillId="5" borderId="0" xfId="1" applyNumberFormat="1" applyFont="1" applyFill="1"/>
    <xf numFmtId="169" fontId="0" fillId="5" borderId="0" xfId="1" applyNumberFormat="1" applyFont="1" applyFill="1"/>
    <xf numFmtId="169" fontId="0" fillId="0" borderId="0" xfId="1" applyNumberFormat="1" applyFont="1"/>
    <xf numFmtId="169" fontId="0" fillId="5" borderId="3" xfId="1" applyNumberFormat="1" applyFont="1" applyFill="1" applyBorder="1"/>
    <xf numFmtId="169" fontId="0" fillId="0" borderId="0" xfId="2" applyNumberFormat="1" applyFont="1"/>
    <xf numFmtId="169" fontId="16" fillId="0" borderId="0" xfId="1" applyNumberFormat="1" applyFont="1"/>
    <xf numFmtId="169" fontId="13" fillId="5" borderId="0" xfId="1" applyNumberFormat="1" applyFont="1" applyFill="1"/>
    <xf numFmtId="169" fontId="2" fillId="0" borderId="0" xfId="0" applyNumberFormat="1" applyFont="1"/>
    <xf numFmtId="169" fontId="0" fillId="6" borderId="0" xfId="0" applyNumberFormat="1" applyFill="1"/>
    <xf numFmtId="169" fontId="2" fillId="0" borderId="0" xfId="1" applyNumberFormat="1" applyFont="1"/>
    <xf numFmtId="169" fontId="0" fillId="0" borderId="0" xfId="1" quotePrefix="1" applyNumberFormat="1" applyFont="1"/>
    <xf numFmtId="169" fontId="13" fillId="0" borderId="0" xfId="1" applyNumberFormat="1" applyFont="1"/>
    <xf numFmtId="169" fontId="15" fillId="0" borderId="0" xfId="1" applyNumberFormat="1" applyFont="1"/>
    <xf numFmtId="169" fontId="0" fillId="0" borderId="0" xfId="1" applyNumberFormat="1" applyFont="1" applyAlignment="1"/>
    <xf numFmtId="169" fontId="0" fillId="0" borderId="0" xfId="1" applyNumberFormat="1" applyFont="1" applyAlignment="1">
      <alignment vertical="top"/>
    </xf>
    <xf numFmtId="169" fontId="0" fillId="0" borderId="0" xfId="1" applyNumberFormat="1" applyFont="1" applyAlignment="1">
      <alignment vertical="top" wrapText="1"/>
    </xf>
    <xf numFmtId="169" fontId="14" fillId="5" borderId="0" xfId="1" applyNumberFormat="1" applyFont="1" applyFill="1"/>
    <xf numFmtId="10" fontId="0" fillId="0" borderId="0" xfId="2" applyNumberFormat="1" applyFont="1"/>
    <xf numFmtId="10" fontId="0" fillId="6" borderId="0" xfId="2" applyNumberFormat="1" applyFont="1" applyFill="1"/>
    <xf numFmtId="168" fontId="0" fillId="6" borderId="0" xfId="1" applyNumberFormat="1" applyFont="1" applyFill="1"/>
    <xf numFmtId="169" fontId="0" fillId="6" borderId="0" xfId="1" applyNumberFormat="1" applyFont="1" applyFill="1"/>
    <xf numFmtId="170" fontId="0" fillId="0" borderId="0" xfId="2" applyNumberFormat="1" applyFont="1"/>
    <xf numFmtId="169" fontId="12" fillId="0" borderId="0" xfId="0" applyNumberFormat="1" applyFont="1"/>
    <xf numFmtId="166" fontId="0" fillId="0" borderId="0" xfId="2" applyNumberFormat="1" applyFont="1"/>
    <xf numFmtId="43" fontId="0" fillId="0" borderId="0" xfId="1" applyFont="1"/>
    <xf numFmtId="43" fontId="0" fillId="6" borderId="0" xfId="1" applyFont="1" applyFill="1"/>
    <xf numFmtId="171" fontId="0" fillId="0" borderId="0" xfId="0" applyNumberFormat="1"/>
    <xf numFmtId="43" fontId="0" fillId="7" borderId="0" xfId="1" applyFont="1" applyFill="1"/>
    <xf numFmtId="10" fontId="0" fillId="7" borderId="0" xfId="2" applyNumberFormat="1" applyFont="1" applyFill="1"/>
    <xf numFmtId="169" fontId="0" fillId="9" borderId="0" xfId="0" applyNumberFormat="1" applyFill="1"/>
    <xf numFmtId="169" fontId="22" fillId="0" borderId="0" xfId="0" applyNumberFormat="1" applyFont="1"/>
    <xf numFmtId="43" fontId="21" fillId="10" borderId="0" xfId="1" applyFont="1" applyFill="1"/>
    <xf numFmtId="10" fontId="21" fillId="10" borderId="0" xfId="2" applyNumberFormat="1" applyFont="1" applyFill="1"/>
    <xf numFmtId="43" fontId="21" fillId="11" borderId="0" xfId="1" applyFont="1" applyFill="1"/>
    <xf numFmtId="10" fontId="21" fillId="11" borderId="0" xfId="2" applyNumberFormat="1" applyFont="1" applyFill="1"/>
    <xf numFmtId="2" fontId="23" fillId="0" borderId="0" xfId="1" applyNumberFormat="1" applyFont="1"/>
    <xf numFmtId="0" fontId="11" fillId="0" borderId="0" xfId="0" applyFont="1"/>
    <xf numFmtId="14" fontId="11" fillId="0" borderId="0" xfId="0" applyNumberFormat="1" applyFont="1"/>
    <xf numFmtId="4" fontId="11" fillId="0" borderId="0" xfId="0" applyNumberFormat="1" applyFont="1"/>
    <xf numFmtId="0" fontId="0" fillId="0" borderId="0" xfId="0" applyAlignment="1">
      <alignment vertical="center"/>
    </xf>
    <xf numFmtId="43" fontId="0" fillId="0" borderId="0" xfId="1" applyFont="1" applyAlignment="1">
      <alignment horizontal="center" vertical="center"/>
    </xf>
    <xf numFmtId="43" fontId="0" fillId="0" borderId="0" xfId="0" applyNumberFormat="1" applyAlignment="1">
      <alignment horizontal="center" vertical="center"/>
    </xf>
    <xf numFmtId="168" fontId="0" fillId="0" borderId="0" xfId="1" applyNumberFormat="1" applyFont="1"/>
    <xf numFmtId="167" fontId="0" fillId="5" borderId="0" xfId="1" applyNumberFormat="1" applyFont="1" applyFill="1"/>
    <xf numFmtId="168" fontId="0" fillId="5" borderId="0" xfId="1" applyNumberFormat="1" applyFont="1" applyFill="1"/>
    <xf numFmtId="172" fontId="0" fillId="8" borderId="0" xfId="1" applyNumberFormat="1" applyFont="1" applyFill="1"/>
    <xf numFmtId="172" fontId="0" fillId="8" borderId="0" xfId="2" applyNumberFormat="1" applyFont="1" applyFill="1"/>
    <xf numFmtId="0" fontId="2" fillId="0" borderId="0" xfId="0" applyFont="1"/>
    <xf numFmtId="10" fontId="2" fillId="0" borderId="0" xfId="2" applyNumberFormat="1" applyFont="1"/>
    <xf numFmtId="10" fontId="0" fillId="0" borderId="0" xfId="0" applyNumberFormat="1"/>
    <xf numFmtId="0" fontId="0" fillId="0" borderId="0" xfId="0" applyAlignment="1">
      <alignment horizontal="center" vertical="center"/>
    </xf>
    <xf numFmtId="0" fontId="0" fillId="5" borderId="0" xfId="0" applyFill="1" applyAlignment="1">
      <alignment horizontal="center" vertical="center"/>
    </xf>
    <xf numFmtId="169" fontId="0" fillId="0" borderId="0" xfId="1" applyNumberFormat="1" applyFont="1" applyAlignment="1">
      <alignment horizontal="center" vertical="center" wrapText="1"/>
    </xf>
    <xf numFmtId="169" fontId="0" fillId="0" borderId="0" xfId="1" applyNumberFormat="1" applyFont="1" applyAlignment="1">
      <alignment horizontal="center" wrapText="1"/>
    </xf>
    <xf numFmtId="0" fontId="2" fillId="3" borderId="1" xfId="0" applyFont="1" applyFill="1" applyBorder="1" applyAlignment="1">
      <alignment horizontal="center" vertical="center" wrapText="1"/>
    </xf>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R"/>
        </a:p>
      </c:txPr>
    </c:title>
    <c:autoTitleDeleted val="0"/>
    <c:plotArea>
      <c:layout/>
      <c:lineChart>
        <c:grouping val="standard"/>
        <c:varyColors val="0"/>
        <c:ser>
          <c:idx val="0"/>
          <c:order val="0"/>
          <c:tx>
            <c:strRef>
              <c:f>P_guia!$N$32</c:f>
              <c:strCache>
                <c:ptCount val="1"/>
                <c:pt idx="0">
                  <c:v>VAR</c:v>
                </c:pt>
              </c:strCache>
            </c:strRef>
          </c:tx>
          <c:spPr>
            <a:ln w="28575" cap="rnd">
              <a:solidFill>
                <a:schemeClr val="accent1"/>
              </a:solidFill>
              <a:round/>
            </a:ln>
            <a:effectLst/>
          </c:spPr>
          <c:marker>
            <c:symbol val="none"/>
          </c:marker>
          <c:cat>
            <c:numRef>
              <c:f>P_guia!$L$33:$L$43</c:f>
              <c:numCache>
                <c:formatCode>0.00</c:formatCode>
                <c:ptCount val="11"/>
                <c:pt idx="0">
                  <c:v>-1</c:v>
                </c:pt>
                <c:pt idx="1">
                  <c:v>-0.7</c:v>
                </c:pt>
                <c:pt idx="2">
                  <c:v>-0.4</c:v>
                </c:pt>
                <c:pt idx="3">
                  <c:v>-0.1</c:v>
                </c:pt>
                <c:pt idx="4">
                  <c:v>0.2</c:v>
                </c:pt>
                <c:pt idx="5">
                  <c:v>0.5</c:v>
                </c:pt>
                <c:pt idx="6">
                  <c:v>0.8</c:v>
                </c:pt>
                <c:pt idx="7">
                  <c:v>1.1000000000000001</c:v>
                </c:pt>
                <c:pt idx="8">
                  <c:v>1.4</c:v>
                </c:pt>
                <c:pt idx="9">
                  <c:v>1.7</c:v>
                </c:pt>
                <c:pt idx="10">
                  <c:v>2</c:v>
                </c:pt>
              </c:numCache>
            </c:numRef>
          </c:cat>
          <c:val>
            <c:numRef>
              <c:f>P_guia!$N$33:$N$43</c:f>
              <c:numCache>
                <c:formatCode>0.00</c:formatCode>
                <c:ptCount val="11"/>
                <c:pt idx="0">
                  <c:v>0.1422079727174709</c:v>
                </c:pt>
                <c:pt idx="1">
                  <c:v>0.10343609286240737</c:v>
                </c:pt>
                <c:pt idx="2">
                  <c:v>7.1241973681833923E-2</c:v>
                </c:pt>
                <c:pt idx="3">
                  <c:v>4.5625615175750575E-2</c:v>
                </c:pt>
                <c:pt idx="4">
                  <c:v>2.6587017344157304E-2</c:v>
                </c:pt>
                <c:pt idx="5">
                  <c:v>1.4126180187054116E-2</c:v>
                </c:pt>
                <c:pt idx="6">
                  <c:v>8.2431037044410176E-3</c:v>
                </c:pt>
                <c:pt idx="7">
                  <c:v>8.937787896318005E-3</c:v>
                </c:pt>
                <c:pt idx="8">
                  <c:v>1.6210232762685076E-2</c:v>
                </c:pt>
                <c:pt idx="9">
                  <c:v>3.0060438303542235E-2</c:v>
                </c:pt>
                <c:pt idx="10">
                  <c:v>5.0488404518889488E-2</c:v>
                </c:pt>
              </c:numCache>
            </c:numRef>
          </c:val>
          <c:smooth val="0"/>
          <c:extLst>
            <c:ext xmlns:c16="http://schemas.microsoft.com/office/drawing/2014/chart" uri="{C3380CC4-5D6E-409C-BE32-E72D297353CC}">
              <c16:uniqueId val="{00000000-694F-4D41-9BB5-B9BBEE83537B}"/>
            </c:ext>
          </c:extLst>
        </c:ser>
        <c:dLbls>
          <c:showLegendKey val="0"/>
          <c:showVal val="0"/>
          <c:showCatName val="0"/>
          <c:showSerName val="0"/>
          <c:showPercent val="0"/>
          <c:showBubbleSize val="0"/>
        </c:dLbls>
        <c:smooth val="0"/>
        <c:axId val="1970327536"/>
        <c:axId val="1970329264"/>
      </c:lineChart>
      <c:catAx>
        <c:axId val="1970327536"/>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1970329264"/>
        <c:crosses val="autoZero"/>
        <c:auto val="1"/>
        <c:lblAlgn val="ctr"/>
        <c:lblOffset val="100"/>
        <c:noMultiLvlLbl val="0"/>
      </c:catAx>
      <c:valAx>
        <c:axId val="19703292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197032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R"/>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extra!$K$33:$K$54</c:f>
              <c:numCache>
                <c:formatCode>General</c:formatCode>
                <c:ptCount val="22"/>
                <c:pt idx="0">
                  <c:v>-0.5</c:v>
                </c:pt>
                <c:pt idx="1">
                  <c:v>-0.4</c:v>
                </c:pt>
                <c:pt idx="2">
                  <c:v>-0.30000000000000004</c:v>
                </c:pt>
                <c:pt idx="3">
                  <c:v>-0.20000000000000004</c:v>
                </c:pt>
                <c:pt idx="4">
                  <c:v>-0.10000000000000003</c:v>
                </c:pt>
                <c:pt idx="5">
                  <c:v>0</c:v>
                </c:pt>
                <c:pt idx="6">
                  <c:v>0.1</c:v>
                </c:pt>
                <c:pt idx="7">
                  <c:v>0.2</c:v>
                </c:pt>
                <c:pt idx="8">
                  <c:v>0.30000000000000004</c:v>
                </c:pt>
                <c:pt idx="9">
                  <c:v>0.4</c:v>
                </c:pt>
                <c:pt idx="10">
                  <c:v>0.5</c:v>
                </c:pt>
                <c:pt idx="11">
                  <c:v>0.6</c:v>
                </c:pt>
                <c:pt idx="12">
                  <c:v>0.7</c:v>
                </c:pt>
                <c:pt idx="13">
                  <c:v>0.79999999999999993</c:v>
                </c:pt>
                <c:pt idx="14">
                  <c:v>0.89999999999999991</c:v>
                </c:pt>
                <c:pt idx="15">
                  <c:v>0.99999999999999989</c:v>
                </c:pt>
                <c:pt idx="16">
                  <c:v>1.0999999999999999</c:v>
                </c:pt>
                <c:pt idx="17">
                  <c:v>1.2</c:v>
                </c:pt>
                <c:pt idx="18">
                  <c:v>1.3</c:v>
                </c:pt>
                <c:pt idx="19">
                  <c:v>1.4000000000000001</c:v>
                </c:pt>
                <c:pt idx="20">
                  <c:v>1.5000000000000002</c:v>
                </c:pt>
                <c:pt idx="21">
                  <c:v>0.76699028813053305</c:v>
                </c:pt>
              </c:numCache>
            </c:numRef>
          </c:xVal>
          <c:yVal>
            <c:numRef>
              <c:f>extra!$O$33:$O$54</c:f>
              <c:numCache>
                <c:formatCode>General</c:formatCode>
                <c:ptCount val="22"/>
                <c:pt idx="0">
                  <c:v>-8.2894121883665656E-2</c:v>
                </c:pt>
                <c:pt idx="1">
                  <c:v>-7.9700206039295882E-2</c:v>
                </c:pt>
                <c:pt idx="2">
                  <c:v>-7.5829574969268509E-2</c:v>
                </c:pt>
                <c:pt idx="3">
                  <c:v>-7.1047985389738208E-2</c:v>
                </c:pt>
                <c:pt idx="4">
                  <c:v>-6.5003047089250143E-2</c:v>
                </c:pt>
                <c:pt idx="5">
                  <c:v>-5.7142857142857148E-2</c:v>
                </c:pt>
                <c:pt idx="6">
                  <c:v>-4.6562019717971879E-2</c:v>
                </c:pt>
                <c:pt idx="7">
                  <c:v>-3.1697154070013091E-2</c:v>
                </c:pt>
                <c:pt idx="8">
                  <c:v>-9.7145771559720602E-3</c:v>
                </c:pt>
                <c:pt idx="9">
                  <c:v>2.4590370452110561E-2</c:v>
                </c:pt>
                <c:pt idx="10">
                  <c:v>7.9242885175032765E-2</c:v>
                </c:pt>
                <c:pt idx="11">
                  <c:v>0.15410282570588385</c:v>
                </c:pt>
                <c:pt idx="12">
                  <c:v>0.20952380952380945</c:v>
                </c:pt>
                <c:pt idx="13">
                  <c:v>0.21693045781865622</c:v>
                </c:pt>
                <c:pt idx="14">
                  <c:v>0.20434153578566891</c:v>
                </c:pt>
                <c:pt idx="15">
                  <c:v>0.19047619047619044</c:v>
                </c:pt>
                <c:pt idx="16">
                  <c:v>0.17918376160616967</c:v>
                </c:pt>
                <c:pt idx="17">
                  <c:v>0.17042311658956016</c:v>
                </c:pt>
                <c:pt idx="18">
                  <c:v>0.16360111861917792</c:v>
                </c:pt>
                <c:pt idx="19">
                  <c:v>0.1582008091899389</c:v>
                </c:pt>
                <c:pt idx="20">
                  <c:v>0.15384615384615383</c:v>
                </c:pt>
                <c:pt idx="21">
                  <c:v>0.21831974223231357</c:v>
                </c:pt>
              </c:numCache>
            </c:numRef>
          </c:yVal>
          <c:smooth val="0"/>
          <c:extLst>
            <c:ext xmlns:c16="http://schemas.microsoft.com/office/drawing/2014/chart" uri="{C3380CC4-5D6E-409C-BE32-E72D297353CC}">
              <c16:uniqueId val="{00000000-1CB8-134B-B147-D362E2D4DD7A}"/>
            </c:ext>
          </c:extLst>
        </c:ser>
        <c:dLbls>
          <c:showLegendKey val="0"/>
          <c:showVal val="0"/>
          <c:showCatName val="0"/>
          <c:showSerName val="0"/>
          <c:showPercent val="0"/>
          <c:showBubbleSize val="0"/>
        </c:dLbls>
        <c:axId val="2111919071"/>
        <c:axId val="1223538831"/>
      </c:scatterChart>
      <c:valAx>
        <c:axId val="2111919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1223538831"/>
        <c:crosses val="autoZero"/>
        <c:crossBetween val="midCat"/>
      </c:valAx>
      <c:valAx>
        <c:axId val="122353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21119190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R"/>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extra!$N$33:$N$55</c:f>
              <c:numCache>
                <c:formatCode>0.00%</c:formatCode>
                <c:ptCount val="23"/>
                <c:pt idx="0">
                  <c:v>0.60317907788649294</c:v>
                </c:pt>
                <c:pt idx="1">
                  <c:v>0.55206883628764991</c:v>
                </c:pt>
                <c:pt idx="2">
                  <c:v>0.50112373721467229</c:v>
                </c:pt>
                <c:pt idx="3">
                  <c:v>0.45039982238007148</c:v>
                </c:pt>
                <c:pt idx="4">
                  <c:v>0.39998124956052628</c:v>
                </c:pt>
                <c:pt idx="5">
                  <c:v>0.35</c:v>
                </c:pt>
                <c:pt idx="6">
                  <c:v>0.30067424232880341</c:v>
                </c:pt>
                <c:pt idx="7">
                  <c:v>0.25238858928247926</c:v>
                </c:pt>
                <c:pt idx="8">
                  <c:v>0.20587617637793837</c:v>
                </c:pt>
                <c:pt idx="9">
                  <c:v>0.16266530054071152</c:v>
                </c:pt>
                <c:pt idx="10">
                  <c:v>0.1261942946412396</c:v>
                </c:pt>
                <c:pt idx="11">
                  <c:v>0.10382677881933933</c:v>
                </c:pt>
                <c:pt idx="12">
                  <c:v>0.105</c:v>
                </c:pt>
                <c:pt idx="13">
                  <c:v>0.12907362240210041</c:v>
                </c:pt>
                <c:pt idx="14">
                  <c:v>0.16638810053606595</c:v>
                </c:pt>
                <c:pt idx="15">
                  <c:v>0.20999999999999996</c:v>
                </c:pt>
                <c:pt idx="16">
                  <c:v>0.25671969149249135</c:v>
                </c:pt>
                <c:pt idx="17">
                  <c:v>0.30512292604784713</c:v>
                </c:pt>
                <c:pt idx="18">
                  <c:v>0.35452080333881675</c:v>
                </c:pt>
                <c:pt idx="19">
                  <c:v>0.40454913175039697</c:v>
                </c:pt>
                <c:pt idx="20">
                  <c:v>0.45500000000000007</c:v>
                </c:pt>
                <c:pt idx="21">
                  <c:v>0.1191803225021436</c:v>
                </c:pt>
                <c:pt idx="22">
                  <c:v>0.10110975135060818</c:v>
                </c:pt>
              </c:numCache>
            </c:numRef>
          </c:xVal>
          <c:yVal>
            <c:numRef>
              <c:f>extra!$M$33:$M$55</c:f>
              <c:numCache>
                <c:formatCode>0.00%</c:formatCode>
                <c:ptCount val="23"/>
                <c:pt idx="0">
                  <c:v>-1.0000000000000002E-2</c:v>
                </c:pt>
                <c:pt idx="1">
                  <c:v>-4.0000000000000036E-3</c:v>
                </c:pt>
                <c:pt idx="2">
                  <c:v>1.9999999999999983E-3</c:v>
                </c:pt>
                <c:pt idx="3">
                  <c:v>7.9999999999999967E-3</c:v>
                </c:pt>
                <c:pt idx="4">
                  <c:v>1.3999999999999999E-2</c:v>
                </c:pt>
                <c:pt idx="5">
                  <c:v>0.02</c:v>
                </c:pt>
                <c:pt idx="6">
                  <c:v>2.6000000000000002E-2</c:v>
                </c:pt>
                <c:pt idx="7">
                  <c:v>3.2000000000000001E-2</c:v>
                </c:pt>
                <c:pt idx="8">
                  <c:v>3.8000000000000006E-2</c:v>
                </c:pt>
                <c:pt idx="9">
                  <c:v>4.3999999999999997E-2</c:v>
                </c:pt>
                <c:pt idx="10">
                  <c:v>0.05</c:v>
                </c:pt>
                <c:pt idx="11">
                  <c:v>5.6000000000000001E-2</c:v>
                </c:pt>
                <c:pt idx="12">
                  <c:v>6.1999999999999993E-2</c:v>
                </c:pt>
                <c:pt idx="13">
                  <c:v>6.8000000000000005E-2</c:v>
                </c:pt>
                <c:pt idx="14">
                  <c:v>7.3999999999999996E-2</c:v>
                </c:pt>
                <c:pt idx="15">
                  <c:v>7.9999999999999988E-2</c:v>
                </c:pt>
                <c:pt idx="16">
                  <c:v>8.5999999999999993E-2</c:v>
                </c:pt>
                <c:pt idx="17">
                  <c:v>9.1999999999999998E-2</c:v>
                </c:pt>
                <c:pt idx="18">
                  <c:v>9.8000000000000004E-2</c:v>
                </c:pt>
                <c:pt idx="19">
                  <c:v>0.10400000000000001</c:v>
                </c:pt>
                <c:pt idx="20">
                  <c:v>0.11000000000000001</c:v>
                </c:pt>
                <c:pt idx="21">
                  <c:v>6.6019417287831991E-2</c:v>
                </c:pt>
                <c:pt idx="22">
                  <c:v>5.8727272738820828E-2</c:v>
                </c:pt>
              </c:numCache>
            </c:numRef>
          </c:yVal>
          <c:smooth val="0"/>
          <c:extLst>
            <c:ext xmlns:c16="http://schemas.microsoft.com/office/drawing/2014/chart" uri="{C3380CC4-5D6E-409C-BE32-E72D297353CC}">
              <c16:uniqueId val="{00000000-D7E4-8B4C-B400-984B6963B812}"/>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extra!$N$61:$N$81</c:f>
              <c:numCache>
                <c:formatCode>0.00%</c:formatCode>
                <c:ptCount val="21"/>
                <c:pt idx="0">
                  <c:v>0</c:v>
                </c:pt>
                <c:pt idx="1">
                  <c:v>0.03</c:v>
                </c:pt>
                <c:pt idx="2">
                  <c:v>0.06</c:v>
                </c:pt>
                <c:pt idx="3">
                  <c:v>0.09</c:v>
                </c:pt>
                <c:pt idx="4">
                  <c:v>0.12</c:v>
                </c:pt>
                <c:pt idx="5">
                  <c:v>0.15</c:v>
                </c:pt>
                <c:pt idx="6">
                  <c:v>0.18</c:v>
                </c:pt>
                <c:pt idx="7">
                  <c:v>0.21</c:v>
                </c:pt>
                <c:pt idx="8">
                  <c:v>0.24</c:v>
                </c:pt>
                <c:pt idx="9">
                  <c:v>0.27</c:v>
                </c:pt>
                <c:pt idx="10">
                  <c:v>0.30000000000000004</c:v>
                </c:pt>
                <c:pt idx="11">
                  <c:v>0.33000000000000007</c:v>
                </c:pt>
                <c:pt idx="12">
                  <c:v>0.3600000000000001</c:v>
                </c:pt>
                <c:pt idx="13">
                  <c:v>0.39000000000000012</c:v>
                </c:pt>
                <c:pt idx="14">
                  <c:v>0.42000000000000015</c:v>
                </c:pt>
                <c:pt idx="15">
                  <c:v>0.45000000000000018</c:v>
                </c:pt>
                <c:pt idx="16">
                  <c:v>0.4800000000000002</c:v>
                </c:pt>
                <c:pt idx="17">
                  <c:v>0.51000000000000023</c:v>
                </c:pt>
                <c:pt idx="18">
                  <c:v>0.54000000000000026</c:v>
                </c:pt>
                <c:pt idx="19">
                  <c:v>0.57000000000000028</c:v>
                </c:pt>
                <c:pt idx="20">
                  <c:v>0.60000000000000031</c:v>
                </c:pt>
              </c:numCache>
            </c:numRef>
          </c:xVal>
          <c:yVal>
            <c:numRef>
              <c:f>extra!$P$61:$P$81</c:f>
              <c:numCache>
                <c:formatCode>General</c:formatCode>
                <c:ptCount val="21"/>
                <c:pt idx="0">
                  <c:v>0.04</c:v>
                </c:pt>
                <c:pt idx="1">
                  <c:v>4.6549592266969406E-2</c:v>
                </c:pt>
                <c:pt idx="2">
                  <c:v>5.3099184533938817E-2</c:v>
                </c:pt>
                <c:pt idx="3">
                  <c:v>5.9648776800908222E-2</c:v>
                </c:pt>
                <c:pt idx="4">
                  <c:v>6.6198369067877627E-2</c:v>
                </c:pt>
                <c:pt idx="5">
                  <c:v>7.2747961334847039E-2</c:v>
                </c:pt>
                <c:pt idx="6">
                  <c:v>7.9297553601816451E-2</c:v>
                </c:pt>
                <c:pt idx="7">
                  <c:v>8.5847145868785849E-2</c:v>
                </c:pt>
                <c:pt idx="8">
                  <c:v>9.2396738135755246E-2</c:v>
                </c:pt>
                <c:pt idx="9">
                  <c:v>9.8946330402724658E-2</c:v>
                </c:pt>
                <c:pt idx="10">
                  <c:v>0.10549592266969407</c:v>
                </c:pt>
                <c:pt idx="11">
                  <c:v>0.11204551493666348</c:v>
                </c:pt>
                <c:pt idx="12">
                  <c:v>0.11859510720363289</c:v>
                </c:pt>
                <c:pt idx="13">
                  <c:v>0.12514469947060233</c:v>
                </c:pt>
                <c:pt idx="14">
                  <c:v>0.13169429173757174</c:v>
                </c:pt>
                <c:pt idx="15">
                  <c:v>0.13824388400454116</c:v>
                </c:pt>
                <c:pt idx="16">
                  <c:v>0.14479347627151057</c:v>
                </c:pt>
                <c:pt idx="17">
                  <c:v>0.15134306853847998</c:v>
                </c:pt>
                <c:pt idx="18">
                  <c:v>0.15789266080544939</c:v>
                </c:pt>
                <c:pt idx="19">
                  <c:v>0.1644422530724188</c:v>
                </c:pt>
                <c:pt idx="20">
                  <c:v>0.17099184533938822</c:v>
                </c:pt>
              </c:numCache>
            </c:numRef>
          </c:yVal>
          <c:smooth val="0"/>
          <c:extLst>
            <c:ext xmlns:c16="http://schemas.microsoft.com/office/drawing/2014/chart" uri="{C3380CC4-5D6E-409C-BE32-E72D297353CC}">
              <c16:uniqueId val="{00000001-D7E4-8B4C-B400-984B6963B812}"/>
            </c:ext>
          </c:extLst>
        </c:ser>
        <c:dLbls>
          <c:showLegendKey val="0"/>
          <c:showVal val="0"/>
          <c:showCatName val="0"/>
          <c:showSerName val="0"/>
          <c:showPercent val="0"/>
          <c:showBubbleSize val="0"/>
        </c:dLbls>
        <c:axId val="2102166479"/>
        <c:axId val="341248128"/>
      </c:scatterChart>
      <c:valAx>
        <c:axId val="210216647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341248128"/>
        <c:crosses val="autoZero"/>
        <c:crossBetween val="midCat"/>
      </c:valAx>
      <c:valAx>
        <c:axId val="341248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21021664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BODIE!$Z$34</c:f>
              <c:strCache>
                <c:ptCount val="1"/>
                <c:pt idx="0">
                  <c:v>SD(P)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BODIE!$Z$35:$Z$61</c:f>
              <c:numCache>
                <c:formatCode>0.0000</c:formatCode>
                <c:ptCount val="27"/>
                <c:pt idx="0">
                  <c:v>0</c:v>
                </c:pt>
                <c:pt idx="1">
                  <c:v>9.9999999999999967E-3</c:v>
                </c:pt>
                <c:pt idx="2">
                  <c:v>1.9999999999999997E-2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numCache>
            </c:numRef>
          </c:xVal>
          <c:yVal>
            <c:numRef>
              <c:f>BODIE!$Y$35:$Y$61</c:f>
              <c:numCache>
                <c:formatCode>0.0000</c:formatCode>
                <c:ptCount val="27"/>
                <c:pt idx="0">
                  <c:v>0.05</c:v>
                </c:pt>
                <c:pt idx="1">
                  <c:v>5.015E-2</c:v>
                </c:pt>
                <c:pt idx="2">
                  <c:v>5.0600000000000006E-2</c:v>
                </c:pt>
                <c:pt idx="3">
                  <c:v>5.135E-2</c:v>
                </c:pt>
                <c:pt idx="4">
                  <c:v>5.2400000000000002E-2</c:v>
                </c:pt>
                <c:pt idx="5">
                  <c:v>5.3750000000000006E-2</c:v>
                </c:pt>
                <c:pt idx="6">
                  <c:v>5.5400000000000005E-2</c:v>
                </c:pt>
                <c:pt idx="7">
                  <c:v>5.7350000000000005E-2</c:v>
                </c:pt>
                <c:pt idx="8">
                  <c:v>5.96E-2</c:v>
                </c:pt>
                <c:pt idx="9">
                  <c:v>6.2150000000000004E-2</c:v>
                </c:pt>
                <c:pt idx="10">
                  <c:v>6.5000000000000002E-2</c:v>
                </c:pt>
                <c:pt idx="11">
                  <c:v>6.8150000000000002E-2</c:v>
                </c:pt>
                <c:pt idx="12">
                  <c:v>7.1599999999999997E-2</c:v>
                </c:pt>
                <c:pt idx="13">
                  <c:v>7.535E-2</c:v>
                </c:pt>
                <c:pt idx="14">
                  <c:v>7.9399999999999998E-2</c:v>
                </c:pt>
                <c:pt idx="15">
                  <c:v>8.3750000000000005E-2</c:v>
                </c:pt>
                <c:pt idx="16">
                  <c:v>8.8400000000000006E-2</c:v>
                </c:pt>
                <c:pt idx="17">
                  <c:v>9.3350000000000016E-2</c:v>
                </c:pt>
                <c:pt idx="18">
                  <c:v>9.8600000000000007E-2</c:v>
                </c:pt>
                <c:pt idx="19">
                  <c:v>0.10415000000000002</c:v>
                </c:pt>
                <c:pt idx="20">
                  <c:v>0.11000000000000003</c:v>
                </c:pt>
                <c:pt idx="21">
                  <c:v>0.11615000000000003</c:v>
                </c:pt>
                <c:pt idx="22">
                  <c:v>0.12260000000000004</c:v>
                </c:pt>
                <c:pt idx="23">
                  <c:v>0.12935000000000005</c:v>
                </c:pt>
                <c:pt idx="24">
                  <c:v>0.13640000000000005</c:v>
                </c:pt>
                <c:pt idx="25">
                  <c:v>0.14375000000000004</c:v>
                </c:pt>
                <c:pt idx="26">
                  <c:v>0.15140000000000003</c:v>
                </c:pt>
              </c:numCache>
            </c:numRef>
          </c:yVal>
          <c:smooth val="0"/>
          <c:extLst>
            <c:ext xmlns:c16="http://schemas.microsoft.com/office/drawing/2014/chart" uri="{C3380CC4-5D6E-409C-BE32-E72D297353CC}">
              <c16:uniqueId val="{00000000-2403-304B-AC7B-82258552ECBE}"/>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BODIE!$Z$35:$Z$61</c:f>
              <c:numCache>
                <c:formatCode>0.0000</c:formatCode>
                <c:ptCount val="27"/>
                <c:pt idx="0">
                  <c:v>0</c:v>
                </c:pt>
                <c:pt idx="1">
                  <c:v>9.9999999999999967E-3</c:v>
                </c:pt>
                <c:pt idx="2">
                  <c:v>1.9999999999999997E-2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numCache>
            </c:numRef>
          </c:xVal>
          <c:yVal>
            <c:numRef>
              <c:f>BODIE!$X$35:$X$61</c:f>
              <c:numCache>
                <c:formatCode>0.0000</c:formatCode>
                <c:ptCount val="27"/>
                <c:pt idx="0">
                  <c:v>0.04</c:v>
                </c:pt>
                <c:pt idx="1">
                  <c:v>4.02E-2</c:v>
                </c:pt>
                <c:pt idx="2">
                  <c:v>4.0800000000000003E-2</c:v>
                </c:pt>
                <c:pt idx="3">
                  <c:v>4.1800000000000004E-2</c:v>
                </c:pt>
                <c:pt idx="4">
                  <c:v>4.3200000000000002E-2</c:v>
                </c:pt>
                <c:pt idx="5">
                  <c:v>4.4999999999999998E-2</c:v>
                </c:pt>
                <c:pt idx="6">
                  <c:v>4.7200000000000006E-2</c:v>
                </c:pt>
                <c:pt idx="7">
                  <c:v>4.9800000000000004E-2</c:v>
                </c:pt>
                <c:pt idx="8">
                  <c:v>5.28E-2</c:v>
                </c:pt>
                <c:pt idx="9">
                  <c:v>5.62E-2</c:v>
                </c:pt>
                <c:pt idx="10">
                  <c:v>0.06</c:v>
                </c:pt>
                <c:pt idx="11">
                  <c:v>6.4199999999999993E-2</c:v>
                </c:pt>
                <c:pt idx="12">
                  <c:v>6.88E-2</c:v>
                </c:pt>
                <c:pt idx="13">
                  <c:v>7.3799999999999991E-2</c:v>
                </c:pt>
                <c:pt idx="14">
                  <c:v>7.9199999999999993E-2</c:v>
                </c:pt>
                <c:pt idx="15">
                  <c:v>8.4999999999999992E-2</c:v>
                </c:pt>
                <c:pt idx="16">
                  <c:v>9.1200000000000003E-2</c:v>
                </c:pt>
                <c:pt idx="17">
                  <c:v>9.7800000000000012E-2</c:v>
                </c:pt>
                <c:pt idx="18">
                  <c:v>0.1048</c:v>
                </c:pt>
                <c:pt idx="19">
                  <c:v>0.11220000000000002</c:v>
                </c:pt>
                <c:pt idx="20">
                  <c:v>0.12000000000000002</c:v>
                </c:pt>
                <c:pt idx="21">
                  <c:v>0.12820000000000004</c:v>
                </c:pt>
                <c:pt idx="22">
                  <c:v>0.13680000000000006</c:v>
                </c:pt>
                <c:pt idx="23">
                  <c:v>0.14580000000000007</c:v>
                </c:pt>
                <c:pt idx="24">
                  <c:v>0.15520000000000006</c:v>
                </c:pt>
                <c:pt idx="25">
                  <c:v>0.16500000000000006</c:v>
                </c:pt>
                <c:pt idx="26">
                  <c:v>0.17520000000000008</c:v>
                </c:pt>
              </c:numCache>
            </c:numRef>
          </c:yVal>
          <c:smooth val="0"/>
          <c:extLst>
            <c:ext xmlns:c16="http://schemas.microsoft.com/office/drawing/2014/chart" uri="{C3380CC4-5D6E-409C-BE32-E72D297353CC}">
              <c16:uniqueId val="{00000002-2403-304B-AC7B-82258552ECBE}"/>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BODIE!$Z$35:$Z$61</c:f>
              <c:numCache>
                <c:formatCode>0.0000</c:formatCode>
                <c:ptCount val="27"/>
                <c:pt idx="0">
                  <c:v>0</c:v>
                </c:pt>
                <c:pt idx="1">
                  <c:v>9.9999999999999967E-3</c:v>
                </c:pt>
                <c:pt idx="2">
                  <c:v>1.9999999999999997E-2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numCache>
            </c:numRef>
          </c:xVal>
          <c:yVal>
            <c:numRef>
              <c:f>BODIE!$W$35:$W$61</c:f>
              <c:numCache>
                <c:formatCode>0.0000</c:formatCode>
                <c:ptCount val="27"/>
                <c:pt idx="0">
                  <c:v>0.05</c:v>
                </c:pt>
                <c:pt idx="1">
                  <c:v>0.05</c:v>
                </c:pt>
                <c:pt idx="2">
                  <c:v>0.05</c:v>
                </c:pt>
                <c:pt idx="3">
                  <c:v>0.05</c:v>
                </c:pt>
                <c:pt idx="4">
                  <c:v>0.05</c:v>
                </c:pt>
                <c:pt idx="5">
                  <c:v>0.05</c:v>
                </c:pt>
                <c:pt idx="6">
                  <c:v>0.05</c:v>
                </c:pt>
                <c:pt idx="7">
                  <c:v>0.05</c:v>
                </c:pt>
                <c:pt idx="8">
                  <c:v>0.05</c:v>
                </c:pt>
                <c:pt idx="9">
                  <c:v>0.05</c:v>
                </c:pt>
                <c:pt idx="10">
                  <c:v>0.05</c:v>
                </c:pt>
                <c:pt idx="11">
                  <c:v>0.05</c:v>
                </c:pt>
                <c:pt idx="12">
                  <c:v>0.05</c:v>
                </c:pt>
                <c:pt idx="13">
                  <c:v>0.05</c:v>
                </c:pt>
                <c:pt idx="14">
                  <c:v>0.05</c:v>
                </c:pt>
                <c:pt idx="15">
                  <c:v>0.05</c:v>
                </c:pt>
                <c:pt idx="16">
                  <c:v>0.05</c:v>
                </c:pt>
                <c:pt idx="17">
                  <c:v>0.05</c:v>
                </c:pt>
                <c:pt idx="18">
                  <c:v>0.05</c:v>
                </c:pt>
                <c:pt idx="19">
                  <c:v>0.05</c:v>
                </c:pt>
                <c:pt idx="20">
                  <c:v>0.05</c:v>
                </c:pt>
                <c:pt idx="21">
                  <c:v>0.05</c:v>
                </c:pt>
                <c:pt idx="22">
                  <c:v>0.05</c:v>
                </c:pt>
                <c:pt idx="23">
                  <c:v>0.05</c:v>
                </c:pt>
                <c:pt idx="24">
                  <c:v>0.05</c:v>
                </c:pt>
                <c:pt idx="25">
                  <c:v>0.05</c:v>
                </c:pt>
                <c:pt idx="26">
                  <c:v>0.05</c:v>
                </c:pt>
              </c:numCache>
            </c:numRef>
          </c:yVal>
          <c:smooth val="0"/>
          <c:extLst>
            <c:ext xmlns:c16="http://schemas.microsoft.com/office/drawing/2014/chart" uri="{C3380CC4-5D6E-409C-BE32-E72D297353CC}">
              <c16:uniqueId val="{00000003-2403-304B-AC7B-82258552ECBE}"/>
            </c:ext>
          </c:extLst>
        </c:ser>
        <c:dLbls>
          <c:showLegendKey val="0"/>
          <c:showVal val="0"/>
          <c:showCatName val="0"/>
          <c:showSerName val="0"/>
          <c:showPercent val="0"/>
          <c:showBubbleSize val="0"/>
        </c:dLbls>
        <c:axId val="2100743152"/>
        <c:axId val="2100787984"/>
      </c:scatterChart>
      <c:valAx>
        <c:axId val="2100743152"/>
        <c:scaling>
          <c:orientation val="minMax"/>
        </c:scaling>
        <c:delete val="0"/>
        <c:axPos val="b"/>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2100787984"/>
        <c:crosses val="autoZero"/>
        <c:crossBetween val="midCat"/>
      </c:valAx>
      <c:valAx>
        <c:axId val="21007879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21007431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R"/>
        </a:p>
      </c:txPr>
    </c:title>
    <c:autoTitleDeleted val="0"/>
    <c:plotArea>
      <c:layout/>
      <c:scatterChart>
        <c:scatterStyle val="lineMarker"/>
        <c:varyColors val="0"/>
        <c:ser>
          <c:idx val="0"/>
          <c:order val="0"/>
          <c:tx>
            <c:strRef>
              <c:f>BODIE!$AC$127</c:f>
              <c:strCache>
                <c:ptCount val="1"/>
                <c:pt idx="0">
                  <c:v>E(P)</c:v>
                </c:pt>
              </c:strCache>
            </c:strRef>
          </c:tx>
          <c:spPr>
            <a:ln w="63500" cap="rnd">
              <a:solidFill>
                <a:schemeClr val="accent1"/>
              </a:solidFill>
              <a:round/>
            </a:ln>
            <a:effectLst/>
          </c:spPr>
          <c:marker>
            <c:symbol val="circle"/>
            <c:size val="5"/>
            <c:spPr>
              <a:solidFill>
                <a:schemeClr val="accent1"/>
              </a:solidFill>
              <a:ln w="9525">
                <a:solidFill>
                  <a:schemeClr val="accent1"/>
                </a:solidFill>
              </a:ln>
              <a:effectLst/>
            </c:spPr>
          </c:marker>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3E3A-9345-B687-CEC8BA0A4229}"/>
              </c:ext>
            </c:extLst>
          </c:dPt>
          <c:dPt>
            <c:idx val="4"/>
            <c:marker>
              <c:symbol val="circle"/>
              <c:size val="5"/>
              <c:spPr>
                <a:solidFill>
                  <a:schemeClr val="accent2"/>
                </a:solidFill>
                <a:ln w="127000">
                  <a:solidFill>
                    <a:schemeClr val="accent2"/>
                  </a:solidFill>
                </a:ln>
                <a:effectLst/>
              </c:spPr>
            </c:marker>
            <c:bubble3D val="0"/>
            <c:spPr>
              <a:ln w="63500" cap="rnd">
                <a:solidFill>
                  <a:schemeClr val="accent2"/>
                </a:solidFill>
                <a:round/>
              </a:ln>
              <a:effectLst/>
            </c:spPr>
            <c:extLst>
              <c:ext xmlns:c16="http://schemas.microsoft.com/office/drawing/2014/chart" uri="{C3380CC4-5D6E-409C-BE32-E72D297353CC}">
                <c16:uniqueId val="{00000002-8E65-114E-979C-B225A893AE87}"/>
              </c:ext>
            </c:extLst>
          </c:dPt>
          <c:dPt>
            <c:idx val="5"/>
            <c:marker>
              <c:symbol val="circle"/>
              <c:size val="5"/>
              <c:spPr>
                <a:solidFill>
                  <a:schemeClr val="accent1"/>
                </a:solidFill>
                <a:ln w="152400">
                  <a:solidFill>
                    <a:schemeClr val="accent6"/>
                  </a:solidFill>
                </a:ln>
                <a:effectLst/>
              </c:spPr>
            </c:marker>
            <c:bubble3D val="0"/>
            <c:spPr>
              <a:ln w="63500" cap="rnd">
                <a:solidFill>
                  <a:schemeClr val="accent6"/>
                </a:solidFill>
                <a:round/>
              </a:ln>
              <a:effectLst/>
            </c:spPr>
            <c:extLst>
              <c:ext xmlns:c16="http://schemas.microsoft.com/office/drawing/2014/chart" uri="{C3380CC4-5D6E-409C-BE32-E72D297353CC}">
                <c16:uniqueId val="{00000004-3E3A-9345-B687-CEC8BA0A4229}"/>
              </c:ext>
            </c:extLst>
          </c:dPt>
          <c:xVal>
            <c:numRef>
              <c:f>BODIE!$AB$128:$AB$134</c:f>
              <c:numCache>
                <c:formatCode>0.000%</c:formatCode>
                <c:ptCount val="7"/>
                <c:pt idx="0">
                  <c:v>0</c:v>
                </c:pt>
                <c:pt idx="1">
                  <c:v>0.1</c:v>
                </c:pt>
                <c:pt idx="2">
                  <c:v>0.2</c:v>
                </c:pt>
                <c:pt idx="3">
                  <c:v>0.30000000000000004</c:v>
                </c:pt>
                <c:pt idx="4">
                  <c:v>0.189</c:v>
                </c:pt>
                <c:pt idx="5" formatCode="0.0000">
                  <c:v>0.27</c:v>
                </c:pt>
              </c:numCache>
            </c:numRef>
          </c:xVal>
          <c:yVal>
            <c:numRef>
              <c:f>BODIE!$AC$128:$AC$134</c:f>
              <c:numCache>
                <c:formatCode>0.000%</c:formatCode>
                <c:ptCount val="7"/>
                <c:pt idx="0">
                  <c:v>7.0000000000000007E-2</c:v>
                </c:pt>
                <c:pt idx="1">
                  <c:v>0.10703703703703704</c:v>
                </c:pt>
                <c:pt idx="2">
                  <c:v>0.14407407407407408</c:v>
                </c:pt>
                <c:pt idx="3">
                  <c:v>0.18111111111111111</c:v>
                </c:pt>
                <c:pt idx="4">
                  <c:v>0.14000000000000001</c:v>
                </c:pt>
                <c:pt idx="5">
                  <c:v>0.17</c:v>
                </c:pt>
              </c:numCache>
            </c:numRef>
          </c:yVal>
          <c:smooth val="0"/>
          <c:extLst>
            <c:ext xmlns:c16="http://schemas.microsoft.com/office/drawing/2014/chart" uri="{C3380CC4-5D6E-409C-BE32-E72D297353CC}">
              <c16:uniqueId val="{00000000-3E3A-9345-B687-CEC8BA0A4229}"/>
            </c:ext>
          </c:extLst>
        </c:ser>
        <c:dLbls>
          <c:showLegendKey val="0"/>
          <c:showVal val="0"/>
          <c:showCatName val="0"/>
          <c:showSerName val="0"/>
          <c:showPercent val="0"/>
          <c:showBubbleSize val="0"/>
        </c:dLbls>
        <c:axId val="520964256"/>
        <c:axId val="521014016"/>
      </c:scatterChart>
      <c:valAx>
        <c:axId val="520964256"/>
        <c:scaling>
          <c:orientation val="minMax"/>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521014016"/>
        <c:crosses val="autoZero"/>
        <c:crossBetween val="midCat"/>
      </c:valAx>
      <c:valAx>
        <c:axId val="52101401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520964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R"/>
        </a:p>
      </c:txPr>
    </c:title>
    <c:autoTitleDeleted val="0"/>
    <c:plotArea>
      <c:layout/>
      <c:scatterChart>
        <c:scatterStyle val="lineMarker"/>
        <c:varyColors val="0"/>
        <c:ser>
          <c:idx val="0"/>
          <c:order val="0"/>
          <c:tx>
            <c:v>MY</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BODIE!$AB$180:$AB$185</c:f>
              <c:numCache>
                <c:formatCode>0.00%</c:formatCode>
                <c:ptCount val="6"/>
                <c:pt idx="0">
                  <c:v>0</c:v>
                </c:pt>
                <c:pt idx="1">
                  <c:v>0.1</c:v>
                </c:pt>
                <c:pt idx="2">
                  <c:v>0.2</c:v>
                </c:pt>
                <c:pt idx="3">
                  <c:v>0.30000000000000004</c:v>
                </c:pt>
                <c:pt idx="4">
                  <c:v>0.189</c:v>
                </c:pt>
                <c:pt idx="5">
                  <c:v>0.27</c:v>
                </c:pt>
              </c:numCache>
            </c:numRef>
          </c:xVal>
          <c:yVal>
            <c:numRef>
              <c:f>BODIE!$AC$180:$AC$185</c:f>
              <c:numCache>
                <c:formatCode>0.00%</c:formatCode>
                <c:ptCount val="6"/>
                <c:pt idx="0">
                  <c:v>7.0000000000000007E-2</c:v>
                </c:pt>
                <c:pt idx="1">
                  <c:v>0.10703703703703704</c:v>
                </c:pt>
                <c:pt idx="2">
                  <c:v>0.14407407407407408</c:v>
                </c:pt>
                <c:pt idx="3">
                  <c:v>0.18111111111111111</c:v>
                </c:pt>
                <c:pt idx="4">
                  <c:v>0.14000000000000001</c:v>
                </c:pt>
                <c:pt idx="5">
                  <c:v>0.17</c:v>
                </c:pt>
              </c:numCache>
            </c:numRef>
          </c:yVal>
          <c:smooth val="0"/>
          <c:extLst>
            <c:ext xmlns:c16="http://schemas.microsoft.com/office/drawing/2014/chart" uri="{C3380CC4-5D6E-409C-BE32-E72D297353CC}">
              <c16:uniqueId val="{00000006-8F66-0247-A7CA-16A38BBD9307}"/>
            </c:ext>
          </c:extLst>
        </c:ser>
        <c:ser>
          <c:idx val="1"/>
          <c:order val="1"/>
          <c:tx>
            <c:v>SP</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BODIE!$AD$180:$AD$185</c:f>
              <c:numCache>
                <c:formatCode>0.00%</c:formatCode>
                <c:ptCount val="6"/>
                <c:pt idx="0">
                  <c:v>0</c:v>
                </c:pt>
                <c:pt idx="1">
                  <c:v>0.1</c:v>
                </c:pt>
                <c:pt idx="2">
                  <c:v>0.2</c:v>
                </c:pt>
                <c:pt idx="3">
                  <c:v>0.30000000000000004</c:v>
                </c:pt>
                <c:pt idx="4">
                  <c:v>0.189</c:v>
                </c:pt>
                <c:pt idx="5">
                  <c:v>0.27</c:v>
                </c:pt>
              </c:numCache>
            </c:numRef>
          </c:xVal>
          <c:yVal>
            <c:numRef>
              <c:f>BODIE!$AE$180:$AE$185</c:f>
              <c:numCache>
                <c:formatCode>0.00%</c:formatCode>
                <c:ptCount val="6"/>
                <c:pt idx="0">
                  <c:v>7.0000000000000007E-2</c:v>
                </c:pt>
                <c:pt idx="1">
                  <c:v>9.4E-2</c:v>
                </c:pt>
                <c:pt idx="2">
                  <c:v>0.11800000000000001</c:v>
                </c:pt>
                <c:pt idx="3">
                  <c:v>0.14200000000000002</c:v>
                </c:pt>
                <c:pt idx="4">
                  <c:v>0.11536</c:v>
                </c:pt>
                <c:pt idx="5">
                  <c:v>0.1348</c:v>
                </c:pt>
              </c:numCache>
            </c:numRef>
          </c:yVal>
          <c:smooth val="0"/>
          <c:extLst>
            <c:ext xmlns:c16="http://schemas.microsoft.com/office/drawing/2014/chart" uri="{C3380CC4-5D6E-409C-BE32-E72D297353CC}">
              <c16:uniqueId val="{00000007-8F66-0247-A7CA-16A38BBD9307}"/>
            </c:ext>
          </c:extLst>
        </c:ser>
        <c:dLbls>
          <c:showLegendKey val="0"/>
          <c:showVal val="0"/>
          <c:showCatName val="0"/>
          <c:showSerName val="0"/>
          <c:showPercent val="0"/>
          <c:showBubbleSize val="0"/>
        </c:dLbls>
        <c:axId val="520964256"/>
        <c:axId val="521014016"/>
      </c:scatterChart>
      <c:valAx>
        <c:axId val="52096425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521014016"/>
        <c:crosses val="autoZero"/>
        <c:crossBetween val="midCat"/>
      </c:valAx>
      <c:valAx>
        <c:axId val="521014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520964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86921612211475"/>
          <c:y val="9.833280197960062E-2"/>
          <c:w val="0.838419097321078"/>
          <c:h val="0.84017777488264811"/>
        </c:manualLayout>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BODIE!$AE$333:$AE$350</c:f>
              <c:numCache>
                <c:formatCode>0.00%</c:formatCode>
                <c:ptCount val="18"/>
                <c:pt idx="0">
                  <c:v>0.41319234687975531</c:v>
                </c:pt>
                <c:pt idx="1">
                  <c:v>0.37869008965115525</c:v>
                </c:pt>
                <c:pt idx="2">
                  <c:v>0.34519262842650622</c:v>
                </c:pt>
                <c:pt idx="3">
                  <c:v>0.31302270793027143</c:v>
                </c:pt>
                <c:pt idx="4">
                  <c:v>0.28263400163462288</c:v>
                </c:pt>
                <c:pt idx="5">
                  <c:v>0.25466495699251596</c:v>
                </c:pt>
                <c:pt idx="6">
                  <c:v>0.23</c:v>
                </c:pt>
                <c:pt idx="7">
                  <c:v>0.20980766887795116</c:v>
                </c:pt>
                <c:pt idx="8">
                  <c:v>0.19547893513112868</c:v>
                </c:pt>
                <c:pt idx="9">
                  <c:v>0.18835675851957104</c:v>
                </c:pt>
                <c:pt idx="10">
                  <c:v>0.18925649558205393</c:v>
                </c:pt>
                <c:pt idx="11">
                  <c:v>0.19806885671402255</c:v>
                </c:pt>
                <c:pt idx="12">
                  <c:v>0.21381772873174013</c:v>
                </c:pt>
                <c:pt idx="13">
                  <c:v>0.2351133098741966</c:v>
                </c:pt>
                <c:pt idx="14">
                  <c:v>0.26059933629999904</c:v>
                </c:pt>
                <c:pt idx="15">
                  <c:v>0.28916994643288918</c:v>
                </c:pt>
                <c:pt idx="16">
                  <c:v>0.28916994643288918</c:v>
                </c:pt>
                <c:pt idx="17">
                  <c:v>0.31999999999999995</c:v>
                </c:pt>
              </c:numCache>
            </c:numRef>
          </c:xVal>
          <c:yVal>
            <c:numRef>
              <c:f>BODIE!$AD$333:$AD$350</c:f>
              <c:numCache>
                <c:formatCode>0.00%</c:formatCode>
                <c:ptCount val="18"/>
                <c:pt idx="0">
                  <c:v>7.6000000000000012E-2</c:v>
                </c:pt>
                <c:pt idx="1">
                  <c:v>8.5000000000000006E-2</c:v>
                </c:pt>
                <c:pt idx="2">
                  <c:v>9.3999999999999986E-2</c:v>
                </c:pt>
                <c:pt idx="3">
                  <c:v>0.10299999999999999</c:v>
                </c:pt>
                <c:pt idx="4">
                  <c:v>0.11199999999999999</c:v>
                </c:pt>
                <c:pt idx="5">
                  <c:v>0.12100000000000001</c:v>
                </c:pt>
                <c:pt idx="6">
                  <c:v>0.13</c:v>
                </c:pt>
                <c:pt idx="7">
                  <c:v>0.13900000000000001</c:v>
                </c:pt>
                <c:pt idx="8">
                  <c:v>0.14800000000000002</c:v>
                </c:pt>
                <c:pt idx="9">
                  <c:v>0.15700000000000003</c:v>
                </c:pt>
                <c:pt idx="10">
                  <c:v>0.16600000000000001</c:v>
                </c:pt>
                <c:pt idx="11">
                  <c:v>0.17499999999999999</c:v>
                </c:pt>
                <c:pt idx="12">
                  <c:v>0.184</c:v>
                </c:pt>
                <c:pt idx="13">
                  <c:v>0.193</c:v>
                </c:pt>
                <c:pt idx="14">
                  <c:v>0.20200000000000001</c:v>
                </c:pt>
                <c:pt idx="15">
                  <c:v>0.21099999999999999</c:v>
                </c:pt>
                <c:pt idx="16">
                  <c:v>0.21099999999999999</c:v>
                </c:pt>
                <c:pt idx="17">
                  <c:v>0.21999999999999997</c:v>
                </c:pt>
              </c:numCache>
            </c:numRef>
          </c:yVal>
          <c:smooth val="0"/>
          <c:extLst>
            <c:ext xmlns:c16="http://schemas.microsoft.com/office/drawing/2014/chart" uri="{C3380CC4-5D6E-409C-BE32-E72D297353CC}">
              <c16:uniqueId val="{00000006-BAAE-6A43-BD52-05417431789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BODIE!$AE$351</c:f>
              <c:numCache>
                <c:formatCode>0.00%</c:formatCode>
                <c:ptCount val="1"/>
                <c:pt idx="0">
                  <c:v>0.18773699406730446</c:v>
                </c:pt>
              </c:numCache>
            </c:numRef>
          </c:xVal>
          <c:yVal>
            <c:numRef>
              <c:f>BODIE!$AD$351</c:f>
              <c:numCache>
                <c:formatCode>_(* #,##0.00000_);_(* \(#,##0.00000\);_(* "-"??_);_(@_)</c:formatCode>
                <c:ptCount val="1"/>
                <c:pt idx="0">
                  <c:v>0.16050511614755938</c:v>
                </c:pt>
              </c:numCache>
            </c:numRef>
          </c:yVal>
          <c:smooth val="0"/>
          <c:extLst>
            <c:ext xmlns:c16="http://schemas.microsoft.com/office/drawing/2014/chart" uri="{C3380CC4-5D6E-409C-BE32-E72D297353CC}">
              <c16:uniqueId val="{00000007-BAAE-6A43-BD52-05417431789D}"/>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BODIE!$AD$358:$AD$372</c:f>
              <c:numCache>
                <c:formatCode>0.0000</c:formatCode>
                <c:ptCount val="15"/>
                <c:pt idx="0">
                  <c:v>0</c:v>
                </c:pt>
                <c:pt idx="1">
                  <c:v>0.03</c:v>
                </c:pt>
                <c:pt idx="2">
                  <c:v>0.06</c:v>
                </c:pt>
                <c:pt idx="3">
                  <c:v>0.09</c:v>
                </c:pt>
                <c:pt idx="4">
                  <c:v>0.12</c:v>
                </c:pt>
                <c:pt idx="5">
                  <c:v>0.15</c:v>
                </c:pt>
                <c:pt idx="6">
                  <c:v>0.18</c:v>
                </c:pt>
                <c:pt idx="7">
                  <c:v>0.21</c:v>
                </c:pt>
                <c:pt idx="8">
                  <c:v>0.24</c:v>
                </c:pt>
                <c:pt idx="9">
                  <c:v>0.27</c:v>
                </c:pt>
                <c:pt idx="10">
                  <c:v>0.30000000000000004</c:v>
                </c:pt>
                <c:pt idx="11">
                  <c:v>0.33000000000000007</c:v>
                </c:pt>
                <c:pt idx="12">
                  <c:v>0.3600000000000001</c:v>
                </c:pt>
                <c:pt idx="13">
                  <c:v>0.39000000000000012</c:v>
                </c:pt>
                <c:pt idx="14">
                  <c:v>0.42000000000000015</c:v>
                </c:pt>
              </c:numCache>
            </c:numRef>
          </c:xVal>
          <c:yVal>
            <c:numRef>
              <c:f>BODIE!$AE$358:$AE$372</c:f>
              <c:numCache>
                <c:formatCode>0.0000</c:formatCode>
                <c:ptCount val="15"/>
                <c:pt idx="0">
                  <c:v>0.09</c:v>
                </c:pt>
                <c:pt idx="1">
                  <c:v>0.10320505892466061</c:v>
                </c:pt>
                <c:pt idx="2">
                  <c:v>0.11641011784932123</c:v>
                </c:pt>
                <c:pt idx="3">
                  <c:v>0.12961517677398185</c:v>
                </c:pt>
                <c:pt idx="4">
                  <c:v>0.14282023569864247</c:v>
                </c:pt>
                <c:pt idx="5">
                  <c:v>0.15602529462330311</c:v>
                </c:pt>
                <c:pt idx="6">
                  <c:v>0.16923035354796373</c:v>
                </c:pt>
                <c:pt idx="7">
                  <c:v>0.18243541247262435</c:v>
                </c:pt>
                <c:pt idx="8">
                  <c:v>0.19564047139728497</c:v>
                </c:pt>
                <c:pt idx="9">
                  <c:v>0.20884553032194558</c:v>
                </c:pt>
                <c:pt idx="10">
                  <c:v>0.22205058924660623</c:v>
                </c:pt>
                <c:pt idx="11">
                  <c:v>0.23525564817126685</c:v>
                </c:pt>
                <c:pt idx="12">
                  <c:v>0.24846070709592749</c:v>
                </c:pt>
                <c:pt idx="13">
                  <c:v>0.26166576602058811</c:v>
                </c:pt>
                <c:pt idx="14">
                  <c:v>0.27487082494524873</c:v>
                </c:pt>
              </c:numCache>
            </c:numRef>
          </c:yVal>
          <c:smooth val="0"/>
          <c:extLst>
            <c:ext xmlns:c16="http://schemas.microsoft.com/office/drawing/2014/chart" uri="{C3380CC4-5D6E-409C-BE32-E72D297353CC}">
              <c16:uniqueId val="{00000008-BAAE-6A43-BD52-05417431789D}"/>
            </c:ext>
          </c:extLst>
        </c:ser>
        <c:ser>
          <c:idx val="3"/>
          <c:order val="3"/>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BODIE!$AD$376:$AD$391</c:f>
              <c:numCache>
                <c:formatCode>0.0000</c:formatCode>
                <c:ptCount val="16"/>
                <c:pt idx="0">
                  <c:v>0</c:v>
                </c:pt>
                <c:pt idx="1">
                  <c:v>0.03</c:v>
                </c:pt>
                <c:pt idx="2">
                  <c:v>0.06</c:v>
                </c:pt>
                <c:pt idx="3">
                  <c:v>0.09</c:v>
                </c:pt>
                <c:pt idx="4">
                  <c:v>0.12</c:v>
                </c:pt>
                <c:pt idx="5">
                  <c:v>0.15</c:v>
                </c:pt>
                <c:pt idx="6">
                  <c:v>0.18</c:v>
                </c:pt>
                <c:pt idx="7">
                  <c:v>0.21</c:v>
                </c:pt>
                <c:pt idx="8">
                  <c:v>0.24</c:v>
                </c:pt>
                <c:pt idx="9">
                  <c:v>0.27</c:v>
                </c:pt>
                <c:pt idx="10">
                  <c:v>0.30000000000000004</c:v>
                </c:pt>
                <c:pt idx="11">
                  <c:v>0.33000000000000007</c:v>
                </c:pt>
                <c:pt idx="12">
                  <c:v>0.3600000000000001</c:v>
                </c:pt>
                <c:pt idx="13">
                  <c:v>0.39000000000000012</c:v>
                </c:pt>
                <c:pt idx="14">
                  <c:v>0.42000000000000015</c:v>
                </c:pt>
                <c:pt idx="15">
                  <c:v>0.45000000000000018</c:v>
                </c:pt>
              </c:numCache>
            </c:numRef>
          </c:xVal>
          <c:yVal>
            <c:numRef>
              <c:f>BODIE!$AE$376:$AE$391</c:f>
              <c:numCache>
                <c:formatCode>0.0000</c:formatCode>
                <c:ptCount val="16"/>
                <c:pt idx="0">
                  <c:v>0.09</c:v>
                </c:pt>
                <c:pt idx="1">
                  <c:v>9.5217391304347823E-2</c:v>
                </c:pt>
                <c:pt idx="2">
                  <c:v>0.10043478260869565</c:v>
                </c:pt>
                <c:pt idx="3">
                  <c:v>0.10565217391304348</c:v>
                </c:pt>
                <c:pt idx="4">
                  <c:v>0.1108695652173913</c:v>
                </c:pt>
                <c:pt idx="5">
                  <c:v>0.11608695652173913</c:v>
                </c:pt>
                <c:pt idx="6">
                  <c:v>0.12130434782608696</c:v>
                </c:pt>
                <c:pt idx="7">
                  <c:v>0.1265217391304348</c:v>
                </c:pt>
                <c:pt idx="8">
                  <c:v>0.13173913043478261</c:v>
                </c:pt>
                <c:pt idx="9">
                  <c:v>0.13695652173913045</c:v>
                </c:pt>
                <c:pt idx="10">
                  <c:v>0.14217391304347826</c:v>
                </c:pt>
                <c:pt idx="11">
                  <c:v>0.1473913043478261</c:v>
                </c:pt>
                <c:pt idx="12">
                  <c:v>0.15260869565217394</c:v>
                </c:pt>
                <c:pt idx="13">
                  <c:v>0.15782608695652178</c:v>
                </c:pt>
                <c:pt idx="14">
                  <c:v>0.1630434782608696</c:v>
                </c:pt>
                <c:pt idx="15">
                  <c:v>0.16826086956521744</c:v>
                </c:pt>
              </c:numCache>
            </c:numRef>
          </c:yVal>
          <c:smooth val="0"/>
          <c:extLst>
            <c:ext xmlns:c16="http://schemas.microsoft.com/office/drawing/2014/chart" uri="{C3380CC4-5D6E-409C-BE32-E72D297353CC}">
              <c16:uniqueId val="{00000000-6680-704E-ABF3-E76CA85A0605}"/>
            </c:ext>
          </c:extLst>
        </c:ser>
        <c:ser>
          <c:idx val="4"/>
          <c:order val="4"/>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BODIE!$AD$373</c:f>
              <c:numCache>
                <c:formatCode>0.0000</c:formatCode>
                <c:ptCount val="1"/>
                <c:pt idx="0">
                  <c:v>0.13631139476691925</c:v>
                </c:pt>
              </c:numCache>
            </c:numRef>
          </c:xVal>
          <c:yVal>
            <c:numRef>
              <c:f>BODIE!$AE$373</c:f>
              <c:numCache>
                <c:formatCode>0.0000</c:formatCode>
                <c:ptCount val="1"/>
                <c:pt idx="0">
                  <c:v>0.1499999999999948</c:v>
                </c:pt>
              </c:numCache>
            </c:numRef>
          </c:yVal>
          <c:smooth val="0"/>
          <c:extLst>
            <c:ext xmlns:c16="http://schemas.microsoft.com/office/drawing/2014/chart" uri="{C3380CC4-5D6E-409C-BE32-E72D297353CC}">
              <c16:uniqueId val="{00000001-6680-704E-ABF3-E76CA85A0605}"/>
            </c:ext>
          </c:extLst>
        </c:ser>
        <c:ser>
          <c:idx val="5"/>
          <c:order val="5"/>
          <c:spPr>
            <a:ln w="19050" cap="rnd">
              <a:solidFill>
                <a:schemeClr val="accent6"/>
              </a:solidFill>
              <a:round/>
            </a:ln>
            <a:effectLst/>
          </c:spPr>
          <c:marker>
            <c:symbol val="circle"/>
            <c:size val="5"/>
            <c:spPr>
              <a:solidFill>
                <a:schemeClr val="accent6"/>
              </a:solidFill>
              <a:ln w="34925">
                <a:solidFill>
                  <a:srgbClr val="002060"/>
                </a:solidFill>
              </a:ln>
              <a:effectLst/>
            </c:spPr>
          </c:marker>
          <c:dPt>
            <c:idx val="0"/>
            <c:marker>
              <c:symbol val="circle"/>
              <c:size val="5"/>
              <c:spPr>
                <a:solidFill>
                  <a:srgbClr val="002060"/>
                </a:solidFill>
                <a:ln w="34925">
                  <a:solidFill>
                    <a:srgbClr val="002060"/>
                  </a:solidFill>
                </a:ln>
                <a:effectLst/>
              </c:spPr>
            </c:marker>
            <c:bubble3D val="0"/>
            <c:extLst>
              <c:ext xmlns:c16="http://schemas.microsoft.com/office/drawing/2014/chart" uri="{C3380CC4-5D6E-409C-BE32-E72D297353CC}">
                <c16:uniqueId val="{00000004-6680-704E-ABF3-E76CA85A0605}"/>
              </c:ext>
            </c:extLst>
          </c:dPt>
          <c:xVal>
            <c:numRef>
              <c:f>BODIE!$AE$354</c:f>
              <c:numCache>
                <c:formatCode>0.00%</c:formatCode>
                <c:ptCount val="1"/>
                <c:pt idx="0">
                  <c:v>0.19323277180324114</c:v>
                </c:pt>
              </c:numCache>
            </c:numRef>
          </c:xVal>
          <c:yVal>
            <c:numRef>
              <c:f>BODIE!$AD$354</c:f>
              <c:numCache>
                <c:formatCode>0.00%</c:formatCode>
                <c:ptCount val="1"/>
                <c:pt idx="0">
                  <c:v>0.15000000000000496</c:v>
                </c:pt>
              </c:numCache>
            </c:numRef>
          </c:yVal>
          <c:smooth val="0"/>
          <c:extLst>
            <c:ext xmlns:c16="http://schemas.microsoft.com/office/drawing/2014/chart" uri="{C3380CC4-5D6E-409C-BE32-E72D297353CC}">
              <c16:uniqueId val="{00000002-6680-704E-ABF3-E76CA85A0605}"/>
            </c:ext>
          </c:extLst>
        </c:ser>
        <c:ser>
          <c:idx val="6"/>
          <c:order val="6"/>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BODIE!$AD$374</c:f>
              <c:numCache>
                <c:formatCode>0.0000</c:formatCode>
                <c:ptCount val="1"/>
                <c:pt idx="0">
                  <c:v>0.45437165666825702</c:v>
                </c:pt>
              </c:numCache>
            </c:numRef>
          </c:xVal>
          <c:yVal>
            <c:numRef>
              <c:f>BODIE!$AE$374</c:f>
              <c:numCache>
                <c:formatCode>0.0000</c:formatCode>
                <c:ptCount val="1"/>
                <c:pt idx="0">
                  <c:v>0.29000014999999996</c:v>
                </c:pt>
              </c:numCache>
            </c:numRef>
          </c:yVal>
          <c:smooth val="0"/>
          <c:extLst>
            <c:ext xmlns:c16="http://schemas.microsoft.com/office/drawing/2014/chart" uri="{C3380CC4-5D6E-409C-BE32-E72D297353CC}">
              <c16:uniqueId val="{00000005-6680-704E-ABF3-E76CA85A0605}"/>
            </c:ext>
          </c:extLst>
        </c:ser>
        <c:ser>
          <c:idx val="7"/>
          <c:order val="7"/>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dPt>
            <c:idx val="0"/>
            <c:marker>
              <c:symbol val="circle"/>
              <c:size val="5"/>
              <c:spPr>
                <a:solidFill>
                  <a:schemeClr val="accent2">
                    <a:lumMod val="60000"/>
                  </a:schemeClr>
                </a:solidFill>
                <a:ln w="63500">
                  <a:solidFill>
                    <a:schemeClr val="tx1"/>
                  </a:solidFill>
                </a:ln>
                <a:effectLst/>
              </c:spPr>
            </c:marker>
            <c:bubble3D val="0"/>
            <c:extLst>
              <c:ext xmlns:c16="http://schemas.microsoft.com/office/drawing/2014/chart" uri="{C3380CC4-5D6E-409C-BE32-E72D297353CC}">
                <c16:uniqueId val="{00000007-6680-704E-ABF3-E76CA85A0605}"/>
              </c:ext>
            </c:extLst>
          </c:dPt>
          <c:xVal>
            <c:numRef>
              <c:f>BODIE!$AE$355</c:f>
              <c:numCache>
                <c:formatCode>0.00%</c:formatCode>
                <c:ptCount val="1"/>
                <c:pt idx="0">
                  <c:v>0.59454776676984333</c:v>
                </c:pt>
              </c:numCache>
            </c:numRef>
          </c:xVal>
          <c:yVal>
            <c:numRef>
              <c:f>BODIE!$AD$355</c:f>
              <c:numCache>
                <c:formatCode>0.00%</c:formatCode>
                <c:ptCount val="1"/>
                <c:pt idx="0">
                  <c:v>0.29002</c:v>
                </c:pt>
              </c:numCache>
            </c:numRef>
          </c:yVal>
          <c:smooth val="0"/>
          <c:extLst>
            <c:ext xmlns:c16="http://schemas.microsoft.com/office/drawing/2014/chart" uri="{C3380CC4-5D6E-409C-BE32-E72D297353CC}">
              <c16:uniqueId val="{00000006-6680-704E-ABF3-E76CA85A0605}"/>
            </c:ext>
          </c:extLst>
        </c:ser>
        <c:dLbls>
          <c:showLegendKey val="0"/>
          <c:showVal val="0"/>
          <c:showCatName val="0"/>
          <c:showSerName val="0"/>
          <c:showPercent val="0"/>
          <c:showBubbleSize val="0"/>
        </c:dLbls>
        <c:axId val="520964256"/>
        <c:axId val="521014016"/>
      </c:scatterChart>
      <c:valAx>
        <c:axId val="520964256"/>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521014016"/>
        <c:crosses val="autoZero"/>
        <c:crossBetween val="midCat"/>
      </c:valAx>
      <c:valAx>
        <c:axId val="521014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520964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BORROWING</a:t>
            </a:r>
            <a:r>
              <a:rPr lang="en-US" baseline="0"/>
              <a:t> vs INVESTING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R"/>
        </a:p>
      </c:txPr>
    </c:title>
    <c:autoTitleDeleted val="0"/>
    <c:plotArea>
      <c:layout>
        <c:manualLayout>
          <c:layoutTarget val="inner"/>
          <c:xMode val="edge"/>
          <c:yMode val="edge"/>
          <c:x val="0.11358330849008999"/>
          <c:y val="0.16243073782443862"/>
          <c:w val="0.82385415051309041"/>
          <c:h val="0.72094889180519106"/>
        </c:manualLayout>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BODIE!$AC$242:$AC$250</c:f>
              <c:numCache>
                <c:formatCode>0.0000</c:formatCode>
                <c:ptCount val="9"/>
                <c:pt idx="0">
                  <c:v>0</c:v>
                </c:pt>
                <c:pt idx="1">
                  <c:v>0.05</c:v>
                </c:pt>
                <c:pt idx="2">
                  <c:v>0.1</c:v>
                </c:pt>
                <c:pt idx="3">
                  <c:v>0.15000000000000002</c:v>
                </c:pt>
                <c:pt idx="4">
                  <c:v>0.2</c:v>
                </c:pt>
                <c:pt idx="5">
                  <c:v>0.25</c:v>
                </c:pt>
                <c:pt idx="6">
                  <c:v>0.3</c:v>
                </c:pt>
                <c:pt idx="7">
                  <c:v>0.35</c:v>
                </c:pt>
                <c:pt idx="8">
                  <c:v>0.39999999999999997</c:v>
                </c:pt>
              </c:numCache>
            </c:numRef>
          </c:xVal>
          <c:yVal>
            <c:numRef>
              <c:f>BODIE!$AD$242:$AD$250</c:f>
              <c:numCache>
                <c:formatCode>0.0000</c:formatCode>
                <c:ptCount val="9"/>
                <c:pt idx="0">
                  <c:v>0.05</c:v>
                </c:pt>
                <c:pt idx="1">
                  <c:v>6.6000000000000003E-2</c:v>
                </c:pt>
                <c:pt idx="2">
                  <c:v>8.2000000000000003E-2</c:v>
                </c:pt>
                <c:pt idx="3">
                  <c:v>9.8000000000000004E-2</c:v>
                </c:pt>
                <c:pt idx="4">
                  <c:v>0.114</c:v>
                </c:pt>
                <c:pt idx="5">
                  <c:v>0.13</c:v>
                </c:pt>
                <c:pt idx="6">
                  <c:v>0.13800000000000001</c:v>
                </c:pt>
                <c:pt idx="7">
                  <c:v>0.14600000000000002</c:v>
                </c:pt>
                <c:pt idx="8">
                  <c:v>0.154</c:v>
                </c:pt>
              </c:numCache>
            </c:numRef>
          </c:yVal>
          <c:smooth val="0"/>
          <c:extLst>
            <c:ext xmlns:c16="http://schemas.microsoft.com/office/drawing/2014/chart" uri="{C3380CC4-5D6E-409C-BE32-E72D297353CC}">
              <c16:uniqueId val="{00000000-945E-C146-BEE4-7E3D6178E4E9}"/>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BODIE!$AC$242:$AC$250</c:f>
              <c:numCache>
                <c:formatCode>0.0000</c:formatCode>
                <c:ptCount val="9"/>
                <c:pt idx="0">
                  <c:v>0</c:v>
                </c:pt>
                <c:pt idx="1">
                  <c:v>0.05</c:v>
                </c:pt>
                <c:pt idx="2">
                  <c:v>0.1</c:v>
                </c:pt>
                <c:pt idx="3">
                  <c:v>0.15000000000000002</c:v>
                </c:pt>
                <c:pt idx="4">
                  <c:v>0.2</c:v>
                </c:pt>
                <c:pt idx="5">
                  <c:v>0.25</c:v>
                </c:pt>
                <c:pt idx="6">
                  <c:v>0.3</c:v>
                </c:pt>
                <c:pt idx="7">
                  <c:v>0.35</c:v>
                </c:pt>
                <c:pt idx="8">
                  <c:v>0.39999999999999997</c:v>
                </c:pt>
              </c:numCache>
            </c:numRef>
          </c:xVal>
          <c:yVal>
            <c:numRef>
              <c:f>BODIE!$AF$242:$AF$253</c:f>
              <c:numCache>
                <c:formatCode>0.0000</c:formatCode>
                <c:ptCount val="12"/>
                <c:pt idx="0">
                  <c:v>0.13</c:v>
                </c:pt>
                <c:pt idx="1">
                  <c:v>0.13375000000000001</c:v>
                </c:pt>
                <c:pt idx="2">
                  <c:v>0.14500000000000002</c:v>
                </c:pt>
                <c:pt idx="3">
                  <c:v>0.16375000000000001</c:v>
                </c:pt>
                <c:pt idx="4">
                  <c:v>0.19</c:v>
                </c:pt>
                <c:pt idx="5">
                  <c:v>0.22375</c:v>
                </c:pt>
                <c:pt idx="6">
                  <c:v>0.26500000000000001</c:v>
                </c:pt>
                <c:pt idx="7">
                  <c:v>0.31374999999999997</c:v>
                </c:pt>
                <c:pt idx="8">
                  <c:v>0.37</c:v>
                </c:pt>
              </c:numCache>
            </c:numRef>
          </c:yVal>
          <c:smooth val="0"/>
          <c:extLst>
            <c:ext xmlns:c16="http://schemas.microsoft.com/office/drawing/2014/chart" uri="{C3380CC4-5D6E-409C-BE32-E72D297353CC}">
              <c16:uniqueId val="{00000002-945E-C146-BEE4-7E3D6178E4E9}"/>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BODIE!$AC$242:$AC$250</c:f>
              <c:numCache>
                <c:formatCode>0.0000</c:formatCode>
                <c:ptCount val="9"/>
                <c:pt idx="0">
                  <c:v>0</c:v>
                </c:pt>
                <c:pt idx="1">
                  <c:v>0.05</c:v>
                </c:pt>
                <c:pt idx="2">
                  <c:v>0.1</c:v>
                </c:pt>
                <c:pt idx="3">
                  <c:v>0.15000000000000002</c:v>
                </c:pt>
                <c:pt idx="4">
                  <c:v>0.2</c:v>
                </c:pt>
                <c:pt idx="5">
                  <c:v>0.25</c:v>
                </c:pt>
                <c:pt idx="6">
                  <c:v>0.3</c:v>
                </c:pt>
                <c:pt idx="7">
                  <c:v>0.35</c:v>
                </c:pt>
                <c:pt idx="8">
                  <c:v>0.39999999999999997</c:v>
                </c:pt>
              </c:numCache>
            </c:numRef>
          </c:xVal>
          <c:yVal>
            <c:numRef>
              <c:f>BODIE!$AG$242:$AG$253</c:f>
              <c:numCache>
                <c:formatCode>0.0000</c:formatCode>
                <c:ptCount val="12"/>
                <c:pt idx="0">
                  <c:v>0.13</c:v>
                </c:pt>
                <c:pt idx="1">
                  <c:v>0.13375000000000001</c:v>
                </c:pt>
                <c:pt idx="2">
                  <c:v>0.14500000000000002</c:v>
                </c:pt>
                <c:pt idx="3">
                  <c:v>0.16375000000000001</c:v>
                </c:pt>
                <c:pt idx="4">
                  <c:v>0.19</c:v>
                </c:pt>
                <c:pt idx="5">
                  <c:v>0.22375</c:v>
                </c:pt>
                <c:pt idx="6">
                  <c:v>0.26500000000000001</c:v>
                </c:pt>
                <c:pt idx="7">
                  <c:v>0.31374999999999997</c:v>
                </c:pt>
                <c:pt idx="8">
                  <c:v>0.37</c:v>
                </c:pt>
              </c:numCache>
            </c:numRef>
          </c:yVal>
          <c:smooth val="0"/>
          <c:extLst>
            <c:ext xmlns:c16="http://schemas.microsoft.com/office/drawing/2014/chart" uri="{C3380CC4-5D6E-409C-BE32-E72D297353CC}">
              <c16:uniqueId val="{00000003-945E-C146-BEE4-7E3D6178E4E9}"/>
            </c:ext>
          </c:extLst>
        </c:ser>
        <c:dLbls>
          <c:showLegendKey val="0"/>
          <c:showVal val="0"/>
          <c:showCatName val="0"/>
          <c:showSerName val="0"/>
          <c:showPercent val="0"/>
          <c:showBubbleSize val="0"/>
        </c:dLbls>
        <c:axId val="1802399280"/>
        <c:axId val="260415951"/>
      </c:scatterChart>
      <c:valAx>
        <c:axId val="1802399280"/>
        <c:scaling>
          <c:orientation val="minMax"/>
        </c:scaling>
        <c:delete val="0"/>
        <c:axPos val="b"/>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260415951"/>
        <c:crosses val="autoZero"/>
        <c:crossBetween val="midCat"/>
      </c:valAx>
      <c:valAx>
        <c:axId val="260415951"/>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18023992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R"/>
        </a:p>
      </c:txPr>
    </c:title>
    <c:autoTitleDeleted val="0"/>
    <c:plotArea>
      <c:layout/>
      <c:scatterChart>
        <c:scatterStyle val="smoothMarker"/>
        <c:varyColors val="0"/>
        <c:ser>
          <c:idx val="0"/>
          <c:order val="0"/>
          <c:tx>
            <c:strRef>
              <c:f>BODIE!$AE$439</c:f>
              <c:strCache>
                <c:ptCount val="1"/>
                <c:pt idx="0">
                  <c:v>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BODIE!$AD$440:$AD$468</c:f>
              <c:numCache>
                <c:formatCode>0.00%</c:formatCode>
                <c:ptCount val="29"/>
                <c:pt idx="0">
                  <c:v>0.61199999999999999</c:v>
                </c:pt>
                <c:pt idx="1">
                  <c:v>0.55999999999999994</c:v>
                </c:pt>
                <c:pt idx="2">
                  <c:v>0.50800000000000001</c:v>
                </c:pt>
                <c:pt idx="3">
                  <c:v>0.45600000000000002</c:v>
                </c:pt>
                <c:pt idx="4">
                  <c:v>0.40399999999999997</c:v>
                </c:pt>
                <c:pt idx="5">
                  <c:v>0.35200000000000004</c:v>
                </c:pt>
                <c:pt idx="6">
                  <c:v>0.3</c:v>
                </c:pt>
                <c:pt idx="7">
                  <c:v>0.248</c:v>
                </c:pt>
                <c:pt idx="8">
                  <c:v>0.22199999999999998</c:v>
                </c:pt>
                <c:pt idx="9">
                  <c:v>0.19600000000000001</c:v>
                </c:pt>
                <c:pt idx="10">
                  <c:v>0.16999999999999998</c:v>
                </c:pt>
                <c:pt idx="11">
                  <c:v>0.14399999999999999</c:v>
                </c:pt>
                <c:pt idx="12">
                  <c:v>0.11800000000000001</c:v>
                </c:pt>
                <c:pt idx="13">
                  <c:v>9.200000000000004E-2</c:v>
                </c:pt>
                <c:pt idx="14">
                  <c:v>6.6000000000000045E-2</c:v>
                </c:pt>
                <c:pt idx="15">
                  <c:v>3.9999999999999966E-2</c:v>
                </c:pt>
                <c:pt idx="16">
                  <c:v>1.4000000000000061E-2</c:v>
                </c:pt>
                <c:pt idx="17">
                  <c:v>1.2000000000000219E-2</c:v>
                </c:pt>
                <c:pt idx="18">
                  <c:v>3.8000000000000055E-2</c:v>
                </c:pt>
                <c:pt idx="19">
                  <c:v>6.4000000000000015E-2</c:v>
                </c:pt>
                <c:pt idx="20">
                  <c:v>9.000000000000008E-2</c:v>
                </c:pt>
                <c:pt idx="21">
                  <c:v>0.11600000000000006</c:v>
                </c:pt>
                <c:pt idx="22">
                  <c:v>0.22</c:v>
                </c:pt>
                <c:pt idx="23">
                  <c:v>0.27200000000000002</c:v>
                </c:pt>
                <c:pt idx="24">
                  <c:v>0.32400000000000012</c:v>
                </c:pt>
                <c:pt idx="25">
                  <c:v>0.37600000000000011</c:v>
                </c:pt>
                <c:pt idx="26">
                  <c:v>0.42800000000000016</c:v>
                </c:pt>
                <c:pt idx="27">
                  <c:v>0.4800000000000002</c:v>
                </c:pt>
                <c:pt idx="28">
                  <c:v>0.53200000000000025</c:v>
                </c:pt>
              </c:numCache>
            </c:numRef>
          </c:xVal>
          <c:yVal>
            <c:numRef>
              <c:f>BODIE!$AE$440:$AE$468</c:f>
              <c:numCache>
                <c:formatCode>0.00%</c:formatCode>
                <c:ptCount val="29"/>
                <c:pt idx="0">
                  <c:v>5.2000000000000032E-2</c:v>
                </c:pt>
                <c:pt idx="1">
                  <c:v>6.0000000000000026E-2</c:v>
                </c:pt>
                <c:pt idx="2">
                  <c:v>6.7999999999999991E-2</c:v>
                </c:pt>
                <c:pt idx="3">
                  <c:v>7.5999999999999998E-2</c:v>
                </c:pt>
                <c:pt idx="4">
                  <c:v>8.3999999999999991E-2</c:v>
                </c:pt>
                <c:pt idx="5">
                  <c:v>9.2000000000000012E-2</c:v>
                </c:pt>
                <c:pt idx="6">
                  <c:v>0.1</c:v>
                </c:pt>
                <c:pt idx="7">
                  <c:v>0.10800000000000001</c:v>
                </c:pt>
                <c:pt idx="8">
                  <c:v>0.11200000000000002</c:v>
                </c:pt>
                <c:pt idx="9">
                  <c:v>0.11600000000000002</c:v>
                </c:pt>
                <c:pt idx="10">
                  <c:v>0.12000000000000001</c:v>
                </c:pt>
                <c:pt idx="11">
                  <c:v>0.124</c:v>
                </c:pt>
                <c:pt idx="12">
                  <c:v>0.128</c:v>
                </c:pt>
                <c:pt idx="13">
                  <c:v>0.13200000000000001</c:v>
                </c:pt>
                <c:pt idx="14">
                  <c:v>0.13600000000000001</c:v>
                </c:pt>
                <c:pt idx="15">
                  <c:v>0.13999999999999999</c:v>
                </c:pt>
                <c:pt idx="16">
                  <c:v>0.14400000000000002</c:v>
                </c:pt>
                <c:pt idx="17">
                  <c:v>0.14800000000000002</c:v>
                </c:pt>
                <c:pt idx="18">
                  <c:v>0.152</c:v>
                </c:pt>
                <c:pt idx="19">
                  <c:v>0.156</c:v>
                </c:pt>
                <c:pt idx="20">
                  <c:v>0.16</c:v>
                </c:pt>
                <c:pt idx="21">
                  <c:v>0.16400000000000001</c:v>
                </c:pt>
                <c:pt idx="22">
                  <c:v>0.18</c:v>
                </c:pt>
                <c:pt idx="23">
                  <c:v>0.188</c:v>
                </c:pt>
                <c:pt idx="24">
                  <c:v>0.19600000000000001</c:v>
                </c:pt>
                <c:pt idx="25">
                  <c:v>0.20400000000000001</c:v>
                </c:pt>
                <c:pt idx="26">
                  <c:v>0.21200000000000002</c:v>
                </c:pt>
                <c:pt idx="27">
                  <c:v>0.22000000000000003</c:v>
                </c:pt>
                <c:pt idx="28">
                  <c:v>0.22800000000000004</c:v>
                </c:pt>
              </c:numCache>
            </c:numRef>
          </c:yVal>
          <c:smooth val="1"/>
          <c:extLst>
            <c:ext xmlns:c16="http://schemas.microsoft.com/office/drawing/2014/chart" uri="{C3380CC4-5D6E-409C-BE32-E72D297353CC}">
              <c16:uniqueId val="{00000000-DB26-6948-BF3F-831CC6717178}"/>
            </c:ext>
          </c:extLst>
        </c:ser>
        <c:dLbls>
          <c:showLegendKey val="0"/>
          <c:showVal val="0"/>
          <c:showCatName val="0"/>
          <c:showSerName val="0"/>
          <c:showPercent val="0"/>
          <c:showBubbleSize val="0"/>
        </c:dLbls>
        <c:axId val="2049027808"/>
        <c:axId val="2049264848"/>
      </c:scatterChart>
      <c:valAx>
        <c:axId val="20490278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2049264848"/>
        <c:crosses val="autoZero"/>
        <c:crossBetween val="midCat"/>
      </c:valAx>
      <c:valAx>
        <c:axId val="20492648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R"/>
          </a:p>
        </c:txPr>
        <c:crossAx val="20490278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7.emf"/><Relationship Id="rId2" Type="http://schemas.openxmlformats.org/officeDocument/2006/relationships/chart" Target="../charts/chart2.xml"/><Relationship Id="rId1" Type="http://schemas.openxmlformats.org/officeDocument/2006/relationships/image" Target="../media/image13.png"/><Relationship Id="rId6" Type="http://schemas.openxmlformats.org/officeDocument/2006/relationships/image" Target="../media/image16.emf"/><Relationship Id="rId5" Type="http://schemas.openxmlformats.org/officeDocument/2006/relationships/image" Target="../media/image15.emf"/><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6" Type="http://schemas.openxmlformats.org/officeDocument/2006/relationships/image" Target="../media/image25.png"/><Relationship Id="rId42" Type="http://schemas.openxmlformats.org/officeDocument/2006/relationships/image" Target="../media/image39.png"/><Relationship Id="rId47" Type="http://schemas.openxmlformats.org/officeDocument/2006/relationships/customXml" Target="../ink/ink4.xml"/><Relationship Id="rId63" Type="http://schemas.openxmlformats.org/officeDocument/2006/relationships/image" Target="../media/image51.png"/><Relationship Id="rId68" Type="http://schemas.openxmlformats.org/officeDocument/2006/relationships/image" Target="../media/image56.png"/><Relationship Id="rId84" Type="http://schemas.openxmlformats.org/officeDocument/2006/relationships/image" Target="../media/image71.png"/><Relationship Id="rId89" Type="http://schemas.openxmlformats.org/officeDocument/2006/relationships/chart" Target="../charts/chart6.xml"/><Relationship Id="rId32" Type="http://schemas.openxmlformats.org/officeDocument/2006/relationships/image" Target="../media/image29.png"/><Relationship Id="rId37" Type="http://schemas.openxmlformats.org/officeDocument/2006/relationships/image" Target="../media/image34.png"/><Relationship Id="rId53" Type="http://schemas.openxmlformats.org/officeDocument/2006/relationships/customXml" Target="../ink/ink7.xml"/><Relationship Id="rId58" Type="http://schemas.openxmlformats.org/officeDocument/2006/relationships/image" Target="../media/image47.png"/><Relationship Id="rId74" Type="http://schemas.openxmlformats.org/officeDocument/2006/relationships/image" Target="../media/image62.png"/><Relationship Id="rId79" Type="http://schemas.openxmlformats.org/officeDocument/2006/relationships/image" Target="../media/image67.png"/><Relationship Id="rId5" Type="http://schemas.openxmlformats.org/officeDocument/2006/relationships/image" Target="../media/image22.png"/><Relationship Id="rId61" Type="http://schemas.openxmlformats.org/officeDocument/2006/relationships/image" Target="../media/image49.png"/><Relationship Id="rId82" Type="http://schemas.openxmlformats.org/officeDocument/2006/relationships/image" Target="../media/image70.png"/><Relationship Id="rId90" Type="http://schemas.openxmlformats.org/officeDocument/2006/relationships/customXml" Target="../ink/ink12.xml"/><Relationship Id="rId95" Type="http://schemas.openxmlformats.org/officeDocument/2006/relationships/image" Target="../media/image76.png"/><Relationship Id="rId27" Type="http://schemas.openxmlformats.org/officeDocument/2006/relationships/customXml" Target="../ink/ink3.xml"/><Relationship Id="rId30" Type="http://schemas.openxmlformats.org/officeDocument/2006/relationships/image" Target="../media/image27.png"/><Relationship Id="rId35" Type="http://schemas.openxmlformats.org/officeDocument/2006/relationships/image" Target="../media/image32.png"/><Relationship Id="rId43" Type="http://schemas.openxmlformats.org/officeDocument/2006/relationships/image" Target="../media/image40.png"/><Relationship Id="rId48" Type="http://schemas.openxmlformats.org/officeDocument/2006/relationships/image" Target="../media/image421.png"/><Relationship Id="rId56" Type="http://schemas.openxmlformats.org/officeDocument/2006/relationships/image" Target="../media/image46.png"/><Relationship Id="rId64" Type="http://schemas.openxmlformats.org/officeDocument/2006/relationships/image" Target="../media/image52.png"/><Relationship Id="rId69" Type="http://schemas.openxmlformats.org/officeDocument/2006/relationships/image" Target="../media/image57.png"/><Relationship Id="rId77" Type="http://schemas.openxmlformats.org/officeDocument/2006/relationships/image" Target="../media/image65.png"/><Relationship Id="rId8" Type="http://schemas.openxmlformats.org/officeDocument/2006/relationships/customXml" Target="../ink/ink1.xml"/><Relationship Id="rId51" Type="http://schemas.openxmlformats.org/officeDocument/2006/relationships/customXml" Target="../ink/ink6.xml"/><Relationship Id="rId72" Type="http://schemas.openxmlformats.org/officeDocument/2006/relationships/image" Target="../media/image60.png"/><Relationship Id="rId80" Type="http://schemas.openxmlformats.org/officeDocument/2006/relationships/image" Target="../media/image68.png"/><Relationship Id="rId85" Type="http://schemas.openxmlformats.org/officeDocument/2006/relationships/chart" Target="../charts/chart5.xml"/><Relationship Id="rId93" Type="http://schemas.openxmlformats.org/officeDocument/2006/relationships/chart" Target="../charts/chart8.xml"/><Relationship Id="rId3" Type="http://schemas.openxmlformats.org/officeDocument/2006/relationships/image" Target="../media/image20.png"/><Relationship Id="rId25" Type="http://schemas.openxmlformats.org/officeDocument/2006/relationships/image" Target="../media/image220.png"/><Relationship Id="rId33" Type="http://schemas.openxmlformats.org/officeDocument/2006/relationships/image" Target="../media/image30.png"/><Relationship Id="rId38" Type="http://schemas.openxmlformats.org/officeDocument/2006/relationships/image" Target="../media/image35.png"/><Relationship Id="rId46" Type="http://schemas.openxmlformats.org/officeDocument/2006/relationships/image" Target="../media/image43.png"/><Relationship Id="rId59" Type="http://schemas.openxmlformats.org/officeDocument/2006/relationships/customXml" Target="../ink/ink10.xml"/><Relationship Id="rId67" Type="http://schemas.openxmlformats.org/officeDocument/2006/relationships/image" Target="../media/image55.png"/><Relationship Id="rId41" Type="http://schemas.openxmlformats.org/officeDocument/2006/relationships/image" Target="../media/image38.png"/><Relationship Id="rId54" Type="http://schemas.openxmlformats.org/officeDocument/2006/relationships/image" Target="../media/image45.png"/><Relationship Id="rId62" Type="http://schemas.openxmlformats.org/officeDocument/2006/relationships/image" Target="../media/image50.png"/><Relationship Id="rId70" Type="http://schemas.openxmlformats.org/officeDocument/2006/relationships/image" Target="../media/image58.png"/><Relationship Id="rId75" Type="http://schemas.openxmlformats.org/officeDocument/2006/relationships/image" Target="../media/image63.png"/><Relationship Id="rId83" Type="http://schemas.openxmlformats.org/officeDocument/2006/relationships/chart" Target="../charts/chart4.xml"/><Relationship Id="rId88" Type="http://schemas.openxmlformats.org/officeDocument/2006/relationships/image" Target="../media/image73.png"/><Relationship Id="rId91" Type="http://schemas.openxmlformats.org/officeDocument/2006/relationships/image" Target="../media/image74.png"/><Relationship Id="rId96" Type="http://schemas.openxmlformats.org/officeDocument/2006/relationships/chart" Target="../charts/chart9.xml"/><Relationship Id="rId1" Type="http://schemas.openxmlformats.org/officeDocument/2006/relationships/image" Target="../media/image18.png"/><Relationship Id="rId6" Type="http://schemas.openxmlformats.org/officeDocument/2006/relationships/image" Target="../media/image23.png"/><Relationship Id="rId23" Type="http://schemas.openxmlformats.org/officeDocument/2006/relationships/image" Target="../media/image210.png"/><Relationship Id="rId28" Type="http://schemas.openxmlformats.org/officeDocument/2006/relationships/image" Target="../media/image241.png"/><Relationship Id="rId36" Type="http://schemas.openxmlformats.org/officeDocument/2006/relationships/image" Target="../media/image33.png"/><Relationship Id="rId49" Type="http://schemas.openxmlformats.org/officeDocument/2006/relationships/customXml" Target="../ink/ink5.xml"/><Relationship Id="rId57" Type="http://schemas.openxmlformats.org/officeDocument/2006/relationships/customXml" Target="../ink/ink9.xml"/><Relationship Id="rId31" Type="http://schemas.openxmlformats.org/officeDocument/2006/relationships/image" Target="../media/image28.png"/><Relationship Id="rId44" Type="http://schemas.openxmlformats.org/officeDocument/2006/relationships/image" Target="../media/image41.png"/><Relationship Id="rId52" Type="http://schemas.openxmlformats.org/officeDocument/2006/relationships/image" Target="../media/image44.png"/><Relationship Id="rId60" Type="http://schemas.openxmlformats.org/officeDocument/2006/relationships/image" Target="../media/image48.png"/><Relationship Id="rId65" Type="http://schemas.openxmlformats.org/officeDocument/2006/relationships/image" Target="../media/image53.png"/><Relationship Id="rId73" Type="http://schemas.openxmlformats.org/officeDocument/2006/relationships/image" Target="../media/image61.png"/><Relationship Id="rId78" Type="http://schemas.openxmlformats.org/officeDocument/2006/relationships/image" Target="../media/image66.png"/><Relationship Id="rId81" Type="http://schemas.openxmlformats.org/officeDocument/2006/relationships/image" Target="../media/image69.png"/><Relationship Id="rId86" Type="http://schemas.openxmlformats.org/officeDocument/2006/relationships/customXml" Target="../ink/ink11.xml"/><Relationship Id="rId94" Type="http://schemas.openxmlformats.org/officeDocument/2006/relationships/image" Target="../media/image75.png"/><Relationship Id="rId4" Type="http://schemas.openxmlformats.org/officeDocument/2006/relationships/image" Target="../media/image21.png"/><Relationship Id="rId39" Type="http://schemas.openxmlformats.org/officeDocument/2006/relationships/image" Target="../media/image36.png"/><Relationship Id="rId34" Type="http://schemas.openxmlformats.org/officeDocument/2006/relationships/image" Target="../media/image31.png"/><Relationship Id="rId50" Type="http://schemas.openxmlformats.org/officeDocument/2006/relationships/image" Target="../media/image431.png"/><Relationship Id="rId55" Type="http://schemas.openxmlformats.org/officeDocument/2006/relationships/customXml" Target="../ink/ink8.xml"/><Relationship Id="rId76" Type="http://schemas.openxmlformats.org/officeDocument/2006/relationships/image" Target="../media/image64.png"/><Relationship Id="rId7" Type="http://schemas.openxmlformats.org/officeDocument/2006/relationships/image" Target="../media/image24.png"/><Relationship Id="rId71" Type="http://schemas.openxmlformats.org/officeDocument/2006/relationships/image" Target="../media/image59.png"/><Relationship Id="rId92" Type="http://schemas.openxmlformats.org/officeDocument/2006/relationships/chart" Target="../charts/chart7.xml"/><Relationship Id="rId2" Type="http://schemas.openxmlformats.org/officeDocument/2006/relationships/image" Target="../media/image19.png"/><Relationship Id="rId29" Type="http://schemas.openxmlformats.org/officeDocument/2006/relationships/image" Target="../media/image26.png"/><Relationship Id="rId24" Type="http://schemas.openxmlformats.org/officeDocument/2006/relationships/customXml" Target="../ink/ink2.xml"/><Relationship Id="rId40" Type="http://schemas.openxmlformats.org/officeDocument/2006/relationships/image" Target="../media/image37.png"/><Relationship Id="rId45" Type="http://schemas.openxmlformats.org/officeDocument/2006/relationships/image" Target="../media/image42.png"/><Relationship Id="rId66" Type="http://schemas.openxmlformats.org/officeDocument/2006/relationships/image" Target="../media/image54.png"/><Relationship Id="rId87" Type="http://schemas.openxmlformats.org/officeDocument/2006/relationships/image" Target="../media/image72.png"/></Relationships>
</file>

<file path=xl/drawings/_rels/drawing4.xml.rels><?xml version="1.0" encoding="UTF-8" standalone="yes"?>
<Relationships xmlns="http://schemas.openxmlformats.org/package/2006/relationships"><Relationship Id="rId8" Type="http://schemas.openxmlformats.org/officeDocument/2006/relationships/customXml" Target="../ink/ink14.xml"/><Relationship Id="rId13" Type="http://schemas.openxmlformats.org/officeDocument/2006/relationships/image" Target="../media/image87.png"/><Relationship Id="rId18" Type="http://schemas.openxmlformats.org/officeDocument/2006/relationships/customXml" Target="../ink/ink15.xml"/><Relationship Id="rId26" Type="http://schemas.openxmlformats.org/officeDocument/2006/relationships/image" Target="../media/image98.png"/><Relationship Id="rId3" Type="http://schemas.openxmlformats.org/officeDocument/2006/relationships/image" Target="../media/image79.png"/><Relationship Id="rId21" Type="http://schemas.openxmlformats.org/officeDocument/2006/relationships/image" Target="../media/image93.png"/><Relationship Id="rId7" Type="http://schemas.openxmlformats.org/officeDocument/2006/relationships/image" Target="../media/image82.png"/><Relationship Id="rId12" Type="http://schemas.openxmlformats.org/officeDocument/2006/relationships/image" Target="../media/image86.png"/><Relationship Id="rId17" Type="http://schemas.openxmlformats.org/officeDocument/2006/relationships/image" Target="../media/image91.png"/><Relationship Id="rId25" Type="http://schemas.openxmlformats.org/officeDocument/2006/relationships/image" Target="../media/image97.png"/><Relationship Id="rId2" Type="http://schemas.openxmlformats.org/officeDocument/2006/relationships/image" Target="../media/image78.png"/><Relationship Id="rId16" Type="http://schemas.openxmlformats.org/officeDocument/2006/relationships/image" Target="../media/image90.png"/><Relationship Id="rId20" Type="http://schemas.openxmlformats.org/officeDocument/2006/relationships/customXml" Target="../ink/ink16.xml"/><Relationship Id="rId1" Type="http://schemas.openxmlformats.org/officeDocument/2006/relationships/image" Target="../media/image77.png"/><Relationship Id="rId6" Type="http://schemas.openxmlformats.org/officeDocument/2006/relationships/image" Target="../media/image81.png"/><Relationship Id="rId11" Type="http://schemas.openxmlformats.org/officeDocument/2006/relationships/image" Target="../media/image85.png"/><Relationship Id="rId24" Type="http://schemas.openxmlformats.org/officeDocument/2006/relationships/image" Target="../media/image96.png"/><Relationship Id="rId5" Type="http://schemas.openxmlformats.org/officeDocument/2006/relationships/image" Target="../media/image80.png"/><Relationship Id="rId15" Type="http://schemas.openxmlformats.org/officeDocument/2006/relationships/image" Target="../media/image89.png"/><Relationship Id="rId23" Type="http://schemas.openxmlformats.org/officeDocument/2006/relationships/image" Target="../media/image95.png"/><Relationship Id="rId10" Type="http://schemas.openxmlformats.org/officeDocument/2006/relationships/image" Target="../media/image84.png"/><Relationship Id="rId19" Type="http://schemas.openxmlformats.org/officeDocument/2006/relationships/image" Target="../media/image92.png"/><Relationship Id="rId4" Type="http://schemas.openxmlformats.org/officeDocument/2006/relationships/customXml" Target="../ink/ink13.xml"/><Relationship Id="rId9" Type="http://schemas.openxmlformats.org/officeDocument/2006/relationships/image" Target="../media/image83.png"/><Relationship Id="rId14" Type="http://schemas.openxmlformats.org/officeDocument/2006/relationships/image" Target="../media/image88.png"/><Relationship Id="rId22" Type="http://schemas.openxmlformats.org/officeDocument/2006/relationships/image" Target="../media/image94.png"/><Relationship Id="rId27" Type="http://schemas.openxmlformats.org/officeDocument/2006/relationships/image" Target="../media/image9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9.png"/><Relationship Id="rId13" Type="http://schemas.openxmlformats.org/officeDocument/2006/relationships/customXml" Target="../ink/ink20.xml"/><Relationship Id="rId18" Type="http://schemas.openxmlformats.org/officeDocument/2006/relationships/image" Target="../media/image113.png"/><Relationship Id="rId26" Type="http://schemas.openxmlformats.org/officeDocument/2006/relationships/customXml" Target="../ink/ink22.xml"/><Relationship Id="rId3" Type="http://schemas.openxmlformats.org/officeDocument/2006/relationships/image" Target="../media/image106.png"/><Relationship Id="rId21" Type="http://schemas.openxmlformats.org/officeDocument/2006/relationships/image" Target="../media/image116.png"/><Relationship Id="rId7" Type="http://schemas.openxmlformats.org/officeDocument/2006/relationships/image" Target="../media/image108.png"/><Relationship Id="rId12" Type="http://schemas.openxmlformats.org/officeDocument/2006/relationships/image" Target="../media/image290.png"/><Relationship Id="rId17" Type="http://schemas.openxmlformats.org/officeDocument/2006/relationships/image" Target="../media/image112.png"/><Relationship Id="rId25" Type="http://schemas.openxmlformats.org/officeDocument/2006/relationships/image" Target="../media/image400.png"/><Relationship Id="rId2" Type="http://schemas.openxmlformats.org/officeDocument/2006/relationships/image" Target="../media/image105.png"/><Relationship Id="rId16" Type="http://schemas.openxmlformats.org/officeDocument/2006/relationships/image" Target="../media/image111.png"/><Relationship Id="rId20" Type="http://schemas.openxmlformats.org/officeDocument/2006/relationships/image" Target="../media/image115.png"/><Relationship Id="rId29" Type="http://schemas.openxmlformats.org/officeDocument/2006/relationships/image" Target="../media/image420.png"/><Relationship Id="rId1" Type="http://schemas.openxmlformats.org/officeDocument/2006/relationships/image" Target="../media/image104.png"/><Relationship Id="rId6" Type="http://schemas.openxmlformats.org/officeDocument/2006/relationships/image" Target="../media/image107.png"/><Relationship Id="rId11" Type="http://schemas.openxmlformats.org/officeDocument/2006/relationships/customXml" Target="../ink/ink19.xml"/><Relationship Id="rId24" Type="http://schemas.openxmlformats.org/officeDocument/2006/relationships/customXml" Target="../ink/ink21.xml"/><Relationship Id="rId32" Type="http://schemas.openxmlformats.org/officeDocument/2006/relationships/image" Target="../media/image119.png"/><Relationship Id="rId5" Type="http://schemas.openxmlformats.org/officeDocument/2006/relationships/image" Target="../media/image24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customXml" Target="../ink/ink23.xml"/><Relationship Id="rId10" Type="http://schemas.openxmlformats.org/officeDocument/2006/relationships/image" Target="../media/image280.png"/><Relationship Id="rId19" Type="http://schemas.openxmlformats.org/officeDocument/2006/relationships/image" Target="../media/image114.png"/><Relationship Id="rId31" Type="http://schemas.openxmlformats.org/officeDocument/2006/relationships/image" Target="../media/image430.png"/><Relationship Id="rId4" Type="http://schemas.openxmlformats.org/officeDocument/2006/relationships/customXml" Target="../ink/ink17.xml"/><Relationship Id="rId9" Type="http://schemas.openxmlformats.org/officeDocument/2006/relationships/customXml" Target="../ink/ink18.xml"/><Relationship Id="rId14" Type="http://schemas.openxmlformats.org/officeDocument/2006/relationships/image" Target="../media/image300.png"/><Relationship Id="rId22" Type="http://schemas.openxmlformats.org/officeDocument/2006/relationships/image" Target="../media/image117.png"/><Relationship Id="rId27" Type="http://schemas.openxmlformats.org/officeDocument/2006/relationships/image" Target="../media/image410.png"/><Relationship Id="rId30" Type="http://schemas.openxmlformats.org/officeDocument/2006/relationships/customXml" Target="../ink/ink2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365760</xdr:colOff>
      <xdr:row>43</xdr:row>
      <xdr:rowOff>98590</xdr:rowOff>
    </xdr:to>
    <xdr:pic>
      <xdr:nvPicPr>
        <xdr:cNvPr id="3" name="Picture 2">
          <a:extLst>
            <a:ext uri="{FF2B5EF4-FFF2-40B4-BE49-F238E27FC236}">
              <a16:creationId xmlns:a16="http://schemas.microsoft.com/office/drawing/2014/main" id="{281B0220-6C5F-5462-6AF8-23320EF6A376}"/>
            </a:ext>
          </a:extLst>
        </xdr:cNvPr>
        <xdr:cNvPicPr>
          <a:picLocks noChangeAspect="1"/>
        </xdr:cNvPicPr>
      </xdr:nvPicPr>
      <xdr:blipFill>
        <a:blip xmlns:r="http://schemas.openxmlformats.org/officeDocument/2006/relationships" r:embed="rId1"/>
        <a:stretch>
          <a:fillRect/>
        </a:stretch>
      </xdr:blipFill>
      <xdr:spPr>
        <a:xfrm>
          <a:off x="0" y="0"/>
          <a:ext cx="7772400" cy="8844836"/>
        </a:xfrm>
        <a:prstGeom prst="rect">
          <a:avLst/>
        </a:prstGeom>
      </xdr:spPr>
    </xdr:pic>
    <xdr:clientData/>
  </xdr:twoCellAnchor>
  <xdr:twoCellAnchor editAs="oneCell">
    <xdr:from>
      <xdr:col>21</xdr:col>
      <xdr:colOff>87340</xdr:colOff>
      <xdr:row>0</xdr:row>
      <xdr:rowOff>20320</xdr:rowOff>
    </xdr:from>
    <xdr:to>
      <xdr:col>24</xdr:col>
      <xdr:colOff>599820</xdr:colOff>
      <xdr:row>6</xdr:row>
      <xdr:rowOff>794</xdr:rowOff>
    </xdr:to>
    <xdr:pic>
      <xdr:nvPicPr>
        <xdr:cNvPr id="4" name="Picture 3">
          <a:extLst>
            <a:ext uri="{FF2B5EF4-FFF2-40B4-BE49-F238E27FC236}">
              <a16:creationId xmlns:a16="http://schemas.microsoft.com/office/drawing/2014/main" id="{4191A4A4-887A-CF46-9260-501BEF8E6CC9}"/>
            </a:ext>
          </a:extLst>
        </xdr:cNvPr>
        <xdr:cNvPicPr>
          <a:picLocks noChangeAspect="1"/>
        </xdr:cNvPicPr>
      </xdr:nvPicPr>
      <xdr:blipFill>
        <a:blip xmlns:r="http://schemas.openxmlformats.org/officeDocument/2006/relationships" r:embed="rId2"/>
        <a:stretch>
          <a:fillRect/>
        </a:stretch>
      </xdr:blipFill>
      <xdr:spPr>
        <a:xfrm>
          <a:off x="19939980" y="20320"/>
          <a:ext cx="2981360" cy="1209842"/>
        </a:xfrm>
        <a:prstGeom prst="rect">
          <a:avLst/>
        </a:prstGeom>
      </xdr:spPr>
    </xdr:pic>
    <xdr:clientData/>
  </xdr:twoCellAnchor>
  <xdr:twoCellAnchor editAs="oneCell">
    <xdr:from>
      <xdr:col>21</xdr:col>
      <xdr:colOff>71120</xdr:colOff>
      <xdr:row>6</xdr:row>
      <xdr:rowOff>14535</xdr:rowOff>
    </xdr:from>
    <xdr:to>
      <xdr:col>25</xdr:col>
      <xdr:colOff>170180</xdr:colOff>
      <xdr:row>12</xdr:row>
      <xdr:rowOff>154235</xdr:rowOff>
    </xdr:to>
    <xdr:pic>
      <xdr:nvPicPr>
        <xdr:cNvPr id="5" name="Picture 4">
          <a:extLst>
            <a:ext uri="{FF2B5EF4-FFF2-40B4-BE49-F238E27FC236}">
              <a16:creationId xmlns:a16="http://schemas.microsoft.com/office/drawing/2014/main" id="{FD929435-3831-174D-9A4B-FE9F729DE877}"/>
            </a:ext>
          </a:extLst>
        </xdr:cNvPr>
        <xdr:cNvPicPr>
          <a:picLocks noChangeAspect="1"/>
        </xdr:cNvPicPr>
      </xdr:nvPicPr>
      <xdr:blipFill>
        <a:blip xmlns:r="http://schemas.openxmlformats.org/officeDocument/2006/relationships" r:embed="rId3"/>
        <a:stretch>
          <a:fillRect/>
        </a:stretch>
      </xdr:blipFill>
      <xdr:spPr>
        <a:xfrm>
          <a:off x="20309840" y="1233735"/>
          <a:ext cx="3390900" cy="1358900"/>
        </a:xfrm>
        <a:prstGeom prst="rect">
          <a:avLst/>
        </a:prstGeom>
      </xdr:spPr>
    </xdr:pic>
    <xdr:clientData/>
  </xdr:twoCellAnchor>
  <xdr:twoCellAnchor editAs="oneCell">
    <xdr:from>
      <xdr:col>21</xdr:col>
      <xdr:colOff>91440</xdr:colOff>
      <xdr:row>13</xdr:row>
      <xdr:rowOff>14535</xdr:rowOff>
    </xdr:from>
    <xdr:to>
      <xdr:col>25</xdr:col>
      <xdr:colOff>211667</xdr:colOff>
      <xdr:row>16</xdr:row>
      <xdr:rowOff>124189</xdr:rowOff>
    </xdr:to>
    <xdr:pic>
      <xdr:nvPicPr>
        <xdr:cNvPr id="6" name="Picture 5">
          <a:extLst>
            <a:ext uri="{FF2B5EF4-FFF2-40B4-BE49-F238E27FC236}">
              <a16:creationId xmlns:a16="http://schemas.microsoft.com/office/drawing/2014/main" id="{CF99719E-73B4-DC4E-B6FE-F7F1B7D6B016}"/>
            </a:ext>
          </a:extLst>
        </xdr:cNvPr>
        <xdr:cNvPicPr>
          <a:picLocks noChangeAspect="1"/>
        </xdr:cNvPicPr>
      </xdr:nvPicPr>
      <xdr:blipFill>
        <a:blip xmlns:r="http://schemas.openxmlformats.org/officeDocument/2006/relationships" r:embed="rId4"/>
        <a:stretch>
          <a:fillRect/>
        </a:stretch>
      </xdr:blipFill>
      <xdr:spPr>
        <a:xfrm>
          <a:off x="20330160" y="2656135"/>
          <a:ext cx="3412067" cy="719253"/>
        </a:xfrm>
        <a:prstGeom prst="rect">
          <a:avLst/>
        </a:prstGeom>
      </xdr:spPr>
    </xdr:pic>
    <xdr:clientData/>
  </xdr:twoCellAnchor>
  <xdr:twoCellAnchor editAs="oneCell">
    <xdr:from>
      <xdr:col>21</xdr:col>
      <xdr:colOff>172720</xdr:colOff>
      <xdr:row>26</xdr:row>
      <xdr:rowOff>121920</xdr:rowOff>
    </xdr:from>
    <xdr:to>
      <xdr:col>25</xdr:col>
      <xdr:colOff>474980</xdr:colOff>
      <xdr:row>33</xdr:row>
      <xdr:rowOff>45720</xdr:rowOff>
    </xdr:to>
    <xdr:pic>
      <xdr:nvPicPr>
        <xdr:cNvPr id="7" name="Picture 6">
          <a:extLst>
            <a:ext uri="{FF2B5EF4-FFF2-40B4-BE49-F238E27FC236}">
              <a16:creationId xmlns:a16="http://schemas.microsoft.com/office/drawing/2014/main" id="{393AFB10-984C-8CD5-2D38-05F8AA7BF905}"/>
            </a:ext>
          </a:extLst>
        </xdr:cNvPr>
        <xdr:cNvPicPr>
          <a:picLocks noChangeAspect="1"/>
        </xdr:cNvPicPr>
      </xdr:nvPicPr>
      <xdr:blipFill>
        <a:blip xmlns:r="http://schemas.openxmlformats.org/officeDocument/2006/relationships" r:embed="rId5"/>
        <a:stretch>
          <a:fillRect/>
        </a:stretch>
      </xdr:blipFill>
      <xdr:spPr>
        <a:xfrm>
          <a:off x="20025360" y="5405120"/>
          <a:ext cx="3594100" cy="1346200"/>
        </a:xfrm>
        <a:prstGeom prst="rect">
          <a:avLst/>
        </a:prstGeom>
      </xdr:spPr>
    </xdr:pic>
    <xdr:clientData/>
  </xdr:twoCellAnchor>
  <xdr:twoCellAnchor editAs="oneCell">
    <xdr:from>
      <xdr:col>21</xdr:col>
      <xdr:colOff>193040</xdr:colOff>
      <xdr:row>33</xdr:row>
      <xdr:rowOff>182880</xdr:rowOff>
    </xdr:from>
    <xdr:to>
      <xdr:col>26</xdr:col>
      <xdr:colOff>713740</xdr:colOff>
      <xdr:row>38</xdr:row>
      <xdr:rowOff>119380</xdr:rowOff>
    </xdr:to>
    <xdr:pic>
      <xdr:nvPicPr>
        <xdr:cNvPr id="8" name="Picture 7">
          <a:extLst>
            <a:ext uri="{FF2B5EF4-FFF2-40B4-BE49-F238E27FC236}">
              <a16:creationId xmlns:a16="http://schemas.microsoft.com/office/drawing/2014/main" id="{1725B03C-EB77-9747-DBC9-099BFF8DA3B7}"/>
            </a:ext>
          </a:extLst>
        </xdr:cNvPr>
        <xdr:cNvPicPr>
          <a:picLocks noChangeAspect="1"/>
        </xdr:cNvPicPr>
      </xdr:nvPicPr>
      <xdr:blipFill>
        <a:blip xmlns:r="http://schemas.openxmlformats.org/officeDocument/2006/relationships" r:embed="rId6"/>
        <a:stretch>
          <a:fillRect/>
        </a:stretch>
      </xdr:blipFill>
      <xdr:spPr>
        <a:xfrm>
          <a:off x="20045680" y="6888480"/>
          <a:ext cx="4635500" cy="952500"/>
        </a:xfrm>
        <a:prstGeom prst="rect">
          <a:avLst/>
        </a:prstGeom>
      </xdr:spPr>
    </xdr:pic>
    <xdr:clientData/>
  </xdr:twoCellAnchor>
  <xdr:twoCellAnchor editAs="oneCell">
    <xdr:from>
      <xdr:col>21</xdr:col>
      <xdr:colOff>132080</xdr:colOff>
      <xdr:row>38</xdr:row>
      <xdr:rowOff>193040</xdr:rowOff>
    </xdr:from>
    <xdr:to>
      <xdr:col>25</xdr:col>
      <xdr:colOff>637540</xdr:colOff>
      <xdr:row>44</xdr:row>
      <xdr:rowOff>27940</xdr:rowOff>
    </xdr:to>
    <xdr:pic>
      <xdr:nvPicPr>
        <xdr:cNvPr id="9" name="Picture 8">
          <a:extLst>
            <a:ext uri="{FF2B5EF4-FFF2-40B4-BE49-F238E27FC236}">
              <a16:creationId xmlns:a16="http://schemas.microsoft.com/office/drawing/2014/main" id="{545F6B7A-EC87-9321-C1B6-8685BDFE9446}"/>
            </a:ext>
          </a:extLst>
        </xdr:cNvPr>
        <xdr:cNvPicPr>
          <a:picLocks noChangeAspect="1"/>
        </xdr:cNvPicPr>
      </xdr:nvPicPr>
      <xdr:blipFill>
        <a:blip xmlns:r="http://schemas.openxmlformats.org/officeDocument/2006/relationships" r:embed="rId7"/>
        <a:stretch>
          <a:fillRect/>
        </a:stretch>
      </xdr:blipFill>
      <xdr:spPr>
        <a:xfrm>
          <a:off x="19984720" y="7914640"/>
          <a:ext cx="3797300" cy="1054100"/>
        </a:xfrm>
        <a:prstGeom prst="rect">
          <a:avLst/>
        </a:prstGeom>
      </xdr:spPr>
    </xdr:pic>
    <xdr:clientData/>
  </xdr:twoCellAnchor>
  <xdr:twoCellAnchor>
    <xdr:from>
      <xdr:col>14</xdr:col>
      <xdr:colOff>636443</xdr:colOff>
      <xdr:row>18</xdr:row>
      <xdr:rowOff>165389</xdr:rowOff>
    </xdr:from>
    <xdr:to>
      <xdr:col>18</xdr:col>
      <xdr:colOff>316056</xdr:colOff>
      <xdr:row>32</xdr:row>
      <xdr:rowOff>79952</xdr:rowOff>
    </xdr:to>
    <xdr:graphicFrame macro="">
      <xdr:nvGraphicFramePr>
        <xdr:cNvPr id="11" name="Chart 10">
          <a:extLst>
            <a:ext uri="{FF2B5EF4-FFF2-40B4-BE49-F238E27FC236}">
              <a16:creationId xmlns:a16="http://schemas.microsoft.com/office/drawing/2014/main" id="{18853C18-B040-9B54-E26E-A635074E8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47</xdr:row>
      <xdr:rowOff>0</xdr:rowOff>
    </xdr:from>
    <xdr:to>
      <xdr:col>9</xdr:col>
      <xdr:colOff>368877</xdr:colOff>
      <xdr:row>79</xdr:row>
      <xdr:rowOff>190526</xdr:rowOff>
    </xdr:to>
    <xdr:pic>
      <xdr:nvPicPr>
        <xdr:cNvPr id="12" name="Picture 11">
          <a:extLst>
            <a:ext uri="{FF2B5EF4-FFF2-40B4-BE49-F238E27FC236}">
              <a16:creationId xmlns:a16="http://schemas.microsoft.com/office/drawing/2014/main" id="{38AB16A0-C12C-EA0C-4C18-8AB237E6A9DA}"/>
            </a:ext>
          </a:extLst>
        </xdr:cNvPr>
        <xdr:cNvPicPr>
          <a:picLocks noChangeAspect="1"/>
        </xdr:cNvPicPr>
      </xdr:nvPicPr>
      <xdr:blipFill>
        <a:blip xmlns:r="http://schemas.openxmlformats.org/officeDocument/2006/relationships" r:embed="rId9"/>
        <a:stretch>
          <a:fillRect/>
        </a:stretch>
      </xdr:blipFill>
      <xdr:spPr>
        <a:xfrm>
          <a:off x="0" y="9496136"/>
          <a:ext cx="7772400" cy="6655981"/>
        </a:xfrm>
        <a:prstGeom prst="rect">
          <a:avLst/>
        </a:prstGeom>
      </xdr:spPr>
    </xdr:pic>
    <xdr:clientData/>
  </xdr:twoCellAnchor>
  <xdr:twoCellAnchor editAs="oneCell">
    <xdr:from>
      <xdr:col>21</xdr:col>
      <xdr:colOff>86591</xdr:colOff>
      <xdr:row>53</xdr:row>
      <xdr:rowOff>14432</xdr:rowOff>
    </xdr:from>
    <xdr:to>
      <xdr:col>30</xdr:col>
      <xdr:colOff>455468</xdr:colOff>
      <xdr:row>71</xdr:row>
      <xdr:rowOff>39611</xdr:rowOff>
    </xdr:to>
    <xdr:pic>
      <xdr:nvPicPr>
        <xdr:cNvPr id="13" name="Picture 12">
          <a:extLst>
            <a:ext uri="{FF2B5EF4-FFF2-40B4-BE49-F238E27FC236}">
              <a16:creationId xmlns:a16="http://schemas.microsoft.com/office/drawing/2014/main" id="{F7A7C741-AD9A-FB41-DDEB-E8A5FEBAC984}"/>
            </a:ext>
          </a:extLst>
        </xdr:cNvPr>
        <xdr:cNvPicPr>
          <a:picLocks noChangeAspect="1"/>
        </xdr:cNvPicPr>
      </xdr:nvPicPr>
      <xdr:blipFill>
        <a:blip xmlns:r="http://schemas.openxmlformats.org/officeDocument/2006/relationships" r:embed="rId10"/>
        <a:stretch>
          <a:fillRect/>
        </a:stretch>
      </xdr:blipFill>
      <xdr:spPr>
        <a:xfrm>
          <a:off x="19915909" y="10722841"/>
          <a:ext cx="7772400" cy="3661996"/>
        </a:xfrm>
        <a:prstGeom prst="rect">
          <a:avLst/>
        </a:prstGeom>
      </xdr:spPr>
    </xdr:pic>
    <xdr:clientData/>
  </xdr:twoCellAnchor>
  <xdr:twoCellAnchor editAs="oneCell">
    <xdr:from>
      <xdr:col>21</xdr:col>
      <xdr:colOff>0</xdr:colOff>
      <xdr:row>74</xdr:row>
      <xdr:rowOff>0</xdr:rowOff>
    </xdr:from>
    <xdr:to>
      <xdr:col>30</xdr:col>
      <xdr:colOff>368877</xdr:colOff>
      <xdr:row>98</xdr:row>
      <xdr:rowOff>130216</xdr:rowOff>
    </xdr:to>
    <xdr:pic>
      <xdr:nvPicPr>
        <xdr:cNvPr id="14" name="Picture 13">
          <a:extLst>
            <a:ext uri="{FF2B5EF4-FFF2-40B4-BE49-F238E27FC236}">
              <a16:creationId xmlns:a16="http://schemas.microsoft.com/office/drawing/2014/main" id="{4EBC7CBB-475E-4D07-5218-C3BC12B3634C}"/>
            </a:ext>
          </a:extLst>
        </xdr:cNvPr>
        <xdr:cNvPicPr>
          <a:picLocks noChangeAspect="1"/>
        </xdr:cNvPicPr>
      </xdr:nvPicPr>
      <xdr:blipFill>
        <a:blip xmlns:r="http://schemas.openxmlformats.org/officeDocument/2006/relationships" r:embed="rId11"/>
        <a:stretch>
          <a:fillRect/>
        </a:stretch>
      </xdr:blipFill>
      <xdr:spPr>
        <a:xfrm>
          <a:off x="19829318" y="14951364"/>
          <a:ext cx="7772400" cy="4979307"/>
        </a:xfrm>
        <a:prstGeom prst="rect">
          <a:avLst/>
        </a:prstGeom>
      </xdr:spPr>
    </xdr:pic>
    <xdr:clientData/>
  </xdr:twoCellAnchor>
  <xdr:twoCellAnchor editAs="oneCell">
    <xdr:from>
      <xdr:col>0</xdr:col>
      <xdr:colOff>0</xdr:colOff>
      <xdr:row>81</xdr:row>
      <xdr:rowOff>0</xdr:rowOff>
    </xdr:from>
    <xdr:to>
      <xdr:col>9</xdr:col>
      <xdr:colOff>311150</xdr:colOff>
      <xdr:row>99</xdr:row>
      <xdr:rowOff>10851</xdr:rowOff>
    </xdr:to>
    <xdr:pic>
      <xdr:nvPicPr>
        <xdr:cNvPr id="44" name="Picture 43">
          <a:extLst>
            <a:ext uri="{FF2B5EF4-FFF2-40B4-BE49-F238E27FC236}">
              <a16:creationId xmlns:a16="http://schemas.microsoft.com/office/drawing/2014/main" id="{27CDE41A-B19D-EEF9-2B2E-57A05362A4AC}"/>
            </a:ext>
          </a:extLst>
        </xdr:cNvPr>
        <xdr:cNvPicPr>
          <a:picLocks noChangeAspect="1"/>
        </xdr:cNvPicPr>
      </xdr:nvPicPr>
      <xdr:blipFill>
        <a:blip xmlns:r="http://schemas.openxmlformats.org/officeDocument/2006/relationships" r:embed="rId12"/>
        <a:stretch>
          <a:fillRect/>
        </a:stretch>
      </xdr:blipFill>
      <xdr:spPr>
        <a:xfrm>
          <a:off x="0" y="16536458"/>
          <a:ext cx="7772400" cy="3662101"/>
        </a:xfrm>
        <a:prstGeom prst="rect">
          <a:avLst/>
        </a:prstGeom>
      </xdr:spPr>
    </xdr:pic>
    <xdr:clientData/>
  </xdr:twoCellAnchor>
  <xdr:twoCellAnchor editAs="oneCell">
    <xdr:from>
      <xdr:col>0</xdr:col>
      <xdr:colOff>0</xdr:colOff>
      <xdr:row>102</xdr:row>
      <xdr:rowOff>0</xdr:rowOff>
    </xdr:from>
    <xdr:to>
      <xdr:col>9</xdr:col>
      <xdr:colOff>311150</xdr:colOff>
      <xdr:row>132</xdr:row>
      <xdr:rowOff>118933</xdr:rowOff>
    </xdr:to>
    <xdr:pic>
      <xdr:nvPicPr>
        <xdr:cNvPr id="45" name="Picture 44">
          <a:extLst>
            <a:ext uri="{FF2B5EF4-FFF2-40B4-BE49-F238E27FC236}">
              <a16:creationId xmlns:a16="http://schemas.microsoft.com/office/drawing/2014/main" id="{3D3278DB-759A-06E8-EE15-6EE90682B169}"/>
            </a:ext>
          </a:extLst>
        </xdr:cNvPr>
        <xdr:cNvPicPr>
          <a:picLocks noChangeAspect="1"/>
        </xdr:cNvPicPr>
      </xdr:nvPicPr>
      <xdr:blipFill>
        <a:blip xmlns:r="http://schemas.openxmlformats.org/officeDocument/2006/relationships" r:embed="rId13"/>
        <a:stretch>
          <a:fillRect/>
        </a:stretch>
      </xdr:blipFill>
      <xdr:spPr>
        <a:xfrm>
          <a:off x="0" y="20796250"/>
          <a:ext cx="7772400" cy="6204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xdr:row>
      <xdr:rowOff>0</xdr:rowOff>
    </xdr:from>
    <xdr:to>
      <xdr:col>9</xdr:col>
      <xdr:colOff>367048</xdr:colOff>
      <xdr:row>45</xdr:row>
      <xdr:rowOff>43557</xdr:rowOff>
    </xdr:to>
    <xdr:pic>
      <xdr:nvPicPr>
        <xdr:cNvPr id="2" name="Picture 1">
          <a:extLst>
            <a:ext uri="{FF2B5EF4-FFF2-40B4-BE49-F238E27FC236}">
              <a16:creationId xmlns:a16="http://schemas.microsoft.com/office/drawing/2014/main" id="{ACD0836E-62F0-4CEB-BDE7-39756F99265D}"/>
            </a:ext>
          </a:extLst>
        </xdr:cNvPr>
        <xdr:cNvPicPr>
          <a:picLocks noChangeAspect="1"/>
        </xdr:cNvPicPr>
      </xdr:nvPicPr>
      <xdr:blipFill>
        <a:blip xmlns:r="http://schemas.openxmlformats.org/officeDocument/2006/relationships" r:embed="rId1"/>
        <a:stretch>
          <a:fillRect/>
        </a:stretch>
      </xdr:blipFill>
      <xdr:spPr>
        <a:xfrm>
          <a:off x="0" y="3908380"/>
          <a:ext cx="7772400" cy="5391867"/>
        </a:xfrm>
        <a:prstGeom prst="rect">
          <a:avLst/>
        </a:prstGeom>
      </xdr:spPr>
    </xdr:pic>
    <xdr:clientData/>
  </xdr:twoCellAnchor>
  <xdr:twoCellAnchor>
    <xdr:from>
      <xdr:col>18</xdr:col>
      <xdr:colOff>552685</xdr:colOff>
      <xdr:row>19</xdr:row>
      <xdr:rowOff>121825</xdr:rowOff>
    </xdr:from>
    <xdr:to>
      <xdr:col>27</xdr:col>
      <xdr:colOff>305742</xdr:colOff>
      <xdr:row>39</xdr:row>
      <xdr:rowOff>141110</xdr:rowOff>
    </xdr:to>
    <xdr:graphicFrame macro="">
      <xdr:nvGraphicFramePr>
        <xdr:cNvPr id="3" name="Chart 2">
          <a:extLst>
            <a:ext uri="{FF2B5EF4-FFF2-40B4-BE49-F238E27FC236}">
              <a16:creationId xmlns:a16="http://schemas.microsoft.com/office/drawing/2014/main" id="{719E6750-45E7-50CE-8A16-D2D51CFEAE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529166</xdr:colOff>
      <xdr:row>40</xdr:row>
      <xdr:rowOff>110066</xdr:rowOff>
    </xdr:from>
    <xdr:to>
      <xdr:col>29</xdr:col>
      <xdr:colOff>246945</xdr:colOff>
      <xdr:row>60</xdr:row>
      <xdr:rowOff>141112</xdr:rowOff>
    </xdr:to>
    <xdr:graphicFrame macro="">
      <xdr:nvGraphicFramePr>
        <xdr:cNvPr id="4" name="Chart 3">
          <a:extLst>
            <a:ext uri="{FF2B5EF4-FFF2-40B4-BE49-F238E27FC236}">
              <a16:creationId xmlns:a16="http://schemas.microsoft.com/office/drawing/2014/main" id="{33F252B3-A261-CF20-5D11-F128ABE46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0</xdr:colOff>
      <xdr:row>53</xdr:row>
      <xdr:rowOff>0</xdr:rowOff>
    </xdr:from>
    <xdr:to>
      <xdr:col>7</xdr:col>
      <xdr:colOff>585611</xdr:colOff>
      <xdr:row>59</xdr:row>
      <xdr:rowOff>83256</xdr:rowOff>
    </xdr:to>
    <xdr:pic>
      <xdr:nvPicPr>
        <xdr:cNvPr id="21" name="Picture 20">
          <a:extLst>
            <a:ext uri="{FF2B5EF4-FFF2-40B4-BE49-F238E27FC236}">
              <a16:creationId xmlns:a16="http://schemas.microsoft.com/office/drawing/2014/main" id="{73363882-757B-0370-4A15-970AA060E0C9}"/>
            </a:ext>
          </a:extLst>
        </xdr:cNvPr>
        <xdr:cNvPicPr>
          <a:picLocks noChangeAspect="1"/>
        </xdr:cNvPicPr>
      </xdr:nvPicPr>
      <xdr:blipFill>
        <a:blip xmlns:r="http://schemas.openxmlformats.org/officeDocument/2006/relationships" r:embed="rId4"/>
        <a:stretch>
          <a:fillRect/>
        </a:stretch>
      </xdr:blipFill>
      <xdr:spPr>
        <a:xfrm>
          <a:off x="823148" y="10595093"/>
          <a:ext cx="5524500" cy="1282700"/>
        </a:xfrm>
        <a:prstGeom prst="rect">
          <a:avLst/>
        </a:prstGeom>
      </xdr:spPr>
    </xdr:pic>
    <xdr:clientData/>
  </xdr:twoCellAnchor>
  <xdr:twoCellAnchor>
    <xdr:from>
      <xdr:col>0</xdr:col>
      <xdr:colOff>799629</xdr:colOff>
      <xdr:row>65</xdr:row>
      <xdr:rowOff>129352</xdr:rowOff>
    </xdr:from>
    <xdr:to>
      <xdr:col>3</xdr:col>
      <xdr:colOff>332081</xdr:colOff>
      <xdr:row>66</xdr:row>
      <xdr:rowOff>107244</xdr:rowOff>
    </xdr:to>
    <xdr:pic>
      <xdr:nvPicPr>
        <xdr:cNvPr id="22" name="Picture 21">
          <a:extLst>
            <a:ext uri="{FF2B5EF4-FFF2-40B4-BE49-F238E27FC236}">
              <a16:creationId xmlns:a16="http://schemas.microsoft.com/office/drawing/2014/main" id="{EF194492-2B16-6211-1A22-581D5DDB45EE}"/>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99629" y="13123333"/>
          <a:ext cx="2001896" cy="17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66</xdr:row>
      <xdr:rowOff>164630</xdr:rowOff>
    </xdr:from>
    <xdr:to>
      <xdr:col>3</xdr:col>
      <xdr:colOff>355600</xdr:colOff>
      <xdr:row>67</xdr:row>
      <xdr:rowOff>142523</xdr:rowOff>
    </xdr:to>
    <xdr:pic>
      <xdr:nvPicPr>
        <xdr:cNvPr id="23" name="Picture 22">
          <a:extLst>
            <a:ext uri="{FF2B5EF4-FFF2-40B4-BE49-F238E27FC236}">
              <a16:creationId xmlns:a16="http://schemas.microsoft.com/office/drawing/2014/main" id="{CBD52B5D-F29F-7CF7-E434-E17707179417}"/>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148" y="13358519"/>
          <a:ext cx="2001896" cy="17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68</xdr:row>
      <xdr:rowOff>0</xdr:rowOff>
    </xdr:from>
    <xdr:to>
      <xdr:col>2</xdr:col>
      <xdr:colOff>431800</xdr:colOff>
      <xdr:row>69</xdr:row>
      <xdr:rowOff>177801</xdr:rowOff>
    </xdr:to>
    <xdr:pic>
      <xdr:nvPicPr>
        <xdr:cNvPr id="24" name="Picture 23">
          <a:extLst>
            <a:ext uri="{FF2B5EF4-FFF2-40B4-BE49-F238E27FC236}">
              <a16:creationId xmlns:a16="http://schemas.microsoft.com/office/drawing/2014/main" id="{51EB230C-BB4B-EF86-1DD3-443740017277}"/>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823148" y="13593704"/>
          <a:ext cx="1254948" cy="377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37353</xdr:colOff>
      <xdr:row>11</xdr:row>
      <xdr:rowOff>56029</xdr:rowOff>
    </xdr:from>
    <xdr:ext cx="7160511" cy="1329930"/>
    <xdr:pic>
      <xdr:nvPicPr>
        <xdr:cNvPr id="2" name="Picture 1">
          <a:extLst>
            <a:ext uri="{FF2B5EF4-FFF2-40B4-BE49-F238E27FC236}">
              <a16:creationId xmlns:a16="http://schemas.microsoft.com/office/drawing/2014/main" id="{72D5BC58-6D73-104D-8969-A6EB74C4EFB8}"/>
            </a:ext>
          </a:extLst>
        </xdr:cNvPr>
        <xdr:cNvPicPr>
          <a:picLocks noChangeAspect="1"/>
        </xdr:cNvPicPr>
      </xdr:nvPicPr>
      <xdr:blipFill>
        <a:blip xmlns:r="http://schemas.openxmlformats.org/officeDocument/2006/relationships" r:embed="rId1"/>
        <a:stretch>
          <a:fillRect/>
        </a:stretch>
      </xdr:blipFill>
      <xdr:spPr>
        <a:xfrm>
          <a:off x="28993353" y="2291229"/>
          <a:ext cx="7160511" cy="1329930"/>
        </a:xfrm>
        <a:prstGeom prst="rect">
          <a:avLst/>
        </a:prstGeom>
      </xdr:spPr>
    </xdr:pic>
    <xdr:clientData/>
  </xdr:oneCellAnchor>
  <xdr:oneCellAnchor>
    <xdr:from>
      <xdr:col>1</xdr:col>
      <xdr:colOff>74706</xdr:colOff>
      <xdr:row>17</xdr:row>
      <xdr:rowOff>112058</xdr:rowOff>
    </xdr:from>
    <xdr:ext cx="3558713" cy="652266"/>
    <xdr:pic>
      <xdr:nvPicPr>
        <xdr:cNvPr id="3" name="Picture 2">
          <a:extLst>
            <a:ext uri="{FF2B5EF4-FFF2-40B4-BE49-F238E27FC236}">
              <a16:creationId xmlns:a16="http://schemas.microsoft.com/office/drawing/2014/main" id="{D7C9B1AB-C774-1046-918C-CC176E159C50}"/>
            </a:ext>
          </a:extLst>
        </xdr:cNvPr>
        <xdr:cNvPicPr>
          <a:picLocks noChangeAspect="1"/>
        </xdr:cNvPicPr>
      </xdr:nvPicPr>
      <xdr:blipFill>
        <a:blip xmlns:r="http://schemas.openxmlformats.org/officeDocument/2006/relationships" r:embed="rId2"/>
        <a:stretch>
          <a:fillRect/>
        </a:stretch>
      </xdr:blipFill>
      <xdr:spPr>
        <a:xfrm>
          <a:off x="29030706" y="3566458"/>
          <a:ext cx="3558713" cy="652266"/>
        </a:xfrm>
        <a:prstGeom prst="rect">
          <a:avLst/>
        </a:prstGeom>
      </xdr:spPr>
    </xdr:pic>
    <xdr:clientData/>
  </xdr:oneCellAnchor>
  <xdr:oneCellAnchor>
    <xdr:from>
      <xdr:col>1</xdr:col>
      <xdr:colOff>466912</xdr:colOff>
      <xdr:row>25</xdr:row>
      <xdr:rowOff>186765</xdr:rowOff>
    </xdr:from>
    <xdr:ext cx="2449609" cy="588765"/>
    <xdr:pic>
      <xdr:nvPicPr>
        <xdr:cNvPr id="4" name="Picture 3">
          <a:extLst>
            <a:ext uri="{FF2B5EF4-FFF2-40B4-BE49-F238E27FC236}">
              <a16:creationId xmlns:a16="http://schemas.microsoft.com/office/drawing/2014/main" id="{57D2E747-701E-6E40-AB02-EABD8F4EA139}"/>
            </a:ext>
          </a:extLst>
        </xdr:cNvPr>
        <xdr:cNvPicPr>
          <a:picLocks noChangeAspect="1"/>
        </xdr:cNvPicPr>
      </xdr:nvPicPr>
      <xdr:blipFill>
        <a:blip xmlns:r="http://schemas.openxmlformats.org/officeDocument/2006/relationships" r:embed="rId3"/>
        <a:stretch>
          <a:fillRect/>
        </a:stretch>
      </xdr:blipFill>
      <xdr:spPr>
        <a:xfrm>
          <a:off x="29422912" y="5266765"/>
          <a:ext cx="2449609" cy="588765"/>
        </a:xfrm>
        <a:prstGeom prst="rect">
          <a:avLst/>
        </a:prstGeom>
      </xdr:spPr>
    </xdr:pic>
    <xdr:clientData/>
  </xdr:oneCellAnchor>
  <xdr:oneCellAnchor>
    <xdr:from>
      <xdr:col>2</xdr:col>
      <xdr:colOff>9338</xdr:colOff>
      <xdr:row>92</xdr:row>
      <xdr:rowOff>168087</xdr:rowOff>
    </xdr:from>
    <xdr:ext cx="5829174" cy="453814"/>
    <xdr:pic>
      <xdr:nvPicPr>
        <xdr:cNvPr id="5" name="Picture 4">
          <a:extLst>
            <a:ext uri="{FF2B5EF4-FFF2-40B4-BE49-F238E27FC236}">
              <a16:creationId xmlns:a16="http://schemas.microsoft.com/office/drawing/2014/main" id="{0E83DB24-1CA5-9D4B-B828-B2489DD63FA4}"/>
            </a:ext>
          </a:extLst>
        </xdr:cNvPr>
        <xdr:cNvPicPr>
          <a:picLocks noChangeAspect="1"/>
        </xdr:cNvPicPr>
      </xdr:nvPicPr>
      <xdr:blipFill rotWithShape="1">
        <a:blip xmlns:r="http://schemas.openxmlformats.org/officeDocument/2006/relationships" r:embed="rId4"/>
        <a:srcRect t="18810"/>
        <a:stretch/>
      </xdr:blipFill>
      <xdr:spPr>
        <a:xfrm>
          <a:off x="29790838" y="18862487"/>
          <a:ext cx="5829174" cy="453814"/>
        </a:xfrm>
        <a:prstGeom prst="rect">
          <a:avLst/>
        </a:prstGeom>
      </xdr:spPr>
    </xdr:pic>
    <xdr:clientData/>
  </xdr:oneCellAnchor>
  <xdr:oneCellAnchor>
    <xdr:from>
      <xdr:col>2</xdr:col>
      <xdr:colOff>18677</xdr:colOff>
      <xdr:row>101</xdr:row>
      <xdr:rowOff>102722</xdr:rowOff>
    </xdr:from>
    <xdr:ext cx="3989611" cy="664965"/>
    <xdr:pic>
      <xdr:nvPicPr>
        <xdr:cNvPr id="6" name="Picture 5">
          <a:extLst>
            <a:ext uri="{FF2B5EF4-FFF2-40B4-BE49-F238E27FC236}">
              <a16:creationId xmlns:a16="http://schemas.microsoft.com/office/drawing/2014/main" id="{4B5679DF-03A8-5845-AFC0-CC2BF5D1ABDF}"/>
            </a:ext>
          </a:extLst>
        </xdr:cNvPr>
        <xdr:cNvPicPr>
          <a:picLocks noChangeAspect="1"/>
        </xdr:cNvPicPr>
      </xdr:nvPicPr>
      <xdr:blipFill>
        <a:blip xmlns:r="http://schemas.openxmlformats.org/officeDocument/2006/relationships" r:embed="rId5"/>
        <a:stretch>
          <a:fillRect/>
        </a:stretch>
      </xdr:blipFill>
      <xdr:spPr>
        <a:xfrm>
          <a:off x="29800177" y="20625922"/>
          <a:ext cx="3989611" cy="664965"/>
        </a:xfrm>
        <a:prstGeom prst="rect">
          <a:avLst/>
        </a:prstGeom>
      </xdr:spPr>
    </xdr:pic>
    <xdr:clientData/>
  </xdr:oneCellAnchor>
  <xdr:oneCellAnchor>
    <xdr:from>
      <xdr:col>2</xdr:col>
      <xdr:colOff>84044</xdr:colOff>
      <xdr:row>108</xdr:row>
      <xdr:rowOff>46691</xdr:rowOff>
    </xdr:from>
    <xdr:ext cx="3566776" cy="511044"/>
    <xdr:pic>
      <xdr:nvPicPr>
        <xdr:cNvPr id="7" name="Picture 6">
          <a:extLst>
            <a:ext uri="{FF2B5EF4-FFF2-40B4-BE49-F238E27FC236}">
              <a16:creationId xmlns:a16="http://schemas.microsoft.com/office/drawing/2014/main" id="{036DA198-3F53-7B4A-AD61-83F37D8BCBF7}"/>
            </a:ext>
          </a:extLst>
        </xdr:cNvPr>
        <xdr:cNvPicPr>
          <a:picLocks noChangeAspect="1"/>
        </xdr:cNvPicPr>
      </xdr:nvPicPr>
      <xdr:blipFill>
        <a:blip xmlns:r="http://schemas.openxmlformats.org/officeDocument/2006/relationships" r:embed="rId6"/>
        <a:stretch>
          <a:fillRect/>
        </a:stretch>
      </xdr:blipFill>
      <xdr:spPr>
        <a:xfrm>
          <a:off x="29865544" y="21992291"/>
          <a:ext cx="3566776" cy="511044"/>
        </a:xfrm>
        <a:prstGeom prst="rect">
          <a:avLst/>
        </a:prstGeom>
      </xdr:spPr>
    </xdr:pic>
    <xdr:clientData/>
  </xdr:oneCellAnchor>
  <xdr:oneCellAnchor>
    <xdr:from>
      <xdr:col>6</xdr:col>
      <xdr:colOff>29364</xdr:colOff>
      <xdr:row>205</xdr:row>
      <xdr:rowOff>90716</xdr:rowOff>
    </xdr:from>
    <xdr:ext cx="4851739" cy="3204229"/>
    <xdr:pic>
      <xdr:nvPicPr>
        <xdr:cNvPr id="8" name="Picture 7">
          <a:extLst>
            <a:ext uri="{FF2B5EF4-FFF2-40B4-BE49-F238E27FC236}">
              <a16:creationId xmlns:a16="http://schemas.microsoft.com/office/drawing/2014/main" id="{CF62F22B-649D-0D4C-B4D9-D35FE878BC8C}"/>
            </a:ext>
          </a:extLst>
        </xdr:cNvPr>
        <xdr:cNvPicPr>
          <a:picLocks noChangeAspect="1"/>
        </xdr:cNvPicPr>
      </xdr:nvPicPr>
      <xdr:blipFill>
        <a:blip xmlns:r="http://schemas.openxmlformats.org/officeDocument/2006/relationships" r:embed="rId7"/>
        <a:stretch>
          <a:fillRect/>
        </a:stretch>
      </xdr:blipFill>
      <xdr:spPr>
        <a:xfrm>
          <a:off x="33112864" y="41746716"/>
          <a:ext cx="4851739" cy="3204229"/>
        </a:xfrm>
        <a:prstGeom prst="rect">
          <a:avLst/>
        </a:prstGeom>
      </xdr:spPr>
    </xdr:pic>
    <xdr:clientData/>
  </xdr:oneCellAnchor>
  <xdr:oneCellAnchor>
    <xdr:from>
      <xdr:col>7</xdr:col>
      <xdr:colOff>236583</xdr:colOff>
      <xdr:row>211</xdr:row>
      <xdr:rowOff>14251</xdr:rowOff>
    </xdr:from>
    <xdr:ext cx="2600135" cy="927407"/>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9" name="Ink 8">
              <a:extLst>
                <a:ext uri="{FF2B5EF4-FFF2-40B4-BE49-F238E27FC236}">
                  <a16:creationId xmlns:a16="http://schemas.microsoft.com/office/drawing/2014/main" id="{3E830C4B-2330-6841-B012-F61FCBE14BFF}"/>
                </a:ext>
              </a:extLst>
            </xdr14:cNvPr>
            <xdr14:cNvContentPartPr/>
          </xdr14:nvContentPartPr>
          <xdr14:nvPr macro=""/>
          <xdr14:xfrm>
            <a:off x="35524440" y="42232680"/>
            <a:ext cx="2593080" cy="897840"/>
          </xdr14:xfrm>
        </xdr:contentPart>
      </mc:Choice>
      <mc:Fallback xmlns="">
        <xdr:pic>
          <xdr:nvPicPr>
            <xdr:cNvPr id="10" name="Ink 9">
              <a:extLst>
                <a:ext uri="{FF2B5EF4-FFF2-40B4-BE49-F238E27FC236}">
                  <a16:creationId xmlns:a16="http://schemas.microsoft.com/office/drawing/2014/main" id="{0D20B66B-FA99-1400-316C-3B1772E96769}"/>
                </a:ext>
              </a:extLst>
            </xdr:cNvPr>
            <xdr:cNvPicPr/>
          </xdr:nvPicPr>
          <xdr:blipFill>
            <a:blip xmlns:r="http://schemas.openxmlformats.org/officeDocument/2006/relationships" r:embed="rId23"/>
            <a:stretch>
              <a:fillRect/>
            </a:stretch>
          </xdr:blipFill>
          <xdr:spPr>
            <a:xfrm>
              <a:off x="35520120" y="42228430"/>
              <a:ext cx="2601720" cy="906340"/>
            </a:xfrm>
            <a:prstGeom prst="rect">
              <a:avLst/>
            </a:prstGeom>
          </xdr:spPr>
        </xdr:pic>
      </mc:Fallback>
    </mc:AlternateContent>
    <xdr:clientData/>
  </xdr:oneCellAnchor>
  <xdr:oneCellAnchor>
    <xdr:from>
      <xdr:col>8</xdr:col>
      <xdr:colOff>678283</xdr:colOff>
      <xdr:row>215</xdr:row>
      <xdr:rowOff>28126</xdr:rowOff>
    </xdr:from>
    <xdr:ext cx="245712" cy="1390389"/>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10" name="Ink 9">
              <a:extLst>
                <a:ext uri="{FF2B5EF4-FFF2-40B4-BE49-F238E27FC236}">
                  <a16:creationId xmlns:a16="http://schemas.microsoft.com/office/drawing/2014/main" id="{3CB23B1B-81A1-5C44-BF0D-699164C48B67}"/>
                </a:ext>
              </a:extLst>
            </xdr14:cNvPr>
            <xdr14:cNvContentPartPr/>
          </xdr14:nvContentPartPr>
          <xdr14:nvPr macro=""/>
          <xdr14:xfrm>
            <a:off x="36791640" y="43044840"/>
            <a:ext cx="243360" cy="1346040"/>
          </xdr14:xfrm>
        </xdr:contentPart>
      </mc:Choice>
      <mc:Fallback xmlns="">
        <xdr:pic>
          <xdr:nvPicPr>
            <xdr:cNvPr id="21" name="Ink 20">
              <a:extLst>
                <a:ext uri="{FF2B5EF4-FFF2-40B4-BE49-F238E27FC236}">
                  <a16:creationId xmlns:a16="http://schemas.microsoft.com/office/drawing/2014/main" id="{594AA530-C565-95D1-8F70-AB911434C55D}"/>
                </a:ext>
              </a:extLst>
            </xdr:cNvPr>
            <xdr:cNvPicPr/>
          </xdr:nvPicPr>
          <xdr:blipFill>
            <a:blip xmlns:r="http://schemas.openxmlformats.org/officeDocument/2006/relationships" r:embed="rId25"/>
            <a:stretch>
              <a:fillRect/>
            </a:stretch>
          </xdr:blipFill>
          <xdr:spPr>
            <a:xfrm>
              <a:off x="36787320" y="43040589"/>
              <a:ext cx="252000" cy="1354541"/>
            </a:xfrm>
            <a:prstGeom prst="rect">
              <a:avLst/>
            </a:prstGeom>
          </xdr:spPr>
        </xdr:pic>
      </mc:Fallback>
    </mc:AlternateContent>
    <xdr:clientData/>
  </xdr:oneCellAnchor>
  <xdr:oneCellAnchor>
    <xdr:from>
      <xdr:col>6</xdr:col>
      <xdr:colOff>12699</xdr:colOff>
      <xdr:row>233</xdr:row>
      <xdr:rowOff>38100</xdr:rowOff>
    </xdr:from>
    <xdr:ext cx="4880760" cy="3129845"/>
    <xdr:pic>
      <xdr:nvPicPr>
        <xdr:cNvPr id="11" name="Picture 10">
          <a:extLst>
            <a:ext uri="{FF2B5EF4-FFF2-40B4-BE49-F238E27FC236}">
              <a16:creationId xmlns:a16="http://schemas.microsoft.com/office/drawing/2014/main" id="{03ADBF39-944A-8143-8728-44986539F443}"/>
            </a:ext>
          </a:extLst>
        </xdr:cNvPr>
        <xdr:cNvPicPr>
          <a:picLocks noChangeAspect="1"/>
        </xdr:cNvPicPr>
      </xdr:nvPicPr>
      <xdr:blipFill>
        <a:blip xmlns:r="http://schemas.openxmlformats.org/officeDocument/2006/relationships" r:embed="rId26"/>
        <a:stretch>
          <a:fillRect/>
        </a:stretch>
      </xdr:blipFill>
      <xdr:spPr>
        <a:xfrm>
          <a:off x="33096199" y="47383700"/>
          <a:ext cx="4880760" cy="3129845"/>
        </a:xfrm>
        <a:prstGeom prst="rect">
          <a:avLst/>
        </a:prstGeom>
      </xdr:spPr>
    </xdr:pic>
    <xdr:clientData/>
  </xdr:oneCellAnchor>
  <xdr:oneCellAnchor>
    <xdr:from>
      <xdr:col>10</xdr:col>
      <xdr:colOff>491880</xdr:colOff>
      <xdr:row>203</xdr:row>
      <xdr:rowOff>131960</xdr:rowOff>
    </xdr:from>
    <xdr:ext cx="126000" cy="132018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2" name="Ink 11">
              <a:extLst>
                <a:ext uri="{FF2B5EF4-FFF2-40B4-BE49-F238E27FC236}">
                  <a16:creationId xmlns:a16="http://schemas.microsoft.com/office/drawing/2014/main" id="{0DD0E1C9-251B-C54F-AFDD-C8567309D833}"/>
                </a:ext>
              </a:extLst>
            </xdr14:cNvPr>
            <xdr14:cNvContentPartPr/>
          </xdr14:nvContentPartPr>
          <xdr14:nvPr macro=""/>
          <xdr14:xfrm>
            <a:off x="38195640" y="41483160"/>
            <a:ext cx="126000" cy="1293840"/>
          </xdr14:xfrm>
        </xdr:contentPart>
      </mc:Choice>
      <mc:Fallback xmlns="">
        <xdr:pic>
          <xdr:nvPicPr>
            <xdr:cNvPr id="26" name="Ink 25">
              <a:extLst>
                <a:ext uri="{FF2B5EF4-FFF2-40B4-BE49-F238E27FC236}">
                  <a16:creationId xmlns:a16="http://schemas.microsoft.com/office/drawing/2014/main" id="{A7491EA6-96D1-2394-5389-000CDE6204E5}"/>
                </a:ext>
              </a:extLst>
            </xdr:cNvPr>
            <xdr:cNvPicPr/>
          </xdr:nvPicPr>
          <xdr:blipFill>
            <a:blip xmlns:r="http://schemas.openxmlformats.org/officeDocument/2006/relationships" r:embed="rId28"/>
            <a:stretch>
              <a:fillRect/>
            </a:stretch>
          </xdr:blipFill>
          <xdr:spPr>
            <a:xfrm>
              <a:off x="38191320" y="41478840"/>
              <a:ext cx="134640" cy="1302480"/>
            </a:xfrm>
            <a:prstGeom prst="rect">
              <a:avLst/>
            </a:prstGeom>
          </xdr:spPr>
        </xdr:pic>
      </mc:Fallback>
    </mc:AlternateContent>
    <xdr:clientData/>
  </xdr:oneCellAnchor>
  <xdr:oneCellAnchor>
    <xdr:from>
      <xdr:col>6</xdr:col>
      <xdr:colOff>0</xdr:colOff>
      <xdr:row>249</xdr:row>
      <xdr:rowOff>0</xdr:rowOff>
    </xdr:from>
    <xdr:ext cx="4240859" cy="1537641"/>
    <xdr:pic>
      <xdr:nvPicPr>
        <xdr:cNvPr id="13" name="Picture 12">
          <a:extLst>
            <a:ext uri="{FF2B5EF4-FFF2-40B4-BE49-F238E27FC236}">
              <a16:creationId xmlns:a16="http://schemas.microsoft.com/office/drawing/2014/main" id="{2CE7A11B-FB8B-5D45-ACE3-F18153E7490D}"/>
            </a:ext>
          </a:extLst>
        </xdr:cNvPr>
        <xdr:cNvPicPr>
          <a:picLocks noChangeAspect="1"/>
        </xdr:cNvPicPr>
      </xdr:nvPicPr>
      <xdr:blipFill>
        <a:blip xmlns:r="http://schemas.openxmlformats.org/officeDocument/2006/relationships" r:embed="rId29"/>
        <a:stretch>
          <a:fillRect/>
        </a:stretch>
      </xdr:blipFill>
      <xdr:spPr>
        <a:xfrm>
          <a:off x="33083500" y="50596800"/>
          <a:ext cx="4240859" cy="1537641"/>
        </a:xfrm>
        <a:prstGeom prst="rect">
          <a:avLst/>
        </a:prstGeom>
      </xdr:spPr>
    </xdr:pic>
    <xdr:clientData/>
  </xdr:oneCellAnchor>
  <xdr:oneCellAnchor>
    <xdr:from>
      <xdr:col>6</xdr:col>
      <xdr:colOff>0</xdr:colOff>
      <xdr:row>258</xdr:row>
      <xdr:rowOff>1</xdr:rowOff>
    </xdr:from>
    <xdr:ext cx="4808914" cy="3277164"/>
    <xdr:pic>
      <xdr:nvPicPr>
        <xdr:cNvPr id="14" name="Picture 13">
          <a:extLst>
            <a:ext uri="{FF2B5EF4-FFF2-40B4-BE49-F238E27FC236}">
              <a16:creationId xmlns:a16="http://schemas.microsoft.com/office/drawing/2014/main" id="{6AF1467F-9288-4C4F-B8CC-8884F210A540}"/>
            </a:ext>
          </a:extLst>
        </xdr:cNvPr>
        <xdr:cNvPicPr>
          <a:picLocks noChangeAspect="1"/>
        </xdr:cNvPicPr>
      </xdr:nvPicPr>
      <xdr:blipFill>
        <a:blip xmlns:r="http://schemas.openxmlformats.org/officeDocument/2006/relationships" r:embed="rId30"/>
        <a:stretch>
          <a:fillRect/>
        </a:stretch>
      </xdr:blipFill>
      <xdr:spPr>
        <a:xfrm>
          <a:off x="33083500" y="52425601"/>
          <a:ext cx="4808914" cy="3277164"/>
        </a:xfrm>
        <a:prstGeom prst="rect">
          <a:avLst/>
        </a:prstGeom>
      </xdr:spPr>
    </xdr:pic>
    <xdr:clientData/>
  </xdr:oneCellAnchor>
  <xdr:oneCellAnchor>
    <xdr:from>
      <xdr:col>1</xdr:col>
      <xdr:colOff>1249680</xdr:colOff>
      <xdr:row>279</xdr:row>
      <xdr:rowOff>20320</xdr:rowOff>
    </xdr:from>
    <xdr:ext cx="6292802" cy="2289292"/>
    <xdr:pic>
      <xdr:nvPicPr>
        <xdr:cNvPr id="15" name="Picture 14">
          <a:extLst>
            <a:ext uri="{FF2B5EF4-FFF2-40B4-BE49-F238E27FC236}">
              <a16:creationId xmlns:a16="http://schemas.microsoft.com/office/drawing/2014/main" id="{8C815008-308D-8B4F-A0BF-635F8CBAE413}"/>
            </a:ext>
          </a:extLst>
        </xdr:cNvPr>
        <xdr:cNvPicPr>
          <a:picLocks noChangeAspect="1"/>
        </xdr:cNvPicPr>
      </xdr:nvPicPr>
      <xdr:blipFill>
        <a:blip xmlns:r="http://schemas.openxmlformats.org/officeDocument/2006/relationships" r:embed="rId31"/>
        <a:stretch>
          <a:fillRect/>
        </a:stretch>
      </xdr:blipFill>
      <xdr:spPr>
        <a:xfrm>
          <a:off x="29786580" y="56713120"/>
          <a:ext cx="6292802" cy="2289292"/>
        </a:xfrm>
        <a:prstGeom prst="rect">
          <a:avLst/>
        </a:prstGeom>
      </xdr:spPr>
    </xdr:pic>
    <xdr:clientData/>
  </xdr:oneCellAnchor>
  <xdr:oneCellAnchor>
    <xdr:from>
      <xdr:col>1</xdr:col>
      <xdr:colOff>1320800</xdr:colOff>
      <xdr:row>289</xdr:row>
      <xdr:rowOff>162560</xdr:rowOff>
    </xdr:from>
    <xdr:ext cx="6178502" cy="4244623"/>
    <xdr:pic>
      <xdr:nvPicPr>
        <xdr:cNvPr id="16" name="Picture 15">
          <a:extLst>
            <a:ext uri="{FF2B5EF4-FFF2-40B4-BE49-F238E27FC236}">
              <a16:creationId xmlns:a16="http://schemas.microsoft.com/office/drawing/2014/main" id="{610A2D8D-9D58-F444-9C13-6CA1E96D4A1D}"/>
            </a:ext>
          </a:extLst>
        </xdr:cNvPr>
        <xdr:cNvPicPr>
          <a:picLocks noChangeAspect="1"/>
        </xdr:cNvPicPr>
      </xdr:nvPicPr>
      <xdr:blipFill>
        <a:blip xmlns:r="http://schemas.openxmlformats.org/officeDocument/2006/relationships" r:embed="rId32"/>
        <a:stretch>
          <a:fillRect/>
        </a:stretch>
      </xdr:blipFill>
      <xdr:spPr>
        <a:xfrm>
          <a:off x="29781500" y="58887360"/>
          <a:ext cx="6178502" cy="4244623"/>
        </a:xfrm>
        <a:prstGeom prst="rect">
          <a:avLst/>
        </a:prstGeom>
      </xdr:spPr>
    </xdr:pic>
    <xdr:clientData/>
  </xdr:oneCellAnchor>
  <xdr:oneCellAnchor>
    <xdr:from>
      <xdr:col>2</xdr:col>
      <xdr:colOff>349250</xdr:colOff>
      <xdr:row>341</xdr:row>
      <xdr:rowOff>21167</xdr:rowOff>
    </xdr:from>
    <xdr:ext cx="7406686" cy="3110795"/>
    <xdr:pic>
      <xdr:nvPicPr>
        <xdr:cNvPr id="17" name="Picture 16">
          <a:extLst>
            <a:ext uri="{FF2B5EF4-FFF2-40B4-BE49-F238E27FC236}">
              <a16:creationId xmlns:a16="http://schemas.microsoft.com/office/drawing/2014/main" id="{4B77ACA1-FC46-FF41-A319-D2D1F7835AC0}"/>
            </a:ext>
          </a:extLst>
        </xdr:cNvPr>
        <xdr:cNvPicPr>
          <a:picLocks noChangeAspect="1"/>
        </xdr:cNvPicPr>
      </xdr:nvPicPr>
      <xdr:blipFill>
        <a:blip xmlns:r="http://schemas.openxmlformats.org/officeDocument/2006/relationships" r:embed="rId33"/>
        <a:stretch>
          <a:fillRect/>
        </a:stretch>
      </xdr:blipFill>
      <xdr:spPr>
        <a:xfrm>
          <a:off x="30130750" y="69312367"/>
          <a:ext cx="7406686" cy="3110795"/>
        </a:xfrm>
        <a:prstGeom prst="rect">
          <a:avLst/>
        </a:prstGeom>
      </xdr:spPr>
    </xdr:pic>
    <xdr:clientData/>
  </xdr:oneCellAnchor>
  <xdr:oneCellAnchor>
    <xdr:from>
      <xdr:col>0</xdr:col>
      <xdr:colOff>814916</xdr:colOff>
      <xdr:row>370</xdr:row>
      <xdr:rowOff>169333</xdr:rowOff>
    </xdr:from>
    <xdr:ext cx="7791214" cy="1305409"/>
    <xdr:pic>
      <xdr:nvPicPr>
        <xdr:cNvPr id="18" name="Picture 17">
          <a:extLst>
            <a:ext uri="{FF2B5EF4-FFF2-40B4-BE49-F238E27FC236}">
              <a16:creationId xmlns:a16="http://schemas.microsoft.com/office/drawing/2014/main" id="{613550B3-93E5-5A49-9C35-0EF03CF94793}"/>
            </a:ext>
          </a:extLst>
        </xdr:cNvPr>
        <xdr:cNvPicPr>
          <a:picLocks noChangeAspect="1"/>
        </xdr:cNvPicPr>
      </xdr:nvPicPr>
      <xdr:blipFill>
        <a:blip xmlns:r="http://schemas.openxmlformats.org/officeDocument/2006/relationships" r:embed="rId34"/>
        <a:stretch>
          <a:fillRect/>
        </a:stretch>
      </xdr:blipFill>
      <xdr:spPr>
        <a:xfrm>
          <a:off x="28945416" y="75353333"/>
          <a:ext cx="7791214" cy="1305409"/>
        </a:xfrm>
        <a:prstGeom prst="rect">
          <a:avLst/>
        </a:prstGeom>
      </xdr:spPr>
    </xdr:pic>
    <xdr:clientData/>
  </xdr:oneCellAnchor>
  <xdr:oneCellAnchor>
    <xdr:from>
      <xdr:col>1</xdr:col>
      <xdr:colOff>21168</xdr:colOff>
      <xdr:row>431</xdr:row>
      <xdr:rowOff>10583</xdr:rowOff>
    </xdr:from>
    <xdr:ext cx="4707937" cy="2112378"/>
    <xdr:pic>
      <xdr:nvPicPr>
        <xdr:cNvPr id="19" name="Picture 18">
          <a:extLst>
            <a:ext uri="{FF2B5EF4-FFF2-40B4-BE49-F238E27FC236}">
              <a16:creationId xmlns:a16="http://schemas.microsoft.com/office/drawing/2014/main" id="{EE4DAB31-4BCB-E14D-9F4B-0EAE4F1B1BAB}"/>
            </a:ext>
          </a:extLst>
        </xdr:cNvPr>
        <xdr:cNvPicPr>
          <a:picLocks noChangeAspect="1"/>
        </xdr:cNvPicPr>
      </xdr:nvPicPr>
      <xdr:blipFill>
        <a:blip xmlns:r="http://schemas.openxmlformats.org/officeDocument/2006/relationships" r:embed="rId35"/>
        <a:stretch>
          <a:fillRect/>
        </a:stretch>
      </xdr:blipFill>
      <xdr:spPr>
        <a:xfrm>
          <a:off x="28977168" y="87589783"/>
          <a:ext cx="4707937" cy="2112378"/>
        </a:xfrm>
        <a:prstGeom prst="rect">
          <a:avLst/>
        </a:prstGeom>
      </xdr:spPr>
    </xdr:pic>
    <xdr:clientData/>
  </xdr:oneCellAnchor>
  <xdr:oneCellAnchor>
    <xdr:from>
      <xdr:col>1</xdr:col>
      <xdr:colOff>0</xdr:colOff>
      <xdr:row>377</xdr:row>
      <xdr:rowOff>63500</xdr:rowOff>
    </xdr:from>
    <xdr:ext cx="7788862" cy="2468300"/>
    <xdr:pic>
      <xdr:nvPicPr>
        <xdr:cNvPr id="20" name="Picture 19">
          <a:extLst>
            <a:ext uri="{FF2B5EF4-FFF2-40B4-BE49-F238E27FC236}">
              <a16:creationId xmlns:a16="http://schemas.microsoft.com/office/drawing/2014/main" id="{22285EE7-7D00-274C-8BE2-35847B6E40BC}"/>
            </a:ext>
          </a:extLst>
        </xdr:cNvPr>
        <xdr:cNvPicPr>
          <a:picLocks noChangeAspect="1"/>
        </xdr:cNvPicPr>
      </xdr:nvPicPr>
      <xdr:blipFill>
        <a:blip xmlns:r="http://schemas.openxmlformats.org/officeDocument/2006/relationships" r:embed="rId36"/>
        <a:stretch>
          <a:fillRect/>
        </a:stretch>
      </xdr:blipFill>
      <xdr:spPr>
        <a:xfrm>
          <a:off x="28956000" y="76669900"/>
          <a:ext cx="7788862" cy="2468300"/>
        </a:xfrm>
        <a:prstGeom prst="rect">
          <a:avLst/>
        </a:prstGeom>
      </xdr:spPr>
    </xdr:pic>
    <xdr:clientData/>
  </xdr:oneCellAnchor>
  <xdr:oneCellAnchor>
    <xdr:from>
      <xdr:col>8</xdr:col>
      <xdr:colOff>645582</xdr:colOff>
      <xdr:row>370</xdr:row>
      <xdr:rowOff>190498</xdr:rowOff>
    </xdr:from>
    <xdr:ext cx="2993140" cy="1332325"/>
    <xdr:pic>
      <xdr:nvPicPr>
        <xdr:cNvPr id="21" name="Picture 20">
          <a:extLst>
            <a:ext uri="{FF2B5EF4-FFF2-40B4-BE49-F238E27FC236}">
              <a16:creationId xmlns:a16="http://schemas.microsoft.com/office/drawing/2014/main" id="{89260F99-798B-9042-992C-CDBAE58330A3}"/>
            </a:ext>
          </a:extLst>
        </xdr:cNvPr>
        <xdr:cNvPicPr>
          <a:picLocks noChangeAspect="1"/>
        </xdr:cNvPicPr>
      </xdr:nvPicPr>
      <xdr:blipFill>
        <a:blip xmlns:r="http://schemas.openxmlformats.org/officeDocument/2006/relationships" r:embed="rId37"/>
        <a:stretch>
          <a:fillRect/>
        </a:stretch>
      </xdr:blipFill>
      <xdr:spPr>
        <a:xfrm>
          <a:off x="35380082" y="75374498"/>
          <a:ext cx="2993140" cy="1332325"/>
        </a:xfrm>
        <a:prstGeom prst="rect">
          <a:avLst/>
        </a:prstGeom>
      </xdr:spPr>
    </xdr:pic>
    <xdr:clientData/>
  </xdr:oneCellAnchor>
  <xdr:oneCellAnchor>
    <xdr:from>
      <xdr:col>1</xdr:col>
      <xdr:colOff>1153583</xdr:colOff>
      <xdr:row>398</xdr:row>
      <xdr:rowOff>95250</xdr:rowOff>
    </xdr:from>
    <xdr:ext cx="3276835" cy="601839"/>
    <xdr:pic>
      <xdr:nvPicPr>
        <xdr:cNvPr id="22" name="Picture 21">
          <a:extLst>
            <a:ext uri="{FF2B5EF4-FFF2-40B4-BE49-F238E27FC236}">
              <a16:creationId xmlns:a16="http://schemas.microsoft.com/office/drawing/2014/main" id="{3DDC0C53-0FB3-CE45-B0A4-BDCECF719C99}"/>
            </a:ext>
          </a:extLst>
        </xdr:cNvPr>
        <xdr:cNvPicPr>
          <a:picLocks noChangeAspect="1"/>
        </xdr:cNvPicPr>
      </xdr:nvPicPr>
      <xdr:blipFill>
        <a:blip xmlns:r="http://schemas.openxmlformats.org/officeDocument/2006/relationships" r:embed="rId38"/>
        <a:stretch>
          <a:fillRect/>
        </a:stretch>
      </xdr:blipFill>
      <xdr:spPr>
        <a:xfrm>
          <a:off x="29779383" y="80968850"/>
          <a:ext cx="3276835" cy="601839"/>
        </a:xfrm>
        <a:prstGeom prst="rect">
          <a:avLst/>
        </a:prstGeom>
      </xdr:spPr>
    </xdr:pic>
    <xdr:clientData/>
  </xdr:oneCellAnchor>
  <xdr:oneCellAnchor>
    <xdr:from>
      <xdr:col>1</xdr:col>
      <xdr:colOff>1439333</xdr:colOff>
      <xdr:row>392</xdr:row>
      <xdr:rowOff>21167</xdr:rowOff>
    </xdr:from>
    <xdr:ext cx="4723459" cy="792338"/>
    <xdr:pic>
      <xdr:nvPicPr>
        <xdr:cNvPr id="23" name="Picture 22">
          <a:extLst>
            <a:ext uri="{FF2B5EF4-FFF2-40B4-BE49-F238E27FC236}">
              <a16:creationId xmlns:a16="http://schemas.microsoft.com/office/drawing/2014/main" id="{D1320B23-2072-1644-BB93-E594E19A7B46}"/>
            </a:ext>
          </a:extLst>
        </xdr:cNvPr>
        <xdr:cNvPicPr>
          <a:picLocks noChangeAspect="1"/>
        </xdr:cNvPicPr>
      </xdr:nvPicPr>
      <xdr:blipFill>
        <a:blip xmlns:r="http://schemas.openxmlformats.org/officeDocument/2006/relationships" r:embed="rId39"/>
        <a:stretch>
          <a:fillRect/>
        </a:stretch>
      </xdr:blipFill>
      <xdr:spPr>
        <a:xfrm>
          <a:off x="29785733" y="79675567"/>
          <a:ext cx="4723459" cy="792338"/>
        </a:xfrm>
        <a:prstGeom prst="rect">
          <a:avLst/>
        </a:prstGeom>
      </xdr:spPr>
    </xdr:pic>
    <xdr:clientData/>
  </xdr:oneCellAnchor>
  <xdr:oneCellAnchor>
    <xdr:from>
      <xdr:col>2</xdr:col>
      <xdr:colOff>0</xdr:colOff>
      <xdr:row>418</xdr:row>
      <xdr:rowOff>0</xdr:rowOff>
    </xdr:from>
    <xdr:ext cx="2966155" cy="639938"/>
    <xdr:pic>
      <xdr:nvPicPr>
        <xdr:cNvPr id="24" name="Picture 23">
          <a:extLst>
            <a:ext uri="{FF2B5EF4-FFF2-40B4-BE49-F238E27FC236}">
              <a16:creationId xmlns:a16="http://schemas.microsoft.com/office/drawing/2014/main" id="{3FA87F9E-4241-7F40-815B-9BDA15D1577F}"/>
            </a:ext>
          </a:extLst>
        </xdr:cNvPr>
        <xdr:cNvPicPr>
          <a:picLocks noChangeAspect="1"/>
        </xdr:cNvPicPr>
      </xdr:nvPicPr>
      <xdr:blipFill>
        <a:blip xmlns:r="http://schemas.openxmlformats.org/officeDocument/2006/relationships" r:embed="rId40"/>
        <a:stretch>
          <a:fillRect/>
        </a:stretch>
      </xdr:blipFill>
      <xdr:spPr>
        <a:xfrm>
          <a:off x="29781500" y="84937600"/>
          <a:ext cx="2966155" cy="639938"/>
        </a:xfrm>
        <a:prstGeom prst="rect">
          <a:avLst/>
        </a:prstGeom>
      </xdr:spPr>
    </xdr:pic>
    <xdr:clientData/>
  </xdr:oneCellAnchor>
  <xdr:oneCellAnchor>
    <xdr:from>
      <xdr:col>1</xdr:col>
      <xdr:colOff>1460500</xdr:colOff>
      <xdr:row>421</xdr:row>
      <xdr:rowOff>42333</xdr:rowOff>
    </xdr:from>
    <xdr:ext cx="1839383" cy="874419"/>
    <xdr:pic>
      <xdr:nvPicPr>
        <xdr:cNvPr id="25" name="Picture 24">
          <a:extLst>
            <a:ext uri="{FF2B5EF4-FFF2-40B4-BE49-F238E27FC236}">
              <a16:creationId xmlns:a16="http://schemas.microsoft.com/office/drawing/2014/main" id="{F3755775-2799-F943-9448-D79A9729E4DA}"/>
            </a:ext>
          </a:extLst>
        </xdr:cNvPr>
        <xdr:cNvPicPr>
          <a:picLocks noChangeAspect="1"/>
        </xdr:cNvPicPr>
      </xdr:nvPicPr>
      <xdr:blipFill>
        <a:blip xmlns:r="http://schemas.openxmlformats.org/officeDocument/2006/relationships" r:embed="rId41"/>
        <a:stretch>
          <a:fillRect/>
        </a:stretch>
      </xdr:blipFill>
      <xdr:spPr>
        <a:xfrm>
          <a:off x="29781500" y="85589533"/>
          <a:ext cx="1839383" cy="874419"/>
        </a:xfrm>
        <a:prstGeom prst="rect">
          <a:avLst/>
        </a:prstGeom>
      </xdr:spPr>
    </xdr:pic>
    <xdr:clientData/>
  </xdr:oneCellAnchor>
  <xdr:oneCellAnchor>
    <xdr:from>
      <xdr:col>5</xdr:col>
      <xdr:colOff>158750</xdr:colOff>
      <xdr:row>431</xdr:row>
      <xdr:rowOff>52916</xdr:rowOff>
    </xdr:from>
    <xdr:ext cx="5507331" cy="1659937"/>
    <xdr:pic>
      <xdr:nvPicPr>
        <xdr:cNvPr id="26" name="Picture 25">
          <a:extLst>
            <a:ext uri="{FF2B5EF4-FFF2-40B4-BE49-F238E27FC236}">
              <a16:creationId xmlns:a16="http://schemas.microsoft.com/office/drawing/2014/main" id="{2F4635F5-EA8C-1F4B-8AC5-F046D4DF0F8C}"/>
            </a:ext>
          </a:extLst>
        </xdr:cNvPr>
        <xdr:cNvPicPr>
          <a:picLocks noChangeAspect="1"/>
        </xdr:cNvPicPr>
      </xdr:nvPicPr>
      <xdr:blipFill>
        <a:blip xmlns:r="http://schemas.openxmlformats.org/officeDocument/2006/relationships" r:embed="rId42"/>
        <a:stretch>
          <a:fillRect/>
        </a:stretch>
      </xdr:blipFill>
      <xdr:spPr>
        <a:xfrm>
          <a:off x="32416750" y="87632116"/>
          <a:ext cx="5507331" cy="1659937"/>
        </a:xfrm>
        <a:prstGeom prst="rect">
          <a:avLst/>
        </a:prstGeom>
      </xdr:spPr>
    </xdr:pic>
    <xdr:clientData/>
  </xdr:oneCellAnchor>
  <xdr:oneCellAnchor>
    <xdr:from>
      <xdr:col>1</xdr:col>
      <xdr:colOff>116416</xdr:colOff>
      <xdr:row>440</xdr:row>
      <xdr:rowOff>137584</xdr:rowOff>
    </xdr:from>
    <xdr:ext cx="6948311" cy="5543550"/>
    <xdr:pic>
      <xdr:nvPicPr>
        <xdr:cNvPr id="27" name="Picture 26">
          <a:extLst>
            <a:ext uri="{FF2B5EF4-FFF2-40B4-BE49-F238E27FC236}">
              <a16:creationId xmlns:a16="http://schemas.microsoft.com/office/drawing/2014/main" id="{B38C1467-8BD4-8B4F-9E95-0D42916C8435}"/>
            </a:ext>
          </a:extLst>
        </xdr:cNvPr>
        <xdr:cNvPicPr>
          <a:picLocks noChangeAspect="1"/>
        </xdr:cNvPicPr>
      </xdr:nvPicPr>
      <xdr:blipFill>
        <a:blip xmlns:r="http://schemas.openxmlformats.org/officeDocument/2006/relationships" r:embed="rId43"/>
        <a:stretch>
          <a:fillRect/>
        </a:stretch>
      </xdr:blipFill>
      <xdr:spPr>
        <a:xfrm>
          <a:off x="29072416" y="89545584"/>
          <a:ext cx="6948311" cy="5543550"/>
        </a:xfrm>
        <a:prstGeom prst="rect">
          <a:avLst/>
        </a:prstGeom>
      </xdr:spPr>
    </xdr:pic>
    <xdr:clientData/>
  </xdr:oneCellAnchor>
  <xdr:oneCellAnchor>
    <xdr:from>
      <xdr:col>1</xdr:col>
      <xdr:colOff>0</xdr:colOff>
      <xdr:row>469</xdr:row>
      <xdr:rowOff>0</xdr:rowOff>
    </xdr:from>
    <xdr:ext cx="7788862" cy="4048093"/>
    <xdr:pic>
      <xdr:nvPicPr>
        <xdr:cNvPr id="28" name="Picture 27">
          <a:extLst>
            <a:ext uri="{FF2B5EF4-FFF2-40B4-BE49-F238E27FC236}">
              <a16:creationId xmlns:a16="http://schemas.microsoft.com/office/drawing/2014/main" id="{160A1DE9-2AD2-994E-9D71-DEE580D64167}"/>
            </a:ext>
          </a:extLst>
        </xdr:cNvPr>
        <xdr:cNvPicPr>
          <a:picLocks noChangeAspect="1"/>
        </xdr:cNvPicPr>
      </xdr:nvPicPr>
      <xdr:blipFill>
        <a:blip xmlns:r="http://schemas.openxmlformats.org/officeDocument/2006/relationships" r:embed="rId44"/>
        <a:stretch>
          <a:fillRect/>
        </a:stretch>
      </xdr:blipFill>
      <xdr:spPr>
        <a:xfrm>
          <a:off x="28956000" y="95300800"/>
          <a:ext cx="7788862" cy="4048093"/>
        </a:xfrm>
        <a:prstGeom prst="rect">
          <a:avLst/>
        </a:prstGeom>
      </xdr:spPr>
    </xdr:pic>
    <xdr:clientData/>
  </xdr:oneCellAnchor>
  <xdr:oneCellAnchor>
    <xdr:from>
      <xdr:col>1</xdr:col>
      <xdr:colOff>352741</xdr:colOff>
      <xdr:row>492</xdr:row>
      <xdr:rowOff>82963</xdr:rowOff>
    </xdr:from>
    <xdr:ext cx="6766335" cy="5563294"/>
    <xdr:pic>
      <xdr:nvPicPr>
        <xdr:cNvPr id="29" name="Picture 28">
          <a:extLst>
            <a:ext uri="{FF2B5EF4-FFF2-40B4-BE49-F238E27FC236}">
              <a16:creationId xmlns:a16="http://schemas.microsoft.com/office/drawing/2014/main" id="{353EEB4A-0FE3-0D40-9357-2A3A3CB9B79C}"/>
            </a:ext>
          </a:extLst>
        </xdr:cNvPr>
        <xdr:cNvPicPr>
          <a:picLocks noChangeAspect="1"/>
        </xdr:cNvPicPr>
      </xdr:nvPicPr>
      <xdr:blipFill>
        <a:blip xmlns:r="http://schemas.openxmlformats.org/officeDocument/2006/relationships" r:embed="rId45"/>
        <a:stretch>
          <a:fillRect/>
        </a:stretch>
      </xdr:blipFill>
      <xdr:spPr>
        <a:xfrm>
          <a:off x="29308741" y="100057363"/>
          <a:ext cx="6766335" cy="5563294"/>
        </a:xfrm>
        <a:prstGeom prst="rect">
          <a:avLst/>
        </a:prstGeom>
      </xdr:spPr>
    </xdr:pic>
    <xdr:clientData/>
  </xdr:oneCellAnchor>
  <xdr:oneCellAnchor>
    <xdr:from>
      <xdr:col>1</xdr:col>
      <xdr:colOff>57247</xdr:colOff>
      <xdr:row>528</xdr:row>
      <xdr:rowOff>45080</xdr:rowOff>
    </xdr:from>
    <xdr:ext cx="6267354" cy="5572713"/>
    <xdr:pic>
      <xdr:nvPicPr>
        <xdr:cNvPr id="31" name="Picture 30">
          <a:extLst>
            <a:ext uri="{FF2B5EF4-FFF2-40B4-BE49-F238E27FC236}">
              <a16:creationId xmlns:a16="http://schemas.microsoft.com/office/drawing/2014/main" id="{5752C9F1-B9F5-5D46-B97A-78C7402D6746}"/>
            </a:ext>
          </a:extLst>
        </xdr:cNvPr>
        <xdr:cNvPicPr>
          <a:picLocks noChangeAspect="1"/>
        </xdr:cNvPicPr>
      </xdr:nvPicPr>
      <xdr:blipFill>
        <a:blip xmlns:r="http://schemas.openxmlformats.org/officeDocument/2006/relationships" r:embed="rId46"/>
        <a:stretch>
          <a:fillRect/>
        </a:stretch>
      </xdr:blipFill>
      <xdr:spPr>
        <a:xfrm>
          <a:off x="886980" y="107715680"/>
          <a:ext cx="6267354" cy="5572713"/>
        </a:xfrm>
        <a:prstGeom prst="rect">
          <a:avLst/>
        </a:prstGeom>
      </xdr:spPr>
    </xdr:pic>
    <xdr:clientData/>
  </xdr:oneCellAnchor>
  <xdr:oneCellAnchor>
    <xdr:from>
      <xdr:col>5</xdr:col>
      <xdr:colOff>21758</xdr:colOff>
      <xdr:row>497</xdr:row>
      <xdr:rowOff>149184</xdr:rowOff>
    </xdr:from>
    <xdr:ext cx="3741807" cy="298579"/>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32" name="Ink 31">
              <a:extLst>
                <a:ext uri="{FF2B5EF4-FFF2-40B4-BE49-F238E27FC236}">
                  <a16:creationId xmlns:a16="http://schemas.microsoft.com/office/drawing/2014/main" id="{E57D2F3C-3C34-D245-9473-C48E2BD9E7A6}"/>
                </a:ext>
              </a:extLst>
            </xdr14:cNvPr>
            <xdr14:cNvContentPartPr/>
          </xdr14:nvContentPartPr>
          <xdr14:nvPr macro=""/>
          <xdr14:xfrm>
            <a:off x="33635978" y="98696523"/>
            <a:ext cx="3738960" cy="280800"/>
          </xdr14:xfrm>
        </xdr:contentPart>
      </mc:Choice>
      <mc:Fallback xmlns="">
        <xdr:pic>
          <xdr:nvPicPr>
            <xdr:cNvPr id="32" name="Ink 31">
              <a:extLst>
                <a:ext uri="{FF2B5EF4-FFF2-40B4-BE49-F238E27FC236}">
                  <a16:creationId xmlns:a16="http://schemas.microsoft.com/office/drawing/2014/main" id="{E57D2F3C-3C34-D245-9473-C48E2BD9E7A6}"/>
                </a:ext>
              </a:extLst>
            </xdr:cNvPr>
            <xdr:cNvPicPr/>
          </xdr:nvPicPr>
          <xdr:blipFill>
            <a:blip xmlns:r="http://schemas.openxmlformats.org/officeDocument/2006/relationships" r:embed="rId48"/>
            <a:stretch>
              <a:fillRect/>
            </a:stretch>
          </xdr:blipFill>
          <xdr:spPr>
            <a:xfrm>
              <a:off x="33631661" y="98692463"/>
              <a:ext cx="3747593" cy="288920"/>
            </a:xfrm>
            <a:prstGeom prst="rect">
              <a:avLst/>
            </a:prstGeom>
          </xdr:spPr>
        </xdr:pic>
      </mc:Fallback>
    </mc:AlternateContent>
    <xdr:clientData/>
  </xdr:oneCellAnchor>
  <xdr:oneCellAnchor>
    <xdr:from>
      <xdr:col>2</xdr:col>
      <xdr:colOff>788291</xdr:colOff>
      <xdr:row>505</xdr:row>
      <xdr:rowOff>149673</xdr:rowOff>
    </xdr:from>
    <xdr:ext cx="106560" cy="7621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33" name="Ink 32">
              <a:extLst>
                <a:ext uri="{FF2B5EF4-FFF2-40B4-BE49-F238E27FC236}">
                  <a16:creationId xmlns:a16="http://schemas.microsoft.com/office/drawing/2014/main" id="{F417B8C9-212E-874D-A37E-C315BC4F44E0}"/>
                </a:ext>
              </a:extLst>
            </xdr14:cNvPr>
            <xdr14:cNvContentPartPr/>
          </xdr14:nvContentPartPr>
          <xdr14:nvPr macro=""/>
          <xdr14:xfrm>
            <a:off x="31256640" y="100281600"/>
            <a:ext cx="106560" cy="67320"/>
          </xdr14:xfrm>
        </xdr:contentPart>
      </mc:Choice>
      <mc:Fallback xmlns="">
        <xdr:pic>
          <xdr:nvPicPr>
            <xdr:cNvPr id="33" name="Ink 32">
              <a:extLst>
                <a:ext uri="{FF2B5EF4-FFF2-40B4-BE49-F238E27FC236}">
                  <a16:creationId xmlns:a16="http://schemas.microsoft.com/office/drawing/2014/main" id="{F417B8C9-212E-874D-A37E-C315BC4F44E0}"/>
                </a:ext>
              </a:extLst>
            </xdr:cNvPr>
            <xdr:cNvPicPr/>
          </xdr:nvPicPr>
          <xdr:blipFill>
            <a:blip xmlns:r="http://schemas.openxmlformats.org/officeDocument/2006/relationships" r:embed="rId50"/>
            <a:stretch>
              <a:fillRect/>
            </a:stretch>
          </xdr:blipFill>
          <xdr:spPr>
            <a:xfrm>
              <a:off x="31238640" y="100263960"/>
              <a:ext cx="142200" cy="102960"/>
            </a:xfrm>
            <a:prstGeom prst="rect">
              <a:avLst/>
            </a:prstGeom>
          </xdr:spPr>
        </xdr:pic>
      </mc:Fallback>
    </mc:AlternateContent>
    <xdr:clientData/>
  </xdr:oneCellAnchor>
  <xdr:oneCellAnchor>
    <xdr:from>
      <xdr:col>2</xdr:col>
      <xdr:colOff>848411</xdr:colOff>
      <xdr:row>505</xdr:row>
      <xdr:rowOff>194313</xdr:rowOff>
    </xdr:from>
    <xdr:ext cx="4812123" cy="19465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34" name="Ink 33">
              <a:extLst>
                <a:ext uri="{FF2B5EF4-FFF2-40B4-BE49-F238E27FC236}">
                  <a16:creationId xmlns:a16="http://schemas.microsoft.com/office/drawing/2014/main" id="{05F764B7-7633-D847-AB44-42019DC7D137}"/>
                </a:ext>
              </a:extLst>
            </xdr14:cNvPr>
            <xdr14:cNvContentPartPr/>
          </xdr14:nvContentPartPr>
          <xdr14:nvPr macro=""/>
          <xdr14:xfrm>
            <a:off x="31316760" y="100326240"/>
            <a:ext cx="4814280" cy="185760"/>
          </xdr14:xfrm>
        </xdr:contentPart>
      </mc:Choice>
      <mc:Fallback xmlns="">
        <xdr:pic>
          <xdr:nvPicPr>
            <xdr:cNvPr id="34" name="Ink 33">
              <a:extLst>
                <a:ext uri="{FF2B5EF4-FFF2-40B4-BE49-F238E27FC236}">
                  <a16:creationId xmlns:a16="http://schemas.microsoft.com/office/drawing/2014/main" id="{05F764B7-7633-D847-AB44-42019DC7D137}"/>
                </a:ext>
              </a:extLst>
            </xdr:cNvPr>
            <xdr:cNvPicPr/>
          </xdr:nvPicPr>
          <xdr:blipFill>
            <a:blip xmlns:r="http://schemas.openxmlformats.org/officeDocument/2006/relationships" r:embed="rId52"/>
            <a:stretch>
              <a:fillRect/>
            </a:stretch>
          </xdr:blipFill>
          <xdr:spPr>
            <a:xfrm>
              <a:off x="31299120" y="100308600"/>
              <a:ext cx="4849920" cy="221400"/>
            </a:xfrm>
            <a:prstGeom prst="rect">
              <a:avLst/>
            </a:prstGeom>
          </xdr:spPr>
        </xdr:pic>
      </mc:Fallback>
    </mc:AlternateContent>
    <xdr:clientData/>
  </xdr:oneCellAnchor>
  <xdr:oneCellAnchor>
    <xdr:from>
      <xdr:col>3</xdr:col>
      <xdr:colOff>314995</xdr:colOff>
      <xdr:row>501</xdr:row>
      <xdr:rowOff>181647</xdr:rowOff>
    </xdr:from>
    <xdr:ext cx="4023212" cy="2114865"/>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35" name="Ink 34">
              <a:extLst>
                <a:ext uri="{FF2B5EF4-FFF2-40B4-BE49-F238E27FC236}">
                  <a16:creationId xmlns:a16="http://schemas.microsoft.com/office/drawing/2014/main" id="{FF479C09-76C4-8342-A87F-5B4E17CD5054}"/>
                </a:ext>
              </a:extLst>
            </xdr14:cNvPr>
            <xdr14:cNvContentPartPr/>
          </xdr14:nvContentPartPr>
          <xdr14:nvPr macro=""/>
          <xdr14:xfrm>
            <a:off x="32274720" y="99521280"/>
            <a:ext cx="4019760" cy="2017080"/>
          </xdr14:xfrm>
        </xdr:contentPart>
      </mc:Choice>
      <mc:Fallback xmlns="">
        <xdr:pic>
          <xdr:nvPicPr>
            <xdr:cNvPr id="35" name="Ink 34">
              <a:extLst>
                <a:ext uri="{FF2B5EF4-FFF2-40B4-BE49-F238E27FC236}">
                  <a16:creationId xmlns:a16="http://schemas.microsoft.com/office/drawing/2014/main" id="{FF479C09-76C4-8342-A87F-5B4E17CD5054}"/>
                </a:ext>
              </a:extLst>
            </xdr:cNvPr>
            <xdr:cNvPicPr/>
          </xdr:nvPicPr>
          <xdr:blipFill>
            <a:blip xmlns:r="http://schemas.openxmlformats.org/officeDocument/2006/relationships" r:embed="rId54"/>
            <a:stretch>
              <a:fillRect/>
            </a:stretch>
          </xdr:blipFill>
          <xdr:spPr>
            <a:xfrm>
              <a:off x="32265728" y="99512697"/>
              <a:ext cx="4037384" cy="2033903"/>
            </a:xfrm>
            <a:prstGeom prst="rect">
              <a:avLst/>
            </a:prstGeom>
          </xdr:spPr>
        </xdr:pic>
      </mc:Fallback>
    </mc:AlternateContent>
    <xdr:clientData/>
  </xdr:oneCellAnchor>
  <xdr:oneCellAnchor>
    <xdr:from>
      <xdr:col>3</xdr:col>
      <xdr:colOff>299975</xdr:colOff>
      <xdr:row>505</xdr:row>
      <xdr:rowOff>950</xdr:rowOff>
    </xdr:from>
    <xdr:ext cx="4016520" cy="290664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36" name="Ink 35">
              <a:extLst>
                <a:ext uri="{FF2B5EF4-FFF2-40B4-BE49-F238E27FC236}">
                  <a16:creationId xmlns:a16="http://schemas.microsoft.com/office/drawing/2014/main" id="{ECD0D636-C926-0542-95F9-5620FDCCC179}"/>
                </a:ext>
              </a:extLst>
            </xdr14:cNvPr>
            <xdr14:cNvContentPartPr/>
          </xdr14:nvContentPartPr>
          <xdr14:nvPr macro=""/>
          <xdr14:xfrm>
            <a:off x="32285160" y="104611320"/>
            <a:ext cx="4016520" cy="2906640"/>
          </xdr14:xfrm>
        </xdr:contentPart>
      </mc:Choice>
      <mc:Fallback xmlns="">
        <xdr:pic>
          <xdr:nvPicPr>
            <xdr:cNvPr id="36" name="Ink 35">
              <a:extLst>
                <a:ext uri="{FF2B5EF4-FFF2-40B4-BE49-F238E27FC236}">
                  <a16:creationId xmlns:a16="http://schemas.microsoft.com/office/drawing/2014/main" id="{ECD0D636-C926-0542-95F9-5620FDCCC179}"/>
                </a:ext>
              </a:extLst>
            </xdr:cNvPr>
            <xdr:cNvPicPr/>
          </xdr:nvPicPr>
          <xdr:blipFill>
            <a:blip xmlns:r="http://schemas.openxmlformats.org/officeDocument/2006/relationships" r:embed="rId56"/>
            <a:stretch>
              <a:fillRect/>
            </a:stretch>
          </xdr:blipFill>
          <xdr:spPr>
            <a:xfrm>
              <a:off x="32276520" y="104602320"/>
              <a:ext cx="4034160" cy="2924280"/>
            </a:xfrm>
            <a:prstGeom prst="rect">
              <a:avLst/>
            </a:prstGeom>
          </xdr:spPr>
        </xdr:pic>
      </mc:Fallback>
    </mc:AlternateContent>
    <xdr:clientData/>
  </xdr:oneCellAnchor>
  <xdr:twoCellAnchor editAs="oneCell">
    <xdr:from>
      <xdr:col>3</xdr:col>
      <xdr:colOff>165133</xdr:colOff>
      <xdr:row>510</xdr:row>
      <xdr:rowOff>68400</xdr:rowOff>
    </xdr:from>
    <xdr:to>
      <xdr:col>7</xdr:col>
      <xdr:colOff>654430</xdr:colOff>
      <xdr:row>522</xdr:row>
      <xdr:rowOff>152880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57">
          <xdr14:nvContentPartPr>
            <xdr14:cNvPr id="37" name="Ink 36">
              <a:extLst>
                <a:ext uri="{FF2B5EF4-FFF2-40B4-BE49-F238E27FC236}">
                  <a16:creationId xmlns:a16="http://schemas.microsoft.com/office/drawing/2014/main" id="{F81E3083-08EE-C6CF-3399-8526616BDA20}"/>
                </a:ext>
              </a:extLst>
            </xdr14:cNvPr>
            <xdr14:cNvContentPartPr/>
          </xdr14:nvContentPartPr>
          <xdr14:nvPr macro=""/>
          <xdr14:xfrm>
            <a:off x="3958200" y="104081400"/>
            <a:ext cx="3924720" cy="2522880"/>
          </xdr14:xfrm>
        </xdr:contentPart>
      </mc:Choice>
      <mc:Fallback xmlns="">
        <xdr:pic>
          <xdr:nvPicPr>
            <xdr:cNvPr id="37" name="Ink 36">
              <a:extLst>
                <a:ext uri="{FF2B5EF4-FFF2-40B4-BE49-F238E27FC236}">
                  <a16:creationId xmlns:a16="http://schemas.microsoft.com/office/drawing/2014/main" id="{F81E3083-08EE-C6CF-3399-8526616BDA20}"/>
                </a:ext>
              </a:extLst>
            </xdr:cNvPr>
            <xdr:cNvPicPr/>
          </xdr:nvPicPr>
          <xdr:blipFill>
            <a:blip xmlns:r="http://schemas.openxmlformats.org/officeDocument/2006/relationships" r:embed="rId58"/>
            <a:stretch>
              <a:fillRect/>
            </a:stretch>
          </xdr:blipFill>
          <xdr:spPr>
            <a:xfrm>
              <a:off x="3922560" y="103865400"/>
              <a:ext cx="3996360" cy="2954520"/>
            </a:xfrm>
            <a:prstGeom prst="rect">
              <a:avLst/>
            </a:prstGeom>
          </xdr:spPr>
        </xdr:pic>
      </mc:Fallback>
    </mc:AlternateContent>
    <xdr:clientData/>
  </xdr:twoCellAnchor>
  <xdr:twoCellAnchor editAs="oneCell">
    <xdr:from>
      <xdr:col>3</xdr:col>
      <xdr:colOff>333613</xdr:colOff>
      <xdr:row>531</xdr:row>
      <xdr:rowOff>89294</xdr:rowOff>
    </xdr:from>
    <xdr:to>
      <xdr:col>6</xdr:col>
      <xdr:colOff>632404</xdr:colOff>
      <xdr:row>539</xdr:row>
      <xdr:rowOff>135174</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38" name="Ink 37">
              <a:extLst>
                <a:ext uri="{FF2B5EF4-FFF2-40B4-BE49-F238E27FC236}">
                  <a16:creationId xmlns:a16="http://schemas.microsoft.com/office/drawing/2014/main" id="{D8FE9C5B-3157-ABB5-7713-BAF1F773B6A9}"/>
                </a:ext>
              </a:extLst>
            </xdr14:cNvPr>
            <xdr14:cNvContentPartPr/>
          </xdr14:nvContentPartPr>
          <xdr14:nvPr macro=""/>
          <xdr14:xfrm>
            <a:off x="4126680" y="108369494"/>
            <a:ext cx="2904480" cy="1671480"/>
          </xdr14:xfrm>
        </xdr:contentPart>
      </mc:Choice>
      <mc:Fallback xmlns="">
        <xdr:pic>
          <xdr:nvPicPr>
            <xdr:cNvPr id="38" name="Ink 37">
              <a:extLst>
                <a:ext uri="{FF2B5EF4-FFF2-40B4-BE49-F238E27FC236}">
                  <a16:creationId xmlns:a16="http://schemas.microsoft.com/office/drawing/2014/main" id="{D8FE9C5B-3157-ABB5-7713-BAF1F773B6A9}"/>
                </a:ext>
              </a:extLst>
            </xdr:cNvPr>
            <xdr:cNvPicPr/>
          </xdr:nvPicPr>
          <xdr:blipFill>
            <a:blip xmlns:r="http://schemas.openxmlformats.org/officeDocument/2006/relationships" r:embed="rId60"/>
            <a:stretch>
              <a:fillRect/>
            </a:stretch>
          </xdr:blipFill>
          <xdr:spPr>
            <a:xfrm>
              <a:off x="4122330" y="108365174"/>
              <a:ext cx="2913180" cy="1680120"/>
            </a:xfrm>
            <a:prstGeom prst="rect">
              <a:avLst/>
            </a:prstGeom>
          </xdr:spPr>
        </xdr:pic>
      </mc:Fallback>
    </mc:AlternateContent>
    <xdr:clientData/>
  </xdr:twoCellAnchor>
  <xdr:twoCellAnchor editAs="oneCell">
    <xdr:from>
      <xdr:col>0</xdr:col>
      <xdr:colOff>0</xdr:colOff>
      <xdr:row>580</xdr:row>
      <xdr:rowOff>56052</xdr:rowOff>
    </xdr:from>
    <xdr:to>
      <xdr:col>5</xdr:col>
      <xdr:colOff>589280</xdr:colOff>
      <xdr:row>593</xdr:row>
      <xdr:rowOff>4904</xdr:rowOff>
    </xdr:to>
    <xdr:pic>
      <xdr:nvPicPr>
        <xdr:cNvPr id="40" name="Picture 39">
          <a:extLst>
            <a:ext uri="{FF2B5EF4-FFF2-40B4-BE49-F238E27FC236}">
              <a16:creationId xmlns:a16="http://schemas.microsoft.com/office/drawing/2014/main" id="{40A72B70-1B1E-4E0C-EB4B-9F0F4E3D4D9A}"/>
            </a:ext>
          </a:extLst>
        </xdr:cNvPr>
        <xdr:cNvPicPr>
          <a:picLocks noChangeAspect="1"/>
        </xdr:cNvPicPr>
      </xdr:nvPicPr>
      <xdr:blipFill>
        <a:blip xmlns:r="http://schemas.openxmlformats.org/officeDocument/2006/relationships" r:embed="rId61"/>
        <a:stretch>
          <a:fillRect/>
        </a:stretch>
      </xdr:blipFill>
      <xdr:spPr>
        <a:xfrm>
          <a:off x="0" y="118572452"/>
          <a:ext cx="6055360" cy="2582637"/>
        </a:xfrm>
        <a:prstGeom prst="rect">
          <a:avLst/>
        </a:prstGeom>
      </xdr:spPr>
    </xdr:pic>
    <xdr:clientData/>
  </xdr:twoCellAnchor>
  <xdr:twoCellAnchor editAs="oneCell">
    <xdr:from>
      <xdr:col>1</xdr:col>
      <xdr:colOff>313268</xdr:colOff>
      <xdr:row>561</xdr:row>
      <xdr:rowOff>152399</xdr:rowOff>
    </xdr:from>
    <xdr:to>
      <xdr:col>4</xdr:col>
      <xdr:colOff>595004</xdr:colOff>
      <xdr:row>578</xdr:row>
      <xdr:rowOff>152398</xdr:rowOff>
    </xdr:to>
    <xdr:pic>
      <xdr:nvPicPr>
        <xdr:cNvPr id="41" name="Picture 40">
          <a:extLst>
            <a:ext uri="{FF2B5EF4-FFF2-40B4-BE49-F238E27FC236}">
              <a16:creationId xmlns:a16="http://schemas.microsoft.com/office/drawing/2014/main" id="{296A4EF4-E954-5A06-DB64-19CB7CC8B764}"/>
            </a:ext>
          </a:extLst>
        </xdr:cNvPr>
        <xdr:cNvPicPr>
          <a:picLocks noChangeAspect="1"/>
        </xdr:cNvPicPr>
      </xdr:nvPicPr>
      <xdr:blipFill>
        <a:blip xmlns:r="http://schemas.openxmlformats.org/officeDocument/2006/relationships" r:embed="rId62"/>
        <a:stretch>
          <a:fillRect/>
        </a:stretch>
      </xdr:blipFill>
      <xdr:spPr>
        <a:xfrm>
          <a:off x="1143001" y="114528599"/>
          <a:ext cx="4089400" cy="3454400"/>
        </a:xfrm>
        <a:prstGeom prst="rect">
          <a:avLst/>
        </a:prstGeom>
      </xdr:spPr>
    </xdr:pic>
    <xdr:clientData/>
  </xdr:twoCellAnchor>
  <xdr:twoCellAnchor editAs="oneCell">
    <xdr:from>
      <xdr:col>1</xdr:col>
      <xdr:colOff>0</xdr:colOff>
      <xdr:row>614</xdr:row>
      <xdr:rowOff>0</xdr:rowOff>
    </xdr:from>
    <xdr:to>
      <xdr:col>4</xdr:col>
      <xdr:colOff>446836</xdr:colOff>
      <xdr:row>628</xdr:row>
      <xdr:rowOff>152399</xdr:rowOff>
    </xdr:to>
    <xdr:pic>
      <xdr:nvPicPr>
        <xdr:cNvPr id="42" name="Picture 41">
          <a:extLst>
            <a:ext uri="{FF2B5EF4-FFF2-40B4-BE49-F238E27FC236}">
              <a16:creationId xmlns:a16="http://schemas.microsoft.com/office/drawing/2014/main" id="{4E47494D-5AE8-4BB3-EF73-4DBD26B225E1}"/>
            </a:ext>
          </a:extLst>
        </xdr:cNvPr>
        <xdr:cNvPicPr>
          <a:picLocks noChangeAspect="1"/>
        </xdr:cNvPicPr>
      </xdr:nvPicPr>
      <xdr:blipFill>
        <a:blip xmlns:r="http://schemas.openxmlformats.org/officeDocument/2006/relationships" r:embed="rId63"/>
        <a:stretch>
          <a:fillRect/>
        </a:stretch>
      </xdr:blipFill>
      <xdr:spPr>
        <a:xfrm>
          <a:off x="829733" y="125145800"/>
          <a:ext cx="4254500" cy="2997200"/>
        </a:xfrm>
        <a:prstGeom prst="rect">
          <a:avLst/>
        </a:prstGeom>
      </xdr:spPr>
    </xdr:pic>
    <xdr:clientData/>
  </xdr:twoCellAnchor>
  <xdr:twoCellAnchor editAs="oneCell">
    <xdr:from>
      <xdr:col>1</xdr:col>
      <xdr:colOff>25400</xdr:colOff>
      <xdr:row>632</xdr:row>
      <xdr:rowOff>152400</xdr:rowOff>
    </xdr:from>
    <xdr:to>
      <xdr:col>4</xdr:col>
      <xdr:colOff>408736</xdr:colOff>
      <xdr:row>646</xdr:row>
      <xdr:rowOff>139699</xdr:rowOff>
    </xdr:to>
    <xdr:pic>
      <xdr:nvPicPr>
        <xdr:cNvPr id="43" name="Picture 42">
          <a:extLst>
            <a:ext uri="{FF2B5EF4-FFF2-40B4-BE49-F238E27FC236}">
              <a16:creationId xmlns:a16="http://schemas.microsoft.com/office/drawing/2014/main" id="{67761F3C-137E-2998-AC39-78FD9CAF8E98}"/>
            </a:ext>
          </a:extLst>
        </xdr:cNvPr>
        <xdr:cNvPicPr>
          <a:picLocks noChangeAspect="1"/>
        </xdr:cNvPicPr>
      </xdr:nvPicPr>
      <xdr:blipFill>
        <a:blip xmlns:r="http://schemas.openxmlformats.org/officeDocument/2006/relationships" r:embed="rId64"/>
        <a:stretch>
          <a:fillRect/>
        </a:stretch>
      </xdr:blipFill>
      <xdr:spPr>
        <a:xfrm>
          <a:off x="855133" y="128955800"/>
          <a:ext cx="4191000" cy="2832100"/>
        </a:xfrm>
        <a:prstGeom prst="rect">
          <a:avLst/>
        </a:prstGeom>
      </xdr:spPr>
    </xdr:pic>
    <xdr:clientData/>
  </xdr:twoCellAnchor>
  <xdr:twoCellAnchor editAs="oneCell">
    <xdr:from>
      <xdr:col>1</xdr:col>
      <xdr:colOff>0</xdr:colOff>
      <xdr:row>648</xdr:row>
      <xdr:rowOff>0</xdr:rowOff>
    </xdr:from>
    <xdr:to>
      <xdr:col>4</xdr:col>
      <xdr:colOff>535736</xdr:colOff>
      <xdr:row>664</xdr:row>
      <xdr:rowOff>152399</xdr:rowOff>
    </xdr:to>
    <xdr:pic>
      <xdr:nvPicPr>
        <xdr:cNvPr id="44" name="Picture 43">
          <a:extLst>
            <a:ext uri="{FF2B5EF4-FFF2-40B4-BE49-F238E27FC236}">
              <a16:creationId xmlns:a16="http://schemas.microsoft.com/office/drawing/2014/main" id="{2CE59B3A-EBB3-ECA3-6690-10B6F9D9E29C}"/>
            </a:ext>
          </a:extLst>
        </xdr:cNvPr>
        <xdr:cNvPicPr>
          <a:picLocks noChangeAspect="1"/>
        </xdr:cNvPicPr>
      </xdr:nvPicPr>
      <xdr:blipFill>
        <a:blip xmlns:r="http://schemas.openxmlformats.org/officeDocument/2006/relationships" r:embed="rId65"/>
        <a:stretch>
          <a:fillRect/>
        </a:stretch>
      </xdr:blipFill>
      <xdr:spPr>
        <a:xfrm>
          <a:off x="829733" y="132054600"/>
          <a:ext cx="4343400" cy="3403600"/>
        </a:xfrm>
        <a:prstGeom prst="rect">
          <a:avLst/>
        </a:prstGeom>
      </xdr:spPr>
    </xdr:pic>
    <xdr:clientData/>
  </xdr:twoCellAnchor>
  <xdr:twoCellAnchor editAs="oneCell">
    <xdr:from>
      <xdr:col>0</xdr:col>
      <xdr:colOff>821267</xdr:colOff>
      <xdr:row>681</xdr:row>
      <xdr:rowOff>143933</xdr:rowOff>
    </xdr:from>
    <xdr:to>
      <xdr:col>3</xdr:col>
      <xdr:colOff>397934</xdr:colOff>
      <xdr:row>686</xdr:row>
      <xdr:rowOff>80249</xdr:rowOff>
    </xdr:to>
    <xdr:pic>
      <xdr:nvPicPr>
        <xdr:cNvPr id="45" name="Picture 44">
          <a:extLst>
            <a:ext uri="{FF2B5EF4-FFF2-40B4-BE49-F238E27FC236}">
              <a16:creationId xmlns:a16="http://schemas.microsoft.com/office/drawing/2014/main" id="{6985A1E5-0859-3A3B-4E3E-4C7B7DEDE028}"/>
            </a:ext>
          </a:extLst>
        </xdr:cNvPr>
        <xdr:cNvPicPr>
          <a:picLocks noChangeAspect="1"/>
        </xdr:cNvPicPr>
      </xdr:nvPicPr>
      <xdr:blipFill>
        <a:blip xmlns:r="http://schemas.openxmlformats.org/officeDocument/2006/relationships" r:embed="rId66"/>
        <a:stretch>
          <a:fillRect/>
        </a:stretch>
      </xdr:blipFill>
      <xdr:spPr>
        <a:xfrm>
          <a:off x="821267" y="138904133"/>
          <a:ext cx="3369734" cy="952316"/>
        </a:xfrm>
        <a:prstGeom prst="rect">
          <a:avLst/>
        </a:prstGeom>
      </xdr:spPr>
    </xdr:pic>
    <xdr:clientData/>
  </xdr:twoCellAnchor>
  <xdr:twoCellAnchor editAs="oneCell">
    <xdr:from>
      <xdr:col>1</xdr:col>
      <xdr:colOff>50800</xdr:colOff>
      <xdr:row>695</xdr:row>
      <xdr:rowOff>160866</xdr:rowOff>
    </xdr:from>
    <xdr:to>
      <xdr:col>6</xdr:col>
      <xdr:colOff>213711</xdr:colOff>
      <xdr:row>722</xdr:row>
      <xdr:rowOff>172126</xdr:rowOff>
    </xdr:to>
    <xdr:pic>
      <xdr:nvPicPr>
        <xdr:cNvPr id="46" name="Picture 45">
          <a:extLst>
            <a:ext uri="{FF2B5EF4-FFF2-40B4-BE49-F238E27FC236}">
              <a16:creationId xmlns:a16="http://schemas.microsoft.com/office/drawing/2014/main" id="{2A9C338E-29B3-B2ED-702A-1C2D930D6D42}"/>
            </a:ext>
          </a:extLst>
        </xdr:cNvPr>
        <xdr:cNvPicPr>
          <a:picLocks noChangeAspect="1"/>
        </xdr:cNvPicPr>
      </xdr:nvPicPr>
      <xdr:blipFill>
        <a:blip xmlns:r="http://schemas.openxmlformats.org/officeDocument/2006/relationships" r:embed="rId67"/>
        <a:stretch>
          <a:fillRect/>
        </a:stretch>
      </xdr:blipFill>
      <xdr:spPr>
        <a:xfrm>
          <a:off x="880533" y="141765866"/>
          <a:ext cx="5731934" cy="5497659"/>
        </a:xfrm>
        <a:prstGeom prst="rect">
          <a:avLst/>
        </a:prstGeom>
      </xdr:spPr>
    </xdr:pic>
    <xdr:clientData/>
  </xdr:twoCellAnchor>
  <xdr:twoCellAnchor editAs="oneCell">
    <xdr:from>
      <xdr:col>1</xdr:col>
      <xdr:colOff>0</xdr:colOff>
      <xdr:row>729</xdr:row>
      <xdr:rowOff>0</xdr:rowOff>
    </xdr:from>
    <xdr:to>
      <xdr:col>4</xdr:col>
      <xdr:colOff>472236</xdr:colOff>
      <xdr:row>742</xdr:row>
      <xdr:rowOff>114300</xdr:rowOff>
    </xdr:to>
    <xdr:pic>
      <xdr:nvPicPr>
        <xdr:cNvPr id="47" name="Picture 46">
          <a:extLst>
            <a:ext uri="{FF2B5EF4-FFF2-40B4-BE49-F238E27FC236}">
              <a16:creationId xmlns:a16="http://schemas.microsoft.com/office/drawing/2014/main" id="{ECA82E25-1C22-0337-FFE2-983ED37287AB}"/>
            </a:ext>
          </a:extLst>
        </xdr:cNvPr>
        <xdr:cNvPicPr>
          <a:picLocks noChangeAspect="1"/>
        </xdr:cNvPicPr>
      </xdr:nvPicPr>
      <xdr:blipFill>
        <a:blip xmlns:r="http://schemas.openxmlformats.org/officeDocument/2006/relationships" r:embed="rId68"/>
        <a:stretch>
          <a:fillRect/>
        </a:stretch>
      </xdr:blipFill>
      <xdr:spPr>
        <a:xfrm>
          <a:off x="829733" y="148513800"/>
          <a:ext cx="4279900" cy="2755900"/>
        </a:xfrm>
        <a:prstGeom prst="rect">
          <a:avLst/>
        </a:prstGeom>
      </xdr:spPr>
    </xdr:pic>
    <xdr:clientData/>
  </xdr:twoCellAnchor>
  <xdr:twoCellAnchor editAs="oneCell">
    <xdr:from>
      <xdr:col>26</xdr:col>
      <xdr:colOff>118533</xdr:colOff>
      <xdr:row>727</xdr:row>
      <xdr:rowOff>110067</xdr:rowOff>
    </xdr:from>
    <xdr:to>
      <xdr:col>30</xdr:col>
      <xdr:colOff>432875</xdr:colOff>
      <xdr:row>736</xdr:row>
      <xdr:rowOff>173566</xdr:rowOff>
    </xdr:to>
    <xdr:pic>
      <xdr:nvPicPr>
        <xdr:cNvPr id="48" name="Picture 47">
          <a:extLst>
            <a:ext uri="{FF2B5EF4-FFF2-40B4-BE49-F238E27FC236}">
              <a16:creationId xmlns:a16="http://schemas.microsoft.com/office/drawing/2014/main" id="{4062E635-C7E8-F06A-9652-4B609105BE64}"/>
            </a:ext>
          </a:extLst>
        </xdr:cNvPr>
        <xdr:cNvPicPr>
          <a:picLocks noChangeAspect="1"/>
        </xdr:cNvPicPr>
      </xdr:nvPicPr>
      <xdr:blipFill>
        <a:blip xmlns:r="http://schemas.openxmlformats.org/officeDocument/2006/relationships" r:embed="rId69"/>
        <a:stretch>
          <a:fillRect/>
        </a:stretch>
      </xdr:blipFill>
      <xdr:spPr>
        <a:xfrm>
          <a:off x="23046266" y="148217467"/>
          <a:ext cx="4673600" cy="1892300"/>
        </a:xfrm>
        <a:prstGeom prst="rect">
          <a:avLst/>
        </a:prstGeom>
      </xdr:spPr>
    </xdr:pic>
    <xdr:clientData/>
  </xdr:twoCellAnchor>
  <xdr:twoCellAnchor editAs="oneCell">
    <xdr:from>
      <xdr:col>14</xdr:col>
      <xdr:colOff>73898</xdr:colOff>
      <xdr:row>6</xdr:row>
      <xdr:rowOff>189379</xdr:rowOff>
    </xdr:from>
    <xdr:to>
      <xdr:col>21</xdr:col>
      <xdr:colOff>927098</xdr:colOff>
      <xdr:row>27</xdr:row>
      <xdr:rowOff>111760</xdr:rowOff>
    </xdr:to>
    <xdr:pic>
      <xdr:nvPicPr>
        <xdr:cNvPr id="49" name="Picture 48">
          <a:extLst>
            <a:ext uri="{FF2B5EF4-FFF2-40B4-BE49-F238E27FC236}">
              <a16:creationId xmlns:a16="http://schemas.microsoft.com/office/drawing/2014/main" id="{470A4B81-9DC8-C24B-BA3D-0EC378350522}"/>
            </a:ext>
          </a:extLst>
        </xdr:cNvPr>
        <xdr:cNvPicPr>
          <a:picLocks noChangeAspect="1"/>
        </xdr:cNvPicPr>
      </xdr:nvPicPr>
      <xdr:blipFill rotWithShape="1">
        <a:blip xmlns:r="http://schemas.openxmlformats.org/officeDocument/2006/relationships" r:embed="rId70"/>
        <a:srcRect b="58781"/>
        <a:stretch/>
      </xdr:blipFill>
      <xdr:spPr>
        <a:xfrm>
          <a:off x="12956778" y="1540659"/>
          <a:ext cx="7230593" cy="4189581"/>
        </a:xfrm>
        <a:prstGeom prst="rect">
          <a:avLst/>
        </a:prstGeom>
      </xdr:spPr>
    </xdr:pic>
    <xdr:clientData/>
  </xdr:twoCellAnchor>
  <xdr:twoCellAnchor editAs="oneCell">
    <xdr:from>
      <xdr:col>14</xdr:col>
      <xdr:colOff>57451</xdr:colOff>
      <xdr:row>74</xdr:row>
      <xdr:rowOff>30480</xdr:rowOff>
    </xdr:from>
    <xdr:to>
      <xdr:col>19</xdr:col>
      <xdr:colOff>617085</xdr:colOff>
      <xdr:row>110</xdr:row>
      <xdr:rowOff>107103</xdr:rowOff>
    </xdr:to>
    <xdr:pic>
      <xdr:nvPicPr>
        <xdr:cNvPr id="50" name="Picture 49">
          <a:extLst>
            <a:ext uri="{FF2B5EF4-FFF2-40B4-BE49-F238E27FC236}">
              <a16:creationId xmlns:a16="http://schemas.microsoft.com/office/drawing/2014/main" id="{E8EBD995-B4FA-9A46-9FB0-D278AE80E6E1}"/>
            </a:ext>
          </a:extLst>
        </xdr:cNvPr>
        <xdr:cNvPicPr>
          <a:picLocks noChangeAspect="1"/>
        </xdr:cNvPicPr>
      </xdr:nvPicPr>
      <xdr:blipFill>
        <a:blip xmlns:r="http://schemas.openxmlformats.org/officeDocument/2006/relationships" r:embed="rId71"/>
        <a:stretch>
          <a:fillRect/>
        </a:stretch>
      </xdr:blipFill>
      <xdr:spPr>
        <a:xfrm>
          <a:off x="12940331" y="15199360"/>
          <a:ext cx="5296869" cy="7391823"/>
        </a:xfrm>
        <a:prstGeom prst="rect">
          <a:avLst/>
        </a:prstGeom>
      </xdr:spPr>
    </xdr:pic>
    <xdr:clientData/>
  </xdr:twoCellAnchor>
  <xdr:twoCellAnchor editAs="oneCell">
    <xdr:from>
      <xdr:col>13</xdr:col>
      <xdr:colOff>811091</xdr:colOff>
      <xdr:row>110</xdr:row>
      <xdr:rowOff>181002</xdr:rowOff>
    </xdr:from>
    <xdr:to>
      <xdr:col>19</xdr:col>
      <xdr:colOff>625667</xdr:colOff>
      <xdr:row>116</xdr:row>
      <xdr:rowOff>173672</xdr:rowOff>
    </xdr:to>
    <xdr:pic>
      <xdr:nvPicPr>
        <xdr:cNvPr id="51" name="Picture 50">
          <a:extLst>
            <a:ext uri="{FF2B5EF4-FFF2-40B4-BE49-F238E27FC236}">
              <a16:creationId xmlns:a16="http://schemas.microsoft.com/office/drawing/2014/main" id="{D3D2BD90-3B38-4141-90AA-D99D88E3ABD7}"/>
            </a:ext>
          </a:extLst>
        </xdr:cNvPr>
        <xdr:cNvPicPr>
          <a:picLocks noChangeAspect="1"/>
        </xdr:cNvPicPr>
      </xdr:nvPicPr>
      <xdr:blipFill>
        <a:blip xmlns:r="http://schemas.openxmlformats.org/officeDocument/2006/relationships" r:embed="rId72"/>
        <a:stretch>
          <a:fillRect/>
        </a:stretch>
      </xdr:blipFill>
      <xdr:spPr>
        <a:xfrm>
          <a:off x="13007470" y="22785542"/>
          <a:ext cx="5387441" cy="1218877"/>
        </a:xfrm>
        <a:prstGeom prst="rect">
          <a:avLst/>
        </a:prstGeom>
      </xdr:spPr>
    </xdr:pic>
    <xdr:clientData/>
  </xdr:twoCellAnchor>
  <xdr:twoCellAnchor editAs="oneCell">
    <xdr:from>
      <xdr:col>14</xdr:col>
      <xdr:colOff>185877</xdr:colOff>
      <xdr:row>128</xdr:row>
      <xdr:rowOff>145243</xdr:rowOff>
    </xdr:from>
    <xdr:to>
      <xdr:col>22</xdr:col>
      <xdr:colOff>208448</xdr:colOff>
      <xdr:row>139</xdr:row>
      <xdr:rowOff>179842</xdr:rowOff>
    </xdr:to>
    <xdr:pic>
      <xdr:nvPicPr>
        <xdr:cNvPr id="52" name="Picture 51">
          <a:extLst>
            <a:ext uri="{FF2B5EF4-FFF2-40B4-BE49-F238E27FC236}">
              <a16:creationId xmlns:a16="http://schemas.microsoft.com/office/drawing/2014/main" id="{26451729-F1EE-4D18-1388-E4E7B5931C2F}"/>
            </a:ext>
          </a:extLst>
        </xdr:cNvPr>
        <xdr:cNvPicPr>
          <a:picLocks noChangeAspect="1"/>
        </xdr:cNvPicPr>
      </xdr:nvPicPr>
      <xdr:blipFill>
        <a:blip xmlns:r="http://schemas.openxmlformats.org/officeDocument/2006/relationships" r:embed="rId73"/>
        <a:stretch>
          <a:fillRect/>
        </a:stretch>
      </xdr:blipFill>
      <xdr:spPr>
        <a:xfrm>
          <a:off x="13253821" y="26233654"/>
          <a:ext cx="7613627" cy="2254132"/>
        </a:xfrm>
        <a:prstGeom prst="rect">
          <a:avLst/>
        </a:prstGeom>
      </xdr:spPr>
    </xdr:pic>
    <xdr:clientData/>
  </xdr:twoCellAnchor>
  <xdr:twoCellAnchor editAs="oneCell">
    <xdr:from>
      <xdr:col>14</xdr:col>
      <xdr:colOff>111075</xdr:colOff>
      <xdr:row>140</xdr:row>
      <xdr:rowOff>140299</xdr:rowOff>
    </xdr:from>
    <xdr:to>
      <xdr:col>22</xdr:col>
      <xdr:colOff>199439</xdr:colOff>
      <xdr:row>191</xdr:row>
      <xdr:rowOff>4182</xdr:rowOff>
    </xdr:to>
    <xdr:pic>
      <xdr:nvPicPr>
        <xdr:cNvPr id="53" name="Picture 52">
          <a:extLst>
            <a:ext uri="{FF2B5EF4-FFF2-40B4-BE49-F238E27FC236}">
              <a16:creationId xmlns:a16="http://schemas.microsoft.com/office/drawing/2014/main" id="{26DF2587-CFD1-F8F5-3284-650ED46B95FC}"/>
            </a:ext>
          </a:extLst>
        </xdr:cNvPr>
        <xdr:cNvPicPr>
          <a:picLocks noChangeAspect="1"/>
        </xdr:cNvPicPr>
      </xdr:nvPicPr>
      <xdr:blipFill>
        <a:blip xmlns:r="http://schemas.openxmlformats.org/officeDocument/2006/relationships" r:embed="rId74"/>
        <a:stretch>
          <a:fillRect/>
        </a:stretch>
      </xdr:blipFill>
      <xdr:spPr>
        <a:xfrm>
          <a:off x="13153547" y="28365692"/>
          <a:ext cx="7661550" cy="10048031"/>
        </a:xfrm>
        <a:prstGeom prst="rect">
          <a:avLst/>
        </a:prstGeom>
      </xdr:spPr>
    </xdr:pic>
    <xdr:clientData/>
  </xdr:twoCellAnchor>
  <xdr:twoCellAnchor editAs="oneCell">
    <xdr:from>
      <xdr:col>14</xdr:col>
      <xdr:colOff>172720</xdr:colOff>
      <xdr:row>195</xdr:row>
      <xdr:rowOff>142240</xdr:rowOff>
    </xdr:from>
    <xdr:to>
      <xdr:col>22</xdr:col>
      <xdr:colOff>4397</xdr:colOff>
      <xdr:row>236</xdr:row>
      <xdr:rowOff>47816</xdr:rowOff>
    </xdr:to>
    <xdr:pic>
      <xdr:nvPicPr>
        <xdr:cNvPr id="54" name="Picture 53">
          <a:extLst>
            <a:ext uri="{FF2B5EF4-FFF2-40B4-BE49-F238E27FC236}">
              <a16:creationId xmlns:a16="http://schemas.microsoft.com/office/drawing/2014/main" id="{457E9125-3E45-4143-B8C9-012656F32C0B}"/>
            </a:ext>
          </a:extLst>
        </xdr:cNvPr>
        <xdr:cNvPicPr>
          <a:picLocks noChangeAspect="1"/>
        </xdr:cNvPicPr>
      </xdr:nvPicPr>
      <xdr:blipFill>
        <a:blip xmlns:r="http://schemas.openxmlformats.org/officeDocument/2006/relationships" r:embed="rId75"/>
        <a:stretch>
          <a:fillRect/>
        </a:stretch>
      </xdr:blipFill>
      <xdr:spPr>
        <a:xfrm>
          <a:off x="13055600" y="40030400"/>
          <a:ext cx="7360388" cy="8236776"/>
        </a:xfrm>
        <a:prstGeom prst="rect">
          <a:avLst/>
        </a:prstGeom>
      </xdr:spPr>
    </xdr:pic>
    <xdr:clientData/>
  </xdr:twoCellAnchor>
  <xdr:twoCellAnchor editAs="oneCell">
    <xdr:from>
      <xdr:col>14</xdr:col>
      <xdr:colOff>264160</xdr:colOff>
      <xdr:row>236</xdr:row>
      <xdr:rowOff>182880</xdr:rowOff>
    </xdr:from>
    <xdr:to>
      <xdr:col>22</xdr:col>
      <xdr:colOff>346141</xdr:colOff>
      <xdr:row>274</xdr:row>
      <xdr:rowOff>131630</xdr:rowOff>
    </xdr:to>
    <xdr:pic>
      <xdr:nvPicPr>
        <xdr:cNvPr id="55" name="Picture 54">
          <a:extLst>
            <a:ext uri="{FF2B5EF4-FFF2-40B4-BE49-F238E27FC236}">
              <a16:creationId xmlns:a16="http://schemas.microsoft.com/office/drawing/2014/main" id="{28891747-6139-E850-90E5-9A41798F6E4F}"/>
            </a:ext>
          </a:extLst>
        </xdr:cNvPr>
        <xdr:cNvPicPr>
          <a:picLocks noChangeAspect="1"/>
        </xdr:cNvPicPr>
      </xdr:nvPicPr>
      <xdr:blipFill>
        <a:blip xmlns:r="http://schemas.openxmlformats.org/officeDocument/2006/relationships" r:embed="rId76"/>
        <a:stretch>
          <a:fillRect/>
        </a:stretch>
      </xdr:blipFill>
      <xdr:spPr>
        <a:xfrm>
          <a:off x="13147040" y="48402240"/>
          <a:ext cx="7620000" cy="7670350"/>
        </a:xfrm>
        <a:prstGeom prst="rect">
          <a:avLst/>
        </a:prstGeom>
      </xdr:spPr>
    </xdr:pic>
    <xdr:clientData/>
  </xdr:twoCellAnchor>
  <xdr:twoCellAnchor editAs="oneCell">
    <xdr:from>
      <xdr:col>14</xdr:col>
      <xdr:colOff>133598</xdr:colOff>
      <xdr:row>340</xdr:row>
      <xdr:rowOff>140193</xdr:rowOff>
    </xdr:from>
    <xdr:to>
      <xdr:col>21</xdr:col>
      <xdr:colOff>962671</xdr:colOff>
      <xdr:row>384</xdr:row>
      <xdr:rowOff>42417</xdr:rowOff>
    </xdr:to>
    <xdr:pic>
      <xdr:nvPicPr>
        <xdr:cNvPr id="56" name="Picture 55">
          <a:extLst>
            <a:ext uri="{FF2B5EF4-FFF2-40B4-BE49-F238E27FC236}">
              <a16:creationId xmlns:a16="http://schemas.microsoft.com/office/drawing/2014/main" id="{E6927B52-335D-733A-B243-BD70A704BEBF}"/>
            </a:ext>
          </a:extLst>
        </xdr:cNvPr>
        <xdr:cNvPicPr>
          <a:picLocks noChangeAspect="1"/>
        </xdr:cNvPicPr>
      </xdr:nvPicPr>
      <xdr:blipFill>
        <a:blip xmlns:r="http://schemas.openxmlformats.org/officeDocument/2006/relationships" r:embed="rId77"/>
        <a:stretch>
          <a:fillRect/>
        </a:stretch>
      </xdr:blipFill>
      <xdr:spPr>
        <a:xfrm>
          <a:off x="13192511" y="70915084"/>
          <a:ext cx="7251728" cy="9145615"/>
        </a:xfrm>
        <a:prstGeom prst="rect">
          <a:avLst/>
        </a:prstGeom>
      </xdr:spPr>
    </xdr:pic>
    <xdr:clientData/>
  </xdr:twoCellAnchor>
  <xdr:twoCellAnchor editAs="oneCell">
    <xdr:from>
      <xdr:col>15</xdr:col>
      <xdr:colOff>548820</xdr:colOff>
      <xdr:row>433</xdr:row>
      <xdr:rowOff>113646</xdr:rowOff>
    </xdr:from>
    <xdr:to>
      <xdr:col>22</xdr:col>
      <xdr:colOff>718609</xdr:colOff>
      <xdr:row>476</xdr:row>
      <xdr:rowOff>114265</xdr:rowOff>
    </xdr:to>
    <xdr:pic>
      <xdr:nvPicPr>
        <xdr:cNvPr id="57" name="Picture 56">
          <a:extLst>
            <a:ext uri="{FF2B5EF4-FFF2-40B4-BE49-F238E27FC236}">
              <a16:creationId xmlns:a16="http://schemas.microsoft.com/office/drawing/2014/main" id="{01FA227E-E5FA-2F53-DAD4-40A366F81AF2}"/>
            </a:ext>
          </a:extLst>
        </xdr:cNvPr>
        <xdr:cNvPicPr>
          <a:picLocks noChangeAspect="1"/>
        </xdr:cNvPicPr>
      </xdr:nvPicPr>
      <xdr:blipFill>
        <a:blip xmlns:r="http://schemas.openxmlformats.org/officeDocument/2006/relationships" r:embed="rId78"/>
        <a:stretch>
          <a:fillRect/>
        </a:stretch>
      </xdr:blipFill>
      <xdr:spPr>
        <a:xfrm>
          <a:off x="14391820" y="88734246"/>
          <a:ext cx="6900789" cy="8738219"/>
        </a:xfrm>
        <a:prstGeom prst="rect">
          <a:avLst/>
        </a:prstGeom>
      </xdr:spPr>
    </xdr:pic>
    <xdr:clientData/>
  </xdr:twoCellAnchor>
  <xdr:twoCellAnchor editAs="oneCell">
    <xdr:from>
      <xdr:col>15</xdr:col>
      <xdr:colOff>75886</xdr:colOff>
      <xdr:row>477</xdr:row>
      <xdr:rowOff>58011</xdr:rowOff>
    </xdr:from>
    <xdr:to>
      <xdr:col>23</xdr:col>
      <xdr:colOff>771</xdr:colOff>
      <xdr:row>526</xdr:row>
      <xdr:rowOff>145221</xdr:rowOff>
    </xdr:to>
    <xdr:pic>
      <xdr:nvPicPr>
        <xdr:cNvPr id="58" name="Picture 57">
          <a:extLst>
            <a:ext uri="{FF2B5EF4-FFF2-40B4-BE49-F238E27FC236}">
              <a16:creationId xmlns:a16="http://schemas.microsoft.com/office/drawing/2014/main" id="{84453FA7-0A53-83B7-6024-38645B7F01A1}"/>
            </a:ext>
          </a:extLst>
        </xdr:cNvPr>
        <xdr:cNvPicPr>
          <a:picLocks noChangeAspect="1"/>
        </xdr:cNvPicPr>
      </xdr:nvPicPr>
      <xdr:blipFill>
        <a:blip xmlns:r="http://schemas.openxmlformats.org/officeDocument/2006/relationships" r:embed="rId79"/>
        <a:stretch>
          <a:fillRect/>
        </a:stretch>
      </xdr:blipFill>
      <xdr:spPr>
        <a:xfrm>
          <a:off x="13918886" y="97619411"/>
          <a:ext cx="7494085" cy="10044010"/>
        </a:xfrm>
        <a:prstGeom prst="rect">
          <a:avLst/>
        </a:prstGeom>
      </xdr:spPr>
    </xdr:pic>
    <xdr:clientData/>
  </xdr:twoCellAnchor>
  <xdr:twoCellAnchor editAs="oneCell">
    <xdr:from>
      <xdr:col>15</xdr:col>
      <xdr:colOff>16620</xdr:colOff>
      <xdr:row>526</xdr:row>
      <xdr:rowOff>173467</xdr:rowOff>
    </xdr:from>
    <xdr:to>
      <xdr:col>23</xdr:col>
      <xdr:colOff>18452</xdr:colOff>
      <xdr:row>557</xdr:row>
      <xdr:rowOff>193393</xdr:rowOff>
    </xdr:to>
    <xdr:pic>
      <xdr:nvPicPr>
        <xdr:cNvPr id="59" name="Picture 58">
          <a:extLst>
            <a:ext uri="{FF2B5EF4-FFF2-40B4-BE49-F238E27FC236}">
              <a16:creationId xmlns:a16="http://schemas.microsoft.com/office/drawing/2014/main" id="{74FCE072-8275-5B13-97DC-1710CEF0C41A}"/>
            </a:ext>
          </a:extLst>
        </xdr:cNvPr>
        <xdr:cNvPicPr>
          <a:picLocks noChangeAspect="1"/>
        </xdr:cNvPicPr>
      </xdr:nvPicPr>
      <xdr:blipFill>
        <a:blip xmlns:r="http://schemas.openxmlformats.org/officeDocument/2006/relationships" r:embed="rId80"/>
        <a:stretch>
          <a:fillRect/>
        </a:stretch>
      </xdr:blipFill>
      <xdr:spPr>
        <a:xfrm>
          <a:off x="13859620" y="107691667"/>
          <a:ext cx="7571032" cy="6319126"/>
        </a:xfrm>
        <a:prstGeom prst="rect">
          <a:avLst/>
        </a:prstGeom>
      </xdr:spPr>
    </xdr:pic>
    <xdr:clientData/>
  </xdr:twoCellAnchor>
  <xdr:twoCellAnchor editAs="oneCell">
    <xdr:from>
      <xdr:col>33</xdr:col>
      <xdr:colOff>162560</xdr:colOff>
      <xdr:row>21</xdr:row>
      <xdr:rowOff>152994</xdr:rowOff>
    </xdr:from>
    <xdr:to>
      <xdr:col>39</xdr:col>
      <xdr:colOff>565017</xdr:colOff>
      <xdr:row>32</xdr:row>
      <xdr:rowOff>10160</xdr:rowOff>
    </xdr:to>
    <xdr:pic>
      <xdr:nvPicPr>
        <xdr:cNvPr id="30" name="Picture 29">
          <a:extLst>
            <a:ext uri="{FF2B5EF4-FFF2-40B4-BE49-F238E27FC236}">
              <a16:creationId xmlns:a16="http://schemas.microsoft.com/office/drawing/2014/main" id="{39A6D115-072B-B26B-4A13-6B8C0B3E1014}"/>
            </a:ext>
          </a:extLst>
        </xdr:cNvPr>
        <xdr:cNvPicPr>
          <a:picLocks noChangeAspect="1"/>
        </xdr:cNvPicPr>
      </xdr:nvPicPr>
      <xdr:blipFill>
        <a:blip xmlns:r="http://schemas.openxmlformats.org/officeDocument/2006/relationships" r:embed="rId81"/>
        <a:stretch>
          <a:fillRect/>
        </a:stretch>
      </xdr:blipFill>
      <xdr:spPr>
        <a:xfrm>
          <a:off x="28874720" y="4552274"/>
          <a:ext cx="5340218" cy="2092366"/>
        </a:xfrm>
        <a:prstGeom prst="rect">
          <a:avLst/>
        </a:prstGeom>
      </xdr:spPr>
    </xdr:pic>
    <xdr:clientData/>
  </xdr:twoCellAnchor>
  <xdr:twoCellAnchor editAs="oneCell">
    <xdr:from>
      <xdr:col>32</xdr:col>
      <xdr:colOff>568960</xdr:colOff>
      <xdr:row>36</xdr:row>
      <xdr:rowOff>60961</xdr:rowOff>
    </xdr:from>
    <xdr:to>
      <xdr:col>36</xdr:col>
      <xdr:colOff>727007</xdr:colOff>
      <xdr:row>54</xdr:row>
      <xdr:rowOff>60034</xdr:rowOff>
    </xdr:to>
    <xdr:pic>
      <xdr:nvPicPr>
        <xdr:cNvPr id="39" name="Picture 38">
          <a:extLst>
            <a:ext uri="{FF2B5EF4-FFF2-40B4-BE49-F238E27FC236}">
              <a16:creationId xmlns:a16="http://schemas.microsoft.com/office/drawing/2014/main" id="{8F0DBA74-F9B8-4B4E-B582-F203D16E38F3}"/>
            </a:ext>
          </a:extLst>
        </xdr:cNvPr>
        <xdr:cNvPicPr>
          <a:picLocks noChangeAspect="1"/>
        </xdr:cNvPicPr>
      </xdr:nvPicPr>
      <xdr:blipFill>
        <a:blip xmlns:r="http://schemas.openxmlformats.org/officeDocument/2006/relationships" r:embed="rId82"/>
        <a:stretch>
          <a:fillRect/>
        </a:stretch>
      </xdr:blipFill>
      <xdr:spPr>
        <a:xfrm>
          <a:off x="28458160" y="7508241"/>
          <a:ext cx="4531360" cy="3656673"/>
        </a:xfrm>
        <a:prstGeom prst="rect">
          <a:avLst/>
        </a:prstGeom>
      </xdr:spPr>
    </xdr:pic>
    <xdr:clientData/>
  </xdr:twoCellAnchor>
  <xdr:twoCellAnchor>
    <xdr:from>
      <xdr:col>26</xdr:col>
      <xdr:colOff>431800</xdr:colOff>
      <xdr:row>36</xdr:row>
      <xdr:rowOff>25400</xdr:rowOff>
    </xdr:from>
    <xdr:to>
      <xdr:col>32</xdr:col>
      <xdr:colOff>304800</xdr:colOff>
      <xdr:row>54</xdr:row>
      <xdr:rowOff>60960</xdr:rowOff>
    </xdr:to>
    <xdr:graphicFrame macro="">
      <xdr:nvGraphicFramePr>
        <xdr:cNvPr id="60" name="Chart 59">
          <a:extLst>
            <a:ext uri="{FF2B5EF4-FFF2-40B4-BE49-F238E27FC236}">
              <a16:creationId xmlns:a16="http://schemas.microsoft.com/office/drawing/2014/main" id="{39BC397F-3287-67A9-0070-7E3C16368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editAs="oneCell">
    <xdr:from>
      <xdr:col>14</xdr:col>
      <xdr:colOff>52085</xdr:colOff>
      <xdr:row>62</xdr:row>
      <xdr:rowOff>40640</xdr:rowOff>
    </xdr:from>
    <xdr:to>
      <xdr:col>19</xdr:col>
      <xdr:colOff>621015</xdr:colOff>
      <xdr:row>74</xdr:row>
      <xdr:rowOff>59911</xdr:rowOff>
    </xdr:to>
    <xdr:pic>
      <xdr:nvPicPr>
        <xdr:cNvPr id="62" name="Picture 61">
          <a:extLst>
            <a:ext uri="{FF2B5EF4-FFF2-40B4-BE49-F238E27FC236}">
              <a16:creationId xmlns:a16="http://schemas.microsoft.com/office/drawing/2014/main" id="{A60075AB-CD29-CB59-384F-65902278283F}"/>
            </a:ext>
          </a:extLst>
        </xdr:cNvPr>
        <xdr:cNvPicPr>
          <a:picLocks noChangeAspect="1"/>
        </xdr:cNvPicPr>
      </xdr:nvPicPr>
      <xdr:blipFill>
        <a:blip xmlns:r="http://schemas.openxmlformats.org/officeDocument/2006/relationships" r:embed="rId84"/>
        <a:stretch>
          <a:fillRect/>
        </a:stretch>
      </xdr:blipFill>
      <xdr:spPr>
        <a:xfrm>
          <a:off x="12934965" y="12771120"/>
          <a:ext cx="5306165" cy="2457671"/>
        </a:xfrm>
        <a:prstGeom prst="rect">
          <a:avLst/>
        </a:prstGeom>
      </xdr:spPr>
    </xdr:pic>
    <xdr:clientData/>
  </xdr:twoCellAnchor>
  <xdr:oneCellAnchor>
    <xdr:from>
      <xdr:col>33</xdr:col>
      <xdr:colOff>271368</xdr:colOff>
      <xdr:row>119</xdr:row>
      <xdr:rowOff>139808</xdr:rowOff>
    </xdr:from>
    <xdr:ext cx="5601025" cy="1650452"/>
    <mc:AlternateContent xmlns:mc="http://schemas.openxmlformats.org/markup-compatibility/2006" xmlns:a14="http://schemas.microsoft.com/office/drawing/2010/main">
      <mc:Choice Requires="a14">
        <xdr:sp macro="" textlink="">
          <xdr:nvSpPr>
            <xdr:cNvPr id="63" name="TextBox 62">
              <a:extLst>
                <a:ext uri="{FF2B5EF4-FFF2-40B4-BE49-F238E27FC236}">
                  <a16:creationId xmlns:a16="http://schemas.microsoft.com/office/drawing/2014/main" id="{3ECCDCED-D8BB-113B-AD78-83F41EE5FCC0}"/>
                </a:ext>
              </a:extLst>
            </xdr:cNvPr>
            <xdr:cNvSpPr txBox="1"/>
          </xdr:nvSpPr>
          <xdr:spPr>
            <a:xfrm>
              <a:off x="30045812" y="24921090"/>
              <a:ext cx="5601025" cy="1650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𝑃</m:t>
                        </m:r>
                      </m:e>
                    </m:d>
                    <m:r>
                      <a:rPr lang="en-US" sz="2000" b="0" i="1">
                        <a:latin typeface="Cambria Math" panose="02040503050406030204" pitchFamily="18" charset="0"/>
                      </a:rPr>
                      <m:t>=</m:t>
                    </m:r>
                    <m:sSub>
                      <m:sSubPr>
                        <m:ctrlPr>
                          <a:rPr lang="en-US" sz="2000" b="0" i="1">
                            <a:latin typeface="Cambria Math" panose="02040503050406030204" pitchFamily="18" charset="0"/>
                          </a:rPr>
                        </m:ctrlPr>
                      </m:sSubPr>
                      <m:e>
                        <m:r>
                          <a:rPr lang="en-US" sz="2000" b="0" i="1">
                            <a:latin typeface="Cambria Math" panose="02040503050406030204" pitchFamily="18" charset="0"/>
                          </a:rPr>
                          <m:t>𝑤</m:t>
                        </m:r>
                      </m:e>
                      <m:sub>
                        <m:r>
                          <a:rPr lang="en-US" sz="2000" b="0" i="1">
                            <a:latin typeface="Cambria Math" panose="02040503050406030204" pitchFamily="18" charset="0"/>
                          </a:rPr>
                          <m:t>𝑟𝑝</m:t>
                        </m:r>
                      </m:sub>
                    </m:sSub>
                    <m:r>
                      <a:rPr lang="en-US" sz="2000" b="0" i="1">
                        <a:latin typeface="Cambria Math" panose="02040503050406030204" pitchFamily="18" charset="0"/>
                      </a:rPr>
                      <m:t>∗</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𝑟𝑝</m:t>
                        </m:r>
                      </m:e>
                    </m:d>
                    <m:r>
                      <a:rPr lang="en-US" sz="2000" b="0" i="1">
                        <a:latin typeface="Cambria Math" panose="02040503050406030204" pitchFamily="18" charset="0"/>
                      </a:rPr>
                      <m:t>+</m:t>
                    </m:r>
                    <m:d>
                      <m:dPr>
                        <m:ctrlPr>
                          <a:rPr lang="en-US" sz="2000" b="0" i="1">
                            <a:latin typeface="Cambria Math" panose="02040503050406030204" pitchFamily="18" charset="0"/>
                          </a:rPr>
                        </m:ctrlPr>
                      </m:dPr>
                      <m:e>
                        <m:r>
                          <a:rPr lang="en-US" sz="2000" b="0" i="1">
                            <a:latin typeface="Cambria Math" panose="02040503050406030204" pitchFamily="18" charset="0"/>
                          </a:rPr>
                          <m:t>1−</m:t>
                        </m:r>
                        <m:sSub>
                          <m:sSubPr>
                            <m:ctrlPr>
                              <a:rPr lang="en-US" sz="2000" b="0" i="1">
                                <a:latin typeface="Cambria Math" panose="02040503050406030204" pitchFamily="18" charset="0"/>
                              </a:rPr>
                            </m:ctrlPr>
                          </m:sSubPr>
                          <m:e>
                            <m:r>
                              <a:rPr lang="en-US" sz="2000" b="0" i="1">
                                <a:latin typeface="Cambria Math" panose="02040503050406030204" pitchFamily="18" charset="0"/>
                              </a:rPr>
                              <m:t>𝑤</m:t>
                            </m:r>
                          </m:e>
                          <m:sub>
                            <m:r>
                              <a:rPr lang="en-US" sz="2000" b="0" i="1">
                                <a:latin typeface="Cambria Math" panose="02040503050406030204" pitchFamily="18" charset="0"/>
                              </a:rPr>
                              <m:t>𝑟𝑝</m:t>
                            </m:r>
                          </m:sub>
                        </m:sSub>
                      </m:e>
                    </m:d>
                    <m:r>
                      <a:rPr lang="en-US" sz="2000" b="0" i="1">
                        <a:latin typeface="Cambria Math" panose="02040503050406030204" pitchFamily="18" charset="0"/>
                      </a:rPr>
                      <m:t>∗</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𝑇</m:t>
                        </m:r>
                      </m:e>
                    </m:d>
                  </m:oMath>
                  <m:oMath xmlns:m="http://schemas.openxmlformats.org/officeDocument/2006/math">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𝑃</m:t>
                        </m:r>
                      </m:e>
                    </m:d>
                    <m:r>
                      <a:rPr lang="en-US" sz="2000" b="0" i="1">
                        <a:latin typeface="Cambria Math" panose="02040503050406030204" pitchFamily="18" charset="0"/>
                      </a:rPr>
                      <m:t>=</m:t>
                    </m:r>
                    <m:sSub>
                      <m:sSubPr>
                        <m:ctrlPr>
                          <a:rPr lang="en-US" sz="2000" b="0" i="1">
                            <a:latin typeface="Cambria Math" panose="02040503050406030204" pitchFamily="18" charset="0"/>
                          </a:rPr>
                        </m:ctrlPr>
                      </m:sSubPr>
                      <m:e>
                        <m:r>
                          <a:rPr lang="en-US" sz="2000" b="0" i="1">
                            <a:latin typeface="Cambria Math" panose="02040503050406030204" pitchFamily="18" charset="0"/>
                          </a:rPr>
                          <m:t>𝑤</m:t>
                        </m:r>
                      </m:e>
                      <m:sub>
                        <m:r>
                          <a:rPr lang="en-US" sz="2000" b="0" i="1">
                            <a:latin typeface="Cambria Math" panose="02040503050406030204" pitchFamily="18" charset="0"/>
                          </a:rPr>
                          <m:t>𝑟𝑝</m:t>
                        </m:r>
                      </m:sub>
                    </m:sSub>
                    <m:r>
                      <a:rPr lang="en-US" sz="2000" b="0" i="1">
                        <a:latin typeface="Cambria Math" panose="02040503050406030204" pitchFamily="18" charset="0"/>
                      </a:rPr>
                      <m:t>∗</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𝑟𝑝</m:t>
                        </m:r>
                      </m:e>
                    </m:d>
                    <m:r>
                      <a:rPr lang="en-US" sz="2000" b="0" i="1">
                        <a:latin typeface="Cambria Math" panose="02040503050406030204" pitchFamily="18" charset="0"/>
                      </a:rPr>
                      <m:t>+</m:t>
                    </m:r>
                    <m:d>
                      <m:dPr>
                        <m:ctrlPr>
                          <a:rPr lang="en-US" sz="2000" b="0" i="1">
                            <a:latin typeface="Cambria Math" panose="02040503050406030204" pitchFamily="18" charset="0"/>
                          </a:rPr>
                        </m:ctrlPr>
                      </m:dPr>
                      <m:e>
                        <m:r>
                          <a:rPr lang="en-US" sz="2000" b="0" i="1">
                            <a:latin typeface="Cambria Math" panose="02040503050406030204" pitchFamily="18" charset="0"/>
                          </a:rPr>
                          <m:t>1∗</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𝑇</m:t>
                            </m:r>
                          </m:e>
                        </m:d>
                        <m:r>
                          <a:rPr lang="en-US" sz="2000" b="0" i="1">
                            <a:latin typeface="Cambria Math" panose="02040503050406030204" pitchFamily="18" charset="0"/>
                          </a:rPr>
                          <m:t>−</m:t>
                        </m:r>
                        <m:sSub>
                          <m:sSubPr>
                            <m:ctrlPr>
                              <a:rPr lang="en-US" sz="2000" b="0" i="1">
                                <a:latin typeface="Cambria Math" panose="02040503050406030204" pitchFamily="18" charset="0"/>
                              </a:rPr>
                            </m:ctrlPr>
                          </m:sSubPr>
                          <m:e>
                            <m:r>
                              <a:rPr lang="en-US" sz="2000" b="0" i="1">
                                <a:latin typeface="Cambria Math" panose="02040503050406030204" pitchFamily="18" charset="0"/>
                              </a:rPr>
                              <m:t>𝑤</m:t>
                            </m:r>
                          </m:e>
                          <m:sub>
                            <m:r>
                              <a:rPr lang="en-US" sz="2000" b="0" i="1">
                                <a:latin typeface="Cambria Math" panose="02040503050406030204" pitchFamily="18" charset="0"/>
                              </a:rPr>
                              <m:t>𝑟𝑝</m:t>
                            </m:r>
                          </m:sub>
                        </m:sSub>
                        <m:r>
                          <a:rPr lang="en-US" sz="2000" b="0" i="1">
                            <a:latin typeface="Cambria Math" panose="02040503050406030204" pitchFamily="18" charset="0"/>
                          </a:rPr>
                          <m:t>∗</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𝑇</m:t>
                            </m:r>
                          </m:e>
                        </m:d>
                      </m:e>
                    </m:d>
                  </m:oMath>
                  <m:oMath xmlns:m="http://schemas.openxmlformats.org/officeDocument/2006/math">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𝑃</m:t>
                        </m:r>
                      </m:e>
                    </m:d>
                    <m:r>
                      <a:rPr lang="en-US" sz="2000" b="0" i="1">
                        <a:latin typeface="Cambria Math" panose="02040503050406030204" pitchFamily="18" charset="0"/>
                      </a:rPr>
                      <m:t>=</m:t>
                    </m:r>
                    <m:sSub>
                      <m:sSubPr>
                        <m:ctrlPr>
                          <a:rPr lang="en-US" sz="2000" b="0" i="1">
                            <a:latin typeface="Cambria Math" panose="02040503050406030204" pitchFamily="18" charset="0"/>
                          </a:rPr>
                        </m:ctrlPr>
                      </m:sSubPr>
                      <m:e>
                        <m:r>
                          <a:rPr lang="en-US" sz="2000" b="0" i="1">
                            <a:latin typeface="Cambria Math" panose="02040503050406030204" pitchFamily="18" charset="0"/>
                          </a:rPr>
                          <m:t>𝑤</m:t>
                        </m:r>
                      </m:e>
                      <m:sub>
                        <m:r>
                          <a:rPr lang="en-US" sz="2000" b="0" i="1">
                            <a:latin typeface="Cambria Math" panose="02040503050406030204" pitchFamily="18" charset="0"/>
                          </a:rPr>
                          <m:t>𝑟𝑝</m:t>
                        </m:r>
                      </m:sub>
                    </m:sSub>
                    <m:r>
                      <a:rPr lang="en-US" sz="2000" b="0" i="1">
                        <a:latin typeface="Cambria Math" panose="02040503050406030204" pitchFamily="18" charset="0"/>
                      </a:rPr>
                      <m:t>∗</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𝑟𝑝</m:t>
                        </m:r>
                      </m:e>
                    </m:d>
                    <m:r>
                      <a:rPr lang="en-US" sz="2000" b="0" i="1">
                        <a:latin typeface="Cambria Math" panose="02040503050406030204" pitchFamily="18" charset="0"/>
                      </a:rPr>
                      <m:t>−</m:t>
                    </m:r>
                    <m:sSub>
                      <m:sSubPr>
                        <m:ctrlPr>
                          <a:rPr lang="en-US" sz="2000" b="0" i="1">
                            <a:latin typeface="Cambria Math" panose="02040503050406030204" pitchFamily="18" charset="0"/>
                          </a:rPr>
                        </m:ctrlPr>
                      </m:sSubPr>
                      <m:e>
                        <m:r>
                          <a:rPr lang="en-US" sz="2000" b="0" i="1">
                            <a:latin typeface="Cambria Math" panose="02040503050406030204" pitchFamily="18" charset="0"/>
                          </a:rPr>
                          <m:t>𝑤</m:t>
                        </m:r>
                      </m:e>
                      <m:sub>
                        <m:r>
                          <a:rPr lang="en-US" sz="2000" b="0" i="1">
                            <a:latin typeface="Cambria Math" panose="02040503050406030204" pitchFamily="18" charset="0"/>
                          </a:rPr>
                          <m:t>𝑟𝑝</m:t>
                        </m:r>
                      </m:sub>
                    </m:sSub>
                    <m:r>
                      <a:rPr lang="en-US" sz="2000" b="0" i="1">
                        <a:latin typeface="Cambria Math" panose="02040503050406030204" pitchFamily="18" charset="0"/>
                      </a:rPr>
                      <m:t>∗</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𝑇</m:t>
                        </m:r>
                      </m:e>
                    </m:d>
                    <m:r>
                      <a:rPr lang="en-US" sz="2000" b="0" i="1">
                        <a:latin typeface="Cambria Math" panose="02040503050406030204" pitchFamily="18" charset="0"/>
                      </a:rPr>
                      <m:t>+</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𝑇</m:t>
                        </m:r>
                      </m:e>
                    </m:d>
                  </m:oMath>
                  <m:oMath xmlns:m="http://schemas.openxmlformats.org/officeDocument/2006/math">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𝑃</m:t>
                        </m:r>
                      </m:e>
                    </m:d>
                    <m:r>
                      <a:rPr lang="en-US" sz="2000" b="0" i="1">
                        <a:latin typeface="Cambria Math" panose="02040503050406030204" pitchFamily="18" charset="0"/>
                      </a:rPr>
                      <m:t>=</m:t>
                    </m:r>
                    <m:sSub>
                      <m:sSubPr>
                        <m:ctrlPr>
                          <a:rPr lang="en-US" sz="2000" b="0" i="1">
                            <a:latin typeface="Cambria Math" panose="02040503050406030204" pitchFamily="18" charset="0"/>
                          </a:rPr>
                        </m:ctrlPr>
                      </m:sSubPr>
                      <m:e>
                        <m:r>
                          <a:rPr lang="en-US" sz="2000" b="0" i="1">
                            <a:latin typeface="Cambria Math" panose="02040503050406030204" pitchFamily="18" charset="0"/>
                          </a:rPr>
                          <m:t>𝑤</m:t>
                        </m:r>
                      </m:e>
                      <m:sub>
                        <m:r>
                          <a:rPr lang="en-US" sz="2000" b="0" i="1">
                            <a:latin typeface="Cambria Math" panose="02040503050406030204" pitchFamily="18" charset="0"/>
                          </a:rPr>
                          <m:t>𝑟𝑝</m:t>
                        </m:r>
                      </m:sub>
                    </m:sSub>
                    <m:r>
                      <a:rPr lang="en-US" sz="2000" b="0" i="1">
                        <a:latin typeface="Cambria Math" panose="02040503050406030204" pitchFamily="18" charset="0"/>
                      </a:rPr>
                      <m:t>( </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𝑟𝑝</m:t>
                        </m:r>
                      </m:e>
                    </m:d>
                    <m:r>
                      <a:rPr lang="en-US" sz="2000" b="0" i="1">
                        <a:latin typeface="Cambria Math" panose="02040503050406030204" pitchFamily="18" charset="0"/>
                      </a:rPr>
                      <m:t>−</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𝑇</m:t>
                        </m:r>
                      </m:e>
                    </m:d>
                    <m:r>
                      <a:rPr lang="en-US" sz="2000" b="0" i="1">
                        <a:latin typeface="Cambria Math" panose="02040503050406030204" pitchFamily="18" charset="0"/>
                      </a:rPr>
                      <m:t> )+</m:t>
                    </m:r>
                    <m:r>
                      <a:rPr lang="en-US" sz="2000" b="0" i="1">
                        <a:latin typeface="Cambria Math" panose="02040503050406030204" pitchFamily="18" charset="0"/>
                      </a:rPr>
                      <m:t>𝐸</m:t>
                    </m:r>
                    <m:d>
                      <m:dPr>
                        <m:ctrlPr>
                          <a:rPr lang="en-US" sz="2000" b="0" i="1">
                            <a:latin typeface="Cambria Math" panose="02040503050406030204" pitchFamily="18" charset="0"/>
                          </a:rPr>
                        </m:ctrlPr>
                      </m:dPr>
                      <m:e>
                        <m:r>
                          <a:rPr lang="en-US" sz="2000" b="0" i="1">
                            <a:latin typeface="Cambria Math" panose="02040503050406030204" pitchFamily="18" charset="0"/>
                          </a:rPr>
                          <m:t>𝑇</m:t>
                        </m:r>
                      </m:e>
                    </m:d>
                  </m:oMath>
                </m:oMathPara>
              </a14:m>
              <a:br>
                <a:rPr lang="en-US" sz="2000" b="0"/>
              </a:br>
              <a:endParaRPr lang="en-US" sz="2000" b="0"/>
            </a:p>
            <a:p>
              <a:endParaRPr lang="en-US" sz="1100"/>
            </a:p>
          </xdr:txBody>
        </xdr:sp>
      </mc:Choice>
      <mc:Fallback xmlns="">
        <xdr:sp macro="" textlink="">
          <xdr:nvSpPr>
            <xdr:cNvPr id="63" name="TextBox 62">
              <a:extLst>
                <a:ext uri="{FF2B5EF4-FFF2-40B4-BE49-F238E27FC236}">
                  <a16:creationId xmlns:a16="http://schemas.microsoft.com/office/drawing/2014/main" id="{3ECCDCED-D8BB-113B-AD78-83F41EE5FCC0}"/>
                </a:ext>
              </a:extLst>
            </xdr:cNvPr>
            <xdr:cNvSpPr txBox="1"/>
          </xdr:nvSpPr>
          <xdr:spPr>
            <a:xfrm>
              <a:off x="30045812" y="24921090"/>
              <a:ext cx="5601025" cy="1650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000" b="0" i="0">
                  <a:latin typeface="Cambria Math" panose="02040503050406030204" pitchFamily="18" charset="0"/>
                </a:rPr>
                <a:t>𝐸(𝑃)=𝑤_𝑟𝑝∗𝐸(𝑟𝑝)+(1−𝑤_𝑟𝑝 )∗𝐸(𝑇)</a:t>
              </a:r>
              <a:br>
                <a:rPr lang="en-US" sz="2000" b="0"/>
              </a:br>
              <a:r>
                <a:rPr lang="en-US" sz="2000" b="0" i="0">
                  <a:latin typeface="Cambria Math" panose="02040503050406030204" pitchFamily="18" charset="0"/>
                </a:rPr>
                <a:t>𝐸(𝑃)=𝑤_𝑟𝑝∗𝐸(𝑟𝑝)+(1∗𝐸(𝑇)−𝑤_𝑟𝑝∗𝐸(𝑇))</a:t>
              </a:r>
              <a:br>
                <a:rPr lang="en-US" sz="2000" b="0"/>
              </a:br>
              <a:r>
                <a:rPr lang="en-US" sz="2000" b="0" i="0">
                  <a:latin typeface="Cambria Math" panose="02040503050406030204" pitchFamily="18" charset="0"/>
                </a:rPr>
                <a:t>𝐸(𝑃)=𝑤_𝑟𝑝∗𝐸(𝑟𝑝)−𝑤_𝑟𝑝∗𝐸(𝑇)+𝐸(𝑇)</a:t>
              </a:r>
              <a:br>
                <a:rPr lang="en-US" sz="2000" b="0"/>
              </a:br>
              <a:r>
                <a:rPr lang="en-US" sz="2000" b="0" i="0">
                  <a:latin typeface="Cambria Math" panose="02040503050406030204" pitchFamily="18" charset="0"/>
                </a:rPr>
                <a:t>𝐸(𝑃)=𝑤_𝑟𝑝 ( 𝐸(𝑟𝑝)−𝐸(𝑇)  )+𝐸(𝑇)</a:t>
              </a:r>
              <a:br>
                <a:rPr lang="en-US" sz="2000" b="0"/>
              </a:br>
              <a:endParaRPr lang="en-US" sz="2000" b="0"/>
            </a:p>
            <a:p>
              <a:endParaRPr lang="en-US" sz="1100"/>
            </a:p>
          </xdr:txBody>
        </xdr:sp>
      </mc:Fallback>
    </mc:AlternateContent>
    <xdr:clientData/>
  </xdr:oneCellAnchor>
  <xdr:oneCellAnchor>
    <xdr:from>
      <xdr:col>30</xdr:col>
      <xdr:colOff>346049</xdr:colOff>
      <xdr:row>120</xdr:row>
      <xdr:rowOff>172372</xdr:rowOff>
    </xdr:from>
    <xdr:ext cx="2120709" cy="778290"/>
    <mc:AlternateContent xmlns:mc="http://schemas.openxmlformats.org/markup-compatibility/2006" xmlns:a14="http://schemas.microsoft.com/office/drawing/2010/main">
      <mc:Choice Requires="a14">
        <xdr:sp macro="" textlink="">
          <xdr:nvSpPr>
            <xdr:cNvPr id="64" name="TextBox 63">
              <a:extLst>
                <a:ext uri="{FF2B5EF4-FFF2-40B4-BE49-F238E27FC236}">
                  <a16:creationId xmlns:a16="http://schemas.microsoft.com/office/drawing/2014/main" id="{B0EEE3F3-E405-7CED-5FAE-8774810FE754}"/>
                </a:ext>
              </a:extLst>
            </xdr:cNvPr>
            <xdr:cNvSpPr txBox="1"/>
          </xdr:nvSpPr>
          <xdr:spPr>
            <a:xfrm>
              <a:off x="27623912" y="25159893"/>
              <a:ext cx="2120709" cy="778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 </m:t>
                    </m:r>
                    <m:r>
                      <a:rPr lang="en-US" sz="1600" b="0" i="1">
                        <a:latin typeface="Cambria Math" panose="02040503050406030204" pitchFamily="18" charset="0"/>
                      </a:rPr>
                      <m:t>𝑆𝐷</m:t>
                    </m:r>
                    <m:d>
                      <m:dPr>
                        <m:ctrlPr>
                          <a:rPr lang="en-US" sz="1600" b="0" i="1">
                            <a:latin typeface="Cambria Math" panose="02040503050406030204" pitchFamily="18" charset="0"/>
                          </a:rPr>
                        </m:ctrlPr>
                      </m:dPr>
                      <m:e>
                        <m:r>
                          <a:rPr lang="en-US" sz="1600" b="0" i="1">
                            <a:latin typeface="Cambria Math" panose="02040503050406030204" pitchFamily="18" charset="0"/>
                          </a:rPr>
                          <m:t>𝑃</m:t>
                        </m:r>
                      </m:e>
                    </m:d>
                    <m:r>
                      <a:rPr lang="en-US" sz="1600" b="0" i="1">
                        <a:latin typeface="Cambria Math" panose="02040503050406030204" pitchFamily="18" charset="0"/>
                      </a:rPr>
                      <m:t>=</m:t>
                    </m:r>
                    <m:sSub>
                      <m:sSubPr>
                        <m:ctrlPr>
                          <a:rPr lang="en-US" sz="1600" b="0" i="1">
                            <a:latin typeface="Cambria Math" panose="02040503050406030204" pitchFamily="18" charset="0"/>
                          </a:rPr>
                        </m:ctrlPr>
                      </m:sSubPr>
                      <m:e>
                        <m:r>
                          <a:rPr lang="en-US" sz="1600" b="0" i="1">
                            <a:latin typeface="Cambria Math" panose="02040503050406030204" pitchFamily="18" charset="0"/>
                          </a:rPr>
                          <m:t>𝑤</m:t>
                        </m:r>
                      </m:e>
                      <m:sub>
                        <m:r>
                          <a:rPr lang="en-US" sz="1600" b="0" i="1">
                            <a:latin typeface="Cambria Math" panose="02040503050406030204" pitchFamily="18" charset="0"/>
                          </a:rPr>
                          <m:t>𝑟𝑝</m:t>
                        </m:r>
                      </m:sub>
                    </m:sSub>
                    <m:r>
                      <a:rPr lang="en-US" sz="1600" b="0" i="1">
                        <a:latin typeface="Cambria Math" panose="02040503050406030204" pitchFamily="18" charset="0"/>
                      </a:rPr>
                      <m:t>∗</m:t>
                    </m:r>
                    <m:r>
                      <a:rPr lang="en-US" sz="1600" b="0" i="1">
                        <a:latin typeface="Cambria Math" panose="02040503050406030204" pitchFamily="18" charset="0"/>
                      </a:rPr>
                      <m:t>𝑆𝐷</m:t>
                    </m:r>
                    <m:d>
                      <m:dPr>
                        <m:ctrlPr>
                          <a:rPr lang="en-US" sz="1600" b="0" i="1">
                            <a:latin typeface="Cambria Math" panose="02040503050406030204" pitchFamily="18" charset="0"/>
                          </a:rPr>
                        </m:ctrlPr>
                      </m:dPr>
                      <m:e>
                        <m:r>
                          <a:rPr lang="en-US" sz="1600" b="0" i="1">
                            <a:latin typeface="Cambria Math" panose="02040503050406030204" pitchFamily="18" charset="0"/>
                          </a:rPr>
                          <m:t>𝑅𝑃</m:t>
                        </m:r>
                      </m:e>
                    </m:d>
                  </m:oMath>
                  <m:oMath xmlns:m="http://schemas.openxmlformats.org/officeDocument/2006/math">
                    <m:sSub>
                      <m:sSubPr>
                        <m:ctrlPr>
                          <a:rPr lang="en-US" sz="1600" b="0" i="1">
                            <a:latin typeface="Cambria Math" panose="02040503050406030204" pitchFamily="18" charset="0"/>
                          </a:rPr>
                        </m:ctrlPr>
                      </m:sSubPr>
                      <m:e>
                        <m:r>
                          <a:rPr lang="en-US" sz="1600" b="0" i="1">
                            <a:latin typeface="Cambria Math" panose="02040503050406030204" pitchFamily="18" charset="0"/>
                          </a:rPr>
                          <m:t>𝑤</m:t>
                        </m:r>
                      </m:e>
                      <m:sub>
                        <m:r>
                          <a:rPr lang="en-US" sz="1600" b="0" i="1">
                            <a:latin typeface="Cambria Math" panose="02040503050406030204" pitchFamily="18" charset="0"/>
                          </a:rPr>
                          <m:t>𝑟𝑝</m:t>
                        </m:r>
                      </m:sub>
                    </m:sSub>
                    <m:r>
                      <a:rPr lang="en-US" sz="1600" b="0" i="1">
                        <a:latin typeface="Cambria Math" panose="02040503050406030204" pitchFamily="18" charset="0"/>
                      </a:rPr>
                      <m:t>= </m:t>
                    </m:r>
                    <m:f>
                      <m:fPr>
                        <m:ctrlPr>
                          <a:rPr lang="en-US" sz="1600" b="0" i="1">
                            <a:latin typeface="Cambria Math" panose="02040503050406030204" pitchFamily="18" charset="0"/>
                          </a:rPr>
                        </m:ctrlPr>
                      </m:fPr>
                      <m:num>
                        <m:r>
                          <a:rPr lang="en-US" sz="1600" b="0" i="1">
                            <a:latin typeface="Cambria Math" panose="02040503050406030204" pitchFamily="18" charset="0"/>
                          </a:rPr>
                          <m:t>𝑆𝐷</m:t>
                        </m:r>
                        <m:d>
                          <m:dPr>
                            <m:ctrlPr>
                              <a:rPr lang="en-US" sz="1600" b="0" i="1">
                                <a:latin typeface="Cambria Math" panose="02040503050406030204" pitchFamily="18" charset="0"/>
                              </a:rPr>
                            </m:ctrlPr>
                          </m:dPr>
                          <m:e>
                            <m:r>
                              <a:rPr lang="en-US" sz="1600" b="0" i="1">
                                <a:latin typeface="Cambria Math" panose="02040503050406030204" pitchFamily="18" charset="0"/>
                              </a:rPr>
                              <m:t>𝑃</m:t>
                            </m:r>
                          </m:e>
                        </m:d>
                      </m:num>
                      <m:den>
                        <m:r>
                          <a:rPr lang="en-US" sz="1600" b="0" i="1">
                            <a:latin typeface="Cambria Math" panose="02040503050406030204" pitchFamily="18" charset="0"/>
                          </a:rPr>
                          <m:t>𝑆𝐷</m:t>
                        </m:r>
                        <m:d>
                          <m:dPr>
                            <m:ctrlPr>
                              <a:rPr lang="en-US" sz="1600" b="0" i="1">
                                <a:latin typeface="Cambria Math" panose="02040503050406030204" pitchFamily="18" charset="0"/>
                              </a:rPr>
                            </m:ctrlPr>
                          </m:dPr>
                          <m:e>
                            <m:r>
                              <a:rPr lang="en-US" sz="1600" b="0" i="1">
                                <a:latin typeface="Cambria Math" panose="02040503050406030204" pitchFamily="18" charset="0"/>
                              </a:rPr>
                              <m:t>𝑅𝑃</m:t>
                            </m:r>
                          </m:e>
                        </m:d>
                      </m:den>
                    </m:f>
                    <m:r>
                      <a:rPr lang="en-US" sz="1600" b="0" i="1">
                        <a:latin typeface="Cambria Math" panose="02040503050406030204" pitchFamily="18" charset="0"/>
                      </a:rPr>
                      <m:t> </m:t>
                    </m:r>
                  </m:oMath>
                </m:oMathPara>
              </a14:m>
              <a:endParaRPr lang="en-US" sz="1600"/>
            </a:p>
          </xdr:txBody>
        </xdr:sp>
      </mc:Choice>
      <mc:Fallback xmlns="">
        <xdr:sp macro="" textlink="">
          <xdr:nvSpPr>
            <xdr:cNvPr id="64" name="TextBox 63">
              <a:extLst>
                <a:ext uri="{FF2B5EF4-FFF2-40B4-BE49-F238E27FC236}">
                  <a16:creationId xmlns:a16="http://schemas.microsoft.com/office/drawing/2014/main" id="{B0EEE3F3-E405-7CED-5FAE-8774810FE754}"/>
                </a:ext>
              </a:extLst>
            </xdr:cNvPr>
            <xdr:cNvSpPr txBox="1"/>
          </xdr:nvSpPr>
          <xdr:spPr>
            <a:xfrm>
              <a:off x="27623912" y="25159893"/>
              <a:ext cx="2120709" cy="778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600" b="0" i="0">
                  <a:latin typeface="Cambria Math" panose="02040503050406030204" pitchFamily="18" charset="0"/>
                </a:rPr>
                <a:t> 𝑆𝐷(𝑃)=𝑤_𝑟𝑝∗𝑆𝐷(𝑅𝑃)</a:t>
              </a:r>
              <a:br>
                <a:rPr lang="en-US" sz="1600" b="0"/>
              </a:br>
              <a:r>
                <a:rPr lang="en-US" sz="1600" b="0" i="0">
                  <a:latin typeface="Cambria Math" panose="02040503050406030204" pitchFamily="18" charset="0"/>
                </a:rPr>
                <a:t>𝑤_𝑟𝑝=  𝑆𝐷(𝑃)/𝑆𝐷(𝑅𝑃)   </a:t>
              </a:r>
              <a:endParaRPr lang="en-US" sz="1600"/>
            </a:p>
          </xdr:txBody>
        </xdr:sp>
      </mc:Fallback>
    </mc:AlternateContent>
    <xdr:clientData/>
  </xdr:oneCellAnchor>
  <xdr:oneCellAnchor>
    <xdr:from>
      <xdr:col>31</xdr:col>
      <xdr:colOff>118100</xdr:colOff>
      <xdr:row>128</xdr:row>
      <xdr:rowOff>31261</xdr:rowOff>
    </xdr:from>
    <xdr:ext cx="4951046" cy="3522952"/>
    <mc:AlternateContent xmlns:mc="http://schemas.openxmlformats.org/markup-compatibility/2006" xmlns:a14="http://schemas.microsoft.com/office/drawing/2010/main">
      <mc:Choice Requires="a14">
        <xdr:sp macro="" textlink="">
          <xdr:nvSpPr>
            <xdr:cNvPr id="65" name="TextBox 64">
              <a:extLst>
                <a:ext uri="{FF2B5EF4-FFF2-40B4-BE49-F238E27FC236}">
                  <a16:creationId xmlns:a16="http://schemas.microsoft.com/office/drawing/2014/main" id="{5A2D82F4-F722-C726-FCC8-4990D47C6758}"/>
                </a:ext>
              </a:extLst>
            </xdr:cNvPr>
            <xdr:cNvSpPr txBox="1"/>
          </xdr:nvSpPr>
          <xdr:spPr>
            <a:xfrm>
              <a:off x="28366698" y="26119672"/>
              <a:ext cx="4951046" cy="3522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en-US" sz="1800" b="0" i="1">
                            <a:latin typeface="Cambria Math" panose="02040503050406030204" pitchFamily="18" charset="0"/>
                          </a:rPr>
                        </m:ctrlPr>
                      </m:dPr>
                      <m:e>
                        <m:eqArr>
                          <m:eqArrPr>
                            <m:ctrlPr>
                              <a:rPr lang="en-US" sz="1800" b="0" i="1">
                                <a:latin typeface="Cambria Math" panose="02040503050406030204" pitchFamily="18" charset="0"/>
                              </a:rPr>
                            </m:ctrlPr>
                          </m:eqArrPr>
                          <m:e>
                            <m:r>
                              <a:rPr lang="en-US" sz="1800" b="0" i="1">
                                <a:latin typeface="Cambria Math" panose="02040503050406030204" pitchFamily="18" charset="0"/>
                              </a:rPr>
                              <m:t>𝑆𝐷</m:t>
                            </m:r>
                            <m:d>
                              <m:dPr>
                                <m:ctrlPr>
                                  <a:rPr lang="en-US" sz="1800" b="0" i="1">
                                    <a:latin typeface="Cambria Math" panose="02040503050406030204" pitchFamily="18" charset="0"/>
                                  </a:rPr>
                                </m:ctrlPr>
                              </m:dPr>
                              <m:e>
                                <m:r>
                                  <a:rPr lang="en-US" sz="1800" b="0" i="1">
                                    <a:latin typeface="Cambria Math" panose="02040503050406030204" pitchFamily="18" charset="0"/>
                                  </a:rPr>
                                  <m:t>𝑃</m:t>
                                </m:r>
                              </m:e>
                            </m:d>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𝑤</m:t>
                                </m:r>
                              </m:e>
                              <m:sub>
                                <m:r>
                                  <a:rPr lang="en-US" sz="1800" b="0" i="1">
                                    <a:latin typeface="Cambria Math" panose="02040503050406030204" pitchFamily="18" charset="0"/>
                                  </a:rPr>
                                  <m:t>𝑟𝑝</m:t>
                                </m:r>
                              </m:sub>
                            </m:sSub>
                            <m:r>
                              <a:rPr lang="en-US" sz="1800" b="0" i="1">
                                <a:latin typeface="Cambria Math" panose="02040503050406030204" pitchFamily="18" charset="0"/>
                              </a:rPr>
                              <m:t>∗</m:t>
                            </m:r>
                            <m:r>
                              <a:rPr lang="en-US" sz="1800" b="0" i="1">
                                <a:latin typeface="Cambria Math" panose="02040503050406030204" pitchFamily="18" charset="0"/>
                              </a:rPr>
                              <m:t>𝑆𝐷</m:t>
                            </m:r>
                            <m:d>
                              <m:dPr>
                                <m:ctrlPr>
                                  <a:rPr lang="en-US" sz="1800" b="0" i="1">
                                    <a:latin typeface="Cambria Math" panose="02040503050406030204" pitchFamily="18" charset="0"/>
                                  </a:rPr>
                                </m:ctrlPr>
                              </m:dPr>
                              <m:e>
                                <m:r>
                                  <a:rPr lang="en-US" sz="1800" b="0" i="1">
                                    <a:latin typeface="Cambria Math" panose="02040503050406030204" pitchFamily="18" charset="0"/>
                                  </a:rPr>
                                  <m:t>𝑅𝑃</m:t>
                                </m:r>
                              </m:e>
                            </m:d>
                          </m:e>
                          <m:e>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𝑃</m:t>
                                </m:r>
                              </m:e>
                            </m:d>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𝑤</m:t>
                                </m:r>
                              </m:e>
                              <m:sub>
                                <m:r>
                                  <a:rPr lang="en-US" sz="1800" b="0" i="1">
                                    <a:latin typeface="Cambria Math" panose="02040503050406030204" pitchFamily="18" charset="0"/>
                                  </a:rPr>
                                  <m:t>𝑟𝑝</m:t>
                                </m:r>
                              </m:sub>
                            </m:sSub>
                            <m:d>
                              <m:dPr>
                                <m:ctrlPr>
                                  <a:rPr lang="en-US" sz="1800" b="0" i="1">
                                    <a:latin typeface="Cambria Math" panose="02040503050406030204" pitchFamily="18" charset="0"/>
                                  </a:rPr>
                                </m:ctrlPr>
                              </m:dPr>
                              <m:e>
                                <m:r>
                                  <a:rPr lang="en-US" sz="1800" b="0" i="1">
                                    <a:latin typeface="Cambria Math" panose="02040503050406030204" pitchFamily="18" charset="0"/>
                                  </a:rPr>
                                  <m:t> </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𝑅𝑃</m:t>
                                    </m:r>
                                  </m:e>
                                </m:d>
                                <m:r>
                                  <a:rPr lang="en-US" sz="1800" b="0" i="1">
                                    <a:latin typeface="Cambria Math" panose="02040503050406030204" pitchFamily="18" charset="0"/>
                                  </a:rPr>
                                  <m:t>−</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r>
                                  <a:rPr lang="en-US" sz="1800" b="0" i="1">
                                    <a:latin typeface="Cambria Math" panose="02040503050406030204" pitchFamily="18" charset="0"/>
                                  </a:rPr>
                                  <m:t> </m:t>
                                </m:r>
                              </m:e>
                            </m:d>
                            <m:r>
                              <a:rPr lang="en-US" sz="1800" b="0" i="1">
                                <a:latin typeface="Cambria Math" panose="02040503050406030204" pitchFamily="18" charset="0"/>
                              </a:rPr>
                              <m:t>+</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e>
                        </m:eqArr>
                      </m:e>
                    </m:d>
                  </m:oMath>
                </m:oMathPara>
              </a14:m>
              <a:endParaRPr lang="en-US" sz="1100" b="0"/>
            </a:p>
            <a:p>
              <a:endParaRPr lang="en-US" sz="1100" b="0"/>
            </a:p>
            <a:p>
              <a:pPr/>
              <a14:m>
                <m:oMathPara xmlns:m="http://schemas.openxmlformats.org/officeDocument/2006/math">
                  <m:oMathParaPr>
                    <m:jc m:val="centerGroup"/>
                  </m:oMathParaPr>
                  <m:oMath xmlns:m="http://schemas.openxmlformats.org/officeDocument/2006/math">
                    <m:d>
                      <m:dPr>
                        <m:begChr m:val="{"/>
                        <m:endChr m:val=""/>
                        <m:ctrlPr>
                          <a:rPr lang="en-US" sz="1800" b="0" i="1">
                            <a:latin typeface="Cambria Math" panose="02040503050406030204" pitchFamily="18" charset="0"/>
                          </a:rPr>
                        </m:ctrlPr>
                      </m:dPr>
                      <m:e>
                        <m:eqArr>
                          <m:eqArrPr>
                            <m:ctrlPr>
                              <a:rPr lang="en-US" sz="1800" b="0" i="1">
                                <a:latin typeface="Cambria Math" panose="02040503050406030204" pitchFamily="18" charset="0"/>
                              </a:rPr>
                            </m:ctrlPr>
                          </m:eqArrPr>
                          <m:e>
                            <m:sSub>
                              <m:sSubPr>
                                <m:ctrlPr>
                                  <a:rPr lang="en-US" sz="1800" b="0" i="1">
                                    <a:latin typeface="Cambria Math" panose="02040503050406030204" pitchFamily="18" charset="0"/>
                                  </a:rPr>
                                </m:ctrlPr>
                              </m:sSubPr>
                              <m:e>
                                <m:r>
                                  <a:rPr lang="en-US" sz="1800" b="0" i="1">
                                    <a:latin typeface="Cambria Math" panose="02040503050406030204" pitchFamily="18" charset="0"/>
                                  </a:rPr>
                                  <m:t>𝑤</m:t>
                                </m:r>
                              </m:e>
                              <m:sub>
                                <m:r>
                                  <a:rPr lang="en-US" sz="1800" b="0" i="1">
                                    <a:latin typeface="Cambria Math" panose="02040503050406030204" pitchFamily="18" charset="0"/>
                                  </a:rPr>
                                  <m:t>𝑟𝑝</m:t>
                                </m:r>
                              </m:sub>
                            </m:sSub>
                            <m:r>
                              <a:rPr lang="en-US" sz="1800" b="0" i="1">
                                <a:latin typeface="Cambria Math" panose="02040503050406030204" pitchFamily="18" charset="0"/>
                              </a:rPr>
                              <m:t>= </m:t>
                            </m:r>
                            <m:f>
                              <m:fPr>
                                <m:ctrlPr>
                                  <a:rPr lang="en-US" sz="1800" b="0" i="1">
                                    <a:latin typeface="Cambria Math" panose="02040503050406030204" pitchFamily="18" charset="0"/>
                                  </a:rPr>
                                </m:ctrlPr>
                              </m:fPr>
                              <m:num>
                                <m:r>
                                  <a:rPr lang="en-US" sz="1800" b="0" i="1">
                                    <a:latin typeface="Cambria Math" panose="02040503050406030204" pitchFamily="18" charset="0"/>
                                  </a:rPr>
                                  <m:t>𝑆𝐷</m:t>
                                </m:r>
                                <m:d>
                                  <m:dPr>
                                    <m:ctrlPr>
                                      <a:rPr lang="en-US" sz="1800" b="0" i="1">
                                        <a:latin typeface="Cambria Math" panose="02040503050406030204" pitchFamily="18" charset="0"/>
                                      </a:rPr>
                                    </m:ctrlPr>
                                  </m:dPr>
                                  <m:e>
                                    <m:r>
                                      <a:rPr lang="en-US" sz="1800" b="0" i="1">
                                        <a:latin typeface="Cambria Math" panose="02040503050406030204" pitchFamily="18" charset="0"/>
                                      </a:rPr>
                                      <m:t>𝑃</m:t>
                                    </m:r>
                                  </m:e>
                                </m:d>
                              </m:num>
                              <m:den>
                                <m:r>
                                  <a:rPr lang="en-US" sz="1800" b="0" i="1">
                                    <a:latin typeface="Cambria Math" panose="02040503050406030204" pitchFamily="18" charset="0"/>
                                  </a:rPr>
                                  <m:t>𝑆𝐷</m:t>
                                </m:r>
                                <m:d>
                                  <m:dPr>
                                    <m:ctrlPr>
                                      <a:rPr lang="en-US" sz="1800" b="0" i="1">
                                        <a:latin typeface="Cambria Math" panose="02040503050406030204" pitchFamily="18" charset="0"/>
                                      </a:rPr>
                                    </m:ctrlPr>
                                  </m:dPr>
                                  <m:e>
                                    <m:r>
                                      <a:rPr lang="en-US" sz="1800" b="0" i="1">
                                        <a:latin typeface="Cambria Math" panose="02040503050406030204" pitchFamily="18" charset="0"/>
                                      </a:rPr>
                                      <m:t>𝑅𝑃</m:t>
                                    </m:r>
                                  </m:e>
                                </m:d>
                              </m:den>
                            </m:f>
                            <m:r>
                              <a:rPr lang="en-US" sz="1800" b="0" i="1">
                                <a:latin typeface="Cambria Math" panose="02040503050406030204" pitchFamily="18" charset="0"/>
                              </a:rPr>
                              <m:t> </m:t>
                            </m:r>
                          </m:e>
                          <m:e>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𝑃</m:t>
                                </m:r>
                              </m:e>
                            </m:d>
                            <m:r>
                              <a:rPr lang="en-US" sz="1800" b="0" i="1">
                                <a:latin typeface="Cambria Math" panose="02040503050406030204" pitchFamily="18" charset="0"/>
                              </a:rPr>
                              <m:t>=</m:t>
                            </m:r>
                            <m:sSub>
                              <m:sSubPr>
                                <m:ctrlPr>
                                  <a:rPr lang="en-US" sz="1800" b="0" i="1">
                                    <a:latin typeface="Cambria Math" panose="02040503050406030204" pitchFamily="18" charset="0"/>
                                  </a:rPr>
                                </m:ctrlPr>
                              </m:sSubPr>
                              <m:e>
                                <m:r>
                                  <a:rPr lang="en-US" sz="1800" b="0" i="1">
                                    <a:latin typeface="Cambria Math" panose="02040503050406030204" pitchFamily="18" charset="0"/>
                                  </a:rPr>
                                  <m:t>𝑤</m:t>
                                </m:r>
                              </m:e>
                              <m:sub>
                                <m:r>
                                  <a:rPr lang="en-US" sz="1800" b="0" i="1">
                                    <a:latin typeface="Cambria Math" panose="02040503050406030204" pitchFamily="18" charset="0"/>
                                  </a:rPr>
                                  <m:t>𝑟𝑝</m:t>
                                </m:r>
                              </m:sub>
                            </m:sSub>
                            <m:d>
                              <m:dPr>
                                <m:ctrlPr>
                                  <a:rPr lang="en-US" sz="1800" b="0" i="1">
                                    <a:latin typeface="Cambria Math" panose="02040503050406030204" pitchFamily="18" charset="0"/>
                                  </a:rPr>
                                </m:ctrlPr>
                              </m:dPr>
                              <m:e>
                                <m:r>
                                  <a:rPr lang="en-US" sz="1800" b="0" i="1">
                                    <a:latin typeface="Cambria Math" panose="02040503050406030204" pitchFamily="18" charset="0"/>
                                  </a:rPr>
                                  <m:t> </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𝑅𝑃</m:t>
                                    </m:r>
                                  </m:e>
                                </m:d>
                                <m:r>
                                  <a:rPr lang="en-US" sz="1800" b="0" i="1">
                                    <a:latin typeface="Cambria Math" panose="02040503050406030204" pitchFamily="18" charset="0"/>
                                  </a:rPr>
                                  <m:t>−</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r>
                                  <a:rPr lang="en-US" sz="1800" b="0" i="1">
                                    <a:latin typeface="Cambria Math" panose="02040503050406030204" pitchFamily="18" charset="0"/>
                                  </a:rPr>
                                  <m:t> </m:t>
                                </m:r>
                              </m:e>
                            </m:d>
                            <m:r>
                              <a:rPr lang="en-US" sz="1800" b="0" i="1">
                                <a:latin typeface="Cambria Math" panose="02040503050406030204" pitchFamily="18" charset="0"/>
                              </a:rPr>
                              <m:t>+</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e>
                        </m:eqArr>
                      </m:e>
                    </m:d>
                  </m:oMath>
                </m:oMathPara>
              </a14:m>
              <a:br>
                <a:rPr lang="en-US" sz="1800" b="0"/>
              </a:br>
              <a:endParaRPr lang="en-US" sz="1800" b="0" i="1">
                <a:latin typeface="Cambria Math" panose="02040503050406030204" pitchFamily="18" charset="0"/>
              </a:endParaRPr>
            </a:p>
            <a:p>
              <a:pPr/>
              <a14:m>
                <m:oMathPara xmlns:m="http://schemas.openxmlformats.org/officeDocument/2006/math">
                  <m:oMathParaPr>
                    <m:jc m:val="centerGroup"/>
                  </m:oMathParaPr>
                  <m:oMath xmlns:m="http://schemas.openxmlformats.org/officeDocument/2006/math">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𝑃</m:t>
                        </m:r>
                      </m:e>
                    </m:d>
                    <m:r>
                      <a:rPr lang="en-US" sz="1800" b="0" i="1">
                        <a:latin typeface="Cambria Math" panose="02040503050406030204" pitchFamily="18" charset="0"/>
                      </a:rPr>
                      <m:t>=</m:t>
                    </m:r>
                    <m:f>
                      <m:fPr>
                        <m:ctrlPr>
                          <a:rPr lang="en-US" sz="1800" b="0" i="1">
                            <a:latin typeface="Cambria Math" panose="02040503050406030204" pitchFamily="18" charset="0"/>
                          </a:rPr>
                        </m:ctrlPr>
                      </m:fPr>
                      <m:num>
                        <m:r>
                          <a:rPr lang="en-US" sz="1800" b="0" i="1">
                            <a:latin typeface="Cambria Math" panose="02040503050406030204" pitchFamily="18" charset="0"/>
                          </a:rPr>
                          <m:t>𝑆𝐷</m:t>
                        </m:r>
                        <m:d>
                          <m:dPr>
                            <m:ctrlPr>
                              <a:rPr lang="en-US" sz="1800" b="0" i="1">
                                <a:latin typeface="Cambria Math" panose="02040503050406030204" pitchFamily="18" charset="0"/>
                              </a:rPr>
                            </m:ctrlPr>
                          </m:dPr>
                          <m:e>
                            <m:r>
                              <a:rPr lang="en-US" sz="1800" b="0" i="1">
                                <a:latin typeface="Cambria Math" panose="02040503050406030204" pitchFamily="18" charset="0"/>
                              </a:rPr>
                              <m:t>𝑃</m:t>
                            </m:r>
                          </m:e>
                        </m:d>
                      </m:num>
                      <m:den>
                        <m:r>
                          <a:rPr lang="en-US" sz="1800" b="0" i="1">
                            <a:latin typeface="Cambria Math" panose="02040503050406030204" pitchFamily="18" charset="0"/>
                          </a:rPr>
                          <m:t>𝑆𝐷</m:t>
                        </m:r>
                        <m:d>
                          <m:dPr>
                            <m:ctrlPr>
                              <a:rPr lang="en-US" sz="1800" b="0" i="1">
                                <a:latin typeface="Cambria Math" panose="02040503050406030204" pitchFamily="18" charset="0"/>
                              </a:rPr>
                            </m:ctrlPr>
                          </m:dPr>
                          <m:e>
                            <m:r>
                              <a:rPr lang="en-US" sz="1800" b="0" i="1">
                                <a:latin typeface="Cambria Math" panose="02040503050406030204" pitchFamily="18" charset="0"/>
                              </a:rPr>
                              <m:t>𝑅𝑃</m:t>
                            </m:r>
                          </m:e>
                        </m:d>
                      </m:den>
                    </m:f>
                    <m:d>
                      <m:dPr>
                        <m:ctrlPr>
                          <a:rPr lang="en-US" sz="1800" b="0" i="1">
                            <a:latin typeface="Cambria Math" panose="02040503050406030204" pitchFamily="18" charset="0"/>
                          </a:rPr>
                        </m:ctrlPr>
                      </m:dPr>
                      <m:e>
                        <m:r>
                          <a:rPr lang="en-US" sz="1800" b="0" i="1">
                            <a:latin typeface="Cambria Math" panose="02040503050406030204" pitchFamily="18" charset="0"/>
                          </a:rPr>
                          <m:t> </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𝑅𝑃</m:t>
                            </m:r>
                          </m:e>
                        </m:d>
                        <m:r>
                          <a:rPr lang="en-US" sz="1800" b="0" i="1">
                            <a:latin typeface="Cambria Math" panose="02040503050406030204" pitchFamily="18" charset="0"/>
                          </a:rPr>
                          <m:t>−</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r>
                          <a:rPr lang="en-US" sz="1800" b="0" i="1">
                            <a:latin typeface="Cambria Math" panose="02040503050406030204" pitchFamily="18" charset="0"/>
                          </a:rPr>
                          <m:t> </m:t>
                        </m:r>
                      </m:e>
                    </m:d>
                    <m:r>
                      <a:rPr lang="en-US" sz="1800" b="0" i="1">
                        <a:latin typeface="Cambria Math" panose="02040503050406030204" pitchFamily="18" charset="0"/>
                      </a:rPr>
                      <m:t>+</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oMath>
                </m:oMathPara>
              </a14:m>
              <a:endParaRPr lang="en-US" sz="1100" b="0"/>
            </a:p>
            <a:p>
              <a:endParaRPr lang="en-US" sz="1100" b="0"/>
            </a:p>
            <a:p>
              <a:endParaRPr lang="en-US" sz="1100" b="0"/>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𝐸</m:t>
                    </m:r>
                    <m:d>
                      <m:dPr>
                        <m:ctrlPr>
                          <a:rPr lang="en-US" sz="1600" b="0" i="1">
                            <a:latin typeface="Cambria Math" panose="02040503050406030204" pitchFamily="18" charset="0"/>
                          </a:rPr>
                        </m:ctrlPr>
                      </m:dPr>
                      <m:e>
                        <m:r>
                          <a:rPr lang="en-US" sz="1600" b="0" i="1">
                            <a:latin typeface="Cambria Math" panose="02040503050406030204" pitchFamily="18" charset="0"/>
                          </a:rPr>
                          <m:t>𝑃</m:t>
                        </m:r>
                      </m:e>
                    </m:d>
                    <m:r>
                      <a:rPr lang="en-US" sz="1600" b="0" i="1">
                        <a:latin typeface="Cambria Math" panose="02040503050406030204" pitchFamily="18" charset="0"/>
                      </a:rPr>
                      <m:t>=</m:t>
                    </m:r>
                    <m:r>
                      <a:rPr lang="en-US" sz="1600" b="0" i="1">
                        <a:latin typeface="Cambria Math" panose="02040503050406030204" pitchFamily="18" charset="0"/>
                      </a:rPr>
                      <m:t>𝑆𝐷</m:t>
                    </m:r>
                    <m:d>
                      <m:dPr>
                        <m:ctrlPr>
                          <a:rPr lang="en-US" sz="1600" b="0" i="1">
                            <a:latin typeface="Cambria Math" panose="02040503050406030204" pitchFamily="18" charset="0"/>
                          </a:rPr>
                        </m:ctrlPr>
                      </m:dPr>
                      <m:e>
                        <m:r>
                          <a:rPr lang="en-US" sz="1600" b="0" i="1">
                            <a:latin typeface="Cambria Math" panose="02040503050406030204" pitchFamily="18" charset="0"/>
                          </a:rPr>
                          <m:t>𝑃</m:t>
                        </m:r>
                      </m:e>
                    </m:d>
                    <m:r>
                      <a:rPr lang="en-US" sz="1600" b="0" i="1">
                        <a:latin typeface="Cambria Math" panose="02040503050406030204" pitchFamily="18" charset="0"/>
                      </a:rPr>
                      <m:t>∗</m:t>
                    </m:r>
                    <m:f>
                      <m:fPr>
                        <m:ctrlPr>
                          <a:rPr lang="en-US" sz="1600" b="0" i="1">
                            <a:latin typeface="Cambria Math" panose="02040503050406030204" pitchFamily="18" charset="0"/>
                          </a:rPr>
                        </m:ctrlPr>
                      </m:fPr>
                      <m:num>
                        <m:d>
                          <m:dPr>
                            <m:ctrlPr>
                              <a:rPr lang="en-US" sz="1600" b="0" i="1">
                                <a:latin typeface="Cambria Math" panose="02040503050406030204" pitchFamily="18" charset="0"/>
                              </a:rPr>
                            </m:ctrlPr>
                          </m:dPr>
                          <m:e>
                            <m:r>
                              <a:rPr lang="en-US" sz="1600" b="0" i="1">
                                <a:latin typeface="Cambria Math" panose="02040503050406030204" pitchFamily="18" charset="0"/>
                              </a:rPr>
                              <m:t> </m:t>
                            </m:r>
                            <m:r>
                              <a:rPr lang="en-US" sz="1600" b="0" i="1">
                                <a:latin typeface="Cambria Math" panose="02040503050406030204" pitchFamily="18" charset="0"/>
                              </a:rPr>
                              <m:t>𝐸</m:t>
                            </m:r>
                            <m:d>
                              <m:dPr>
                                <m:ctrlPr>
                                  <a:rPr lang="en-US" sz="1600" b="0" i="1">
                                    <a:latin typeface="Cambria Math" panose="02040503050406030204" pitchFamily="18" charset="0"/>
                                  </a:rPr>
                                </m:ctrlPr>
                              </m:dPr>
                              <m:e>
                                <m:r>
                                  <a:rPr lang="en-US" sz="1600" b="0" i="1">
                                    <a:latin typeface="Cambria Math" panose="02040503050406030204" pitchFamily="18" charset="0"/>
                                  </a:rPr>
                                  <m:t>𝑅𝑃</m:t>
                                </m:r>
                              </m:e>
                            </m:d>
                            <m:r>
                              <a:rPr lang="en-US" sz="1600" b="0" i="1">
                                <a:latin typeface="Cambria Math" panose="02040503050406030204" pitchFamily="18" charset="0"/>
                              </a:rPr>
                              <m:t>−</m:t>
                            </m:r>
                            <m:r>
                              <a:rPr lang="en-US" sz="1600" b="0" i="1">
                                <a:latin typeface="Cambria Math" panose="02040503050406030204" pitchFamily="18" charset="0"/>
                              </a:rPr>
                              <m:t>𝐸</m:t>
                            </m:r>
                            <m:d>
                              <m:dPr>
                                <m:ctrlPr>
                                  <a:rPr lang="en-US" sz="1600" b="0" i="1">
                                    <a:latin typeface="Cambria Math" panose="02040503050406030204" pitchFamily="18" charset="0"/>
                                  </a:rPr>
                                </m:ctrlPr>
                              </m:dPr>
                              <m:e>
                                <m:r>
                                  <a:rPr lang="en-US" sz="1600" b="0" i="1">
                                    <a:latin typeface="Cambria Math" panose="02040503050406030204" pitchFamily="18" charset="0"/>
                                  </a:rPr>
                                  <m:t>𝑇</m:t>
                                </m:r>
                              </m:e>
                            </m:d>
                            <m:r>
                              <a:rPr lang="en-US" sz="1600" b="0" i="1">
                                <a:latin typeface="Cambria Math" panose="02040503050406030204" pitchFamily="18" charset="0"/>
                              </a:rPr>
                              <m:t> </m:t>
                            </m:r>
                          </m:e>
                        </m:d>
                      </m:num>
                      <m:den>
                        <m:r>
                          <a:rPr lang="en-US" sz="1600" b="0" i="1">
                            <a:latin typeface="Cambria Math" panose="02040503050406030204" pitchFamily="18" charset="0"/>
                          </a:rPr>
                          <m:t>𝑆𝐷</m:t>
                        </m:r>
                        <m:d>
                          <m:dPr>
                            <m:ctrlPr>
                              <a:rPr lang="en-US" sz="1600" b="0" i="1">
                                <a:latin typeface="Cambria Math" panose="02040503050406030204" pitchFamily="18" charset="0"/>
                              </a:rPr>
                            </m:ctrlPr>
                          </m:dPr>
                          <m:e>
                            <m:r>
                              <a:rPr lang="en-US" sz="1600" b="0" i="1">
                                <a:latin typeface="Cambria Math" panose="02040503050406030204" pitchFamily="18" charset="0"/>
                              </a:rPr>
                              <m:t>𝑅𝑃</m:t>
                            </m:r>
                          </m:e>
                        </m:d>
                      </m:den>
                    </m:f>
                    <m:r>
                      <a:rPr lang="en-US" sz="1600" b="0" i="1">
                        <a:latin typeface="Cambria Math" panose="02040503050406030204" pitchFamily="18" charset="0"/>
                      </a:rPr>
                      <m:t>+</m:t>
                    </m:r>
                    <m:r>
                      <a:rPr lang="en-US" sz="1600" b="0" i="1">
                        <a:latin typeface="Cambria Math" panose="02040503050406030204" pitchFamily="18" charset="0"/>
                      </a:rPr>
                      <m:t>𝐸</m:t>
                    </m:r>
                    <m:d>
                      <m:dPr>
                        <m:ctrlPr>
                          <a:rPr lang="en-US" sz="1600" b="0" i="1">
                            <a:latin typeface="Cambria Math" panose="02040503050406030204" pitchFamily="18" charset="0"/>
                          </a:rPr>
                        </m:ctrlPr>
                      </m:dPr>
                      <m:e>
                        <m:r>
                          <a:rPr lang="en-US" sz="1600" b="0" i="1">
                            <a:latin typeface="Cambria Math" panose="02040503050406030204" pitchFamily="18" charset="0"/>
                          </a:rPr>
                          <m:t>𝑇</m:t>
                        </m:r>
                      </m:e>
                    </m:d>
                  </m:oMath>
                </m:oMathPara>
              </a14:m>
              <a:endParaRPr lang="en-US" sz="1600" b="0"/>
            </a:p>
            <a:p>
              <a:endParaRPr lang="en-US" sz="1100" b="0"/>
            </a:p>
          </xdr:txBody>
        </xdr:sp>
      </mc:Choice>
      <mc:Fallback xmlns="">
        <xdr:sp macro="" textlink="">
          <xdr:nvSpPr>
            <xdr:cNvPr id="65" name="TextBox 64">
              <a:extLst>
                <a:ext uri="{FF2B5EF4-FFF2-40B4-BE49-F238E27FC236}">
                  <a16:creationId xmlns:a16="http://schemas.microsoft.com/office/drawing/2014/main" id="{5A2D82F4-F722-C726-FCC8-4990D47C6758}"/>
                </a:ext>
              </a:extLst>
            </xdr:cNvPr>
            <xdr:cNvSpPr txBox="1"/>
          </xdr:nvSpPr>
          <xdr:spPr>
            <a:xfrm>
              <a:off x="28366698" y="26119672"/>
              <a:ext cx="4951046" cy="3522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b="0" i="0">
                  <a:latin typeface="Cambria Math" panose="02040503050406030204" pitchFamily="18" charset="0"/>
                </a:rPr>
                <a:t>{█(𝑆𝐷(𝑃)=𝑤_𝑟𝑝∗𝑆𝐷(𝑅𝑃)@𝐸(𝑃)=𝑤_𝑟𝑝 ( 𝐸(𝑅𝑃)−𝐸(𝑇)  )+𝐸(𝑇) )┤</a:t>
              </a:r>
              <a:endParaRPr lang="en-US" sz="1100" b="0"/>
            </a:p>
            <a:p>
              <a:endParaRPr lang="en-US" sz="1100" b="0"/>
            </a:p>
            <a:p>
              <a:r>
                <a:rPr lang="en-US" sz="1800" b="0" i="0">
                  <a:latin typeface="Cambria Math" panose="02040503050406030204" pitchFamily="18" charset="0"/>
                </a:rPr>
                <a:t>{█(𝑤_𝑟𝑝= 𝑆𝐷(𝑃)/𝑆𝐷(𝑅𝑃)   @𝐸(𝑃)=𝑤_𝑟𝑝 ( 𝐸(𝑅𝑃)−𝐸(𝑇)  )+𝐸(𝑇) )┤</a:t>
              </a:r>
              <a:br>
                <a:rPr lang="en-US" sz="1800" b="0"/>
              </a:br>
              <a:endParaRPr lang="en-US" sz="1800" b="0" i="1">
                <a:latin typeface="Cambria Math" panose="02040503050406030204" pitchFamily="18" charset="0"/>
              </a:endParaRPr>
            </a:p>
            <a:p>
              <a:r>
                <a:rPr lang="en-US" sz="1800" b="0" i="0">
                  <a:latin typeface="Cambria Math" panose="02040503050406030204" pitchFamily="18" charset="0"/>
                </a:rPr>
                <a:t>𝐸(𝑃)=𝑆𝐷(𝑃)/𝑆𝐷(𝑅𝑃)  ( 𝐸(𝑅𝑃)−𝐸(𝑇)  )+𝐸(𝑇)</a:t>
              </a:r>
              <a:endParaRPr lang="en-US" sz="1100" b="0"/>
            </a:p>
            <a:p>
              <a:endParaRPr lang="en-US" sz="1100" b="0"/>
            </a:p>
            <a:p>
              <a:endParaRPr lang="en-US" sz="1100" b="0"/>
            </a:p>
            <a:p>
              <a:pPr marL="0" marR="0" lvl="0" indent="0" defTabSz="914400" eaLnBrk="1" fontAlgn="auto" latinLnBrk="0" hangingPunct="1">
                <a:lnSpc>
                  <a:spcPct val="100000"/>
                </a:lnSpc>
                <a:spcBef>
                  <a:spcPts val="0"/>
                </a:spcBef>
                <a:spcAft>
                  <a:spcPts val="0"/>
                </a:spcAft>
                <a:buClrTx/>
                <a:buSzTx/>
                <a:buFontTx/>
                <a:buNone/>
                <a:tabLst/>
                <a:defRPr/>
              </a:pPr>
              <a:r>
                <a:rPr lang="en-US" sz="1600" b="0" i="0">
                  <a:latin typeface="Cambria Math" panose="02040503050406030204" pitchFamily="18" charset="0"/>
                </a:rPr>
                <a:t>𝐸(𝑃)=𝑆𝐷(𝑃)∗(( 𝐸(𝑅𝑃)−𝐸(𝑇)  ))/𝑆𝐷(𝑅𝑃) +𝐸(𝑇)</a:t>
              </a:r>
              <a:endParaRPr lang="en-US" sz="1600" b="0"/>
            </a:p>
            <a:p>
              <a:endParaRPr lang="en-US" sz="1100" b="0"/>
            </a:p>
          </xdr:txBody>
        </xdr:sp>
      </mc:Fallback>
    </mc:AlternateContent>
    <xdr:clientData/>
  </xdr:oneCellAnchor>
  <xdr:twoCellAnchor>
    <xdr:from>
      <xdr:col>37</xdr:col>
      <xdr:colOff>785880</xdr:colOff>
      <xdr:row>127</xdr:row>
      <xdr:rowOff>104639</xdr:rowOff>
    </xdr:from>
    <xdr:to>
      <xdr:col>44</xdr:col>
      <xdr:colOff>730849</xdr:colOff>
      <xdr:row>150</xdr:row>
      <xdr:rowOff>131792</xdr:rowOff>
    </xdr:to>
    <xdr:graphicFrame macro="">
      <xdr:nvGraphicFramePr>
        <xdr:cNvPr id="66" name="Chart 65">
          <a:extLst>
            <a:ext uri="{FF2B5EF4-FFF2-40B4-BE49-F238E27FC236}">
              <a16:creationId xmlns:a16="http://schemas.microsoft.com/office/drawing/2014/main" id="{DD881D03-B96F-D95B-D37F-7C6E1373C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editAs="oneCell">
    <xdr:from>
      <xdr:col>33</xdr:col>
      <xdr:colOff>572010</xdr:colOff>
      <xdr:row>144</xdr:row>
      <xdr:rowOff>131178</xdr:rowOff>
    </xdr:from>
    <xdr:to>
      <xdr:col>35</xdr:col>
      <xdr:colOff>442127</xdr:colOff>
      <xdr:row>145</xdr:row>
      <xdr:rowOff>150802</xdr:rowOff>
    </xdr:to>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67" name="Ink 66">
              <a:extLst>
                <a:ext uri="{FF2B5EF4-FFF2-40B4-BE49-F238E27FC236}">
                  <a16:creationId xmlns:a16="http://schemas.microsoft.com/office/drawing/2014/main" id="{9F5D8436-6257-C2B5-5AA3-1E08668ACB5F}"/>
                </a:ext>
              </a:extLst>
            </xdr14:cNvPr>
            <xdr14:cNvContentPartPr/>
          </xdr14:nvContentPartPr>
          <xdr14:nvPr macro=""/>
          <xdr14:xfrm>
            <a:off x="30494160" y="29448000"/>
            <a:ext cx="1531800" cy="221400"/>
          </xdr14:xfrm>
        </xdr:contentPart>
      </mc:Choice>
      <mc:Fallback xmlns="">
        <xdr:pic>
          <xdr:nvPicPr>
            <xdr:cNvPr id="67" name="Ink 66">
              <a:extLst>
                <a:ext uri="{FF2B5EF4-FFF2-40B4-BE49-F238E27FC236}">
                  <a16:creationId xmlns:a16="http://schemas.microsoft.com/office/drawing/2014/main" id="{9F5D8436-6257-C2B5-5AA3-1E08668ACB5F}"/>
                </a:ext>
              </a:extLst>
            </xdr:cNvPr>
            <xdr:cNvPicPr/>
          </xdr:nvPicPr>
          <xdr:blipFill>
            <a:blip xmlns:r="http://schemas.openxmlformats.org/officeDocument/2006/relationships" r:embed="rId87"/>
            <a:stretch>
              <a:fillRect/>
            </a:stretch>
          </xdr:blipFill>
          <xdr:spPr>
            <a:xfrm>
              <a:off x="30489805" y="29443630"/>
              <a:ext cx="1540510" cy="230139"/>
            </a:xfrm>
            <a:prstGeom prst="rect">
              <a:avLst/>
            </a:prstGeom>
          </xdr:spPr>
        </xdr:pic>
      </mc:Fallback>
    </mc:AlternateContent>
    <xdr:clientData/>
  </xdr:twoCellAnchor>
  <xdr:oneCellAnchor>
    <xdr:from>
      <xdr:col>22</xdr:col>
      <xdr:colOff>766146</xdr:colOff>
      <xdr:row>139</xdr:row>
      <xdr:rowOff>169147</xdr:rowOff>
    </xdr:from>
    <xdr:ext cx="4313853" cy="1691360"/>
    <mc:AlternateContent xmlns:mc="http://schemas.openxmlformats.org/markup-compatibility/2006" xmlns:a14="http://schemas.microsoft.com/office/drawing/2010/main">
      <mc:Choice Requires="a14">
        <xdr:sp macro="" textlink="">
          <xdr:nvSpPr>
            <xdr:cNvPr id="68" name="TextBox 67">
              <a:extLst>
                <a:ext uri="{FF2B5EF4-FFF2-40B4-BE49-F238E27FC236}">
                  <a16:creationId xmlns:a16="http://schemas.microsoft.com/office/drawing/2014/main" id="{0CE94E45-C880-09B3-AA6A-8A75C53D75AD}"/>
                </a:ext>
              </a:extLst>
            </xdr:cNvPr>
            <xdr:cNvSpPr txBox="1"/>
          </xdr:nvSpPr>
          <xdr:spPr>
            <a:xfrm>
              <a:off x="20759827" y="28611855"/>
              <a:ext cx="4313853" cy="1691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𝑃</m:t>
                        </m:r>
                      </m:e>
                    </m:d>
                    <m:r>
                      <a:rPr lang="en-US" sz="1800" b="0" i="1">
                        <a:latin typeface="Cambria Math" panose="02040503050406030204" pitchFamily="18" charset="0"/>
                      </a:rPr>
                      <m:t>=</m:t>
                    </m:r>
                    <m:sSub>
                      <m:sSubPr>
                        <m:ctrlPr>
                          <a:rPr lang="es-ES" sz="1800" b="0" i="1">
                            <a:latin typeface="Cambria Math" panose="02040503050406030204" pitchFamily="18" charset="0"/>
                          </a:rPr>
                        </m:ctrlPr>
                      </m:sSubPr>
                      <m:e>
                        <m:r>
                          <a:rPr lang="es-ES" sz="1800" b="0" i="1">
                            <a:latin typeface="Cambria Math" panose="02040503050406030204" pitchFamily="18" charset="0"/>
                          </a:rPr>
                          <m:t>𝑦</m:t>
                        </m:r>
                      </m:e>
                      <m:sub>
                        <m:r>
                          <a:rPr lang="es-ES" sz="1800" b="0" i="1">
                            <a:latin typeface="Cambria Math" panose="02040503050406030204" pitchFamily="18" charset="0"/>
                          </a:rPr>
                          <m:t>𝑟𝑝</m:t>
                        </m:r>
                      </m:sub>
                    </m:sSub>
                    <m:r>
                      <a:rPr lang="en-US" sz="1800" b="0" i="1">
                        <a:latin typeface="Cambria Math" panose="02040503050406030204" pitchFamily="18" charset="0"/>
                      </a:rPr>
                      <m:t>( </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𝑟𝑝</m:t>
                        </m:r>
                      </m:e>
                    </m:d>
                    <m:r>
                      <a:rPr lang="en-US" sz="1800" b="0" i="1">
                        <a:latin typeface="Cambria Math" panose="02040503050406030204" pitchFamily="18" charset="0"/>
                      </a:rPr>
                      <m:t>−</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r>
                      <a:rPr lang="en-US" sz="1800" b="0" i="1">
                        <a:latin typeface="Cambria Math" panose="02040503050406030204" pitchFamily="18" charset="0"/>
                      </a:rPr>
                      <m:t> )+</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oMath>
                </m:oMathPara>
              </a14:m>
              <a:endParaRPr lang="en-US" sz="1800"/>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f>
                      <m:fPr>
                        <m:ctrlPr>
                          <a:rPr lang="es-ES" sz="1800" b="0" i="1">
                            <a:latin typeface="Cambria Math" panose="02040503050406030204" pitchFamily="18" charset="0"/>
                          </a:rPr>
                        </m:ctrlPr>
                      </m:fPr>
                      <m:num>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𝑃</m:t>
                            </m:r>
                          </m:e>
                        </m:d>
                        <m:r>
                          <a:rPr lang="es-ES" sz="1800" b="0" i="1">
                            <a:latin typeface="Cambria Math" panose="02040503050406030204" pitchFamily="18" charset="0"/>
                          </a:rPr>
                          <m:t>−</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r>
                          <a:rPr lang="es-ES" sz="1800" b="0" i="1">
                            <a:latin typeface="Cambria Math" panose="02040503050406030204" pitchFamily="18" charset="0"/>
                          </a:rPr>
                          <m:t> </m:t>
                        </m:r>
                      </m:num>
                      <m:den>
                        <m:r>
                          <a:rPr lang="en-US" sz="1800" b="0" i="1">
                            <a:latin typeface="Cambria Math" panose="02040503050406030204" pitchFamily="18" charset="0"/>
                          </a:rPr>
                          <m:t>( </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𝑟𝑝</m:t>
                            </m:r>
                          </m:e>
                        </m:d>
                        <m:r>
                          <a:rPr lang="en-US" sz="1800" b="0" i="1">
                            <a:latin typeface="Cambria Math" panose="02040503050406030204" pitchFamily="18" charset="0"/>
                          </a:rPr>
                          <m:t>−</m:t>
                        </m:r>
                        <m:r>
                          <a:rPr lang="en-US" sz="1800" b="0" i="1">
                            <a:latin typeface="Cambria Math" panose="02040503050406030204" pitchFamily="18" charset="0"/>
                          </a:rPr>
                          <m:t>𝐸</m:t>
                        </m:r>
                        <m:d>
                          <m:dPr>
                            <m:ctrlPr>
                              <a:rPr lang="en-US" sz="1800" b="0" i="1">
                                <a:latin typeface="Cambria Math" panose="02040503050406030204" pitchFamily="18" charset="0"/>
                              </a:rPr>
                            </m:ctrlPr>
                          </m:dPr>
                          <m:e>
                            <m:r>
                              <a:rPr lang="en-US" sz="1800" b="0" i="1">
                                <a:latin typeface="Cambria Math" panose="02040503050406030204" pitchFamily="18" charset="0"/>
                              </a:rPr>
                              <m:t>𝑇</m:t>
                            </m:r>
                          </m:e>
                        </m:d>
                        <m:r>
                          <a:rPr lang="en-US" sz="1800" b="0" i="1">
                            <a:latin typeface="Cambria Math" panose="02040503050406030204" pitchFamily="18" charset="0"/>
                          </a:rPr>
                          <m:t> )</m:t>
                        </m:r>
                        <m:r>
                          <m:rPr>
                            <m:nor/>
                          </m:rPr>
                          <a:rPr lang="en-US" sz="1800"/>
                          <m:t> </m:t>
                        </m:r>
                      </m:den>
                    </m:f>
                    <m:r>
                      <a:rPr lang="en-US" sz="1800" b="0" i="1">
                        <a:latin typeface="Cambria Math" panose="02040503050406030204" pitchFamily="18" charset="0"/>
                      </a:rPr>
                      <m:t>=</m:t>
                    </m:r>
                    <m:sSub>
                      <m:sSubPr>
                        <m:ctrlPr>
                          <a:rPr lang="es-ES" sz="1800" b="0" i="1">
                            <a:latin typeface="Cambria Math" panose="02040503050406030204" pitchFamily="18" charset="0"/>
                          </a:rPr>
                        </m:ctrlPr>
                      </m:sSubPr>
                      <m:e>
                        <m:r>
                          <a:rPr lang="es-ES" sz="1800" b="0" i="1">
                            <a:latin typeface="Cambria Math" panose="02040503050406030204" pitchFamily="18" charset="0"/>
                          </a:rPr>
                          <m:t>𝑦</m:t>
                        </m:r>
                      </m:e>
                      <m:sub>
                        <m:r>
                          <a:rPr lang="es-ES" sz="1800" b="0" i="1">
                            <a:latin typeface="Cambria Math" panose="02040503050406030204" pitchFamily="18" charset="0"/>
                          </a:rPr>
                          <m:t>𝑟𝑝</m:t>
                        </m:r>
                      </m:sub>
                    </m:sSub>
                  </m:oMath>
                  <m:oMath xmlns:m="http://schemas.openxmlformats.org/officeDocument/2006/math">
                    <m:sSub>
                      <m:sSubPr>
                        <m:ctrlPr>
                          <a:rPr lang="es-ES" sz="1800" b="0" i="1">
                            <a:latin typeface="Cambria Math" panose="02040503050406030204" pitchFamily="18" charset="0"/>
                          </a:rPr>
                        </m:ctrlPr>
                      </m:sSubPr>
                      <m:e>
                        <m:r>
                          <a:rPr lang="es-ES" sz="1800" b="0" i="1">
                            <a:latin typeface="Cambria Math" panose="02040503050406030204" pitchFamily="18" charset="0"/>
                          </a:rPr>
                          <m:t>𝑦</m:t>
                        </m:r>
                      </m:e>
                      <m:sub>
                        <m:r>
                          <a:rPr lang="es-ES" sz="1800" b="0" i="1">
                            <a:latin typeface="Cambria Math" panose="02040503050406030204" pitchFamily="18" charset="0"/>
                          </a:rPr>
                          <m:t>𝑟𝑝</m:t>
                        </m:r>
                      </m:sub>
                    </m:sSub>
                    <m:r>
                      <a:rPr lang="es-ES" sz="1800" b="0" i="1">
                        <a:latin typeface="Cambria Math" panose="02040503050406030204" pitchFamily="18" charset="0"/>
                      </a:rPr>
                      <m:t>=</m:t>
                    </m:r>
                    <m:f>
                      <m:fPr>
                        <m:ctrlPr>
                          <a:rPr lang="es-ES" sz="1800" b="0" i="1">
                            <a:latin typeface="Cambria Math" panose="02040503050406030204" pitchFamily="18" charset="0"/>
                          </a:rPr>
                        </m:ctrlPr>
                      </m:fPr>
                      <m:num>
                        <m:r>
                          <a:rPr lang="es-ES" sz="1800" b="0" i="1">
                            <a:latin typeface="Cambria Math" panose="02040503050406030204" pitchFamily="18" charset="0"/>
                          </a:rPr>
                          <m:t>15% −7%</m:t>
                        </m:r>
                      </m:num>
                      <m:den>
                        <m:r>
                          <a:rPr lang="es-ES" sz="1800" b="0" i="1">
                            <a:latin typeface="Cambria Math" panose="02040503050406030204" pitchFamily="18" charset="0"/>
                          </a:rPr>
                          <m:t>17% −7%</m:t>
                        </m:r>
                      </m:den>
                    </m:f>
                  </m:oMath>
                </m:oMathPara>
              </a14:m>
              <a:endParaRPr lang="es-ES" sz="1800" b="0"/>
            </a:p>
            <a:p>
              <a:pPr marL="0" marR="0" lvl="0" indent="0" defTabSz="914400" eaLnBrk="1" fontAlgn="auto" latinLnBrk="0" hangingPunct="1">
                <a:lnSpc>
                  <a:spcPct val="100000"/>
                </a:lnSpc>
                <a:spcBef>
                  <a:spcPts val="0"/>
                </a:spcBef>
                <a:spcAft>
                  <a:spcPts val="0"/>
                </a:spcAft>
                <a:buClrTx/>
                <a:buSzTx/>
                <a:buFontTx/>
                <a:buNone/>
                <a:tabLst/>
                <a:defRPr/>
              </a:pPr>
              <a:r>
                <a:rPr lang="en-US" sz="1800"/>
                <a:t> </a:t>
              </a:r>
            </a:p>
          </xdr:txBody>
        </xdr:sp>
      </mc:Choice>
      <mc:Fallback xmlns="">
        <xdr:sp macro="" textlink="">
          <xdr:nvSpPr>
            <xdr:cNvPr id="68" name="TextBox 67">
              <a:extLst>
                <a:ext uri="{FF2B5EF4-FFF2-40B4-BE49-F238E27FC236}">
                  <a16:creationId xmlns:a16="http://schemas.microsoft.com/office/drawing/2014/main" id="{0CE94E45-C880-09B3-AA6A-8A75C53D75AD}"/>
                </a:ext>
              </a:extLst>
            </xdr:cNvPr>
            <xdr:cNvSpPr txBox="1"/>
          </xdr:nvSpPr>
          <xdr:spPr>
            <a:xfrm>
              <a:off x="20759827" y="28611855"/>
              <a:ext cx="4313853" cy="1691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b="0" i="0">
                  <a:latin typeface="Cambria Math" panose="02040503050406030204" pitchFamily="18" charset="0"/>
                </a:rPr>
                <a:t>𝐸(𝑃)=</a:t>
              </a:r>
              <a:r>
                <a:rPr lang="es-ES" sz="1800" b="0" i="0">
                  <a:latin typeface="Cambria Math" panose="02040503050406030204" pitchFamily="18" charset="0"/>
                </a:rPr>
                <a:t>𝑦_𝑟𝑝</a:t>
              </a:r>
              <a:r>
                <a:rPr lang="en-US" sz="1800" b="0" i="0">
                  <a:latin typeface="Cambria Math" panose="02040503050406030204" pitchFamily="18" charset="0"/>
                </a:rPr>
                <a:t> ( 𝐸(𝑟𝑝)−𝐸(𝑇)  )+𝐸(𝑇)</a:t>
              </a:r>
              <a:endParaRPr lang="en-US" sz="1800"/>
            </a:p>
            <a:p>
              <a:pPr marL="0" marR="0" lvl="0" indent="0" defTabSz="914400" eaLnBrk="1" fontAlgn="auto" latinLnBrk="0" hangingPunct="1">
                <a:lnSpc>
                  <a:spcPct val="100000"/>
                </a:lnSpc>
                <a:spcBef>
                  <a:spcPts val="0"/>
                </a:spcBef>
                <a:spcAft>
                  <a:spcPts val="0"/>
                </a:spcAft>
                <a:buClrTx/>
                <a:buSzTx/>
                <a:buFontTx/>
                <a:buNone/>
                <a:tabLst/>
                <a:defRPr/>
              </a:pPr>
              <a:r>
                <a:rPr lang="es-ES" sz="1800" b="0" i="0">
                  <a:latin typeface="Cambria Math" panose="02040503050406030204" pitchFamily="18" charset="0"/>
                </a:rPr>
                <a:t>(</a:t>
              </a:r>
              <a:r>
                <a:rPr lang="en-US" sz="1800" b="0" i="0">
                  <a:latin typeface="Cambria Math" panose="02040503050406030204" pitchFamily="18" charset="0"/>
                </a:rPr>
                <a:t>𝐸(𝑃)</a:t>
              </a:r>
              <a:r>
                <a:rPr lang="es-ES" sz="1800" b="0" i="0">
                  <a:latin typeface="Cambria Math" panose="02040503050406030204" pitchFamily="18" charset="0"/>
                </a:rPr>
                <a:t>−</a:t>
              </a:r>
              <a:r>
                <a:rPr lang="en-US" sz="1800" b="0" i="0">
                  <a:latin typeface="Cambria Math" panose="02040503050406030204" pitchFamily="18" charset="0"/>
                </a:rPr>
                <a:t>𝐸(𝑇)</a:t>
              </a:r>
              <a:r>
                <a:rPr lang="es-ES" sz="1800" b="0" i="0">
                  <a:latin typeface="Cambria Math" panose="02040503050406030204" pitchFamily="18" charset="0"/>
                </a:rPr>
                <a:t>  )/(</a:t>
              </a:r>
              <a:r>
                <a:rPr lang="en-US" sz="1800" b="0" i="0">
                  <a:latin typeface="Cambria Math" panose="02040503050406030204" pitchFamily="18" charset="0"/>
                </a:rPr>
                <a:t>( 𝐸(𝑟𝑝)−𝐸(𝑇)  )"</a:t>
              </a:r>
              <a:r>
                <a:rPr lang="en-US" sz="1800" i="0"/>
                <a:t> </a:t>
              </a:r>
              <a:r>
                <a:rPr lang="es-ES" sz="1800" b="0" i="0">
                  <a:latin typeface="Cambria Math" panose="02040503050406030204" pitchFamily="18" charset="0"/>
                </a:rPr>
                <a:t>" )</a:t>
              </a:r>
              <a:r>
                <a:rPr lang="en-US" sz="1800" b="0" i="0">
                  <a:latin typeface="Cambria Math" panose="02040503050406030204" pitchFamily="18" charset="0"/>
                </a:rPr>
                <a:t>=</a:t>
              </a:r>
              <a:r>
                <a:rPr lang="es-ES" sz="1800" b="0" i="0">
                  <a:latin typeface="Cambria Math" panose="02040503050406030204" pitchFamily="18" charset="0"/>
                </a:rPr>
                <a:t>𝑦_𝑟𝑝</a:t>
              </a:r>
              <a:br>
                <a:rPr lang="es-ES" sz="1800" b="0"/>
              </a:br>
              <a:r>
                <a:rPr lang="es-ES" sz="1800" b="0" i="0">
                  <a:latin typeface="Cambria Math" panose="02040503050406030204" pitchFamily="18" charset="0"/>
                </a:rPr>
                <a:t>𝑦_𝑟𝑝=(15% −7%)/(17% −7%)</a:t>
              </a:r>
              <a:endParaRPr lang="es-ES" sz="1800" b="0"/>
            </a:p>
            <a:p>
              <a:pPr marL="0" marR="0" lvl="0" indent="0" defTabSz="914400" eaLnBrk="1" fontAlgn="auto" latinLnBrk="0" hangingPunct="1">
                <a:lnSpc>
                  <a:spcPct val="100000"/>
                </a:lnSpc>
                <a:spcBef>
                  <a:spcPts val="0"/>
                </a:spcBef>
                <a:spcAft>
                  <a:spcPts val="0"/>
                </a:spcAft>
                <a:buClrTx/>
                <a:buSzTx/>
                <a:buFontTx/>
                <a:buNone/>
                <a:tabLst/>
                <a:defRPr/>
              </a:pPr>
              <a:r>
                <a:rPr lang="en-US" sz="1800"/>
                <a:t> </a:t>
              </a:r>
            </a:p>
          </xdr:txBody>
        </xdr:sp>
      </mc:Fallback>
    </mc:AlternateContent>
    <xdr:clientData/>
  </xdr:oneCellAnchor>
  <xdr:oneCellAnchor>
    <xdr:from>
      <xdr:col>23</xdr:col>
      <xdr:colOff>105833</xdr:colOff>
      <xdr:row>159</xdr:row>
      <xdr:rowOff>154567</xdr:rowOff>
    </xdr:from>
    <xdr:ext cx="6799791" cy="1494670"/>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0345619F-9845-E047-8F34-E7BD1F2ECCD2}"/>
                </a:ext>
              </a:extLst>
            </xdr:cNvPr>
            <xdr:cNvSpPr txBox="1"/>
          </xdr:nvSpPr>
          <xdr:spPr>
            <a:xfrm>
              <a:off x="20937361" y="32654220"/>
              <a:ext cx="6799791" cy="14946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14:m>
                <m:oMathPara xmlns:m="http://schemas.openxmlformats.org/officeDocument/2006/math">
                  <m:oMathParaPr>
                    <m:jc m:val="left"/>
                  </m:oMathParaPr>
                  <m:oMath xmlns:m="http://schemas.openxmlformats.org/officeDocument/2006/math">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𝑦</m:t>
                        </m:r>
                      </m:e>
                    </m:d>
                    <m:r>
                      <a:rPr lang="es-ES" sz="1800" b="0" i="1">
                        <a:latin typeface="Cambria Math" panose="02040503050406030204" pitchFamily="18" charset="0"/>
                      </a:rPr>
                      <m:t>=</m:t>
                    </m:r>
                    <m:f>
                      <m:fPr>
                        <m:ctrlPr>
                          <a:rPr lang="es-ES" sz="1800" b="0" i="1">
                            <a:latin typeface="Cambria Math" panose="02040503050406030204" pitchFamily="18" charset="0"/>
                          </a:rPr>
                        </m:ctrlPr>
                      </m:fPr>
                      <m:num>
                        <m:r>
                          <a:rPr lang="es-ES" sz="1800" b="0" i="1">
                            <a:latin typeface="Cambria Math" panose="02040503050406030204" pitchFamily="18" charset="0"/>
                          </a:rPr>
                          <m:t>𝑆𝐷</m:t>
                        </m:r>
                        <m:r>
                          <a:rPr lang="es-ES" sz="1800" b="0" i="1">
                            <a:latin typeface="Cambria Math" panose="02040503050406030204" pitchFamily="18" charset="0"/>
                          </a:rPr>
                          <m:t>(</m:t>
                        </m:r>
                        <m:r>
                          <a:rPr lang="es-ES" sz="1800" b="0" i="1">
                            <a:latin typeface="Cambria Math" panose="02040503050406030204" pitchFamily="18" charset="0"/>
                          </a:rPr>
                          <m:t>𝑦</m:t>
                        </m:r>
                        <m:r>
                          <a:rPr lang="es-ES" sz="1800" b="0" i="1">
                            <a:latin typeface="Cambria Math" panose="02040503050406030204" pitchFamily="18" charset="0"/>
                          </a:rPr>
                          <m:t>)</m:t>
                        </m:r>
                      </m:num>
                      <m:den>
                        <m:r>
                          <a:rPr lang="es-ES" sz="1800" b="0" i="1">
                            <a:latin typeface="Cambria Math" panose="02040503050406030204" pitchFamily="18" charset="0"/>
                          </a:rPr>
                          <m:t>27%</m:t>
                        </m:r>
                      </m:den>
                    </m:f>
                    <m:d>
                      <m:dPr>
                        <m:ctrlPr>
                          <a:rPr lang="es-ES" sz="1800" b="0" i="1">
                            <a:latin typeface="Cambria Math" panose="02040503050406030204" pitchFamily="18" charset="0"/>
                          </a:rPr>
                        </m:ctrlPr>
                      </m:dPr>
                      <m:e>
                        <m:r>
                          <a:rPr lang="es-ES" sz="1800" b="0" i="1">
                            <a:latin typeface="Cambria Math" panose="02040503050406030204" pitchFamily="18" charset="0"/>
                          </a:rPr>
                          <m:t>17% −7% </m:t>
                        </m:r>
                      </m:e>
                    </m:d>
                    <m:r>
                      <a:rPr lang="es-ES" sz="1800" b="0" i="1">
                        <a:latin typeface="Cambria Math" panose="02040503050406030204" pitchFamily="18" charset="0"/>
                      </a:rPr>
                      <m:t>+7%</m:t>
                    </m:r>
                  </m:oMath>
                  <m:oMath xmlns:m="http://schemas.openxmlformats.org/officeDocument/2006/math">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𝑦</m:t>
                        </m:r>
                      </m:e>
                    </m:d>
                    <m:r>
                      <a:rPr lang="es-ES" sz="1800" b="0" i="1">
                        <a:latin typeface="Cambria Math" panose="02040503050406030204" pitchFamily="18" charset="0"/>
                      </a:rPr>
                      <m:t>=</m:t>
                    </m:r>
                    <m:r>
                      <a:rPr lang="es-ES" sz="1800" b="0" i="1">
                        <a:latin typeface="Cambria Math" panose="02040503050406030204" pitchFamily="18" charset="0"/>
                      </a:rPr>
                      <m:t>𝑦</m:t>
                    </m:r>
                    <m:r>
                      <a:rPr lang="es-ES" sz="1800" b="0" i="1">
                        <a:latin typeface="Cambria Math" panose="02040503050406030204" pitchFamily="18" charset="0"/>
                      </a:rPr>
                      <m:t> ∗27%;</m:t>
                    </m:r>
                    <m:r>
                      <a:rPr lang="es-ES" sz="1800" b="0" i="1">
                        <a:latin typeface="Cambria Math" panose="02040503050406030204" pitchFamily="18" charset="0"/>
                      </a:rPr>
                      <m:t>𝑠𝑖</m:t>
                    </m:r>
                    <m:r>
                      <a:rPr lang="es-ES" sz="1800" b="0" i="1">
                        <a:latin typeface="Cambria Math" panose="02040503050406030204" pitchFamily="18" charset="0"/>
                      </a:rPr>
                      <m:t> </m:t>
                    </m:r>
                    <m:r>
                      <a:rPr lang="es-ES" sz="1800" b="0" i="1">
                        <a:latin typeface="Cambria Math" panose="02040503050406030204" pitchFamily="18" charset="0"/>
                      </a:rPr>
                      <m:t>𝑞𝑢𝑖𝑒𝑟𝑒</m:t>
                    </m:r>
                    <m:r>
                      <a:rPr lang="es-ES" sz="1800" b="0" i="1">
                        <a:latin typeface="Cambria Math" panose="02040503050406030204" pitchFamily="18" charset="0"/>
                      </a:rPr>
                      <m:t> </m:t>
                    </m:r>
                    <m:r>
                      <a:rPr lang="es-ES" sz="1800" b="0" i="1">
                        <a:latin typeface="Cambria Math" panose="02040503050406030204" pitchFamily="18" charset="0"/>
                      </a:rPr>
                      <m:t>𝑞𝑢𝑒</m:t>
                    </m:r>
                    <m:r>
                      <a:rPr lang="es-ES" sz="1800" b="0" i="1">
                        <a:latin typeface="Cambria Math" panose="02040503050406030204" pitchFamily="18" charset="0"/>
                      </a:rPr>
                      <m:t> </m:t>
                    </m:r>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𝑦</m:t>
                        </m:r>
                      </m:e>
                    </m:d>
                    <m:r>
                      <a:rPr lang="es-ES" sz="1800" b="0" i="1">
                        <a:latin typeface="Cambria Math" panose="02040503050406030204" pitchFamily="18" charset="0"/>
                      </a:rPr>
                      <m:t>&lt;20%;</m:t>
                    </m:r>
                  </m:oMath>
                  <m:oMath xmlns:m="http://schemas.openxmlformats.org/officeDocument/2006/math">
                    <m:r>
                      <a:rPr lang="es-ES" sz="1800" b="0" i="1">
                        <a:latin typeface="Cambria Math" panose="02040503050406030204" pitchFamily="18" charset="0"/>
                      </a:rPr>
                      <m:t>𝑦</m:t>
                    </m:r>
                    <m:r>
                      <a:rPr lang="es-ES" sz="1800" b="0" i="1">
                        <a:latin typeface="Cambria Math" panose="02040503050406030204" pitchFamily="18" charset="0"/>
                      </a:rPr>
                      <m:t>∗27%&lt;20%</m:t>
                    </m:r>
                  </m:oMath>
                </m:oMathPara>
              </a14:m>
              <a:br>
                <a:rPr lang="es-ES" sz="1800" b="0" i="1">
                  <a:latin typeface="Cambria Math" panose="02040503050406030204" pitchFamily="18" charset="0"/>
                </a:rPr>
              </a:br>
              <a14:m>
                <m:oMath xmlns:m="http://schemas.openxmlformats.org/officeDocument/2006/math">
                  <m:r>
                    <a:rPr lang="es-ES" sz="1800" b="0" i="1">
                      <a:latin typeface="Cambria Math" panose="02040503050406030204" pitchFamily="18" charset="0"/>
                    </a:rPr>
                    <m:t>𝑦</m:t>
                  </m:r>
                  <m:r>
                    <a:rPr lang="es-ES" sz="1800" b="0" i="1">
                      <a:latin typeface="Cambria Math" panose="02040503050406030204" pitchFamily="18" charset="0"/>
                    </a:rPr>
                    <m:t>&lt;</m:t>
                  </m:r>
                  <m:f>
                    <m:fPr>
                      <m:ctrlPr>
                        <a:rPr lang="es-ES" sz="1800" b="0" i="1">
                          <a:latin typeface="Cambria Math" panose="02040503050406030204" pitchFamily="18" charset="0"/>
                        </a:rPr>
                      </m:ctrlPr>
                    </m:fPr>
                    <m:num>
                      <m:r>
                        <a:rPr lang="es-ES" sz="1800" b="0" i="1">
                          <a:latin typeface="Cambria Math" panose="02040503050406030204" pitchFamily="18" charset="0"/>
                        </a:rPr>
                        <m:t>20%</m:t>
                      </m:r>
                    </m:num>
                    <m:den>
                      <m:r>
                        <a:rPr lang="es-ES" sz="1800" b="0" i="1">
                          <a:latin typeface="Cambria Math" panose="02040503050406030204" pitchFamily="18" charset="0"/>
                        </a:rPr>
                        <m:t>27%</m:t>
                      </m:r>
                    </m:den>
                  </m:f>
                  <m:r>
                    <a:rPr lang="es-ES" sz="1800" b="0" i="1">
                      <a:latin typeface="Cambria Math" panose="02040503050406030204" pitchFamily="18" charset="0"/>
                    </a:rPr>
                    <m:t> → </m:t>
                  </m:r>
                  <m:r>
                    <a:rPr lang="es-ES" sz="1800" b="0" i="1">
                      <a:latin typeface="Cambria Math" panose="02040503050406030204" pitchFamily="18" charset="0"/>
                    </a:rPr>
                    <m:t>𝑦</m:t>
                  </m:r>
                  <m:r>
                    <a:rPr lang="es-ES" sz="1800" b="0" i="1">
                      <a:latin typeface="Cambria Math" panose="02040503050406030204" pitchFamily="18" charset="0"/>
                    </a:rPr>
                    <m:t>&lt;</m:t>
                  </m:r>
                </m:oMath>
              </a14:m>
              <a:r>
                <a:rPr lang="es-ES" sz="1800" b="0" i="1">
                  <a:latin typeface="Cambria Math" panose="02040503050406030204" pitchFamily="18" charset="0"/>
                </a:rPr>
                <a:t> </a:t>
              </a:r>
              <a:endParaRPr lang="es-ES" sz="1800" b="0"/>
            </a:p>
          </xdr:txBody>
        </xdr:sp>
      </mc:Choice>
      <mc:Fallback xmlns="">
        <xdr:sp macro="" textlink="">
          <xdr:nvSpPr>
            <xdr:cNvPr id="70" name="TextBox 69">
              <a:extLst>
                <a:ext uri="{FF2B5EF4-FFF2-40B4-BE49-F238E27FC236}">
                  <a16:creationId xmlns:a16="http://schemas.microsoft.com/office/drawing/2014/main" id="{0345619F-9845-E047-8F34-E7BD1F2ECCD2}"/>
                </a:ext>
              </a:extLst>
            </xdr:cNvPr>
            <xdr:cNvSpPr txBox="1"/>
          </xdr:nvSpPr>
          <xdr:spPr>
            <a:xfrm>
              <a:off x="20937361" y="32654220"/>
              <a:ext cx="6799791" cy="14946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r>
                <a:rPr lang="es-ES" sz="1800" b="0" i="0">
                  <a:latin typeface="Cambria Math" panose="02040503050406030204" pitchFamily="18" charset="0"/>
                </a:rPr>
                <a:t>𝐸(𝑦)=(𝑆𝐷(𝑦))/(27%) (17% −7% )+7%</a:t>
              </a:r>
              <a:br>
                <a:rPr lang="es-ES" sz="1800" b="0" i="1">
                  <a:latin typeface="Cambria Math" panose="02040503050406030204" pitchFamily="18" charset="0"/>
                </a:rPr>
              </a:br>
              <a:r>
                <a:rPr lang="es-ES" sz="1800" b="0" i="0">
                  <a:latin typeface="Cambria Math" panose="02040503050406030204" pitchFamily="18" charset="0"/>
                </a:rPr>
                <a:t>𝑆𝐷(𝑦)=𝑦 ∗27%;𝑠𝑖 𝑞𝑢𝑖𝑒𝑟𝑒 𝑞𝑢𝑒 𝑆𝐷(𝑦)&lt;20%;</a:t>
              </a:r>
              <a:br>
                <a:rPr lang="es-ES" sz="1800" b="0" i="1">
                  <a:latin typeface="Cambria Math" panose="02040503050406030204" pitchFamily="18" charset="0"/>
                </a:rPr>
              </a:br>
              <a:r>
                <a:rPr lang="es-ES" sz="1800" b="0" i="0">
                  <a:latin typeface="Cambria Math" panose="02040503050406030204" pitchFamily="18" charset="0"/>
                </a:rPr>
                <a:t>𝑦∗27%&lt;20%</a:t>
              </a:r>
              <a:br>
                <a:rPr lang="es-ES" sz="1800" b="0" i="1">
                  <a:latin typeface="Cambria Math" panose="02040503050406030204" pitchFamily="18" charset="0"/>
                </a:rPr>
              </a:br>
              <a:r>
                <a:rPr lang="es-ES" sz="1800" b="0" i="0">
                  <a:latin typeface="Cambria Math" panose="02040503050406030204" pitchFamily="18" charset="0"/>
                </a:rPr>
                <a:t>𝑦&lt;(20%)/(27%)  → 𝑦&lt;</a:t>
              </a:r>
              <a:r>
                <a:rPr lang="es-ES" sz="1800" b="0" i="1">
                  <a:latin typeface="Cambria Math" panose="02040503050406030204" pitchFamily="18" charset="0"/>
                </a:rPr>
                <a:t> </a:t>
              </a:r>
              <a:endParaRPr lang="es-ES" sz="1800" b="0"/>
            </a:p>
          </xdr:txBody>
        </xdr:sp>
      </mc:Fallback>
    </mc:AlternateContent>
    <xdr:clientData/>
  </xdr:oneCellAnchor>
  <xdr:twoCellAnchor editAs="oneCell">
    <xdr:from>
      <xdr:col>26</xdr:col>
      <xdr:colOff>579783</xdr:colOff>
      <xdr:row>165</xdr:row>
      <xdr:rowOff>27609</xdr:rowOff>
    </xdr:from>
    <xdr:to>
      <xdr:col>31</xdr:col>
      <xdr:colOff>399504</xdr:colOff>
      <xdr:row>170</xdr:row>
      <xdr:rowOff>160683</xdr:rowOff>
    </xdr:to>
    <xdr:pic>
      <xdr:nvPicPr>
        <xdr:cNvPr id="71" name="Picture 70">
          <a:extLst>
            <a:ext uri="{FF2B5EF4-FFF2-40B4-BE49-F238E27FC236}">
              <a16:creationId xmlns:a16="http://schemas.microsoft.com/office/drawing/2014/main" id="{CADD7C68-2886-374F-818C-89751AB41858}"/>
            </a:ext>
          </a:extLst>
        </xdr:cNvPr>
        <xdr:cNvPicPr>
          <a:picLocks noChangeAspect="1"/>
        </xdr:cNvPicPr>
      </xdr:nvPicPr>
      <xdr:blipFill>
        <a:blip xmlns:r="http://schemas.openxmlformats.org/officeDocument/2006/relationships" r:embed="rId88"/>
        <a:stretch>
          <a:fillRect/>
        </a:stretch>
      </xdr:blipFill>
      <xdr:spPr>
        <a:xfrm>
          <a:off x="24557935" y="34441848"/>
          <a:ext cx="5499100" cy="1168400"/>
        </a:xfrm>
        <a:prstGeom prst="rect">
          <a:avLst/>
        </a:prstGeom>
      </xdr:spPr>
    </xdr:pic>
    <xdr:clientData/>
  </xdr:twoCellAnchor>
  <xdr:twoCellAnchor>
    <xdr:from>
      <xdr:col>34</xdr:col>
      <xdr:colOff>0</xdr:colOff>
      <xdr:row>166</xdr:row>
      <xdr:rowOff>0</xdr:rowOff>
    </xdr:from>
    <xdr:to>
      <xdr:col>40</xdr:col>
      <xdr:colOff>773230</xdr:colOff>
      <xdr:row>189</xdr:row>
      <xdr:rowOff>27153</xdr:rowOff>
    </xdr:to>
    <xdr:graphicFrame macro="">
      <xdr:nvGraphicFramePr>
        <xdr:cNvPr id="72" name="Chart 71">
          <a:extLst>
            <a:ext uri="{FF2B5EF4-FFF2-40B4-BE49-F238E27FC236}">
              <a16:creationId xmlns:a16="http://schemas.microsoft.com/office/drawing/2014/main" id="{F193B131-3F91-0640-BB49-EB56F0499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oneCellAnchor>
    <xdr:from>
      <xdr:col>50</xdr:col>
      <xdr:colOff>12147</xdr:colOff>
      <xdr:row>124</xdr:row>
      <xdr:rowOff>191604</xdr:rowOff>
    </xdr:from>
    <xdr:ext cx="10230679" cy="3466548"/>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id="{304A1484-6CE7-DAED-905F-8EFD7AC100F8}"/>
                </a:ext>
              </a:extLst>
            </xdr:cNvPr>
            <xdr:cNvSpPr txBox="1"/>
          </xdr:nvSpPr>
          <xdr:spPr>
            <a:xfrm>
              <a:off x="43992799" y="26116169"/>
              <a:ext cx="10230679" cy="346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r>
                <a:rPr lang="es-ES" sz="1800" b="0" i="1">
                  <a:latin typeface="Cambria Math" panose="02040503050406030204" pitchFamily="18" charset="0"/>
                </a:rPr>
                <a:t>RETORNO DE UN PORTFOLIO  dividido entre RISK FREE (T) , y RISKY (RP)</a:t>
              </a:r>
              <a:br>
                <a:rPr lang="es-ES" sz="1800" b="0" i="1">
                  <a:latin typeface="Cambria Math" panose="02040503050406030204" pitchFamily="18" charset="0"/>
                </a:rPr>
              </a:br>
              <a14:m>
                <m:oMathPara xmlns:m="http://schemas.openxmlformats.org/officeDocument/2006/math">
                  <m:oMathParaPr>
                    <m:jc m:val="left"/>
                  </m:oMathParaPr>
                  <m:oMath xmlns:m="http://schemas.openxmlformats.org/officeDocument/2006/math">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𝑃</m:t>
                        </m:r>
                      </m:e>
                    </m:d>
                    <m:r>
                      <a:rPr lang="es-ES" sz="1800" b="0" i="1">
                        <a:latin typeface="Cambria Math" panose="02040503050406030204" pitchFamily="18" charset="0"/>
                      </a:rPr>
                      <m:t>=</m:t>
                    </m:r>
                    <m:sSub>
                      <m:sSubPr>
                        <m:ctrlPr>
                          <a:rPr lang="es-ES" sz="1800" b="0" i="1">
                            <a:latin typeface="Cambria Math" panose="02040503050406030204" pitchFamily="18" charset="0"/>
                          </a:rPr>
                        </m:ctrlPr>
                      </m:sSubPr>
                      <m:e>
                        <m:r>
                          <a:rPr lang="es-ES" sz="1800" b="0" i="1">
                            <a:latin typeface="Cambria Math" panose="02040503050406030204" pitchFamily="18" charset="0"/>
                          </a:rPr>
                          <m:t>𝑦</m:t>
                        </m:r>
                      </m:e>
                      <m:sub>
                        <m:r>
                          <a:rPr lang="es-ES" sz="1800" b="0" i="1">
                            <a:latin typeface="Cambria Math" panose="02040503050406030204" pitchFamily="18" charset="0"/>
                          </a:rPr>
                          <m:t>𝑟𝑝</m:t>
                        </m:r>
                      </m:sub>
                    </m:sSub>
                    <m:r>
                      <a:rPr lang="es-ES" sz="1800" b="0" i="1">
                        <a:latin typeface="Cambria Math" panose="02040503050406030204" pitchFamily="18" charset="0"/>
                      </a:rPr>
                      <m:t>∗</m:t>
                    </m:r>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𝑅𝑃</m:t>
                        </m:r>
                      </m:e>
                    </m:d>
                    <m:r>
                      <a:rPr lang="es-ES" sz="1800" b="0" i="1">
                        <a:latin typeface="Cambria Math" panose="02040503050406030204" pitchFamily="18" charset="0"/>
                      </a:rPr>
                      <m:t>→</m:t>
                    </m:r>
                    <m:r>
                      <a:rPr lang="es-ES" sz="1800" b="0" i="1">
                        <a:latin typeface="Cambria Math" panose="02040503050406030204" pitchFamily="18" charset="0"/>
                      </a:rPr>
                      <m:t>𝑦</m:t>
                    </m:r>
                    <m:r>
                      <a:rPr lang="es-ES" sz="1800" b="0" i="1">
                        <a:latin typeface="Cambria Math" panose="02040503050406030204" pitchFamily="18" charset="0"/>
                      </a:rPr>
                      <m:t>=</m:t>
                    </m:r>
                    <m:f>
                      <m:fPr>
                        <m:ctrlPr>
                          <a:rPr lang="es-ES" sz="1800" b="0" i="1">
                            <a:latin typeface="Cambria Math" panose="02040503050406030204" pitchFamily="18" charset="0"/>
                          </a:rPr>
                        </m:ctrlPr>
                      </m:fPr>
                      <m:num>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𝑃</m:t>
                            </m:r>
                          </m:e>
                        </m:d>
                      </m:num>
                      <m:den>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𝑅𝑃</m:t>
                            </m:r>
                          </m:e>
                        </m:d>
                      </m:den>
                    </m:f>
                    <m:r>
                      <a:rPr lang="es-ES" sz="1800" b="0" i="1">
                        <a:latin typeface="Cambria Math" panose="02040503050406030204" pitchFamily="18" charset="0"/>
                      </a:rPr>
                      <m:t> </m:t>
                    </m:r>
                  </m:oMath>
                </m:oMathPara>
              </a14:m>
              <a:endParaRPr lang="es-ES" sz="1800" b="0"/>
            </a:p>
            <a:p>
              <a:pPr algn="l"/>
              <a:br>
                <a:rPr lang="es-ES" sz="1800" b="0"/>
              </a:br>
              <a14:m>
                <m:oMathPara xmlns:m="http://schemas.openxmlformats.org/officeDocument/2006/math">
                  <m:oMathParaPr>
                    <m:jc m:val="left"/>
                  </m:oMathParaPr>
                  <m:oMath xmlns:m="http://schemas.openxmlformats.org/officeDocument/2006/math">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𝑃</m:t>
                        </m:r>
                      </m:e>
                    </m:d>
                    <m:r>
                      <a:rPr lang="es-ES" sz="1800" b="0" i="1">
                        <a:latin typeface="Cambria Math" panose="02040503050406030204" pitchFamily="18" charset="0"/>
                      </a:rPr>
                      <m:t>=</m:t>
                    </m:r>
                    <m:sSub>
                      <m:sSubPr>
                        <m:ctrlPr>
                          <a:rPr lang="es-ES" sz="1800" b="0" i="1">
                            <a:latin typeface="Cambria Math" panose="02040503050406030204" pitchFamily="18" charset="0"/>
                          </a:rPr>
                        </m:ctrlPr>
                      </m:sSubPr>
                      <m:e>
                        <m:r>
                          <a:rPr lang="es-ES" sz="1800" b="0" i="1">
                            <a:latin typeface="Cambria Math" panose="02040503050406030204" pitchFamily="18" charset="0"/>
                          </a:rPr>
                          <m:t>𝑦</m:t>
                        </m:r>
                      </m:e>
                      <m:sub>
                        <m:r>
                          <a:rPr lang="es-ES" sz="1800" b="0" i="1">
                            <a:latin typeface="Cambria Math" panose="02040503050406030204" pitchFamily="18" charset="0"/>
                          </a:rPr>
                          <m:t>𝑟𝑝</m:t>
                        </m:r>
                      </m:sub>
                    </m:sSub>
                    <m:r>
                      <a:rPr lang="es-ES" sz="1800" b="0" i="1">
                        <a:latin typeface="Cambria Math" panose="02040503050406030204" pitchFamily="18" charset="0"/>
                      </a:rPr>
                      <m:t>∗</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𝑅𝑃</m:t>
                        </m:r>
                      </m:e>
                    </m:d>
                    <m:r>
                      <a:rPr lang="es-ES" sz="1800" b="0" i="1">
                        <a:latin typeface="Cambria Math" panose="02040503050406030204" pitchFamily="18" charset="0"/>
                      </a:rPr>
                      <m:t>+</m:t>
                    </m:r>
                    <m:sSub>
                      <m:sSubPr>
                        <m:ctrlPr>
                          <a:rPr lang="es-ES" sz="1800" b="0" i="1">
                            <a:latin typeface="Cambria Math" panose="02040503050406030204" pitchFamily="18" charset="0"/>
                          </a:rPr>
                        </m:ctrlPr>
                      </m:sSubPr>
                      <m:e>
                        <m:r>
                          <a:rPr lang="es-ES" sz="1800" b="0" i="1">
                            <a:latin typeface="Cambria Math" panose="02040503050406030204" pitchFamily="18" charset="0"/>
                          </a:rPr>
                          <m:t>𝑦</m:t>
                        </m:r>
                      </m:e>
                      <m:sub>
                        <m:r>
                          <a:rPr lang="es-ES" sz="1800" b="0" i="1">
                            <a:latin typeface="Cambria Math" panose="02040503050406030204" pitchFamily="18" charset="0"/>
                          </a:rPr>
                          <m:t>𝑡</m:t>
                        </m:r>
                      </m:sub>
                    </m:sSub>
                    <m:r>
                      <a:rPr lang="es-ES" sz="1800" b="0" i="1">
                        <a:latin typeface="Cambria Math" panose="02040503050406030204" pitchFamily="18" charset="0"/>
                      </a:rPr>
                      <m:t>∗</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𝑇</m:t>
                        </m:r>
                      </m:e>
                    </m:d>
                  </m:oMath>
                </m:oMathPara>
              </a14:m>
              <a:endParaRPr lang="es-ES" sz="1800" b="0"/>
            </a:p>
            <a:p>
              <a:pPr algn="l"/>
              <a14:m>
                <m:oMathPara xmlns:m="http://schemas.openxmlformats.org/officeDocument/2006/math">
                  <m:oMathParaPr>
                    <m:jc m:val="left"/>
                  </m:oMathParaPr>
                  <m:oMath xmlns:m="http://schemas.openxmlformats.org/officeDocument/2006/math">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𝑃</m:t>
                        </m:r>
                      </m:e>
                    </m:d>
                    <m:r>
                      <a:rPr lang="es-ES" sz="1800" b="0" i="1">
                        <a:latin typeface="Cambria Math" panose="02040503050406030204" pitchFamily="18" charset="0"/>
                      </a:rPr>
                      <m:t>=</m:t>
                    </m:r>
                    <m:r>
                      <a:rPr lang="es-ES" sz="1800" b="0" i="1">
                        <a:latin typeface="Cambria Math" panose="02040503050406030204" pitchFamily="18" charset="0"/>
                      </a:rPr>
                      <m:t>𝑦</m:t>
                    </m:r>
                    <m:r>
                      <a:rPr lang="es-ES" sz="1800" b="0" i="1">
                        <a:latin typeface="Cambria Math" panose="02040503050406030204" pitchFamily="18" charset="0"/>
                      </a:rPr>
                      <m:t>∗</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𝑅𝑃</m:t>
                        </m:r>
                      </m:e>
                    </m:d>
                    <m:r>
                      <a:rPr lang="es-ES" sz="1800" b="0" i="1">
                        <a:latin typeface="Cambria Math" panose="02040503050406030204" pitchFamily="18" charset="0"/>
                      </a:rPr>
                      <m:t>+</m:t>
                    </m:r>
                    <m:d>
                      <m:dPr>
                        <m:ctrlPr>
                          <a:rPr lang="es-ES" sz="1800" b="0" i="1">
                            <a:latin typeface="Cambria Math" panose="02040503050406030204" pitchFamily="18" charset="0"/>
                          </a:rPr>
                        </m:ctrlPr>
                      </m:dPr>
                      <m:e>
                        <m:r>
                          <a:rPr lang="es-ES" sz="1800" b="0" i="1">
                            <a:latin typeface="Cambria Math" panose="02040503050406030204" pitchFamily="18" charset="0"/>
                          </a:rPr>
                          <m:t>1−</m:t>
                        </m:r>
                        <m:r>
                          <a:rPr lang="es-ES" sz="1800" b="0" i="1">
                            <a:latin typeface="Cambria Math" panose="02040503050406030204" pitchFamily="18" charset="0"/>
                          </a:rPr>
                          <m:t>𝑦</m:t>
                        </m:r>
                      </m:e>
                    </m:d>
                    <m:r>
                      <a:rPr lang="es-ES" sz="1800" b="0" i="1">
                        <a:latin typeface="Cambria Math" panose="02040503050406030204" pitchFamily="18" charset="0"/>
                      </a:rPr>
                      <m:t>∗</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𝑇</m:t>
                        </m:r>
                      </m:e>
                    </m:d>
                  </m:oMath>
                  <m:oMath xmlns:m="http://schemas.openxmlformats.org/officeDocument/2006/math">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𝑃</m:t>
                        </m:r>
                      </m:e>
                    </m:d>
                    <m:r>
                      <a:rPr lang="es-ES" sz="1800" b="0" i="1">
                        <a:latin typeface="Cambria Math" panose="02040503050406030204" pitchFamily="18" charset="0"/>
                      </a:rPr>
                      <m:t>=</m:t>
                    </m:r>
                    <m:r>
                      <a:rPr lang="es-ES" sz="1800" b="0" i="1">
                        <a:latin typeface="Cambria Math" panose="02040503050406030204" pitchFamily="18" charset="0"/>
                      </a:rPr>
                      <m:t>𝑦</m:t>
                    </m:r>
                    <m:r>
                      <a:rPr lang="es-ES" sz="1800" b="0" i="1">
                        <a:latin typeface="Cambria Math" panose="02040503050406030204" pitchFamily="18" charset="0"/>
                      </a:rPr>
                      <m:t>∗</m:t>
                    </m:r>
                    <m:d>
                      <m:dPr>
                        <m:ctrlPr>
                          <a:rPr lang="es-ES" sz="1800" b="0" i="1">
                            <a:latin typeface="Cambria Math" panose="02040503050406030204" pitchFamily="18" charset="0"/>
                          </a:rPr>
                        </m:ctrlPr>
                      </m:dPr>
                      <m:e>
                        <m:r>
                          <a:rPr lang="es-ES" sz="1800" b="0" i="1">
                            <a:latin typeface="Cambria Math" panose="02040503050406030204" pitchFamily="18" charset="0"/>
                          </a:rPr>
                          <m:t> </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𝑅𝑃</m:t>
                            </m:r>
                          </m:e>
                        </m:d>
                        <m:r>
                          <a:rPr lang="es-ES" sz="1800" b="0" i="1">
                            <a:latin typeface="Cambria Math" panose="02040503050406030204" pitchFamily="18" charset="0"/>
                          </a:rPr>
                          <m:t>−</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𝑇</m:t>
                            </m:r>
                          </m:e>
                        </m:d>
                        <m:r>
                          <a:rPr lang="es-ES" sz="1800" b="0" i="1">
                            <a:latin typeface="Cambria Math" panose="02040503050406030204" pitchFamily="18" charset="0"/>
                          </a:rPr>
                          <m:t> </m:t>
                        </m:r>
                      </m:e>
                    </m:d>
                    <m:r>
                      <a:rPr lang="es-ES" sz="1800" b="0" i="1">
                        <a:latin typeface="Cambria Math" panose="02040503050406030204" pitchFamily="18" charset="0"/>
                      </a:rPr>
                      <m:t>+</m:t>
                    </m:r>
                    <m:r>
                      <a:rPr lang="es-ES" sz="1800" b="0" i="1">
                        <a:latin typeface="Cambria Math" panose="02040503050406030204" pitchFamily="18" charset="0"/>
                      </a:rPr>
                      <m:t>𝐸</m:t>
                    </m:r>
                    <m:r>
                      <a:rPr lang="es-ES" sz="1800" b="0" i="1">
                        <a:latin typeface="Cambria Math" panose="02040503050406030204" pitchFamily="18" charset="0"/>
                      </a:rPr>
                      <m:t>(</m:t>
                    </m:r>
                    <m:r>
                      <a:rPr lang="es-ES" sz="1800" b="0" i="1">
                        <a:latin typeface="Cambria Math" panose="02040503050406030204" pitchFamily="18" charset="0"/>
                      </a:rPr>
                      <m:t>𝑇</m:t>
                    </m:r>
                    <m:r>
                      <a:rPr lang="es-ES" sz="1800" b="0" i="1">
                        <a:latin typeface="Cambria Math" panose="02040503050406030204" pitchFamily="18" charset="0"/>
                      </a:rPr>
                      <m:t>)</m:t>
                    </m:r>
                  </m:oMath>
                </m:oMathPara>
              </a14:m>
              <a:endParaRPr lang="es-ES" sz="1800" b="0"/>
            </a:p>
            <a:p>
              <a:pPr marL="0" marR="0" lvl="0" indent="0" algn="l" defTabSz="914400" eaLnBrk="1" fontAlgn="auto" latinLnBrk="0" hangingPunct="1">
                <a:lnSpc>
                  <a:spcPct val="100000"/>
                </a:lnSpc>
                <a:spcBef>
                  <a:spcPts val="0"/>
                </a:spcBef>
                <a:spcAft>
                  <a:spcPts val="0"/>
                </a:spcAft>
                <a:buClrTx/>
                <a:buSzTx/>
                <a:buFontTx/>
                <a:buNone/>
                <a:tabLst/>
                <a:defRPr/>
              </a:pPr>
              <a:br>
                <a:rPr lang="es-ES" sz="1800" b="0"/>
              </a:br>
              <a14:m>
                <m:oMathPara xmlns:m="http://schemas.openxmlformats.org/officeDocument/2006/math">
                  <m:oMathParaPr>
                    <m:jc m:val="left"/>
                  </m:oMathParaPr>
                  <m:oMath xmlns:m="http://schemas.openxmlformats.org/officeDocument/2006/math">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𝑃</m:t>
                        </m:r>
                      </m:e>
                    </m:d>
                    <m:r>
                      <a:rPr lang="es-ES" sz="1800" b="0" i="1">
                        <a:latin typeface="Cambria Math" panose="02040503050406030204" pitchFamily="18" charset="0"/>
                      </a:rPr>
                      <m:t>= </m:t>
                    </m:r>
                    <m:f>
                      <m:fPr>
                        <m:ctrlPr>
                          <a:rPr lang="es-ES" sz="1800" b="0" i="1">
                            <a:latin typeface="Cambria Math" panose="02040503050406030204" pitchFamily="18" charset="0"/>
                          </a:rPr>
                        </m:ctrlPr>
                      </m:fPr>
                      <m:num>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𝑃</m:t>
                            </m:r>
                          </m:e>
                        </m:d>
                      </m:num>
                      <m:den>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𝑅𝑃</m:t>
                            </m:r>
                          </m:e>
                        </m:d>
                      </m:den>
                    </m:f>
                    <m:r>
                      <a:rPr lang="es-ES" sz="1800" b="0" i="0">
                        <a:latin typeface="Cambria Math" panose="02040503050406030204" pitchFamily="18" charset="0"/>
                      </a:rPr>
                      <m:t>∗</m:t>
                    </m:r>
                    <m:d>
                      <m:dPr>
                        <m:ctrlPr>
                          <a:rPr lang="es-ES" sz="1800" b="0" i="1">
                            <a:latin typeface="Cambria Math" panose="02040503050406030204" pitchFamily="18" charset="0"/>
                          </a:rPr>
                        </m:ctrlPr>
                      </m:dPr>
                      <m:e>
                        <m:r>
                          <a:rPr lang="es-ES" sz="1800" b="0" i="1">
                            <a:latin typeface="Cambria Math" panose="02040503050406030204" pitchFamily="18" charset="0"/>
                          </a:rPr>
                          <m:t> </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𝑅𝑃</m:t>
                            </m:r>
                          </m:e>
                        </m:d>
                        <m:r>
                          <a:rPr lang="es-ES" sz="1800" b="0" i="1">
                            <a:latin typeface="Cambria Math" panose="02040503050406030204" pitchFamily="18" charset="0"/>
                          </a:rPr>
                          <m:t>−</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𝑇</m:t>
                            </m:r>
                          </m:e>
                        </m:d>
                        <m:r>
                          <a:rPr lang="es-ES" sz="1800" b="0" i="1">
                            <a:latin typeface="Cambria Math" panose="02040503050406030204" pitchFamily="18" charset="0"/>
                          </a:rPr>
                          <m:t> </m:t>
                        </m:r>
                      </m:e>
                    </m:d>
                    <m:r>
                      <a:rPr lang="es-ES" sz="1800" b="0" i="1">
                        <a:latin typeface="Cambria Math" panose="02040503050406030204" pitchFamily="18" charset="0"/>
                      </a:rPr>
                      <m:t>+ </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𝑇</m:t>
                        </m:r>
                      </m:e>
                    </m:d>
                  </m:oMath>
                </m:oMathPara>
              </a14:m>
              <a:endParaRPr lang="es-ES" sz="1800" b="0"/>
            </a:p>
            <a:p>
              <a:pPr marL="0" marR="0" lvl="0" indent="0" algn="l"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left"/>
                  </m:oMathParaPr>
                  <m:oMath xmlns:m="http://schemas.openxmlformats.org/officeDocument/2006/math">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𝑃</m:t>
                        </m:r>
                      </m:e>
                    </m:d>
                    <m:r>
                      <a:rPr lang="es-ES" sz="1800" b="0" i="1">
                        <a:latin typeface="Cambria Math" panose="02040503050406030204" pitchFamily="18" charset="0"/>
                      </a:rPr>
                      <m:t>= </m:t>
                    </m:r>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𝑃</m:t>
                        </m:r>
                      </m:e>
                    </m:d>
                    <m:r>
                      <a:rPr lang="es-ES" sz="1800" b="0" i="0">
                        <a:latin typeface="Cambria Math" panose="02040503050406030204" pitchFamily="18" charset="0"/>
                      </a:rPr>
                      <m:t>∗</m:t>
                    </m:r>
                    <m:f>
                      <m:fPr>
                        <m:ctrlPr>
                          <a:rPr lang="es-ES" sz="1800" b="0" i="1">
                            <a:latin typeface="Cambria Math" panose="02040503050406030204" pitchFamily="18" charset="0"/>
                          </a:rPr>
                        </m:ctrlPr>
                      </m:fPr>
                      <m:num>
                        <m:d>
                          <m:dPr>
                            <m:ctrlPr>
                              <a:rPr lang="es-ES" sz="1800" b="0" i="1">
                                <a:latin typeface="Cambria Math" panose="02040503050406030204" pitchFamily="18" charset="0"/>
                              </a:rPr>
                            </m:ctrlPr>
                          </m:dPr>
                          <m:e>
                            <m:r>
                              <a:rPr lang="es-ES" sz="1800" b="0" i="1">
                                <a:latin typeface="Cambria Math" panose="02040503050406030204" pitchFamily="18" charset="0"/>
                              </a:rPr>
                              <m:t> </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𝑅𝑃</m:t>
                                </m:r>
                              </m:e>
                            </m:d>
                            <m:r>
                              <a:rPr lang="es-ES" sz="1800" b="0" i="1">
                                <a:latin typeface="Cambria Math" panose="02040503050406030204" pitchFamily="18" charset="0"/>
                              </a:rPr>
                              <m:t>−</m:t>
                            </m:r>
                            <m:r>
                              <a:rPr lang="es-ES" sz="1800" b="0" i="1">
                                <a:latin typeface="Cambria Math" panose="02040503050406030204" pitchFamily="18" charset="0"/>
                              </a:rPr>
                              <m:t>𝐸</m:t>
                            </m:r>
                            <m:d>
                              <m:dPr>
                                <m:ctrlPr>
                                  <a:rPr lang="es-ES" sz="1800" b="0" i="1">
                                    <a:latin typeface="Cambria Math" panose="02040503050406030204" pitchFamily="18" charset="0"/>
                                  </a:rPr>
                                </m:ctrlPr>
                              </m:dPr>
                              <m:e>
                                <m:r>
                                  <a:rPr lang="es-ES" sz="1800" b="0" i="1">
                                    <a:latin typeface="Cambria Math" panose="02040503050406030204" pitchFamily="18" charset="0"/>
                                  </a:rPr>
                                  <m:t>𝑇</m:t>
                                </m:r>
                              </m:e>
                            </m:d>
                            <m:r>
                              <a:rPr lang="es-ES" sz="1800" b="0" i="1">
                                <a:latin typeface="Cambria Math" panose="02040503050406030204" pitchFamily="18" charset="0"/>
                              </a:rPr>
                              <m:t> </m:t>
                            </m:r>
                          </m:e>
                        </m:d>
                      </m:num>
                      <m:den>
                        <m:r>
                          <a:rPr lang="es-ES" sz="1800" b="0" i="1">
                            <a:latin typeface="Cambria Math" panose="02040503050406030204" pitchFamily="18" charset="0"/>
                          </a:rPr>
                          <m:t>𝑆𝐷</m:t>
                        </m:r>
                        <m:d>
                          <m:dPr>
                            <m:ctrlPr>
                              <a:rPr lang="es-ES" sz="1800" b="0" i="1">
                                <a:latin typeface="Cambria Math" panose="02040503050406030204" pitchFamily="18" charset="0"/>
                              </a:rPr>
                            </m:ctrlPr>
                          </m:dPr>
                          <m:e>
                            <m:r>
                              <a:rPr lang="es-ES" sz="1800" b="0" i="1">
                                <a:latin typeface="Cambria Math" panose="02040503050406030204" pitchFamily="18" charset="0"/>
                              </a:rPr>
                              <m:t>𝑅𝑃</m:t>
                            </m:r>
                          </m:e>
                        </m:d>
                      </m:den>
                    </m:f>
                    <m:r>
                      <a:rPr lang="es-ES" sz="1800" b="0" i="1">
                        <a:latin typeface="Cambria Math" panose="02040503050406030204" pitchFamily="18" charset="0"/>
                      </a:rPr>
                      <m:t>+ </m:t>
                    </m:r>
                    <m:r>
                      <a:rPr lang="es-ES" sz="1800" b="0" i="1">
                        <a:latin typeface="Cambria Math" panose="02040503050406030204" pitchFamily="18" charset="0"/>
                      </a:rPr>
                      <m:t>𝐸</m:t>
                    </m:r>
                    <m:r>
                      <a:rPr lang="es-ES" sz="1800" b="0" i="1">
                        <a:latin typeface="Cambria Math" panose="02040503050406030204" pitchFamily="18" charset="0"/>
                      </a:rPr>
                      <m:t>(</m:t>
                    </m:r>
                    <m:r>
                      <a:rPr lang="es-ES" sz="1800" b="0" i="1">
                        <a:latin typeface="Cambria Math" panose="02040503050406030204" pitchFamily="18" charset="0"/>
                      </a:rPr>
                      <m:t>𝑇</m:t>
                    </m:r>
                    <m:r>
                      <a:rPr lang="es-ES" sz="1800" b="0" i="1">
                        <a:latin typeface="Cambria Math" panose="02040503050406030204" pitchFamily="18" charset="0"/>
                      </a:rPr>
                      <m:t>)</m:t>
                    </m:r>
                  </m:oMath>
                </m:oMathPara>
              </a14:m>
              <a:endParaRPr lang="es-ES" sz="1800" b="0"/>
            </a:p>
            <a:p>
              <a:pPr marL="0" marR="0" lvl="0" indent="0" algn="l" defTabSz="914400" eaLnBrk="1" fontAlgn="auto" latinLnBrk="0" hangingPunct="1">
                <a:lnSpc>
                  <a:spcPct val="100000"/>
                </a:lnSpc>
                <a:spcBef>
                  <a:spcPts val="0"/>
                </a:spcBef>
                <a:spcAft>
                  <a:spcPts val="0"/>
                </a:spcAft>
                <a:buClrTx/>
                <a:buSzTx/>
                <a:buFontTx/>
                <a:buNone/>
                <a:tabLst/>
                <a:defRPr/>
              </a:pPr>
              <a:endParaRPr lang="es-ES" sz="1800" b="0"/>
            </a:p>
            <a:p>
              <a:pPr algn="l"/>
              <a:endParaRPr lang="en-US" sz="1800"/>
            </a:p>
          </xdr:txBody>
        </xdr:sp>
      </mc:Choice>
      <mc:Fallback xmlns="">
        <xdr:sp macro="" textlink="">
          <xdr:nvSpPr>
            <xdr:cNvPr id="73" name="TextBox 72">
              <a:extLst>
                <a:ext uri="{FF2B5EF4-FFF2-40B4-BE49-F238E27FC236}">
                  <a16:creationId xmlns:a16="http://schemas.microsoft.com/office/drawing/2014/main" id="{304A1484-6CE7-DAED-905F-8EFD7AC100F8}"/>
                </a:ext>
              </a:extLst>
            </xdr:cNvPr>
            <xdr:cNvSpPr txBox="1"/>
          </xdr:nvSpPr>
          <xdr:spPr>
            <a:xfrm>
              <a:off x="43992799" y="26116169"/>
              <a:ext cx="10230679" cy="346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r>
                <a:rPr lang="es-ES" sz="1800" b="0" i="1">
                  <a:latin typeface="Cambria Math" panose="02040503050406030204" pitchFamily="18" charset="0"/>
                </a:rPr>
                <a:t>RETORNO DE UN PORTFOLIO  dividido entre RISK FREE (T) , y RISKY (RP)</a:t>
              </a:r>
              <a:br>
                <a:rPr lang="es-ES" sz="1800" b="0" i="1">
                  <a:latin typeface="Cambria Math" panose="02040503050406030204" pitchFamily="18" charset="0"/>
                </a:rPr>
              </a:br>
              <a:r>
                <a:rPr lang="es-ES" sz="1800" b="0" i="0">
                  <a:latin typeface="Cambria Math" panose="02040503050406030204" pitchFamily="18" charset="0"/>
                </a:rPr>
                <a:t>𝑆𝐷(𝑃)=𝑦_𝑟𝑝∗𝑆𝐷(𝑅𝑃)→𝑦=𝑆𝐷(𝑃)/𝑆𝐷(𝑅𝑃)   </a:t>
              </a:r>
              <a:endParaRPr lang="es-ES" sz="1800" b="0"/>
            </a:p>
            <a:p>
              <a:pPr algn="l"/>
              <a:br>
                <a:rPr lang="es-ES" sz="1800" b="0"/>
              </a:br>
              <a:r>
                <a:rPr lang="es-ES" sz="1800" b="0" i="0">
                  <a:latin typeface="Cambria Math" panose="02040503050406030204" pitchFamily="18" charset="0"/>
                </a:rPr>
                <a:t>𝐸(𝑃)=𝑦_𝑟𝑝∗𝐸(𝑅𝑃)+𝑦_𝑡∗𝐸(𝑇)</a:t>
              </a:r>
              <a:endParaRPr lang="es-ES" sz="1800" b="0"/>
            </a:p>
            <a:p>
              <a:pPr algn="l"/>
              <a:r>
                <a:rPr lang="es-ES" sz="1800" b="0" i="0">
                  <a:latin typeface="Cambria Math" panose="02040503050406030204" pitchFamily="18" charset="0"/>
                </a:rPr>
                <a:t>𝐸(𝑃)=𝑦∗𝐸(𝑅𝑃)+(1−𝑦)∗𝐸(𝑇)</a:t>
              </a:r>
              <a:br>
                <a:rPr lang="es-ES" sz="1800" b="0"/>
              </a:br>
              <a:r>
                <a:rPr lang="es-ES" sz="1800" b="0" i="0">
                  <a:latin typeface="Cambria Math" panose="02040503050406030204" pitchFamily="18" charset="0"/>
                </a:rPr>
                <a:t>𝐸(𝑃)=𝑦∗( 𝐸(𝑅𝑃)−𝐸(𝑇)  )+𝐸(𝑇)</a:t>
              </a:r>
              <a:endParaRPr lang="es-ES" sz="1800" b="0"/>
            </a:p>
            <a:p>
              <a:pPr marL="0" marR="0" lvl="0" indent="0" algn="l" defTabSz="914400" eaLnBrk="1" fontAlgn="auto" latinLnBrk="0" hangingPunct="1">
                <a:lnSpc>
                  <a:spcPct val="100000"/>
                </a:lnSpc>
                <a:spcBef>
                  <a:spcPts val="0"/>
                </a:spcBef>
                <a:spcAft>
                  <a:spcPts val="0"/>
                </a:spcAft>
                <a:buClrTx/>
                <a:buSzTx/>
                <a:buFontTx/>
                <a:buNone/>
                <a:tabLst/>
                <a:defRPr/>
              </a:pPr>
              <a:br>
                <a:rPr lang="es-ES" sz="1800" b="0"/>
              </a:br>
              <a:r>
                <a:rPr lang="es-ES" sz="1800" b="0" i="0">
                  <a:latin typeface="Cambria Math" panose="02040503050406030204" pitchFamily="18" charset="0"/>
                </a:rPr>
                <a:t>𝐸(𝑃)=  𝑆𝐷(𝑃)/𝑆𝐷(𝑅𝑃) ∗( 𝐸(𝑅𝑃)−𝐸(𝑇)  )+ 𝐸(𝑇)</a:t>
              </a:r>
              <a:endParaRPr lang="es-ES" sz="1800" b="0"/>
            </a:p>
            <a:p>
              <a:pPr marL="0" marR="0" lvl="0" indent="0" algn="l" defTabSz="914400" eaLnBrk="1" fontAlgn="auto" latinLnBrk="0" hangingPunct="1">
                <a:lnSpc>
                  <a:spcPct val="100000"/>
                </a:lnSpc>
                <a:spcBef>
                  <a:spcPts val="0"/>
                </a:spcBef>
                <a:spcAft>
                  <a:spcPts val="0"/>
                </a:spcAft>
                <a:buClrTx/>
                <a:buSzTx/>
                <a:buFontTx/>
                <a:buNone/>
                <a:tabLst/>
                <a:defRPr/>
              </a:pPr>
              <a:r>
                <a:rPr lang="es-ES" sz="1800" b="0" i="0">
                  <a:latin typeface="Cambria Math" panose="02040503050406030204" pitchFamily="18" charset="0"/>
                </a:rPr>
                <a:t>𝐸(𝑃)= 𝑆𝐷(𝑃)∗(( 𝐸(𝑅𝑃)−𝐸(𝑇)  ))/𝑆𝐷(𝑅𝑃) + 𝐸(𝑇)</a:t>
              </a:r>
              <a:endParaRPr lang="es-ES" sz="1800" b="0"/>
            </a:p>
            <a:p>
              <a:pPr marL="0" marR="0" lvl="0" indent="0" algn="l" defTabSz="914400" eaLnBrk="1" fontAlgn="auto" latinLnBrk="0" hangingPunct="1">
                <a:lnSpc>
                  <a:spcPct val="100000"/>
                </a:lnSpc>
                <a:spcBef>
                  <a:spcPts val="0"/>
                </a:spcBef>
                <a:spcAft>
                  <a:spcPts val="0"/>
                </a:spcAft>
                <a:buClrTx/>
                <a:buSzTx/>
                <a:buFontTx/>
                <a:buNone/>
                <a:tabLst/>
                <a:defRPr/>
              </a:pPr>
              <a:endParaRPr lang="es-ES" sz="1800" b="0"/>
            </a:p>
            <a:p>
              <a:pPr algn="l"/>
              <a:endParaRPr lang="en-US" sz="1800"/>
            </a:p>
          </xdr:txBody>
        </xdr:sp>
      </mc:Fallback>
    </mc:AlternateContent>
    <xdr:clientData/>
  </xdr:oneCellAnchor>
  <xdr:twoCellAnchor editAs="oneCell">
    <xdr:from>
      <xdr:col>51</xdr:col>
      <xdr:colOff>604367</xdr:colOff>
      <xdr:row>138</xdr:row>
      <xdr:rowOff>55362</xdr:rowOff>
    </xdr:from>
    <xdr:to>
      <xdr:col>55</xdr:col>
      <xdr:colOff>699442</xdr:colOff>
      <xdr:row>142</xdr:row>
      <xdr:rowOff>150141</xdr:rowOff>
    </xdr:to>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78" name="Ink 77">
              <a:extLst>
                <a:ext uri="{FF2B5EF4-FFF2-40B4-BE49-F238E27FC236}">
                  <a16:creationId xmlns:a16="http://schemas.microsoft.com/office/drawing/2014/main" id="{5E24CC57-3452-06F9-2AAF-4B44A45C2CDD}"/>
                </a:ext>
              </a:extLst>
            </xdr14:cNvPr>
            <xdr14:cNvContentPartPr/>
          </xdr14:nvContentPartPr>
          <xdr14:nvPr macro=""/>
          <xdr14:xfrm>
            <a:off x="45413280" y="28878840"/>
            <a:ext cx="3408120" cy="923040"/>
          </xdr14:xfrm>
        </xdr:contentPart>
      </mc:Choice>
      <mc:Fallback xmlns="">
        <xdr:pic>
          <xdr:nvPicPr>
            <xdr:cNvPr id="78" name="Ink 77">
              <a:extLst>
                <a:ext uri="{FF2B5EF4-FFF2-40B4-BE49-F238E27FC236}">
                  <a16:creationId xmlns:a16="http://schemas.microsoft.com/office/drawing/2014/main" id="{5E24CC57-3452-06F9-2AAF-4B44A45C2CDD}"/>
                </a:ext>
              </a:extLst>
            </xdr:cNvPr>
            <xdr:cNvPicPr/>
          </xdr:nvPicPr>
          <xdr:blipFill>
            <a:blip xmlns:r="http://schemas.openxmlformats.org/officeDocument/2006/relationships" r:embed="rId91"/>
            <a:stretch>
              <a:fillRect/>
            </a:stretch>
          </xdr:blipFill>
          <xdr:spPr>
            <a:xfrm>
              <a:off x="45408941" y="28874365"/>
              <a:ext cx="3416798" cy="931991"/>
            </a:xfrm>
            <a:prstGeom prst="rect">
              <a:avLst/>
            </a:prstGeom>
          </xdr:spPr>
        </xdr:pic>
      </mc:Fallback>
    </mc:AlternateContent>
    <xdr:clientData/>
  </xdr:twoCellAnchor>
  <xdr:twoCellAnchor>
    <xdr:from>
      <xdr:col>31</xdr:col>
      <xdr:colOff>241300</xdr:colOff>
      <xdr:row>331</xdr:row>
      <xdr:rowOff>29928</xdr:rowOff>
    </xdr:from>
    <xdr:to>
      <xdr:col>40</xdr:col>
      <xdr:colOff>40495</xdr:colOff>
      <xdr:row>364</xdr:row>
      <xdr:rowOff>165100</xdr:rowOff>
    </xdr:to>
    <xdr:graphicFrame macro="">
      <xdr:nvGraphicFramePr>
        <xdr:cNvPr id="79" name="Chart 78">
          <a:extLst>
            <a:ext uri="{FF2B5EF4-FFF2-40B4-BE49-F238E27FC236}">
              <a16:creationId xmlns:a16="http://schemas.microsoft.com/office/drawing/2014/main" id="{120B81EA-2D28-1341-9A07-CE57C2F89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36</xdr:col>
      <xdr:colOff>104285</xdr:colOff>
      <xdr:row>234</xdr:row>
      <xdr:rowOff>141190</xdr:rowOff>
    </xdr:from>
    <xdr:to>
      <xdr:col>45</xdr:col>
      <xdr:colOff>632609</xdr:colOff>
      <xdr:row>259</xdr:row>
      <xdr:rowOff>26621</xdr:rowOff>
    </xdr:to>
    <xdr:graphicFrame macro="">
      <xdr:nvGraphicFramePr>
        <xdr:cNvPr id="69" name="Chart 68">
          <a:extLst>
            <a:ext uri="{FF2B5EF4-FFF2-40B4-BE49-F238E27FC236}">
              <a16:creationId xmlns:a16="http://schemas.microsoft.com/office/drawing/2014/main" id="{DF00653F-D913-BA0A-366F-8999835066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oneCell">
    <xdr:from>
      <xdr:col>5</xdr:col>
      <xdr:colOff>812800</xdr:colOff>
      <xdr:row>573</xdr:row>
      <xdr:rowOff>75286</xdr:rowOff>
    </xdr:from>
    <xdr:to>
      <xdr:col>12</xdr:col>
      <xdr:colOff>690880</xdr:colOff>
      <xdr:row>597</xdr:row>
      <xdr:rowOff>170307</xdr:rowOff>
    </xdr:to>
    <xdr:pic>
      <xdr:nvPicPr>
        <xdr:cNvPr id="74" name="Picture 73">
          <a:extLst>
            <a:ext uri="{FF2B5EF4-FFF2-40B4-BE49-F238E27FC236}">
              <a16:creationId xmlns:a16="http://schemas.microsoft.com/office/drawing/2014/main" id="{F07CEE5C-5190-7EB5-C6F6-C945B2A74150}"/>
            </a:ext>
          </a:extLst>
        </xdr:cNvPr>
        <xdr:cNvPicPr>
          <a:picLocks noChangeAspect="1"/>
        </xdr:cNvPicPr>
      </xdr:nvPicPr>
      <xdr:blipFill>
        <a:blip xmlns:r="http://schemas.openxmlformats.org/officeDocument/2006/relationships" r:embed="rId94"/>
        <a:stretch>
          <a:fillRect/>
        </a:stretch>
      </xdr:blipFill>
      <xdr:spPr>
        <a:xfrm>
          <a:off x="6278880" y="117169286"/>
          <a:ext cx="5791200" cy="4971821"/>
        </a:xfrm>
        <a:prstGeom prst="rect">
          <a:avLst/>
        </a:prstGeom>
      </xdr:spPr>
    </xdr:pic>
    <xdr:clientData/>
  </xdr:twoCellAnchor>
  <xdr:twoCellAnchor editAs="oneCell">
    <xdr:from>
      <xdr:col>0</xdr:col>
      <xdr:colOff>508000</xdr:colOff>
      <xdr:row>594</xdr:row>
      <xdr:rowOff>30480</xdr:rowOff>
    </xdr:from>
    <xdr:to>
      <xdr:col>5</xdr:col>
      <xdr:colOff>660400</xdr:colOff>
      <xdr:row>599</xdr:row>
      <xdr:rowOff>61060</xdr:rowOff>
    </xdr:to>
    <xdr:pic>
      <xdr:nvPicPr>
        <xdr:cNvPr id="76" name="Picture 75">
          <a:extLst>
            <a:ext uri="{FF2B5EF4-FFF2-40B4-BE49-F238E27FC236}">
              <a16:creationId xmlns:a16="http://schemas.microsoft.com/office/drawing/2014/main" id="{09B7AA51-ADFD-E2AA-D11F-FC0F1812E54C}"/>
            </a:ext>
          </a:extLst>
        </xdr:cNvPr>
        <xdr:cNvPicPr>
          <a:picLocks noChangeAspect="1"/>
        </xdr:cNvPicPr>
      </xdr:nvPicPr>
      <xdr:blipFill>
        <a:blip xmlns:r="http://schemas.openxmlformats.org/officeDocument/2006/relationships" r:embed="rId95"/>
        <a:stretch>
          <a:fillRect/>
        </a:stretch>
      </xdr:blipFill>
      <xdr:spPr>
        <a:xfrm>
          <a:off x="508000" y="121391680"/>
          <a:ext cx="5618480" cy="1046580"/>
        </a:xfrm>
        <a:prstGeom prst="rect">
          <a:avLst/>
        </a:prstGeom>
      </xdr:spPr>
    </xdr:pic>
    <xdr:clientData/>
  </xdr:twoCellAnchor>
  <xdr:twoCellAnchor>
    <xdr:from>
      <xdr:col>31</xdr:col>
      <xdr:colOff>1156056</xdr:colOff>
      <xdr:row>434</xdr:row>
      <xdr:rowOff>147651</xdr:rowOff>
    </xdr:from>
    <xdr:to>
      <xdr:col>39</xdr:col>
      <xdr:colOff>427290</xdr:colOff>
      <xdr:row>467</xdr:row>
      <xdr:rowOff>178036</xdr:rowOff>
    </xdr:to>
    <xdr:graphicFrame macro="">
      <xdr:nvGraphicFramePr>
        <xdr:cNvPr id="80" name="Chart 79">
          <a:extLst>
            <a:ext uri="{FF2B5EF4-FFF2-40B4-BE49-F238E27FC236}">
              <a16:creationId xmlns:a16="http://schemas.microsoft.com/office/drawing/2014/main" id="{ABB313E9-FBE9-0659-D246-657DDC084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203198</xdr:colOff>
      <xdr:row>31</xdr:row>
      <xdr:rowOff>16933</xdr:rowOff>
    </xdr:from>
    <xdr:to>
      <xdr:col>7</xdr:col>
      <xdr:colOff>490910</xdr:colOff>
      <xdr:row>35</xdr:row>
      <xdr:rowOff>72952</xdr:rowOff>
    </xdr:to>
    <xdr:pic>
      <xdr:nvPicPr>
        <xdr:cNvPr id="2" name="Picture 1">
          <a:extLst>
            <a:ext uri="{FF2B5EF4-FFF2-40B4-BE49-F238E27FC236}">
              <a16:creationId xmlns:a16="http://schemas.microsoft.com/office/drawing/2014/main" id="{56A72889-F157-3851-6D1B-88990D9E9995}"/>
            </a:ext>
          </a:extLst>
        </xdr:cNvPr>
        <xdr:cNvPicPr>
          <a:picLocks noChangeAspect="1"/>
        </xdr:cNvPicPr>
      </xdr:nvPicPr>
      <xdr:blipFill>
        <a:blip xmlns:r="http://schemas.openxmlformats.org/officeDocument/2006/relationships" r:embed="rId1"/>
        <a:stretch>
          <a:fillRect/>
        </a:stretch>
      </xdr:blipFill>
      <xdr:spPr>
        <a:xfrm>
          <a:off x="3996265" y="6443133"/>
          <a:ext cx="3843867" cy="868819"/>
        </a:xfrm>
        <a:prstGeom prst="rect">
          <a:avLst/>
        </a:prstGeom>
      </xdr:spPr>
    </xdr:pic>
    <xdr:clientData/>
  </xdr:twoCellAnchor>
  <xdr:twoCellAnchor editAs="oneCell">
    <xdr:from>
      <xdr:col>6</xdr:col>
      <xdr:colOff>801888</xdr:colOff>
      <xdr:row>37</xdr:row>
      <xdr:rowOff>31043</xdr:rowOff>
    </xdr:from>
    <xdr:to>
      <xdr:col>9</xdr:col>
      <xdr:colOff>812800</xdr:colOff>
      <xdr:row>42</xdr:row>
      <xdr:rowOff>186267</xdr:rowOff>
    </xdr:to>
    <xdr:pic>
      <xdr:nvPicPr>
        <xdr:cNvPr id="3" name="Picture 2">
          <a:extLst>
            <a:ext uri="{FF2B5EF4-FFF2-40B4-BE49-F238E27FC236}">
              <a16:creationId xmlns:a16="http://schemas.microsoft.com/office/drawing/2014/main" id="{B3262F21-8B13-EBDB-C27A-679C5307C47D}"/>
            </a:ext>
          </a:extLst>
        </xdr:cNvPr>
        <xdr:cNvPicPr>
          <a:picLocks noChangeAspect="1"/>
        </xdr:cNvPicPr>
      </xdr:nvPicPr>
      <xdr:blipFill>
        <a:blip xmlns:r="http://schemas.openxmlformats.org/officeDocument/2006/relationships" r:embed="rId2"/>
        <a:stretch>
          <a:fillRect/>
        </a:stretch>
      </xdr:blipFill>
      <xdr:spPr>
        <a:xfrm>
          <a:off x="7134955" y="7676443"/>
          <a:ext cx="2500112" cy="1171224"/>
        </a:xfrm>
        <a:prstGeom prst="rect">
          <a:avLst/>
        </a:prstGeom>
      </xdr:spPr>
    </xdr:pic>
    <xdr:clientData/>
  </xdr:twoCellAnchor>
  <xdr:twoCellAnchor editAs="oneCell">
    <xdr:from>
      <xdr:col>1</xdr:col>
      <xdr:colOff>118533</xdr:colOff>
      <xdr:row>38</xdr:row>
      <xdr:rowOff>135467</xdr:rowOff>
    </xdr:from>
    <xdr:to>
      <xdr:col>6</xdr:col>
      <xdr:colOff>348856</xdr:colOff>
      <xdr:row>47</xdr:row>
      <xdr:rowOff>143933</xdr:rowOff>
    </xdr:to>
    <xdr:pic>
      <xdr:nvPicPr>
        <xdr:cNvPr id="4" name="Picture 3">
          <a:extLst>
            <a:ext uri="{FF2B5EF4-FFF2-40B4-BE49-F238E27FC236}">
              <a16:creationId xmlns:a16="http://schemas.microsoft.com/office/drawing/2014/main" id="{134A39D8-0768-1E18-5F17-8CCA1293D5B5}"/>
            </a:ext>
          </a:extLst>
        </xdr:cNvPr>
        <xdr:cNvPicPr>
          <a:picLocks noChangeAspect="1"/>
        </xdr:cNvPicPr>
      </xdr:nvPicPr>
      <xdr:blipFill>
        <a:blip xmlns:r="http://schemas.openxmlformats.org/officeDocument/2006/relationships" r:embed="rId3"/>
        <a:stretch>
          <a:fillRect/>
        </a:stretch>
      </xdr:blipFill>
      <xdr:spPr>
        <a:xfrm>
          <a:off x="948266" y="7984067"/>
          <a:ext cx="5920079" cy="1837266"/>
        </a:xfrm>
        <a:prstGeom prst="rect">
          <a:avLst/>
        </a:prstGeom>
      </xdr:spPr>
    </xdr:pic>
    <xdr:clientData/>
  </xdr:twoCellAnchor>
  <xdr:twoCellAnchor editAs="oneCell">
    <xdr:from>
      <xdr:col>2</xdr:col>
      <xdr:colOff>1253147</xdr:colOff>
      <xdr:row>50</xdr:row>
      <xdr:rowOff>0</xdr:rowOff>
    </xdr:from>
    <xdr:to>
      <xdr:col>2</xdr:col>
      <xdr:colOff>1263947</xdr:colOff>
      <xdr:row>50</xdr:row>
      <xdr:rowOff>115833</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6" name="Ink 5">
              <a:extLst>
                <a:ext uri="{FF2B5EF4-FFF2-40B4-BE49-F238E27FC236}">
                  <a16:creationId xmlns:a16="http://schemas.microsoft.com/office/drawing/2014/main" id="{68EC52C0-7D7D-4DC7-8820-186C1089DDC2}"/>
                </a:ext>
              </a:extLst>
            </xdr14:cNvPr>
            <xdr14:cNvContentPartPr/>
          </xdr14:nvContentPartPr>
          <xdr14:nvPr macro=""/>
          <xdr14:xfrm>
            <a:off x="3556080" y="11077560"/>
            <a:ext cx="10800" cy="120960"/>
          </xdr14:xfrm>
        </xdr:contentPart>
      </mc:Choice>
      <mc:Fallback xmlns="">
        <xdr:pic>
          <xdr:nvPicPr>
            <xdr:cNvPr id="6" name="Ink 5">
              <a:extLst>
                <a:ext uri="{FF2B5EF4-FFF2-40B4-BE49-F238E27FC236}">
                  <a16:creationId xmlns:a16="http://schemas.microsoft.com/office/drawing/2014/main" id="{68EC52C0-7D7D-4DC7-8820-186C1089DDC2}"/>
                </a:ext>
              </a:extLst>
            </xdr:cNvPr>
            <xdr:cNvPicPr/>
          </xdr:nvPicPr>
          <xdr:blipFill>
            <a:blip xmlns:r="http://schemas.openxmlformats.org/officeDocument/2006/relationships" r:embed="rId5"/>
            <a:stretch>
              <a:fillRect/>
            </a:stretch>
          </xdr:blipFill>
          <xdr:spPr>
            <a:xfrm>
              <a:off x="3551760" y="11073240"/>
              <a:ext cx="19440" cy="129600"/>
            </a:xfrm>
            <a:prstGeom prst="rect">
              <a:avLst/>
            </a:prstGeom>
          </xdr:spPr>
        </xdr:pic>
      </mc:Fallback>
    </mc:AlternateContent>
    <xdr:clientData/>
  </xdr:twoCellAnchor>
  <xdr:twoCellAnchor editAs="oneCell">
    <xdr:from>
      <xdr:col>2</xdr:col>
      <xdr:colOff>361193</xdr:colOff>
      <xdr:row>54</xdr:row>
      <xdr:rowOff>0</xdr:rowOff>
    </xdr:from>
    <xdr:to>
      <xdr:col>2</xdr:col>
      <xdr:colOff>1363211</xdr:colOff>
      <xdr:row>56</xdr:row>
      <xdr:rowOff>35025</xdr:rowOff>
    </xdr:to>
    <xdr:pic>
      <xdr:nvPicPr>
        <xdr:cNvPr id="17" name="Picture 16">
          <a:extLst>
            <a:ext uri="{FF2B5EF4-FFF2-40B4-BE49-F238E27FC236}">
              <a16:creationId xmlns:a16="http://schemas.microsoft.com/office/drawing/2014/main" id="{39A41071-3916-D68D-CF8E-803E89A6E52D}"/>
            </a:ext>
          </a:extLst>
        </xdr:cNvPr>
        <xdr:cNvPicPr>
          <a:picLocks noChangeAspect="1"/>
        </xdr:cNvPicPr>
      </xdr:nvPicPr>
      <xdr:blipFill>
        <a:blip xmlns:r="http://schemas.openxmlformats.org/officeDocument/2006/relationships" r:embed="rId6"/>
        <a:stretch>
          <a:fillRect/>
        </a:stretch>
      </xdr:blipFill>
      <xdr:spPr>
        <a:xfrm>
          <a:off x="2656514" y="17558624"/>
          <a:ext cx="1002018" cy="431172"/>
        </a:xfrm>
        <a:prstGeom prst="rect">
          <a:avLst/>
        </a:prstGeom>
      </xdr:spPr>
    </xdr:pic>
    <xdr:clientData/>
  </xdr:twoCellAnchor>
  <xdr:twoCellAnchor editAs="oneCell">
    <xdr:from>
      <xdr:col>1</xdr:col>
      <xdr:colOff>163120</xdr:colOff>
      <xdr:row>60</xdr:row>
      <xdr:rowOff>34955</xdr:rowOff>
    </xdr:from>
    <xdr:to>
      <xdr:col>1</xdr:col>
      <xdr:colOff>1165138</xdr:colOff>
      <xdr:row>62</xdr:row>
      <xdr:rowOff>69980</xdr:rowOff>
    </xdr:to>
    <xdr:pic>
      <xdr:nvPicPr>
        <xdr:cNvPr id="18" name="Picture 17">
          <a:extLst>
            <a:ext uri="{FF2B5EF4-FFF2-40B4-BE49-F238E27FC236}">
              <a16:creationId xmlns:a16="http://schemas.microsoft.com/office/drawing/2014/main" id="{0ACC2211-012C-AC42-8F37-4FCA5778109E}"/>
            </a:ext>
          </a:extLst>
        </xdr:cNvPr>
        <xdr:cNvPicPr>
          <a:picLocks noChangeAspect="1"/>
        </xdr:cNvPicPr>
      </xdr:nvPicPr>
      <xdr:blipFill>
        <a:blip xmlns:r="http://schemas.openxmlformats.org/officeDocument/2006/relationships" r:embed="rId6"/>
        <a:stretch>
          <a:fillRect/>
        </a:stretch>
      </xdr:blipFill>
      <xdr:spPr>
        <a:xfrm>
          <a:off x="990368" y="18782019"/>
          <a:ext cx="1002018" cy="431172"/>
        </a:xfrm>
        <a:prstGeom prst="rect">
          <a:avLst/>
        </a:prstGeom>
      </xdr:spPr>
    </xdr:pic>
    <xdr:clientData/>
  </xdr:twoCellAnchor>
  <xdr:twoCellAnchor editAs="oneCell">
    <xdr:from>
      <xdr:col>1</xdr:col>
      <xdr:colOff>267981</xdr:colOff>
      <xdr:row>75</xdr:row>
      <xdr:rowOff>104862</xdr:rowOff>
    </xdr:from>
    <xdr:to>
      <xdr:col>8</xdr:col>
      <xdr:colOff>711666</xdr:colOff>
      <xdr:row>96</xdr:row>
      <xdr:rowOff>14257</xdr:rowOff>
    </xdr:to>
    <xdr:pic>
      <xdr:nvPicPr>
        <xdr:cNvPr id="19" name="Picture 18">
          <a:extLst>
            <a:ext uri="{FF2B5EF4-FFF2-40B4-BE49-F238E27FC236}">
              <a16:creationId xmlns:a16="http://schemas.microsoft.com/office/drawing/2014/main" id="{D281538C-CBE2-318E-4AFB-AFC55C65FABB}"/>
            </a:ext>
          </a:extLst>
        </xdr:cNvPr>
        <xdr:cNvPicPr>
          <a:picLocks noChangeAspect="1"/>
        </xdr:cNvPicPr>
      </xdr:nvPicPr>
      <xdr:blipFill>
        <a:blip xmlns:r="http://schemas.openxmlformats.org/officeDocument/2006/relationships" r:embed="rId7"/>
        <a:stretch>
          <a:fillRect/>
        </a:stretch>
      </xdr:blipFill>
      <xdr:spPr>
        <a:xfrm>
          <a:off x="1095229" y="16078899"/>
          <a:ext cx="7772400" cy="4068936"/>
        </a:xfrm>
        <a:prstGeom prst="rect">
          <a:avLst/>
        </a:prstGeom>
      </xdr:spPr>
    </xdr:pic>
    <xdr:clientData/>
  </xdr:twoCellAnchor>
  <xdr:twoCellAnchor editAs="oneCell">
    <xdr:from>
      <xdr:col>2</xdr:col>
      <xdr:colOff>1004799</xdr:colOff>
      <xdr:row>94</xdr:row>
      <xdr:rowOff>15049</xdr:rowOff>
    </xdr:from>
    <xdr:to>
      <xdr:col>7</xdr:col>
      <xdr:colOff>699644</xdr:colOff>
      <xdr:row>96</xdr:row>
      <xdr:rowOff>184462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22" name="Ink 21">
              <a:extLst>
                <a:ext uri="{FF2B5EF4-FFF2-40B4-BE49-F238E27FC236}">
                  <a16:creationId xmlns:a16="http://schemas.microsoft.com/office/drawing/2014/main" id="{D06E2751-9046-FA7D-1735-ACE8B972EAC9}"/>
                </a:ext>
              </a:extLst>
            </xdr14:cNvPr>
            <xdr14:cNvContentPartPr/>
          </xdr14:nvContentPartPr>
          <xdr14:nvPr macro=""/>
          <xdr14:xfrm>
            <a:off x="3300120" y="19752480"/>
            <a:ext cx="4728240" cy="565560"/>
          </xdr14:xfrm>
        </xdr:contentPart>
      </mc:Choice>
      <mc:Fallback xmlns="">
        <xdr:pic>
          <xdr:nvPicPr>
            <xdr:cNvPr id="22" name="Ink 21">
              <a:extLst>
                <a:ext uri="{FF2B5EF4-FFF2-40B4-BE49-F238E27FC236}">
                  <a16:creationId xmlns:a16="http://schemas.microsoft.com/office/drawing/2014/main" id="{D06E2751-9046-FA7D-1735-ACE8B972EAC9}"/>
                </a:ext>
              </a:extLst>
            </xdr:cNvPr>
            <xdr:cNvPicPr/>
          </xdr:nvPicPr>
          <xdr:blipFill>
            <a:blip xmlns:r="http://schemas.openxmlformats.org/officeDocument/2006/relationships" r:embed="rId9"/>
            <a:stretch>
              <a:fillRect/>
            </a:stretch>
          </xdr:blipFill>
          <xdr:spPr>
            <a:xfrm>
              <a:off x="3295800" y="19748160"/>
              <a:ext cx="4736880" cy="574200"/>
            </a:xfrm>
            <a:prstGeom prst="rect">
              <a:avLst/>
            </a:prstGeom>
          </xdr:spPr>
        </xdr:pic>
      </mc:Fallback>
    </mc:AlternateContent>
    <xdr:clientData/>
  </xdr:twoCellAnchor>
  <xdr:twoCellAnchor editAs="oneCell">
    <xdr:from>
      <xdr:col>2</xdr:col>
      <xdr:colOff>0</xdr:colOff>
      <xdr:row>98</xdr:row>
      <xdr:rowOff>0</xdr:rowOff>
    </xdr:from>
    <xdr:to>
      <xdr:col>8</xdr:col>
      <xdr:colOff>629175</xdr:colOff>
      <xdr:row>102</xdr:row>
      <xdr:rowOff>193266</xdr:rowOff>
    </xdr:to>
    <xdr:pic>
      <xdr:nvPicPr>
        <xdr:cNvPr id="23" name="Picture 22">
          <a:extLst>
            <a:ext uri="{FF2B5EF4-FFF2-40B4-BE49-F238E27FC236}">
              <a16:creationId xmlns:a16="http://schemas.microsoft.com/office/drawing/2014/main" id="{307E073D-BDD4-251E-5AEC-2336BD340A18}"/>
            </a:ext>
          </a:extLst>
        </xdr:cNvPr>
        <xdr:cNvPicPr>
          <a:picLocks noChangeAspect="1"/>
        </xdr:cNvPicPr>
      </xdr:nvPicPr>
      <xdr:blipFill>
        <a:blip xmlns:r="http://schemas.openxmlformats.org/officeDocument/2006/relationships" r:embed="rId10"/>
        <a:stretch>
          <a:fillRect/>
        </a:stretch>
      </xdr:blipFill>
      <xdr:spPr>
        <a:xfrm>
          <a:off x="2295321" y="20529725"/>
          <a:ext cx="6489817" cy="985559"/>
        </a:xfrm>
        <a:prstGeom prst="rect">
          <a:avLst/>
        </a:prstGeom>
      </xdr:spPr>
    </xdr:pic>
    <xdr:clientData/>
  </xdr:twoCellAnchor>
  <xdr:twoCellAnchor editAs="oneCell">
    <xdr:from>
      <xdr:col>2</xdr:col>
      <xdr:colOff>0</xdr:colOff>
      <xdr:row>104</xdr:row>
      <xdr:rowOff>1</xdr:rowOff>
    </xdr:from>
    <xdr:to>
      <xdr:col>8</xdr:col>
      <xdr:colOff>442753</xdr:colOff>
      <xdr:row>110</xdr:row>
      <xdr:rowOff>50218</xdr:rowOff>
    </xdr:to>
    <xdr:pic>
      <xdr:nvPicPr>
        <xdr:cNvPr id="24" name="Picture 23">
          <a:extLst>
            <a:ext uri="{FF2B5EF4-FFF2-40B4-BE49-F238E27FC236}">
              <a16:creationId xmlns:a16="http://schemas.microsoft.com/office/drawing/2014/main" id="{34594F54-9D93-E404-FA2F-6969906B0F3B}"/>
            </a:ext>
          </a:extLst>
        </xdr:cNvPr>
        <xdr:cNvPicPr>
          <a:picLocks noChangeAspect="1"/>
        </xdr:cNvPicPr>
      </xdr:nvPicPr>
      <xdr:blipFill>
        <a:blip xmlns:r="http://schemas.openxmlformats.org/officeDocument/2006/relationships" r:embed="rId11"/>
        <a:stretch>
          <a:fillRect/>
        </a:stretch>
      </xdr:blipFill>
      <xdr:spPr>
        <a:xfrm>
          <a:off x="2295321" y="21718166"/>
          <a:ext cx="6303395" cy="1238658"/>
        </a:xfrm>
        <a:prstGeom prst="rect">
          <a:avLst/>
        </a:prstGeom>
      </xdr:spPr>
    </xdr:pic>
    <xdr:clientData/>
  </xdr:twoCellAnchor>
  <xdr:twoCellAnchor editAs="oneCell">
    <xdr:from>
      <xdr:col>2</xdr:col>
      <xdr:colOff>163119</xdr:colOff>
      <xdr:row>114</xdr:row>
      <xdr:rowOff>116514</xdr:rowOff>
    </xdr:from>
    <xdr:to>
      <xdr:col>4</xdr:col>
      <xdr:colOff>447995</xdr:colOff>
      <xdr:row>116</xdr:row>
      <xdr:rowOff>164867</xdr:rowOff>
    </xdr:to>
    <xdr:pic>
      <xdr:nvPicPr>
        <xdr:cNvPr id="25" name="Picture 24">
          <a:extLst>
            <a:ext uri="{FF2B5EF4-FFF2-40B4-BE49-F238E27FC236}">
              <a16:creationId xmlns:a16="http://schemas.microsoft.com/office/drawing/2014/main" id="{37DE5BE5-FF2D-BC53-DF14-8D48B0A3EBFD}"/>
            </a:ext>
          </a:extLst>
        </xdr:cNvPr>
        <xdr:cNvPicPr>
          <a:picLocks noChangeAspect="1"/>
        </xdr:cNvPicPr>
      </xdr:nvPicPr>
      <xdr:blipFill>
        <a:blip xmlns:r="http://schemas.openxmlformats.org/officeDocument/2006/relationships" r:embed="rId12"/>
        <a:stretch>
          <a:fillRect/>
        </a:stretch>
      </xdr:blipFill>
      <xdr:spPr>
        <a:xfrm>
          <a:off x="2458440" y="23815413"/>
          <a:ext cx="2603500" cy="444500"/>
        </a:xfrm>
        <a:prstGeom prst="rect">
          <a:avLst/>
        </a:prstGeom>
      </xdr:spPr>
    </xdr:pic>
    <xdr:clientData/>
  </xdr:twoCellAnchor>
  <xdr:twoCellAnchor editAs="oneCell">
    <xdr:from>
      <xdr:col>3</xdr:col>
      <xdr:colOff>116513</xdr:colOff>
      <xdr:row>119</xdr:row>
      <xdr:rowOff>34954</xdr:rowOff>
    </xdr:from>
    <xdr:to>
      <xdr:col>4</xdr:col>
      <xdr:colOff>864065</xdr:colOff>
      <xdr:row>121</xdr:row>
      <xdr:rowOff>134107</xdr:rowOff>
    </xdr:to>
    <xdr:pic>
      <xdr:nvPicPr>
        <xdr:cNvPr id="26" name="Picture 25">
          <a:extLst>
            <a:ext uri="{FF2B5EF4-FFF2-40B4-BE49-F238E27FC236}">
              <a16:creationId xmlns:a16="http://schemas.microsoft.com/office/drawing/2014/main" id="{3F00B86C-2596-7C75-B136-D258454BB5FA}"/>
            </a:ext>
          </a:extLst>
        </xdr:cNvPr>
        <xdr:cNvPicPr>
          <a:picLocks noChangeAspect="1"/>
        </xdr:cNvPicPr>
      </xdr:nvPicPr>
      <xdr:blipFill>
        <a:blip xmlns:r="http://schemas.openxmlformats.org/officeDocument/2006/relationships" r:embed="rId13"/>
        <a:stretch>
          <a:fillRect/>
        </a:stretch>
      </xdr:blipFill>
      <xdr:spPr>
        <a:xfrm>
          <a:off x="3903210" y="24724220"/>
          <a:ext cx="1574800" cy="495300"/>
        </a:xfrm>
        <a:prstGeom prst="rect">
          <a:avLst/>
        </a:prstGeom>
      </xdr:spPr>
    </xdr:pic>
    <xdr:clientData/>
  </xdr:twoCellAnchor>
  <xdr:twoCellAnchor editAs="oneCell">
    <xdr:from>
      <xdr:col>2</xdr:col>
      <xdr:colOff>512661</xdr:colOff>
      <xdr:row>122</xdr:row>
      <xdr:rowOff>128166</xdr:rowOff>
    </xdr:from>
    <xdr:to>
      <xdr:col>10</xdr:col>
      <xdr:colOff>769923</xdr:colOff>
      <xdr:row>127</xdr:row>
      <xdr:rowOff>22462</xdr:rowOff>
    </xdr:to>
    <xdr:pic>
      <xdr:nvPicPr>
        <xdr:cNvPr id="27" name="Picture 26">
          <a:extLst>
            <a:ext uri="{FF2B5EF4-FFF2-40B4-BE49-F238E27FC236}">
              <a16:creationId xmlns:a16="http://schemas.microsoft.com/office/drawing/2014/main" id="{A1EBAFF8-AB35-3176-0BBA-4EB67E72351D}"/>
            </a:ext>
          </a:extLst>
        </xdr:cNvPr>
        <xdr:cNvPicPr>
          <a:picLocks noChangeAspect="1"/>
        </xdr:cNvPicPr>
      </xdr:nvPicPr>
      <xdr:blipFill>
        <a:blip xmlns:r="http://schemas.openxmlformats.org/officeDocument/2006/relationships" r:embed="rId14"/>
        <a:stretch>
          <a:fillRect/>
        </a:stretch>
      </xdr:blipFill>
      <xdr:spPr>
        <a:xfrm>
          <a:off x="2807982" y="25411652"/>
          <a:ext cx="7772400" cy="884663"/>
        </a:xfrm>
        <a:prstGeom prst="rect">
          <a:avLst/>
        </a:prstGeom>
      </xdr:spPr>
    </xdr:pic>
    <xdr:clientData/>
  </xdr:twoCellAnchor>
  <xdr:twoCellAnchor editAs="oneCell">
    <xdr:from>
      <xdr:col>4</xdr:col>
      <xdr:colOff>0</xdr:colOff>
      <xdr:row>130</xdr:row>
      <xdr:rowOff>0</xdr:rowOff>
    </xdr:from>
    <xdr:to>
      <xdr:col>7</xdr:col>
      <xdr:colOff>186422</xdr:colOff>
      <xdr:row>133</xdr:row>
      <xdr:rowOff>153679</xdr:rowOff>
    </xdr:to>
    <xdr:pic>
      <xdr:nvPicPr>
        <xdr:cNvPr id="28" name="Picture 27">
          <a:extLst>
            <a:ext uri="{FF2B5EF4-FFF2-40B4-BE49-F238E27FC236}">
              <a16:creationId xmlns:a16="http://schemas.microsoft.com/office/drawing/2014/main" id="{B0AF7D0F-481F-58ED-2A43-882CC4C9EB9A}"/>
            </a:ext>
          </a:extLst>
        </xdr:cNvPr>
        <xdr:cNvPicPr>
          <a:picLocks noChangeAspect="1"/>
        </xdr:cNvPicPr>
      </xdr:nvPicPr>
      <xdr:blipFill>
        <a:blip xmlns:r="http://schemas.openxmlformats.org/officeDocument/2006/relationships" r:embed="rId15"/>
        <a:stretch>
          <a:fillRect/>
        </a:stretch>
      </xdr:blipFill>
      <xdr:spPr>
        <a:xfrm>
          <a:off x="4613945" y="26868073"/>
          <a:ext cx="2901193" cy="747900"/>
        </a:xfrm>
        <a:prstGeom prst="rect">
          <a:avLst/>
        </a:prstGeom>
      </xdr:spPr>
    </xdr:pic>
    <xdr:clientData/>
  </xdr:twoCellAnchor>
  <xdr:twoCellAnchor editAs="oneCell">
    <xdr:from>
      <xdr:col>1</xdr:col>
      <xdr:colOff>151468</xdr:colOff>
      <xdr:row>142</xdr:row>
      <xdr:rowOff>23303</xdr:rowOff>
    </xdr:from>
    <xdr:to>
      <xdr:col>3</xdr:col>
      <xdr:colOff>671819</xdr:colOff>
      <xdr:row>147</xdr:row>
      <xdr:rowOff>188636</xdr:rowOff>
    </xdr:to>
    <xdr:pic>
      <xdr:nvPicPr>
        <xdr:cNvPr id="29" name="Picture 28">
          <a:extLst>
            <a:ext uri="{FF2B5EF4-FFF2-40B4-BE49-F238E27FC236}">
              <a16:creationId xmlns:a16="http://schemas.microsoft.com/office/drawing/2014/main" id="{23E6C2CF-AB07-2878-FAB2-EF08B0A386BB}"/>
            </a:ext>
          </a:extLst>
        </xdr:cNvPr>
        <xdr:cNvPicPr>
          <a:picLocks noChangeAspect="1"/>
        </xdr:cNvPicPr>
      </xdr:nvPicPr>
      <xdr:blipFill>
        <a:blip xmlns:r="http://schemas.openxmlformats.org/officeDocument/2006/relationships" r:embed="rId16"/>
        <a:stretch>
          <a:fillRect/>
        </a:stretch>
      </xdr:blipFill>
      <xdr:spPr>
        <a:xfrm>
          <a:off x="978716" y="28324496"/>
          <a:ext cx="3479800" cy="1155700"/>
        </a:xfrm>
        <a:prstGeom prst="rect">
          <a:avLst/>
        </a:prstGeom>
      </xdr:spPr>
    </xdr:pic>
    <xdr:clientData/>
  </xdr:twoCellAnchor>
  <xdr:twoCellAnchor editAs="oneCell">
    <xdr:from>
      <xdr:col>4</xdr:col>
      <xdr:colOff>34954</xdr:colOff>
      <xdr:row>145</xdr:row>
      <xdr:rowOff>11651</xdr:rowOff>
    </xdr:from>
    <xdr:to>
      <xdr:col>9</xdr:col>
      <xdr:colOff>237688</xdr:colOff>
      <xdr:row>150</xdr:row>
      <xdr:rowOff>176984</xdr:rowOff>
    </xdr:to>
    <xdr:pic>
      <xdr:nvPicPr>
        <xdr:cNvPr id="30" name="Picture 29">
          <a:extLst>
            <a:ext uri="{FF2B5EF4-FFF2-40B4-BE49-F238E27FC236}">
              <a16:creationId xmlns:a16="http://schemas.microsoft.com/office/drawing/2014/main" id="{B3C3B178-21D4-35BD-9F69-71CA34037C84}"/>
            </a:ext>
          </a:extLst>
        </xdr:cNvPr>
        <xdr:cNvPicPr>
          <a:picLocks noChangeAspect="1"/>
        </xdr:cNvPicPr>
      </xdr:nvPicPr>
      <xdr:blipFill>
        <a:blip xmlns:r="http://schemas.openxmlformats.org/officeDocument/2006/relationships" r:embed="rId17"/>
        <a:stretch>
          <a:fillRect/>
        </a:stretch>
      </xdr:blipFill>
      <xdr:spPr>
        <a:xfrm>
          <a:off x="4648899" y="28907064"/>
          <a:ext cx="4572000" cy="1155700"/>
        </a:xfrm>
        <a:prstGeom prst="rect">
          <a:avLst/>
        </a:prstGeom>
      </xdr:spPr>
    </xdr:pic>
    <xdr:clientData/>
  </xdr:twoCellAnchor>
  <xdr:twoCellAnchor editAs="oneCell">
    <xdr:from>
      <xdr:col>5</xdr:col>
      <xdr:colOff>527665</xdr:colOff>
      <xdr:row>145</xdr:row>
      <xdr:rowOff>97907</xdr:rowOff>
    </xdr:from>
    <xdr:to>
      <xdr:col>8</xdr:col>
      <xdr:colOff>144197</xdr:colOff>
      <xdr:row>153</xdr:row>
      <xdr:rowOff>64560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33" name="Ink 32">
              <a:extLst>
                <a:ext uri="{FF2B5EF4-FFF2-40B4-BE49-F238E27FC236}">
                  <a16:creationId xmlns:a16="http://schemas.microsoft.com/office/drawing/2014/main" id="{687F8A99-9B8C-1E5C-6790-233AD16B0B51}"/>
                </a:ext>
              </a:extLst>
            </xdr14:cNvPr>
            <xdr14:cNvContentPartPr/>
          </xdr14:nvContentPartPr>
          <xdr14:nvPr macro=""/>
          <xdr14:xfrm>
            <a:off x="6155280" y="28993320"/>
            <a:ext cx="2144880" cy="1551240"/>
          </xdr14:xfrm>
        </xdr:contentPart>
      </mc:Choice>
      <mc:Fallback xmlns="">
        <xdr:pic>
          <xdr:nvPicPr>
            <xdr:cNvPr id="33" name="Ink 32">
              <a:extLst>
                <a:ext uri="{FF2B5EF4-FFF2-40B4-BE49-F238E27FC236}">
                  <a16:creationId xmlns:a16="http://schemas.microsoft.com/office/drawing/2014/main" id="{687F8A99-9B8C-1E5C-6790-233AD16B0B51}"/>
                </a:ext>
              </a:extLst>
            </xdr:cNvPr>
            <xdr:cNvPicPr/>
          </xdr:nvPicPr>
          <xdr:blipFill>
            <a:blip xmlns:r="http://schemas.openxmlformats.org/officeDocument/2006/relationships" r:embed="rId19"/>
            <a:stretch>
              <a:fillRect/>
            </a:stretch>
          </xdr:blipFill>
          <xdr:spPr>
            <a:xfrm>
              <a:off x="6150960" y="28988999"/>
              <a:ext cx="2153520" cy="1559882"/>
            </a:xfrm>
            <a:prstGeom prst="rect">
              <a:avLst/>
            </a:prstGeom>
          </xdr:spPr>
        </xdr:pic>
      </mc:Fallback>
    </mc:AlternateContent>
    <xdr:clientData/>
  </xdr:twoCellAnchor>
  <xdr:twoCellAnchor editAs="oneCell">
    <xdr:from>
      <xdr:col>7</xdr:col>
      <xdr:colOff>112484</xdr:colOff>
      <xdr:row>143</xdr:row>
      <xdr:rowOff>3014</xdr:rowOff>
    </xdr:from>
    <xdr:to>
      <xdr:col>8</xdr:col>
      <xdr:colOff>415277</xdr:colOff>
      <xdr:row>145</xdr:row>
      <xdr:rowOff>110867</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34" name="Ink 33">
              <a:extLst>
                <a:ext uri="{FF2B5EF4-FFF2-40B4-BE49-F238E27FC236}">
                  <a16:creationId xmlns:a16="http://schemas.microsoft.com/office/drawing/2014/main" id="{B4FD6ED9-1155-21EC-9D0B-90F040CFA649}"/>
                </a:ext>
              </a:extLst>
            </xdr14:cNvPr>
            <xdr14:cNvContentPartPr/>
          </xdr14:nvContentPartPr>
          <xdr14:nvPr macro=""/>
          <xdr14:xfrm>
            <a:off x="7441200" y="28502280"/>
            <a:ext cx="1130040" cy="504000"/>
          </xdr14:xfrm>
        </xdr:contentPart>
      </mc:Choice>
      <mc:Fallback xmlns="">
        <xdr:pic>
          <xdr:nvPicPr>
            <xdr:cNvPr id="34" name="Ink 33">
              <a:extLst>
                <a:ext uri="{FF2B5EF4-FFF2-40B4-BE49-F238E27FC236}">
                  <a16:creationId xmlns:a16="http://schemas.microsoft.com/office/drawing/2014/main" id="{B4FD6ED9-1155-21EC-9D0B-90F040CFA649}"/>
                </a:ext>
              </a:extLst>
            </xdr:cNvPr>
            <xdr:cNvPicPr/>
          </xdr:nvPicPr>
          <xdr:blipFill>
            <a:blip xmlns:r="http://schemas.openxmlformats.org/officeDocument/2006/relationships" r:embed="rId21"/>
            <a:stretch>
              <a:fillRect/>
            </a:stretch>
          </xdr:blipFill>
          <xdr:spPr>
            <a:xfrm>
              <a:off x="7436880" y="28497960"/>
              <a:ext cx="1138680" cy="512640"/>
            </a:xfrm>
            <a:prstGeom prst="rect">
              <a:avLst/>
            </a:prstGeom>
          </xdr:spPr>
        </xdr:pic>
      </mc:Fallback>
    </mc:AlternateContent>
    <xdr:clientData/>
  </xdr:twoCellAnchor>
  <xdr:twoCellAnchor editAs="oneCell">
    <xdr:from>
      <xdr:col>1</xdr:col>
      <xdr:colOff>81559</xdr:colOff>
      <xdr:row>156</xdr:row>
      <xdr:rowOff>93212</xdr:rowOff>
    </xdr:from>
    <xdr:to>
      <xdr:col>5</xdr:col>
      <xdr:colOff>640592</xdr:colOff>
      <xdr:row>161</xdr:row>
      <xdr:rowOff>68045</xdr:rowOff>
    </xdr:to>
    <xdr:pic>
      <xdr:nvPicPr>
        <xdr:cNvPr id="35" name="Picture 34">
          <a:extLst>
            <a:ext uri="{FF2B5EF4-FFF2-40B4-BE49-F238E27FC236}">
              <a16:creationId xmlns:a16="http://schemas.microsoft.com/office/drawing/2014/main" id="{F7A35A77-D2AA-5AAE-D2A8-354E6D35CBA5}"/>
            </a:ext>
          </a:extLst>
        </xdr:cNvPr>
        <xdr:cNvPicPr>
          <a:picLocks noChangeAspect="1"/>
        </xdr:cNvPicPr>
      </xdr:nvPicPr>
      <xdr:blipFill>
        <a:blip xmlns:r="http://schemas.openxmlformats.org/officeDocument/2006/relationships" r:embed="rId22"/>
        <a:stretch>
          <a:fillRect/>
        </a:stretch>
      </xdr:blipFill>
      <xdr:spPr>
        <a:xfrm>
          <a:off x="908807" y="31167432"/>
          <a:ext cx="5359400" cy="965200"/>
        </a:xfrm>
        <a:prstGeom prst="rect">
          <a:avLst/>
        </a:prstGeom>
      </xdr:spPr>
    </xdr:pic>
    <xdr:clientData/>
  </xdr:twoCellAnchor>
  <xdr:twoCellAnchor editAs="oneCell">
    <xdr:from>
      <xdr:col>1</xdr:col>
      <xdr:colOff>81560</xdr:colOff>
      <xdr:row>184</xdr:row>
      <xdr:rowOff>116514</xdr:rowOff>
    </xdr:from>
    <xdr:to>
      <xdr:col>5</xdr:col>
      <xdr:colOff>794689</xdr:colOff>
      <xdr:row>197</xdr:row>
      <xdr:rowOff>46605</xdr:rowOff>
    </xdr:to>
    <xdr:pic>
      <xdr:nvPicPr>
        <xdr:cNvPr id="36" name="Picture 35">
          <a:extLst>
            <a:ext uri="{FF2B5EF4-FFF2-40B4-BE49-F238E27FC236}">
              <a16:creationId xmlns:a16="http://schemas.microsoft.com/office/drawing/2014/main" id="{5CD88202-626E-FDD0-9ECD-00B272DCCEC0}"/>
            </a:ext>
          </a:extLst>
        </xdr:cNvPr>
        <xdr:cNvPicPr>
          <a:picLocks noChangeAspect="1"/>
        </xdr:cNvPicPr>
      </xdr:nvPicPr>
      <xdr:blipFill>
        <a:blip xmlns:r="http://schemas.openxmlformats.org/officeDocument/2006/relationships" r:embed="rId23"/>
        <a:stretch>
          <a:fillRect/>
        </a:stretch>
      </xdr:blipFill>
      <xdr:spPr>
        <a:xfrm>
          <a:off x="908808" y="36736789"/>
          <a:ext cx="5513496" cy="2505045"/>
        </a:xfrm>
        <a:prstGeom prst="rect">
          <a:avLst/>
        </a:prstGeom>
      </xdr:spPr>
    </xdr:pic>
    <xdr:clientData/>
  </xdr:twoCellAnchor>
  <xdr:twoCellAnchor editAs="oneCell">
    <xdr:from>
      <xdr:col>6</xdr:col>
      <xdr:colOff>9137</xdr:colOff>
      <xdr:row>186</xdr:row>
      <xdr:rowOff>0</xdr:rowOff>
    </xdr:from>
    <xdr:to>
      <xdr:col>9</xdr:col>
      <xdr:colOff>308694</xdr:colOff>
      <xdr:row>188</xdr:row>
      <xdr:rowOff>149953</xdr:rowOff>
    </xdr:to>
    <xdr:pic>
      <xdr:nvPicPr>
        <xdr:cNvPr id="37" name="Picture 36">
          <a:extLst>
            <a:ext uri="{FF2B5EF4-FFF2-40B4-BE49-F238E27FC236}">
              <a16:creationId xmlns:a16="http://schemas.microsoft.com/office/drawing/2014/main" id="{11C01E65-ED88-B28D-5E68-51FE7465588C}"/>
            </a:ext>
          </a:extLst>
        </xdr:cNvPr>
        <xdr:cNvPicPr>
          <a:picLocks noChangeAspect="1"/>
        </xdr:cNvPicPr>
      </xdr:nvPicPr>
      <xdr:blipFill>
        <a:blip xmlns:r="http://schemas.openxmlformats.org/officeDocument/2006/relationships" r:embed="rId24"/>
        <a:stretch>
          <a:fillRect/>
        </a:stretch>
      </xdr:blipFill>
      <xdr:spPr>
        <a:xfrm>
          <a:off x="6505324" y="37551799"/>
          <a:ext cx="2766464" cy="551967"/>
        </a:xfrm>
        <a:prstGeom prst="rect">
          <a:avLst/>
        </a:prstGeom>
      </xdr:spPr>
    </xdr:pic>
    <xdr:clientData/>
  </xdr:twoCellAnchor>
  <xdr:twoCellAnchor editAs="oneCell">
    <xdr:from>
      <xdr:col>9</xdr:col>
      <xdr:colOff>734036</xdr:colOff>
      <xdr:row>185</xdr:row>
      <xdr:rowOff>163120</xdr:rowOff>
    </xdr:from>
    <xdr:to>
      <xdr:col>12</xdr:col>
      <xdr:colOff>531243</xdr:colOff>
      <xdr:row>188</xdr:row>
      <xdr:rowOff>186422</xdr:rowOff>
    </xdr:to>
    <xdr:pic>
      <xdr:nvPicPr>
        <xdr:cNvPr id="38" name="Picture 37">
          <a:extLst>
            <a:ext uri="{FF2B5EF4-FFF2-40B4-BE49-F238E27FC236}">
              <a16:creationId xmlns:a16="http://schemas.microsoft.com/office/drawing/2014/main" id="{0B20C572-E93E-B724-C3DD-DC5AA0664943}"/>
            </a:ext>
          </a:extLst>
        </xdr:cNvPr>
        <xdr:cNvPicPr>
          <a:picLocks noChangeAspect="1"/>
        </xdr:cNvPicPr>
      </xdr:nvPicPr>
      <xdr:blipFill>
        <a:blip xmlns:r="http://schemas.openxmlformats.org/officeDocument/2006/relationships" r:embed="rId25"/>
        <a:stretch>
          <a:fillRect/>
        </a:stretch>
      </xdr:blipFill>
      <xdr:spPr>
        <a:xfrm>
          <a:off x="9717247" y="36981469"/>
          <a:ext cx="2278950" cy="617522"/>
        </a:xfrm>
        <a:prstGeom prst="rect">
          <a:avLst/>
        </a:prstGeom>
      </xdr:spPr>
    </xdr:pic>
    <xdr:clientData/>
  </xdr:twoCellAnchor>
  <xdr:twoCellAnchor editAs="oneCell">
    <xdr:from>
      <xdr:col>5</xdr:col>
      <xdr:colOff>850550</xdr:colOff>
      <xdr:row>193</xdr:row>
      <xdr:rowOff>81559</xdr:rowOff>
    </xdr:from>
    <xdr:to>
      <xdr:col>10</xdr:col>
      <xdr:colOff>46605</xdr:colOff>
      <xdr:row>198</xdr:row>
      <xdr:rowOff>42084</xdr:rowOff>
    </xdr:to>
    <xdr:pic>
      <xdr:nvPicPr>
        <xdr:cNvPr id="39" name="Picture 38">
          <a:extLst>
            <a:ext uri="{FF2B5EF4-FFF2-40B4-BE49-F238E27FC236}">
              <a16:creationId xmlns:a16="http://schemas.microsoft.com/office/drawing/2014/main" id="{8524AEA3-D4D2-3021-4487-A3A981630CF0}"/>
            </a:ext>
          </a:extLst>
        </xdr:cNvPr>
        <xdr:cNvPicPr>
          <a:picLocks noChangeAspect="1"/>
        </xdr:cNvPicPr>
      </xdr:nvPicPr>
      <xdr:blipFill>
        <a:blip xmlns:r="http://schemas.openxmlformats.org/officeDocument/2006/relationships" r:embed="rId26"/>
        <a:stretch>
          <a:fillRect/>
        </a:stretch>
      </xdr:blipFill>
      <xdr:spPr>
        <a:xfrm>
          <a:off x="6478165" y="38484495"/>
          <a:ext cx="3378899" cy="950892"/>
        </a:xfrm>
        <a:prstGeom prst="rect">
          <a:avLst/>
        </a:prstGeom>
      </xdr:spPr>
    </xdr:pic>
    <xdr:clientData/>
  </xdr:twoCellAnchor>
  <xdr:twoCellAnchor editAs="oneCell">
    <xdr:from>
      <xdr:col>8</xdr:col>
      <xdr:colOff>209727</xdr:colOff>
      <xdr:row>220</xdr:row>
      <xdr:rowOff>0</xdr:rowOff>
    </xdr:from>
    <xdr:to>
      <xdr:col>12</xdr:col>
      <xdr:colOff>624304</xdr:colOff>
      <xdr:row>238</xdr:row>
      <xdr:rowOff>104861</xdr:rowOff>
    </xdr:to>
    <xdr:pic>
      <xdr:nvPicPr>
        <xdr:cNvPr id="40" name="Picture 39">
          <a:extLst>
            <a:ext uri="{FF2B5EF4-FFF2-40B4-BE49-F238E27FC236}">
              <a16:creationId xmlns:a16="http://schemas.microsoft.com/office/drawing/2014/main" id="{57C68C59-80CF-F8A8-B512-0AB631FD9E6D}"/>
            </a:ext>
          </a:extLst>
        </xdr:cNvPr>
        <xdr:cNvPicPr>
          <a:picLocks noChangeAspect="1"/>
        </xdr:cNvPicPr>
      </xdr:nvPicPr>
      <xdr:blipFill>
        <a:blip xmlns:r="http://schemas.openxmlformats.org/officeDocument/2006/relationships" r:embed="rId27"/>
        <a:stretch>
          <a:fillRect/>
        </a:stretch>
      </xdr:blipFill>
      <xdr:spPr>
        <a:xfrm>
          <a:off x="8365690" y="43750917"/>
          <a:ext cx="3723568" cy="36701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414248</xdr:colOff>
      <xdr:row>43</xdr:row>
      <xdr:rowOff>113471</xdr:rowOff>
    </xdr:to>
    <xdr:pic>
      <xdr:nvPicPr>
        <xdr:cNvPr id="2" name="Picture 1">
          <a:extLst>
            <a:ext uri="{FF2B5EF4-FFF2-40B4-BE49-F238E27FC236}">
              <a16:creationId xmlns:a16="http://schemas.microsoft.com/office/drawing/2014/main" id="{22781469-093F-4646-A8F2-D193B36362A0}"/>
            </a:ext>
          </a:extLst>
        </xdr:cNvPr>
        <xdr:cNvPicPr>
          <a:picLocks noChangeAspect="1"/>
        </xdr:cNvPicPr>
      </xdr:nvPicPr>
      <xdr:blipFill>
        <a:blip xmlns:r="http://schemas.openxmlformats.org/officeDocument/2006/relationships" r:embed="rId1"/>
        <a:stretch>
          <a:fillRect/>
        </a:stretch>
      </xdr:blipFill>
      <xdr:spPr>
        <a:xfrm>
          <a:off x="0" y="0"/>
          <a:ext cx="7827010" cy="883278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243663</xdr:colOff>
      <xdr:row>0</xdr:row>
      <xdr:rowOff>177209</xdr:rowOff>
    </xdr:from>
    <xdr:to>
      <xdr:col>9</xdr:col>
      <xdr:colOff>573272</xdr:colOff>
      <xdr:row>11</xdr:row>
      <xdr:rowOff>155252</xdr:rowOff>
    </xdr:to>
    <xdr:pic>
      <xdr:nvPicPr>
        <xdr:cNvPr id="8" name="Picture 7">
          <a:extLst>
            <a:ext uri="{FF2B5EF4-FFF2-40B4-BE49-F238E27FC236}">
              <a16:creationId xmlns:a16="http://schemas.microsoft.com/office/drawing/2014/main" id="{BE9E7A51-347C-708D-E93A-89EFC7A44072}"/>
            </a:ext>
          </a:extLst>
        </xdr:cNvPr>
        <xdr:cNvPicPr>
          <a:picLocks noChangeAspect="1"/>
        </xdr:cNvPicPr>
      </xdr:nvPicPr>
      <xdr:blipFill>
        <a:blip xmlns:r="http://schemas.openxmlformats.org/officeDocument/2006/relationships" r:embed="rId1"/>
        <a:stretch>
          <a:fillRect/>
        </a:stretch>
      </xdr:blipFill>
      <xdr:spPr>
        <a:xfrm>
          <a:off x="243663" y="177209"/>
          <a:ext cx="7772400" cy="2252229"/>
        </a:xfrm>
        <a:prstGeom prst="rect">
          <a:avLst/>
        </a:prstGeom>
      </xdr:spPr>
    </xdr:pic>
    <xdr:clientData/>
  </xdr:twoCellAnchor>
  <xdr:twoCellAnchor editAs="oneCell">
    <xdr:from>
      <xdr:col>0</xdr:col>
      <xdr:colOff>0</xdr:colOff>
      <xdr:row>19</xdr:row>
      <xdr:rowOff>36919</xdr:rowOff>
    </xdr:from>
    <xdr:to>
      <xdr:col>9</xdr:col>
      <xdr:colOff>329609</xdr:colOff>
      <xdr:row>27</xdr:row>
      <xdr:rowOff>47653</xdr:rowOff>
    </xdr:to>
    <xdr:pic>
      <xdr:nvPicPr>
        <xdr:cNvPr id="9" name="Picture 8">
          <a:extLst>
            <a:ext uri="{FF2B5EF4-FFF2-40B4-BE49-F238E27FC236}">
              <a16:creationId xmlns:a16="http://schemas.microsoft.com/office/drawing/2014/main" id="{DF4E98E6-875C-9454-47E7-BEF5FD14E26F}"/>
            </a:ext>
          </a:extLst>
        </xdr:cNvPr>
        <xdr:cNvPicPr>
          <a:picLocks noChangeAspect="1"/>
        </xdr:cNvPicPr>
      </xdr:nvPicPr>
      <xdr:blipFill>
        <a:blip xmlns:r="http://schemas.openxmlformats.org/officeDocument/2006/relationships" r:embed="rId2"/>
        <a:stretch>
          <a:fillRect/>
        </a:stretch>
      </xdr:blipFill>
      <xdr:spPr>
        <a:xfrm>
          <a:off x="0" y="3965059"/>
          <a:ext cx="7772400" cy="1672625"/>
        </a:xfrm>
        <a:prstGeom prst="rect">
          <a:avLst/>
        </a:prstGeom>
      </xdr:spPr>
    </xdr:pic>
    <xdr:clientData/>
  </xdr:twoCellAnchor>
  <xdr:twoCellAnchor editAs="oneCell">
    <xdr:from>
      <xdr:col>0</xdr:col>
      <xdr:colOff>0</xdr:colOff>
      <xdr:row>33</xdr:row>
      <xdr:rowOff>0</xdr:rowOff>
    </xdr:from>
    <xdr:to>
      <xdr:col>9</xdr:col>
      <xdr:colOff>329609</xdr:colOff>
      <xdr:row>61</xdr:row>
      <xdr:rowOff>120084</xdr:rowOff>
    </xdr:to>
    <xdr:pic>
      <xdr:nvPicPr>
        <xdr:cNvPr id="10" name="Picture 9">
          <a:extLst>
            <a:ext uri="{FF2B5EF4-FFF2-40B4-BE49-F238E27FC236}">
              <a16:creationId xmlns:a16="http://schemas.microsoft.com/office/drawing/2014/main" id="{F854B25D-03DC-0C37-C96D-63ED484A496E}"/>
            </a:ext>
          </a:extLst>
        </xdr:cNvPr>
        <xdr:cNvPicPr>
          <a:picLocks noChangeAspect="1"/>
        </xdr:cNvPicPr>
      </xdr:nvPicPr>
      <xdr:blipFill>
        <a:blip xmlns:r="http://schemas.openxmlformats.org/officeDocument/2006/relationships" r:embed="rId3"/>
        <a:stretch>
          <a:fillRect/>
        </a:stretch>
      </xdr:blipFill>
      <xdr:spPr>
        <a:xfrm>
          <a:off x="0" y="6822558"/>
          <a:ext cx="7772400" cy="590892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1314450</xdr:colOff>
      <xdr:row>9</xdr:row>
      <xdr:rowOff>9525</xdr:rowOff>
    </xdr:from>
    <xdr:to>
      <xdr:col>4</xdr:col>
      <xdr:colOff>333375</xdr:colOff>
      <xdr:row>10</xdr:row>
      <xdr:rowOff>47625</xdr:rowOff>
    </xdr:to>
    <xdr:cxnSp macro="">
      <xdr:nvCxnSpPr>
        <xdr:cNvPr id="2" name="Conector recto de flecha 2">
          <a:extLst>
            <a:ext uri="{FF2B5EF4-FFF2-40B4-BE49-F238E27FC236}">
              <a16:creationId xmlns:a16="http://schemas.microsoft.com/office/drawing/2014/main" id="{685356DD-6A59-CF4E-AD88-F8941619B7AC}"/>
            </a:ext>
          </a:extLst>
        </xdr:cNvPr>
        <xdr:cNvCxnSpPr/>
      </xdr:nvCxnSpPr>
      <xdr:spPr>
        <a:xfrm>
          <a:off x="4552950" y="18129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733426</xdr:colOff>
      <xdr:row>9</xdr:row>
      <xdr:rowOff>0</xdr:rowOff>
    </xdr:from>
    <xdr:to>
      <xdr:col>3</xdr:col>
      <xdr:colOff>1295400</xdr:colOff>
      <xdr:row>10</xdr:row>
      <xdr:rowOff>66675</xdr:rowOff>
    </xdr:to>
    <xdr:cxnSp macro="">
      <xdr:nvCxnSpPr>
        <xdr:cNvPr id="3" name="Conector recto de flecha 3">
          <a:extLst>
            <a:ext uri="{FF2B5EF4-FFF2-40B4-BE49-F238E27FC236}">
              <a16:creationId xmlns:a16="http://schemas.microsoft.com/office/drawing/2014/main" id="{0E096F51-0908-D94B-816F-A9C011B89945}"/>
            </a:ext>
          </a:extLst>
        </xdr:cNvPr>
        <xdr:cNvCxnSpPr/>
      </xdr:nvCxnSpPr>
      <xdr:spPr>
        <a:xfrm flipH="1">
          <a:off x="3971926" y="1803400"/>
          <a:ext cx="561974" cy="2698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9</xdr:row>
      <xdr:rowOff>38100</xdr:rowOff>
    </xdr:from>
    <xdr:to>
      <xdr:col>5</xdr:col>
      <xdr:colOff>704850</xdr:colOff>
      <xdr:row>10</xdr:row>
      <xdr:rowOff>142875</xdr:rowOff>
    </xdr:to>
    <xdr:cxnSp macro="">
      <xdr:nvCxnSpPr>
        <xdr:cNvPr id="4" name="Conector recto de flecha 6">
          <a:extLst>
            <a:ext uri="{FF2B5EF4-FFF2-40B4-BE49-F238E27FC236}">
              <a16:creationId xmlns:a16="http://schemas.microsoft.com/office/drawing/2014/main" id="{35FED093-7071-6B4E-B629-64F49EEC9AAD}"/>
            </a:ext>
          </a:extLst>
        </xdr:cNvPr>
        <xdr:cNvCxnSpPr/>
      </xdr:nvCxnSpPr>
      <xdr:spPr>
        <a:xfrm>
          <a:off x="6664326" y="18415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847725</xdr:colOff>
      <xdr:row>15</xdr:row>
      <xdr:rowOff>123825</xdr:rowOff>
    </xdr:from>
    <xdr:to>
      <xdr:col>3</xdr:col>
      <xdr:colOff>523875</xdr:colOff>
      <xdr:row>18</xdr:row>
      <xdr:rowOff>75160</xdr:rowOff>
    </xdr:to>
    <mc:AlternateContent xmlns:mc="http://schemas.openxmlformats.org/markup-compatibility/2006" xmlns:a14="http://schemas.microsoft.com/office/drawing/2010/main">
      <mc:Choice Requires="a14">
        <xdr:sp macro="" textlink="">
          <xdr:nvSpPr>
            <xdr:cNvPr id="5" name="CuadroTexto 5">
              <a:extLst>
                <a:ext uri="{FF2B5EF4-FFF2-40B4-BE49-F238E27FC236}">
                  <a16:creationId xmlns:a16="http://schemas.microsoft.com/office/drawing/2014/main" id="{791B67E4-F31C-8B4D-B6EE-0C590707839E}"/>
                </a:ext>
              </a:extLst>
            </xdr:cNvPr>
            <xdr:cNvSpPr txBox="1"/>
          </xdr:nvSpPr>
          <xdr:spPr>
            <a:xfrm>
              <a:off x="1724025" y="3324225"/>
              <a:ext cx="2038350"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400" b="0" i="1">
                        <a:latin typeface="Cambria Math" panose="02040503050406030204" pitchFamily="18" charset="0"/>
                      </a:rPr>
                      <m:t>𝐸</m:t>
                    </m:r>
                    <m:d>
                      <m:dPr>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e>
                    </m:d>
                    <m:r>
                      <a:rPr lang="es-AR" sz="1400" b="0" i="1">
                        <a:latin typeface="Cambria Math" panose="02040503050406030204" pitchFamily="18" charset="0"/>
                      </a:rPr>
                      <m:t>=</m:t>
                    </m:r>
                    <m:nary>
                      <m:naryPr>
                        <m:chr m:val="∑"/>
                        <m:supHide m:val="on"/>
                        <m:ctrlPr>
                          <a:rPr lang="es-AR" sz="1400" b="0" i="1">
                            <a:latin typeface="Cambria Math" panose="02040503050406030204" pitchFamily="18" charset="0"/>
                          </a:rPr>
                        </m:ctrlPr>
                      </m:naryPr>
                      <m:sub>
                        <m:r>
                          <m:rPr>
                            <m:brk m:alnAt="7"/>
                          </m:rPr>
                          <a:rPr lang="es-AR" sz="1400" b="0" i="1">
                            <a:latin typeface="Cambria Math" panose="02040503050406030204" pitchFamily="18" charset="0"/>
                          </a:rPr>
                          <m:t>𝑠</m:t>
                        </m:r>
                      </m:sub>
                      <m:sup/>
                      <m:e>
                        <m:func>
                          <m:funcPr>
                            <m:ctrlPr>
                              <a:rPr lang="es-AR" sz="1400" b="0" i="1">
                                <a:latin typeface="Cambria Math" panose="02040503050406030204" pitchFamily="18" charset="0"/>
                              </a:rPr>
                            </m:ctrlPr>
                          </m:funcPr>
                          <m:fName>
                            <m:r>
                              <m:rPr>
                                <m:sty m:val="p"/>
                              </m:rPr>
                              <a:rPr lang="es-AR" sz="1400" b="0" i="0">
                                <a:latin typeface="Cambria Math" panose="02040503050406030204" pitchFamily="18" charset="0"/>
                              </a:rPr>
                              <m:t>Pr</m:t>
                            </m:r>
                          </m:fName>
                          <m:e>
                            <m:d>
                              <m:dPr>
                                <m:ctrlPr>
                                  <a:rPr lang="es-AR" sz="1400" b="0" i="1">
                                    <a:latin typeface="Cambria Math" panose="02040503050406030204" pitchFamily="18" charset="0"/>
                                  </a:rPr>
                                </m:ctrlPr>
                              </m:dPr>
                              <m:e>
                                <m:r>
                                  <a:rPr lang="es-AR" sz="1400" b="0" i="1">
                                    <a:latin typeface="Cambria Math" panose="02040503050406030204" pitchFamily="18" charset="0"/>
                                  </a:rPr>
                                  <m:t>𝑠</m:t>
                                </m:r>
                              </m:e>
                            </m:d>
                          </m:e>
                        </m:func>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 (</m:t>
                        </m:r>
                        <m:r>
                          <a:rPr lang="es-AR" sz="1400" b="0" i="1">
                            <a:latin typeface="Cambria Math" panose="02040503050406030204" pitchFamily="18" charset="0"/>
                          </a:rPr>
                          <m:t>𝑠</m:t>
                        </m:r>
                        <m:r>
                          <a:rPr lang="es-AR" sz="1400" b="0" i="1">
                            <a:latin typeface="Cambria Math" panose="02040503050406030204" pitchFamily="18" charset="0"/>
                          </a:rPr>
                          <m:t>)</m:t>
                        </m:r>
                      </m:e>
                    </m:nary>
                  </m:oMath>
                </m:oMathPara>
              </a14:m>
              <a:endParaRPr lang="es-AR" sz="1400"/>
            </a:p>
          </xdr:txBody>
        </xdr:sp>
      </mc:Choice>
      <mc:Fallback xmlns="">
        <xdr:sp macro="" textlink="">
          <xdr:nvSpPr>
            <xdr:cNvPr id="5" name="CuadroTexto 5">
              <a:extLst>
                <a:ext uri="{FF2B5EF4-FFF2-40B4-BE49-F238E27FC236}">
                  <a16:creationId xmlns:a16="http://schemas.microsoft.com/office/drawing/2014/main" id="{791B67E4-F31C-8B4D-B6EE-0C590707839E}"/>
                </a:ext>
              </a:extLst>
            </xdr:cNvPr>
            <xdr:cNvSpPr txBox="1"/>
          </xdr:nvSpPr>
          <xdr:spPr>
            <a:xfrm>
              <a:off x="1724025" y="3324225"/>
              <a:ext cx="2038350"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b="0" i="0">
                  <a:latin typeface="Cambria Math" panose="02040503050406030204" pitchFamily="18" charset="0"/>
                </a:rPr>
                <a:t>𝐸(𝑟_𝑖 )=∑_𝑠▒〖Pr⁡(𝑠) 𝑟_𝑖  (𝑠)〗</a:t>
              </a:r>
              <a:endParaRPr lang="es-AR" sz="1400"/>
            </a:p>
          </xdr:txBody>
        </xdr:sp>
      </mc:Fallback>
    </mc:AlternateContent>
    <xdr:clientData/>
  </xdr:twoCellAnchor>
  <xdr:twoCellAnchor>
    <xdr:from>
      <xdr:col>2</xdr:col>
      <xdr:colOff>85724</xdr:colOff>
      <xdr:row>29</xdr:row>
      <xdr:rowOff>180975</xdr:rowOff>
    </xdr:from>
    <xdr:to>
      <xdr:col>8</xdr:col>
      <xdr:colOff>323850</xdr:colOff>
      <xdr:row>30</xdr:row>
      <xdr:rowOff>184759</xdr:rowOff>
    </xdr:to>
    <mc:AlternateContent xmlns:mc="http://schemas.openxmlformats.org/markup-compatibility/2006" xmlns:a14="http://schemas.microsoft.com/office/drawing/2010/main">
      <mc:Choice Requires="a14">
        <xdr:sp macro="" textlink="">
          <xdr:nvSpPr>
            <xdr:cNvPr id="6" name="CuadroTexto 5">
              <a:extLst>
                <a:ext uri="{FF2B5EF4-FFF2-40B4-BE49-F238E27FC236}">
                  <a16:creationId xmlns:a16="http://schemas.microsoft.com/office/drawing/2014/main" id="{6A8A9D97-E91C-904D-9689-47136550A1DA}"/>
                </a:ext>
              </a:extLst>
            </xdr:cNvPr>
            <xdr:cNvSpPr txBox="1"/>
          </xdr:nvSpPr>
          <xdr:spPr>
            <a:xfrm>
              <a:off x="2244724" y="6048375"/>
              <a:ext cx="8442326" cy="194284"/>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14:m>
                <m:oMath xmlns:m="http://schemas.openxmlformats.org/officeDocument/2006/math">
                  <m:sSubSup>
                    <m:sSubSupPr>
                      <m:ctrlPr>
                        <a:rPr lang="es-AR" sz="1200" b="0" i="1">
                          <a:latin typeface="Cambria Math" panose="02040503050406030204" pitchFamily="18" charset="0"/>
                        </a:rPr>
                      </m:ctrlPr>
                    </m:sSubSupPr>
                    <m:e>
                      <m:r>
                        <a:rPr lang="es-AR" sz="1200" b="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𝐵𝑒𝑠𝑡</m:t>
                      </m:r>
                    </m:sub>
                    <m:sup>
                      <m:r>
                        <a:rPr lang="es-AR" sz="1200" b="0" i="1">
                          <a:latin typeface="Cambria Math" panose="02040503050406030204" pitchFamily="18" charset="0"/>
                        </a:rPr>
                        <m:t>2</m:t>
                      </m:r>
                    </m:sup>
                  </m:sSubSup>
                  <m:r>
                    <a:rPr lang="es-AR" sz="1200" b="0" i="1">
                      <a:latin typeface="Cambria Math" panose="02040503050406030204" pitchFamily="18" charset="0"/>
                    </a:rPr>
                    <m:t>=0,5</m:t>
                  </m:r>
                  <m:sSup>
                    <m:sSupPr>
                      <m:ctrlPr>
                        <a:rPr lang="es-AR" sz="1200" b="0" i="1">
                          <a:latin typeface="Cambria Math" panose="02040503050406030204" pitchFamily="18" charset="0"/>
                        </a:rPr>
                      </m:ctrlPr>
                    </m:sSupPr>
                    <m:e>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0,25−0,105</m:t>
                          </m:r>
                        </m:e>
                      </m:d>
                    </m:e>
                    <m:sup>
                      <m:r>
                        <a:rPr lang="es-AR" sz="1200" b="0" i="1">
                          <a:latin typeface="Cambria Math" panose="02040503050406030204" pitchFamily="18" charset="0"/>
                        </a:rPr>
                        <m:t>2</m:t>
                      </m:r>
                    </m:sup>
                  </m:sSup>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0,3</m:t>
                  </m:r>
                  <m:sSup>
                    <m:sSupPr>
                      <m:ctrlPr>
                        <a:rPr lang="es-AR" sz="1200" b="0" i="1" kern="1200">
                          <a:solidFill>
                            <a:schemeClr val="tx1"/>
                          </a:solidFill>
                          <a:effectLst/>
                          <a:latin typeface="Cambria Math" panose="02040503050406030204" pitchFamily="18" charset="0"/>
                          <a:ea typeface="+mn-ea"/>
                          <a:cs typeface="+mn-cs"/>
                        </a:rPr>
                      </m:ctrlPr>
                    </m:sSupPr>
                    <m:e>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0,10−0,105</m:t>
                          </m:r>
                        </m:e>
                      </m:d>
                    </m:e>
                    <m:sup>
                      <m:r>
                        <a:rPr lang="es-AR" sz="1200" b="0" i="1" kern="1200">
                          <a:solidFill>
                            <a:schemeClr val="tx1"/>
                          </a:solidFill>
                          <a:effectLst/>
                          <a:latin typeface="Cambria Math" panose="02040503050406030204" pitchFamily="18" charset="0"/>
                          <a:ea typeface="+mn-ea"/>
                          <a:cs typeface="+mn-cs"/>
                        </a:rPr>
                        <m:t>2</m:t>
                      </m:r>
                    </m:sup>
                  </m:sSup>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0,2</m:t>
                  </m:r>
                  <m:sSup>
                    <m:sSupPr>
                      <m:ctrlPr>
                        <a:rPr lang="es-AR" sz="1200" b="0" i="1" kern="1200">
                          <a:solidFill>
                            <a:schemeClr val="tx1"/>
                          </a:solidFill>
                          <a:effectLst/>
                          <a:latin typeface="Cambria Math" panose="02040503050406030204" pitchFamily="18" charset="0"/>
                          <a:ea typeface="+mn-ea"/>
                          <a:cs typeface="+mn-cs"/>
                        </a:rPr>
                      </m:ctrlPr>
                    </m:sSupPr>
                    <m:e>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−0,25−0,105</m:t>
                          </m:r>
                        </m:e>
                      </m:d>
                    </m:e>
                    <m:sup>
                      <m:r>
                        <a:rPr lang="es-AR" sz="1200" b="0" i="1" kern="1200">
                          <a:solidFill>
                            <a:schemeClr val="tx1"/>
                          </a:solidFill>
                          <a:effectLst/>
                          <a:latin typeface="Cambria Math" panose="02040503050406030204" pitchFamily="18" charset="0"/>
                          <a:ea typeface="+mn-ea"/>
                          <a:cs typeface="+mn-cs"/>
                        </a:rPr>
                        <m:t>2</m:t>
                      </m:r>
                    </m:sup>
                  </m:sSup>
                  <m:r>
                    <a:rPr lang="es-AR" sz="1200" b="0" i="1" kern="1200">
                      <a:solidFill>
                        <a:schemeClr val="tx1"/>
                      </a:solidFill>
                      <a:effectLst/>
                      <a:latin typeface="Cambria Math" panose="02040503050406030204" pitchFamily="18" charset="0"/>
                      <a:ea typeface="+mn-ea"/>
                      <a:cs typeface="+mn-cs"/>
                    </a:rPr>
                    <m:t>=0,035725</m:t>
                  </m:r>
                </m:oMath>
              </a14:m>
              <a:endParaRPr lang="es-AR" sz="1200"/>
            </a:p>
          </xdr:txBody>
        </xdr:sp>
      </mc:Choice>
      <mc:Fallback xmlns="">
        <xdr:sp macro="" textlink="">
          <xdr:nvSpPr>
            <xdr:cNvPr id="6" name="CuadroTexto 5">
              <a:extLst>
                <a:ext uri="{FF2B5EF4-FFF2-40B4-BE49-F238E27FC236}">
                  <a16:creationId xmlns:a16="http://schemas.microsoft.com/office/drawing/2014/main" id="{6A8A9D97-E91C-904D-9689-47136550A1DA}"/>
                </a:ext>
              </a:extLst>
            </xdr:cNvPr>
            <xdr:cNvSpPr txBox="1"/>
          </xdr:nvSpPr>
          <xdr:spPr>
            <a:xfrm>
              <a:off x="2244724" y="6048375"/>
              <a:ext cx="8442326" cy="194284"/>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AR" sz="1200" b="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𝐵𝑒𝑠𝑡^2=0,5</a:t>
              </a:r>
              <a:r>
                <a:rPr lang="es-AR" sz="1200" b="0" i="0" kern="1200">
                  <a:solidFill>
                    <a:schemeClr val="tx1"/>
                  </a:solidFill>
                  <a:effectLst/>
                  <a:latin typeface="Cambria Math" panose="02040503050406030204" pitchFamily="18" charset="0"/>
                  <a:ea typeface="+mn-ea"/>
                  <a:cs typeface="+mn-cs"/>
                </a:rPr>
                <a:t>(0,25−0,105)^</a:t>
              </a:r>
              <a:r>
                <a:rPr lang="es-AR" sz="1200" b="0" i="0">
                  <a:latin typeface="Cambria Math" panose="02040503050406030204" pitchFamily="18" charset="0"/>
                </a:rPr>
                <a:t>2</a:t>
              </a:r>
              <a:r>
                <a:rPr lang="es-AR" sz="1200"/>
                <a:t>+</a:t>
              </a:r>
              <a:r>
                <a:rPr lang="es-AR" sz="1200" b="0" i="0" kern="1200">
                  <a:solidFill>
                    <a:schemeClr val="tx1"/>
                  </a:solidFill>
                  <a:effectLst/>
                  <a:latin typeface="Cambria Math" panose="02040503050406030204" pitchFamily="18" charset="0"/>
                  <a:ea typeface="+mn-ea"/>
                  <a:cs typeface="+mn-cs"/>
                </a:rPr>
                <a:t>0,3(0,10−0,105)^2</a:t>
              </a:r>
              <a:r>
                <a:rPr lang="es-AR" sz="1200"/>
                <a:t>+</a:t>
              </a:r>
              <a:r>
                <a:rPr lang="es-AR" sz="1200" b="0" i="0" kern="1200">
                  <a:solidFill>
                    <a:schemeClr val="tx1"/>
                  </a:solidFill>
                  <a:effectLst/>
                  <a:latin typeface="Cambria Math" panose="02040503050406030204" pitchFamily="18" charset="0"/>
                  <a:ea typeface="+mn-ea"/>
                  <a:cs typeface="+mn-cs"/>
                </a:rPr>
                <a:t>0,2(−0,25−0,105)^2=0,035725</a:t>
              </a:r>
              <a:endParaRPr lang="es-AR" sz="1200"/>
            </a:p>
          </xdr:txBody>
        </xdr:sp>
      </mc:Fallback>
    </mc:AlternateContent>
    <xdr:clientData/>
  </xdr:twoCellAnchor>
  <xdr:twoCellAnchor>
    <xdr:from>
      <xdr:col>2</xdr:col>
      <xdr:colOff>0</xdr:colOff>
      <xdr:row>26</xdr:row>
      <xdr:rowOff>152400</xdr:rowOff>
    </xdr:from>
    <xdr:to>
      <xdr:col>4</xdr:col>
      <xdr:colOff>180975</xdr:colOff>
      <xdr:row>29</xdr:row>
      <xdr:rowOff>103735</xdr:rowOff>
    </xdr:to>
    <mc:AlternateContent xmlns:mc="http://schemas.openxmlformats.org/markup-compatibility/2006" xmlns:a14="http://schemas.microsoft.com/office/drawing/2010/main">
      <mc:Choice Requires="a14">
        <xdr:sp macro="" textlink="">
          <xdr:nvSpPr>
            <xdr:cNvPr id="7" name="CuadroTexto 7">
              <a:extLst>
                <a:ext uri="{FF2B5EF4-FFF2-40B4-BE49-F238E27FC236}">
                  <a16:creationId xmlns:a16="http://schemas.microsoft.com/office/drawing/2014/main" id="{362D7872-9BC6-5047-94D6-5909E026BB27}"/>
                </a:ext>
              </a:extLst>
            </xdr:cNvPr>
            <xdr:cNvSpPr txBox="1"/>
          </xdr:nvSpPr>
          <xdr:spPr>
            <a:xfrm>
              <a:off x="2159000" y="5448300"/>
              <a:ext cx="2860675"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l-GR" sz="1400" i="1">
                            <a:latin typeface="Cambria Math" panose="02040503050406030204" pitchFamily="18" charset="0"/>
                          </a:rPr>
                        </m:ctrlPr>
                      </m:sSubSupPr>
                      <m:e>
                        <m:r>
                          <a:rPr lang="el-GR" sz="140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𝑖</m:t>
                        </m:r>
                      </m:sub>
                      <m:sup>
                        <m:r>
                          <a:rPr lang="es-AR" sz="1400" b="0" i="1">
                            <a:latin typeface="Cambria Math" panose="02040503050406030204" pitchFamily="18" charset="0"/>
                          </a:rPr>
                          <m:t>2</m:t>
                        </m:r>
                      </m:sup>
                    </m:sSubSup>
                    <m:r>
                      <a:rPr lang="es-AR" sz="1400" b="0" i="1">
                        <a:latin typeface="Cambria Math" panose="02040503050406030204" pitchFamily="18" charset="0"/>
                      </a:rPr>
                      <m:t>=</m:t>
                    </m:r>
                    <m:nary>
                      <m:naryPr>
                        <m:chr m:val="∑"/>
                        <m:supHide m:val="on"/>
                        <m:ctrlPr>
                          <a:rPr lang="es-AR" sz="1400" b="0" i="1">
                            <a:latin typeface="Cambria Math" panose="02040503050406030204" pitchFamily="18" charset="0"/>
                          </a:rPr>
                        </m:ctrlPr>
                      </m:naryPr>
                      <m:sub>
                        <m:r>
                          <m:rPr>
                            <m:brk m:alnAt="7"/>
                          </m:rPr>
                          <a:rPr lang="es-AR" sz="1400" b="0" i="1">
                            <a:latin typeface="Cambria Math" panose="02040503050406030204" pitchFamily="18" charset="0"/>
                          </a:rPr>
                          <m:t>𝑠</m:t>
                        </m:r>
                      </m:sub>
                      <m:sup/>
                      <m:e>
                        <m:r>
                          <m:rPr>
                            <m:sty m:val="p"/>
                          </m:rPr>
                          <a:rPr lang="es-AR" sz="1400" b="0" i="0">
                            <a:latin typeface="Cambria Math" panose="02040503050406030204" pitchFamily="18" charset="0"/>
                          </a:rPr>
                          <m:t>Pr</m:t>
                        </m:r>
                        <m:r>
                          <a:rPr lang="es-AR" sz="1400" b="0" i="1">
                            <a:latin typeface="Cambria Math" panose="02040503050406030204" pitchFamily="18" charset="0"/>
                          </a:rPr>
                          <m:t>⁡(</m:t>
                        </m:r>
                        <m:r>
                          <a:rPr lang="es-AR" sz="1400" b="0" i="1">
                            <a:latin typeface="Cambria Math" panose="02040503050406030204" pitchFamily="18" charset="0"/>
                          </a:rPr>
                          <m:t>𝑠</m:t>
                        </m:r>
                        <m:r>
                          <a:rPr lang="es-AR" sz="1400" b="0" i="1">
                            <a:latin typeface="Cambria Math" panose="02040503050406030204" pitchFamily="18" charset="0"/>
                          </a:rPr>
                          <m:t>)</m:t>
                        </m:r>
                        <m:sSup>
                          <m:sSupPr>
                            <m:ctrlPr>
                              <a:rPr lang="es-AR" sz="1400" b="0" i="1">
                                <a:latin typeface="Cambria Math" panose="02040503050406030204" pitchFamily="18" charset="0"/>
                              </a:rPr>
                            </m:ctrlPr>
                          </m:sSupPr>
                          <m:e>
                            <m:d>
                              <m:dPr>
                                <m:begChr m:val="["/>
                                <m:endChr m:val="]"/>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d>
                                  <m:dPr>
                                    <m:ctrlPr>
                                      <a:rPr lang="es-AR" sz="1400" b="0" i="1">
                                        <a:latin typeface="Cambria Math" panose="02040503050406030204" pitchFamily="18" charset="0"/>
                                      </a:rPr>
                                    </m:ctrlPr>
                                  </m:dPr>
                                  <m:e>
                                    <m:r>
                                      <a:rPr lang="es-AR" sz="1400" b="0" i="1">
                                        <a:latin typeface="Cambria Math" panose="02040503050406030204" pitchFamily="18" charset="0"/>
                                      </a:rPr>
                                      <m:t>𝑠</m:t>
                                    </m:r>
                                  </m:e>
                                </m:d>
                                <m:r>
                                  <a:rPr lang="es-AR" sz="1400" b="0" i="1">
                                    <a:latin typeface="Cambria Math" panose="02040503050406030204" pitchFamily="18" charset="0"/>
                                  </a:rPr>
                                  <m:t>−</m:t>
                                </m:r>
                                <m:r>
                                  <a:rPr lang="es-AR" sz="1400" b="0" i="1">
                                    <a:latin typeface="Cambria Math" panose="02040503050406030204" pitchFamily="18" charset="0"/>
                                  </a:rPr>
                                  <m:t>𝐸</m:t>
                                </m:r>
                                <m:r>
                                  <a:rPr lang="es-AR" sz="1400" b="0" i="1">
                                    <a:latin typeface="Cambria Math" panose="02040503050406030204" pitchFamily="18" charset="0"/>
                                  </a:rPr>
                                  <m:t>(</m:t>
                                </m:r>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m:t>
                                </m:r>
                              </m:e>
                            </m:d>
                          </m:e>
                          <m:sup>
                            <m:r>
                              <a:rPr lang="es-AR" sz="1400" b="0" i="1">
                                <a:latin typeface="Cambria Math" panose="02040503050406030204" pitchFamily="18" charset="0"/>
                              </a:rPr>
                              <m:t>2</m:t>
                            </m:r>
                          </m:sup>
                        </m:sSup>
                        <m:r>
                          <a:rPr lang="es-AR" sz="1400" b="0" i="1">
                            <a:latin typeface="Cambria Math" panose="02040503050406030204" pitchFamily="18" charset="0"/>
                          </a:rPr>
                          <m:t> </m:t>
                        </m:r>
                      </m:e>
                    </m:nary>
                  </m:oMath>
                </m:oMathPara>
              </a14:m>
              <a:endParaRPr lang="es-AR" sz="1400"/>
            </a:p>
          </xdr:txBody>
        </xdr:sp>
      </mc:Choice>
      <mc:Fallback xmlns="">
        <xdr:sp macro="" textlink="">
          <xdr:nvSpPr>
            <xdr:cNvPr id="7" name="CuadroTexto 7">
              <a:extLst>
                <a:ext uri="{FF2B5EF4-FFF2-40B4-BE49-F238E27FC236}">
                  <a16:creationId xmlns:a16="http://schemas.microsoft.com/office/drawing/2014/main" id="{362D7872-9BC6-5047-94D6-5909E026BB27}"/>
                </a:ext>
              </a:extLst>
            </xdr:cNvPr>
            <xdr:cNvSpPr txBox="1"/>
          </xdr:nvSpPr>
          <xdr:spPr>
            <a:xfrm>
              <a:off x="2159000" y="5448300"/>
              <a:ext cx="2860675"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l-GR" sz="140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𝑖^2=∑_𝑠▒〖Pr⁡(𝑠)[𝑟_𝑖 (𝑠)−𝐸(𝑟_𝑖)]^2  〗</a:t>
              </a:r>
              <a:endParaRPr lang="es-AR" sz="1400"/>
            </a:p>
          </xdr:txBody>
        </xdr:sp>
      </mc:Fallback>
    </mc:AlternateContent>
    <xdr:clientData/>
  </xdr:twoCellAnchor>
  <xdr:twoCellAnchor>
    <xdr:from>
      <xdr:col>2</xdr:col>
      <xdr:colOff>123825</xdr:colOff>
      <xdr:row>19</xdr:row>
      <xdr:rowOff>9525</xdr:rowOff>
    </xdr:from>
    <xdr:to>
      <xdr:col>5</xdr:col>
      <xdr:colOff>390525</xdr:colOff>
      <xdr:row>20</xdr:row>
      <xdr:rowOff>66676</xdr:rowOff>
    </xdr:to>
    <mc:AlternateContent xmlns:mc="http://schemas.openxmlformats.org/markup-compatibility/2006" xmlns:a14="http://schemas.microsoft.com/office/drawing/2010/main">
      <mc:Choice Requires="a14">
        <xdr:sp macro="" textlink="">
          <xdr:nvSpPr>
            <xdr:cNvPr id="8" name="CuadroTexto 5">
              <a:extLst>
                <a:ext uri="{FF2B5EF4-FFF2-40B4-BE49-F238E27FC236}">
                  <a16:creationId xmlns:a16="http://schemas.microsoft.com/office/drawing/2014/main" id="{2165E90B-9F57-8A46-AD41-042D0911FD7E}"/>
                </a:ext>
              </a:extLst>
            </xdr:cNvPr>
            <xdr:cNvSpPr txBox="1"/>
          </xdr:nvSpPr>
          <xdr:spPr>
            <a:xfrm>
              <a:off x="2282825" y="3971925"/>
              <a:ext cx="4076700" cy="247651"/>
            </a:xfrm>
            <a:prstGeom prst="rect">
              <a:avLst/>
            </a:prstGeom>
            <a:noFill/>
          </xdr:spPr>
          <xdr:txBody>
            <a:bodyPr wrap="square" lIns="0" tIns="0" rIns="0" bIns="0" rtlCol="0">
              <a:no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𝐸</m:t>
                  </m:r>
                  <m:d>
                    <m:dPr>
                      <m:ctrlPr>
                        <a:rPr lang="es-AR" sz="1200" b="0" i="1" kern="1200">
                          <a:solidFill>
                            <a:schemeClr val="tx1"/>
                          </a:solidFill>
                          <a:effectLst/>
                          <a:latin typeface="Cambria Math" panose="02040503050406030204" pitchFamily="18" charset="0"/>
                          <a:ea typeface="+mn-ea"/>
                          <a:cs typeface="+mn-cs"/>
                        </a:rPr>
                      </m:ctrlPr>
                    </m:dPr>
                    <m:e>
                      <m:sSub>
                        <m:sSubPr>
                          <m:ctrlPr>
                            <a:rPr lang="es-AR" sz="1200" b="0" i="1" kern="1200">
                              <a:solidFill>
                                <a:schemeClr val="tx1"/>
                              </a:solidFill>
                              <a:effectLst/>
                              <a:latin typeface="Cambria Math" panose="02040503050406030204" pitchFamily="18" charset="0"/>
                              <a:ea typeface="+mn-ea"/>
                              <a:cs typeface="+mn-cs"/>
                            </a:rPr>
                          </m:ctrlPr>
                        </m:sSubPr>
                        <m:e>
                          <m:r>
                            <a:rPr lang="es-AR" sz="1200" b="0" i="1" kern="1200">
                              <a:solidFill>
                                <a:schemeClr val="tx1"/>
                              </a:solidFill>
                              <a:effectLst/>
                              <a:latin typeface="Cambria Math" panose="02040503050406030204" pitchFamily="18" charset="0"/>
                              <a:ea typeface="+mn-ea"/>
                              <a:cs typeface="+mn-cs"/>
                            </a:rPr>
                            <m:t>𝑟</m:t>
                          </m:r>
                        </m:e>
                        <m:sub>
                          <m:r>
                            <a:rPr lang="es-AR" sz="1200" b="0" i="1" kern="1200">
                              <a:solidFill>
                                <a:schemeClr val="tx1"/>
                              </a:solidFill>
                              <a:effectLst/>
                              <a:latin typeface="Cambria Math" panose="02040503050406030204" pitchFamily="18" charset="0"/>
                              <a:ea typeface="+mn-ea"/>
                              <a:cs typeface="+mn-cs"/>
                            </a:rPr>
                            <m:t>𝐵𝑒𝑠𝑡</m:t>
                          </m:r>
                        </m:sub>
                      </m:sSub>
                    </m:e>
                  </m:d>
                  <m:r>
                    <a:rPr lang="es-AR" sz="1200" b="0" i="1">
                      <a:latin typeface="Cambria Math" panose="02040503050406030204" pitchFamily="18" charset="0"/>
                    </a:rPr>
                    <m:t>=0,5</m:t>
                  </m:r>
                  <m:d>
                    <m:dPr>
                      <m:ctrlPr>
                        <a:rPr lang="es-AR" sz="1200" b="0" i="1">
                          <a:latin typeface="Cambria Math" panose="02040503050406030204" pitchFamily="18" charset="0"/>
                        </a:rPr>
                      </m:ctrlPr>
                    </m:dPr>
                    <m:e>
                      <m:r>
                        <a:rPr lang="es-AR" sz="1200" b="0" i="1">
                          <a:latin typeface="Cambria Math" panose="02040503050406030204" pitchFamily="18" charset="0"/>
                        </a:rPr>
                        <m:t>0,25</m:t>
                      </m:r>
                    </m:e>
                  </m:d>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0,3</m:t>
                  </m:r>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0,1</m:t>
                      </m:r>
                    </m:e>
                  </m:d>
                </m:oMath>
              </a14:m>
              <a:r>
                <a:rPr lang="es-AR" sz="1200" kern="1200">
                  <a:solidFill>
                    <a:schemeClr val="tx1"/>
                  </a:solidFill>
                  <a:effectLst/>
                  <a:latin typeface="+mn-lt"/>
                  <a:ea typeface="+mn-ea"/>
                  <a:cs typeface="+mn-cs"/>
                </a:rPr>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0,2</m:t>
                  </m:r>
                  <m:d>
                    <m:dPr>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m:t>
                      </m:r>
                    </m:e>
                  </m:d>
                  <m:r>
                    <a:rPr lang="es-AR" sz="1200" b="0" i="1" kern="1200">
                      <a:solidFill>
                        <a:schemeClr val="tx1"/>
                      </a:solidFill>
                      <a:effectLst/>
                      <a:latin typeface="Cambria Math" panose="02040503050406030204" pitchFamily="18" charset="0"/>
                      <a:ea typeface="+mn-ea"/>
                      <a:cs typeface="+mn-cs"/>
                    </a:rPr>
                    <m:t>=0,1  ó  10,5%</m:t>
                  </m:r>
                </m:oMath>
              </a14:m>
              <a:r>
                <a:rPr lang="es-AR" sz="1200">
                  <a:effectLst/>
                </a:rPr>
                <a:t> </a:t>
              </a:r>
            </a:p>
            <a:p>
              <a:pPr marL="0" marR="0" lvl="0" indent="0" algn="l" defTabSz="914400" rtl="0" eaLnBrk="1" fontAlgn="auto" latinLnBrk="0" hangingPunct="1">
                <a:lnSpc>
                  <a:spcPct val="100000"/>
                </a:lnSpc>
                <a:spcBef>
                  <a:spcPts val="0"/>
                </a:spcBef>
                <a:spcAft>
                  <a:spcPts val="0"/>
                </a:spcAft>
                <a:buClrTx/>
                <a:buSzTx/>
                <a:buFontTx/>
                <a:buNone/>
                <a:tabLst/>
                <a:defRPr/>
              </a:pPr>
              <a:endParaRPr lang="es-AR" sz="1200">
                <a:effectLst/>
              </a:endParaRPr>
            </a:p>
            <a:p>
              <a:endParaRPr lang="es-AR" sz="1200"/>
            </a:p>
          </xdr:txBody>
        </xdr:sp>
      </mc:Choice>
      <mc:Fallback xmlns="">
        <xdr:sp macro="" textlink="">
          <xdr:nvSpPr>
            <xdr:cNvPr id="8" name="CuadroTexto 5">
              <a:extLst>
                <a:ext uri="{FF2B5EF4-FFF2-40B4-BE49-F238E27FC236}">
                  <a16:creationId xmlns:a16="http://schemas.microsoft.com/office/drawing/2014/main" id="{2165E90B-9F57-8A46-AD41-042D0911FD7E}"/>
                </a:ext>
              </a:extLst>
            </xdr:cNvPr>
            <xdr:cNvSpPr txBox="1"/>
          </xdr:nvSpPr>
          <xdr:spPr>
            <a:xfrm>
              <a:off x="2282825" y="3971925"/>
              <a:ext cx="4076700" cy="247651"/>
            </a:xfrm>
            <a:prstGeom prst="rect">
              <a:avLst/>
            </a:prstGeom>
            <a:noFill/>
          </xdr:spPr>
          <xdr:txBody>
            <a:bodyPr wrap="square" lIns="0" tIns="0" rIns="0" bIns="0" rtlCol="0">
              <a:no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s-AR" sz="1200" b="0" i="0" kern="1200">
                  <a:solidFill>
                    <a:schemeClr val="tx1"/>
                  </a:solidFill>
                  <a:effectLst/>
                  <a:latin typeface="Cambria Math" panose="02040503050406030204" pitchFamily="18" charset="0"/>
                  <a:ea typeface="+mn-ea"/>
                  <a:cs typeface="+mn-cs"/>
                </a:rPr>
                <a:t>𝐸(𝑟_𝐵𝑒𝑠𝑡 )</a:t>
              </a:r>
              <a:r>
                <a:rPr lang="es-AR" sz="1200" b="0" i="0">
                  <a:latin typeface="Cambria Math" panose="02040503050406030204" pitchFamily="18" charset="0"/>
                </a:rPr>
                <a:t>=0,5(0,25)</a:t>
              </a:r>
              <a:r>
                <a:rPr lang="es-AR" sz="1200"/>
                <a:t>+</a:t>
              </a:r>
              <a:r>
                <a:rPr lang="es-AR" sz="1200" b="0" i="0" kern="1200">
                  <a:solidFill>
                    <a:schemeClr val="tx1"/>
                  </a:solidFill>
                  <a:effectLst/>
                  <a:latin typeface="Cambria Math" panose="02040503050406030204" pitchFamily="18" charset="0"/>
                  <a:ea typeface="+mn-ea"/>
                  <a:cs typeface="+mn-cs"/>
                </a:rPr>
                <a:t>0,3(0,1)</a:t>
              </a:r>
              <a:r>
                <a:rPr lang="es-AR" sz="1200" kern="1200">
                  <a:solidFill>
                    <a:schemeClr val="tx1"/>
                  </a:solidFill>
                  <a:effectLst/>
                  <a:latin typeface="+mn-lt"/>
                  <a:ea typeface="+mn-ea"/>
                  <a:cs typeface="+mn-cs"/>
                </a:rPr>
                <a:t>+</a:t>
              </a:r>
              <a:r>
                <a:rPr lang="es-AR" sz="1200" b="0" i="0" kern="1200">
                  <a:solidFill>
                    <a:schemeClr val="tx1"/>
                  </a:solidFill>
                  <a:effectLst/>
                  <a:latin typeface="Cambria Math" panose="02040503050406030204" pitchFamily="18" charset="0"/>
                  <a:ea typeface="+mn-ea"/>
                  <a:cs typeface="+mn-cs"/>
                </a:rPr>
                <a:t>0,2(−0,25)=0,1  ó  10,5%</a:t>
              </a:r>
              <a:r>
                <a:rPr lang="es-AR" sz="1200">
                  <a:effectLst/>
                </a:rPr>
                <a:t> </a:t>
              </a:r>
            </a:p>
            <a:p>
              <a:pPr marL="0" marR="0" lvl="0" indent="0" algn="l" defTabSz="914400" rtl="0" eaLnBrk="1" fontAlgn="auto" latinLnBrk="0" hangingPunct="1">
                <a:lnSpc>
                  <a:spcPct val="100000"/>
                </a:lnSpc>
                <a:spcBef>
                  <a:spcPts val="0"/>
                </a:spcBef>
                <a:spcAft>
                  <a:spcPts val="0"/>
                </a:spcAft>
                <a:buClrTx/>
                <a:buSzTx/>
                <a:buFontTx/>
                <a:buNone/>
                <a:tabLst/>
                <a:defRPr/>
              </a:pPr>
              <a:endParaRPr lang="es-AR" sz="1200">
                <a:effectLst/>
              </a:endParaRPr>
            </a:p>
            <a:p>
              <a:endParaRPr lang="es-AR" sz="1200"/>
            </a:p>
          </xdr:txBody>
        </xdr:sp>
      </mc:Fallback>
    </mc:AlternateContent>
    <xdr:clientData/>
  </xdr:twoCellAnchor>
  <xdr:twoCellAnchor>
    <xdr:from>
      <xdr:col>1</xdr:col>
      <xdr:colOff>923925</xdr:colOff>
      <xdr:row>22</xdr:row>
      <xdr:rowOff>9525</xdr:rowOff>
    </xdr:from>
    <xdr:to>
      <xdr:col>2</xdr:col>
      <xdr:colOff>895350</xdr:colOff>
      <xdr:row>23</xdr:row>
      <xdr:rowOff>6897</xdr:rowOff>
    </xdr:to>
    <mc:AlternateContent xmlns:mc="http://schemas.openxmlformats.org/markup-compatibility/2006" xmlns:a14="http://schemas.microsoft.com/office/drawing/2010/main">
      <mc:Choice Requires="a14">
        <xdr:sp macro="" textlink="">
          <xdr:nvSpPr>
            <xdr:cNvPr id="9" name="CuadroTexto 5">
              <a:extLst>
                <a:ext uri="{FF2B5EF4-FFF2-40B4-BE49-F238E27FC236}">
                  <a16:creationId xmlns:a16="http://schemas.microsoft.com/office/drawing/2014/main" id="{552CC1F1-77C2-434D-B2FC-D5D775A76396}"/>
                </a:ext>
              </a:extLst>
            </xdr:cNvPr>
            <xdr:cNvSpPr txBox="1"/>
          </xdr:nvSpPr>
          <xdr:spPr>
            <a:xfrm>
              <a:off x="1800225" y="4543425"/>
              <a:ext cx="1254125"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r>
                      <a:rPr lang="es-AR" sz="1200" b="0" i="1">
                        <a:latin typeface="Cambria Math" panose="02040503050406030204" pitchFamily="18" charset="0"/>
                      </a:rPr>
                      <m:t>=</m:t>
                    </m:r>
                  </m:oMath>
                </m:oMathPara>
              </a14:m>
              <a:endParaRPr lang="es-AR" sz="1200"/>
            </a:p>
          </xdr:txBody>
        </xdr:sp>
      </mc:Choice>
      <mc:Fallback xmlns="">
        <xdr:sp macro="" textlink="">
          <xdr:nvSpPr>
            <xdr:cNvPr id="9" name="CuadroTexto 5">
              <a:extLst>
                <a:ext uri="{FF2B5EF4-FFF2-40B4-BE49-F238E27FC236}">
                  <a16:creationId xmlns:a16="http://schemas.microsoft.com/office/drawing/2014/main" id="{552CC1F1-77C2-434D-B2FC-D5D775A76396}"/>
                </a:ext>
              </a:extLst>
            </xdr:cNvPr>
            <xdr:cNvSpPr txBox="1"/>
          </xdr:nvSpPr>
          <xdr:spPr>
            <a:xfrm>
              <a:off x="1800225" y="4543425"/>
              <a:ext cx="1254125"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2</xdr:col>
      <xdr:colOff>0</xdr:colOff>
      <xdr:row>32</xdr:row>
      <xdr:rowOff>0</xdr:rowOff>
    </xdr:from>
    <xdr:to>
      <xdr:col>2</xdr:col>
      <xdr:colOff>657225</xdr:colOff>
      <xdr:row>33</xdr:row>
      <xdr:rowOff>8465</xdr:rowOff>
    </xdr:to>
    <mc:AlternateContent xmlns:mc="http://schemas.openxmlformats.org/markup-compatibility/2006" xmlns:a14="http://schemas.microsoft.com/office/drawing/2010/main">
      <mc:Choice Requires="a14">
        <xdr:sp macro="" textlink="">
          <xdr:nvSpPr>
            <xdr:cNvPr id="10" name="CuadroTexto 5">
              <a:extLst>
                <a:ext uri="{FF2B5EF4-FFF2-40B4-BE49-F238E27FC236}">
                  <a16:creationId xmlns:a16="http://schemas.microsoft.com/office/drawing/2014/main" id="{2CB3CE3B-2C21-D14A-A5F3-C99A0E0413AC}"/>
                </a:ext>
              </a:extLst>
            </xdr:cNvPr>
            <xdr:cNvSpPr txBox="1"/>
          </xdr:nvSpPr>
          <xdr:spPr>
            <a:xfrm>
              <a:off x="2159000" y="6438900"/>
              <a:ext cx="657225" cy="19896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l-GR" sz="1200" i="1" kern="1200">
                            <a:solidFill>
                              <a:schemeClr val="tx1"/>
                            </a:solidFill>
                            <a:effectLst/>
                            <a:latin typeface="Cambria Math" panose="02040503050406030204" pitchFamily="18" charset="0"/>
                            <a:ea typeface="+mn-ea"/>
                            <a:cs typeface="+mn-cs"/>
                          </a:rPr>
                        </m:ctrlPr>
                      </m:sSubSupPr>
                      <m:e>
                        <m:r>
                          <a:rPr lang="el-GR" sz="1200" i="1" kern="1200">
                            <a:solidFill>
                              <a:schemeClr val="tx1"/>
                            </a:solidFill>
                            <a:effectLst/>
                            <a:latin typeface="Cambria Math" panose="02040503050406030204" pitchFamily="18" charset="0"/>
                            <a:ea typeface="+mn-ea"/>
                            <a:cs typeface="+mn-cs"/>
                          </a:rPr>
                          <m:t>𝜎</m:t>
                        </m:r>
                      </m:e>
                      <m:sub>
                        <m:r>
                          <a:rPr lang="es-AR" sz="1200" b="0" i="1" kern="1200">
                            <a:solidFill>
                              <a:schemeClr val="tx1"/>
                            </a:solidFill>
                            <a:effectLst/>
                            <a:latin typeface="Cambria Math" panose="02040503050406030204" pitchFamily="18" charset="0"/>
                            <a:ea typeface="+mn-ea"/>
                            <a:cs typeface="+mn-cs"/>
                          </a:rPr>
                          <m:t>𝐵𝑒𝑠𝑡</m:t>
                        </m:r>
                      </m:sub>
                      <m:sup>
                        <m:r>
                          <a:rPr lang="es-AR" sz="1200" b="0" i="1" kern="1200">
                            <a:solidFill>
                              <a:schemeClr val="tx1"/>
                            </a:solidFill>
                            <a:effectLst/>
                            <a:latin typeface="Cambria Math" panose="02040503050406030204" pitchFamily="18" charset="0"/>
                            <a:ea typeface="+mn-ea"/>
                            <a:cs typeface="+mn-cs"/>
                          </a:rPr>
                          <m:t>2</m:t>
                        </m:r>
                      </m:sup>
                    </m:sSubSup>
                    <m:r>
                      <a:rPr lang="es-AR" sz="1200" b="0" i="1">
                        <a:latin typeface="Cambria Math" panose="02040503050406030204" pitchFamily="18" charset="0"/>
                      </a:rPr>
                      <m:t>=</m:t>
                    </m:r>
                  </m:oMath>
                </m:oMathPara>
              </a14:m>
              <a:endParaRPr lang="es-AR" sz="1200"/>
            </a:p>
          </xdr:txBody>
        </xdr:sp>
      </mc:Choice>
      <mc:Fallback xmlns="">
        <xdr:sp macro="" textlink="">
          <xdr:nvSpPr>
            <xdr:cNvPr id="10" name="CuadroTexto 5">
              <a:extLst>
                <a:ext uri="{FF2B5EF4-FFF2-40B4-BE49-F238E27FC236}">
                  <a16:creationId xmlns:a16="http://schemas.microsoft.com/office/drawing/2014/main" id="{2CB3CE3B-2C21-D14A-A5F3-C99A0E0413AC}"/>
                </a:ext>
              </a:extLst>
            </xdr:cNvPr>
            <xdr:cNvSpPr txBox="1"/>
          </xdr:nvSpPr>
          <xdr:spPr>
            <a:xfrm>
              <a:off x="2159000" y="6438900"/>
              <a:ext cx="657225" cy="19896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l-GR" sz="1200" i="0" kern="1200">
                  <a:solidFill>
                    <a:schemeClr val="tx1"/>
                  </a:solidFill>
                  <a:effectLst/>
                  <a:latin typeface="Cambria Math" panose="02040503050406030204" pitchFamily="18" charset="0"/>
                  <a:ea typeface="+mn-ea"/>
                  <a:cs typeface="+mn-cs"/>
                </a:rPr>
                <a:t>𝜎_</a:t>
              </a:r>
              <a:r>
                <a:rPr lang="es-AR" sz="1200" b="0" i="0" kern="1200">
                  <a:solidFill>
                    <a:schemeClr val="tx1"/>
                  </a:solidFill>
                  <a:effectLst/>
                  <a:latin typeface="Cambria Math" panose="02040503050406030204" pitchFamily="18" charset="0"/>
                  <a:ea typeface="+mn-ea"/>
                  <a:cs typeface="+mn-cs"/>
                </a:rPr>
                <a:t>𝐵𝑒𝑠𝑡^2</a:t>
              </a:r>
              <a:r>
                <a:rPr lang="es-AR" sz="1200" b="0" i="0">
                  <a:latin typeface="Cambria Math" panose="02040503050406030204" pitchFamily="18" charset="0"/>
                </a:rPr>
                <a:t>=</a:t>
              </a:r>
              <a:endParaRPr lang="es-AR" sz="1200"/>
            </a:p>
          </xdr:txBody>
        </xdr:sp>
      </mc:Fallback>
    </mc:AlternateContent>
    <xdr:clientData/>
  </xdr:twoCellAnchor>
  <xdr:twoCellAnchor>
    <xdr:from>
      <xdr:col>8</xdr:col>
      <xdr:colOff>628650</xdr:colOff>
      <xdr:row>32</xdr:row>
      <xdr:rowOff>0</xdr:rowOff>
    </xdr:from>
    <xdr:to>
      <xdr:col>9</xdr:col>
      <xdr:colOff>523875</xdr:colOff>
      <xdr:row>33</xdr:row>
      <xdr:rowOff>8465</xdr:rowOff>
    </xdr:to>
    <mc:AlternateContent xmlns:mc="http://schemas.openxmlformats.org/markup-compatibility/2006" xmlns:a14="http://schemas.microsoft.com/office/drawing/2010/main">
      <mc:Choice Requires="a14">
        <xdr:sp macro="" textlink="">
          <xdr:nvSpPr>
            <xdr:cNvPr id="11" name="CuadroTexto 5">
              <a:extLst>
                <a:ext uri="{FF2B5EF4-FFF2-40B4-BE49-F238E27FC236}">
                  <a16:creationId xmlns:a16="http://schemas.microsoft.com/office/drawing/2014/main" id="{CAA6DDF0-2075-F343-933E-D395B76171C2}"/>
                </a:ext>
              </a:extLst>
            </xdr:cNvPr>
            <xdr:cNvSpPr txBox="1"/>
          </xdr:nvSpPr>
          <xdr:spPr>
            <a:xfrm>
              <a:off x="10991850" y="6438900"/>
              <a:ext cx="771525" cy="19896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l-GR" sz="1200" i="1" kern="1200">
                            <a:solidFill>
                              <a:schemeClr val="tx1"/>
                            </a:solidFill>
                            <a:effectLst/>
                            <a:latin typeface="Cambria Math" panose="02040503050406030204" pitchFamily="18" charset="0"/>
                            <a:ea typeface="+mn-ea"/>
                            <a:cs typeface="+mn-cs"/>
                          </a:rPr>
                        </m:ctrlPr>
                      </m:sSubSupPr>
                      <m:e>
                        <m:r>
                          <a:rPr lang="el-GR" sz="1200" i="1" kern="1200">
                            <a:solidFill>
                              <a:schemeClr val="tx1"/>
                            </a:solidFill>
                            <a:effectLst/>
                            <a:latin typeface="Cambria Math" panose="02040503050406030204" pitchFamily="18" charset="0"/>
                            <a:ea typeface="+mn-ea"/>
                            <a:cs typeface="+mn-cs"/>
                          </a:rPr>
                          <m:t>𝜎</m:t>
                        </m:r>
                      </m:e>
                      <m:sub>
                        <m:r>
                          <a:rPr lang="es-AR" sz="1200" b="0" i="1" kern="1200">
                            <a:solidFill>
                              <a:schemeClr val="tx1"/>
                            </a:solidFill>
                            <a:effectLst/>
                            <a:latin typeface="Cambria Math" panose="02040503050406030204" pitchFamily="18" charset="0"/>
                            <a:ea typeface="+mn-ea"/>
                            <a:cs typeface="+mn-cs"/>
                          </a:rPr>
                          <m:t>𝐵𝑒𝑠𝑡</m:t>
                        </m:r>
                      </m:sub>
                      <m:sup>
                        <m:r>
                          <a:rPr lang="es-AR" sz="1200" b="0" i="1" kern="1200">
                            <a:solidFill>
                              <a:schemeClr val="tx1"/>
                            </a:solidFill>
                            <a:effectLst/>
                            <a:latin typeface="Cambria Math" panose="02040503050406030204" pitchFamily="18" charset="0"/>
                            <a:ea typeface="+mn-ea"/>
                            <a:cs typeface="+mn-cs"/>
                          </a:rPr>
                          <m:t>2</m:t>
                        </m:r>
                      </m:sup>
                    </m:sSubSup>
                    <m:r>
                      <a:rPr lang="es-AR" sz="1200" b="0" i="1">
                        <a:latin typeface="Cambria Math" panose="02040503050406030204" pitchFamily="18" charset="0"/>
                      </a:rPr>
                      <m:t>=</m:t>
                    </m:r>
                  </m:oMath>
                </m:oMathPara>
              </a14:m>
              <a:endParaRPr lang="es-AR" sz="1200"/>
            </a:p>
          </xdr:txBody>
        </xdr:sp>
      </mc:Choice>
      <mc:Fallback xmlns="">
        <xdr:sp macro="" textlink="">
          <xdr:nvSpPr>
            <xdr:cNvPr id="11" name="CuadroTexto 5">
              <a:extLst>
                <a:ext uri="{FF2B5EF4-FFF2-40B4-BE49-F238E27FC236}">
                  <a16:creationId xmlns:a16="http://schemas.microsoft.com/office/drawing/2014/main" id="{CAA6DDF0-2075-F343-933E-D395B76171C2}"/>
                </a:ext>
              </a:extLst>
            </xdr:cNvPr>
            <xdr:cNvSpPr txBox="1"/>
          </xdr:nvSpPr>
          <xdr:spPr>
            <a:xfrm>
              <a:off x="10991850" y="6438900"/>
              <a:ext cx="771525" cy="19896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l-GR" sz="1200" i="0" kern="1200">
                  <a:solidFill>
                    <a:schemeClr val="tx1"/>
                  </a:solidFill>
                  <a:effectLst/>
                  <a:latin typeface="Cambria Math" panose="02040503050406030204" pitchFamily="18" charset="0"/>
                  <a:ea typeface="+mn-ea"/>
                  <a:cs typeface="+mn-cs"/>
                </a:rPr>
                <a:t>𝜎_</a:t>
              </a:r>
              <a:r>
                <a:rPr lang="es-AR" sz="1200" b="0" i="0" kern="1200">
                  <a:solidFill>
                    <a:schemeClr val="tx1"/>
                  </a:solidFill>
                  <a:effectLst/>
                  <a:latin typeface="Cambria Math" panose="02040503050406030204" pitchFamily="18" charset="0"/>
                  <a:ea typeface="+mn-ea"/>
                  <a:cs typeface="+mn-cs"/>
                </a:rPr>
                <a:t>𝐵𝑒𝑠𝑡^2</a:t>
              </a:r>
              <a:r>
                <a:rPr lang="es-AR" sz="1200" b="0" i="0">
                  <a:latin typeface="Cambria Math" panose="02040503050406030204" pitchFamily="18" charset="0"/>
                </a:rPr>
                <a:t>=</a:t>
              </a:r>
              <a:endParaRPr lang="es-AR" sz="1200"/>
            </a:p>
          </xdr:txBody>
        </xdr:sp>
      </mc:Fallback>
    </mc:AlternateContent>
    <xdr:clientData/>
  </xdr:twoCellAnchor>
  <xdr:twoCellAnchor>
    <xdr:from>
      <xdr:col>2</xdr:col>
      <xdr:colOff>38100</xdr:colOff>
      <xdr:row>37</xdr:row>
      <xdr:rowOff>57150</xdr:rowOff>
    </xdr:from>
    <xdr:to>
      <xdr:col>4</xdr:col>
      <xdr:colOff>695325</xdr:colOff>
      <xdr:row>39</xdr:row>
      <xdr:rowOff>51959</xdr:rowOff>
    </xdr:to>
    <mc:AlternateContent xmlns:mc="http://schemas.openxmlformats.org/markup-compatibility/2006" xmlns:a14="http://schemas.microsoft.com/office/drawing/2010/main">
      <mc:Choice Requires="a14">
        <xdr:sp macro="" textlink="">
          <xdr:nvSpPr>
            <xdr:cNvPr id="12" name="CuadroTexto 5">
              <a:extLst>
                <a:ext uri="{FF2B5EF4-FFF2-40B4-BE49-F238E27FC236}">
                  <a16:creationId xmlns:a16="http://schemas.microsoft.com/office/drawing/2014/main" id="{8BE37DD1-CDAA-E940-B8C9-D19C89ADFED9}"/>
                </a:ext>
              </a:extLst>
            </xdr:cNvPr>
            <xdr:cNvSpPr txBox="1"/>
          </xdr:nvSpPr>
          <xdr:spPr>
            <a:xfrm>
              <a:off x="2197100" y="7448550"/>
              <a:ext cx="3336925" cy="375809"/>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b="0" i="1">
                            <a:latin typeface="Cambria Math" panose="02040503050406030204" pitchFamily="18" charset="0"/>
                          </a:rPr>
                        </m:ctrlPr>
                      </m:sSubPr>
                      <m:e>
                        <m:r>
                          <a:rPr lang="es-AR" sz="1200" b="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𝐵𝑒𝑠𝑡</m:t>
                        </m:r>
                      </m:sub>
                    </m:sSub>
                    <m:r>
                      <a:rPr lang="es-AR" sz="1200" b="0" i="1">
                        <a:latin typeface="Cambria Math" panose="02040503050406030204" pitchFamily="18" charset="0"/>
                      </a:rPr>
                      <m:t>=</m:t>
                    </m:r>
                    <m:rad>
                      <m:radPr>
                        <m:ctrlPr>
                          <a:rPr lang="es-AR" sz="1200" b="0" i="1">
                            <a:latin typeface="Cambria Math" panose="02040503050406030204" pitchFamily="18" charset="0"/>
                          </a:rPr>
                        </m:ctrlPr>
                      </m:radPr>
                      <m:deg>
                        <m:r>
                          <m:rPr>
                            <m:brk m:alnAt="7"/>
                          </m:rPr>
                          <a:rPr lang="es-AR" sz="1200" b="0" i="1">
                            <a:latin typeface="Cambria Math" panose="02040503050406030204" pitchFamily="18" charset="0"/>
                          </a:rPr>
                          <m:t>2</m:t>
                        </m:r>
                      </m:deg>
                      <m:e>
                        <m:sSubSup>
                          <m:sSubSupPr>
                            <m:ctrlPr>
                              <a:rPr lang="el-GR" sz="1200" i="1" kern="1200">
                                <a:solidFill>
                                  <a:schemeClr val="tx1"/>
                                </a:solidFill>
                                <a:effectLst/>
                                <a:latin typeface="Cambria Math" panose="02040503050406030204" pitchFamily="18" charset="0"/>
                                <a:ea typeface="+mn-ea"/>
                                <a:cs typeface="+mn-cs"/>
                              </a:rPr>
                            </m:ctrlPr>
                          </m:sSubSupPr>
                          <m:e>
                            <m:r>
                              <a:rPr lang="el-GR" sz="1200" i="1" kern="1200">
                                <a:solidFill>
                                  <a:schemeClr val="tx1"/>
                                </a:solidFill>
                                <a:effectLst/>
                                <a:latin typeface="Cambria Math" panose="02040503050406030204" pitchFamily="18" charset="0"/>
                                <a:ea typeface="+mn-ea"/>
                                <a:cs typeface="+mn-cs"/>
                              </a:rPr>
                              <m:t>𝜎</m:t>
                            </m:r>
                          </m:e>
                          <m:sub>
                            <m:r>
                              <a:rPr lang="es-AR" sz="1200" b="0" i="1" kern="1200">
                                <a:solidFill>
                                  <a:schemeClr val="tx1"/>
                                </a:solidFill>
                                <a:effectLst/>
                                <a:latin typeface="Cambria Math" panose="02040503050406030204" pitchFamily="18" charset="0"/>
                                <a:ea typeface="+mn-ea"/>
                                <a:cs typeface="+mn-cs"/>
                              </a:rPr>
                              <m:t>𝐵𝑒𝑠𝑡</m:t>
                            </m:r>
                          </m:sub>
                          <m:sup>
                            <m:r>
                              <a:rPr lang="es-AR" sz="1200" b="0" i="1" kern="1200">
                                <a:solidFill>
                                  <a:schemeClr val="tx1"/>
                                </a:solidFill>
                                <a:effectLst/>
                                <a:latin typeface="Cambria Math" panose="02040503050406030204" pitchFamily="18" charset="0"/>
                                <a:ea typeface="+mn-ea"/>
                                <a:cs typeface="+mn-cs"/>
                              </a:rPr>
                              <m:t>2</m:t>
                            </m:r>
                          </m:sup>
                        </m:sSubSup>
                      </m:e>
                    </m:rad>
                    <m:r>
                      <a:rPr lang="es-AR" sz="1200" b="0" i="0">
                        <a:latin typeface="Cambria Math" panose="02040503050406030204" pitchFamily="18" charset="0"/>
                      </a:rPr>
                      <m:t>=</m:t>
                    </m:r>
                    <m:rad>
                      <m:radPr>
                        <m:ctrlPr>
                          <a:rPr lang="es-AR" sz="1200" b="0" i="1">
                            <a:latin typeface="Cambria Math" panose="02040503050406030204" pitchFamily="18" charset="0"/>
                          </a:rPr>
                        </m:ctrlPr>
                      </m:radPr>
                      <m:deg>
                        <m:r>
                          <m:rPr>
                            <m:brk m:alnAt="7"/>
                          </m:rPr>
                          <a:rPr lang="es-AR" sz="1200" b="0" i="1">
                            <a:latin typeface="Cambria Math" panose="02040503050406030204" pitchFamily="18" charset="0"/>
                          </a:rPr>
                          <m:t>2</m:t>
                        </m:r>
                      </m:deg>
                      <m:e>
                        <m:r>
                          <a:rPr lang="es-AR" sz="1200" b="0" i="1">
                            <a:latin typeface="Cambria Math" panose="02040503050406030204" pitchFamily="18" charset="0"/>
                          </a:rPr>
                          <m:t>0,035725</m:t>
                        </m:r>
                      </m:e>
                    </m:rad>
                    <m:r>
                      <a:rPr lang="es-AR" sz="1200" b="0" i="1">
                        <a:latin typeface="Cambria Math" panose="02040503050406030204" pitchFamily="18" charset="0"/>
                      </a:rPr>
                      <m:t>=0,189 ó 18,9%</m:t>
                    </m:r>
                  </m:oMath>
                </m:oMathPara>
              </a14:m>
              <a:endParaRPr lang="es-AR" sz="1200"/>
            </a:p>
          </xdr:txBody>
        </xdr:sp>
      </mc:Choice>
      <mc:Fallback xmlns="">
        <xdr:sp macro="" textlink="">
          <xdr:nvSpPr>
            <xdr:cNvPr id="12" name="CuadroTexto 5">
              <a:extLst>
                <a:ext uri="{FF2B5EF4-FFF2-40B4-BE49-F238E27FC236}">
                  <a16:creationId xmlns:a16="http://schemas.microsoft.com/office/drawing/2014/main" id="{8BE37DD1-CDAA-E940-B8C9-D19C89ADFED9}"/>
                </a:ext>
              </a:extLst>
            </xdr:cNvPr>
            <xdr:cNvSpPr txBox="1"/>
          </xdr:nvSpPr>
          <xdr:spPr>
            <a:xfrm>
              <a:off x="2197100" y="7448550"/>
              <a:ext cx="3336925" cy="375809"/>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𝐵𝑒𝑠𝑡=√(2&amp;</a:t>
              </a:r>
              <a:r>
                <a:rPr lang="el-GR" sz="1200" i="0" kern="1200">
                  <a:solidFill>
                    <a:schemeClr val="tx1"/>
                  </a:solidFill>
                  <a:effectLst/>
                  <a:latin typeface="Cambria Math" panose="02040503050406030204" pitchFamily="18" charset="0"/>
                  <a:ea typeface="+mn-ea"/>
                  <a:cs typeface="+mn-cs"/>
                </a:rPr>
                <a:t>𝜎_</a:t>
              </a:r>
              <a:r>
                <a:rPr lang="es-AR" sz="1200" b="0" i="0" kern="1200">
                  <a:solidFill>
                    <a:schemeClr val="tx1"/>
                  </a:solidFill>
                  <a:effectLst/>
                  <a:latin typeface="Cambria Math" panose="02040503050406030204" pitchFamily="18" charset="0"/>
                  <a:ea typeface="+mn-ea"/>
                  <a:cs typeface="+mn-cs"/>
                </a:rPr>
                <a:t>𝐵𝑒𝑠𝑡^2 )</a:t>
              </a:r>
              <a:r>
                <a:rPr lang="es-AR" sz="1200" b="0" i="0">
                  <a:latin typeface="Cambria Math" panose="02040503050406030204" pitchFamily="18" charset="0"/>
                </a:rPr>
                <a:t>=√(2&amp;0,035725)=0,189 ó 18,9%</a:t>
              </a:r>
              <a:endParaRPr lang="es-AR" sz="1200"/>
            </a:p>
          </xdr:txBody>
        </xdr:sp>
      </mc:Fallback>
    </mc:AlternateContent>
    <xdr:clientData/>
  </xdr:twoCellAnchor>
  <xdr:twoCellAnchor>
    <xdr:from>
      <xdr:col>1</xdr:col>
      <xdr:colOff>781050</xdr:colOff>
      <xdr:row>43</xdr:row>
      <xdr:rowOff>19050</xdr:rowOff>
    </xdr:from>
    <xdr:to>
      <xdr:col>3</xdr:col>
      <xdr:colOff>266700</xdr:colOff>
      <xdr:row>46</xdr:row>
      <xdr:rowOff>53357</xdr:rowOff>
    </xdr:to>
    <mc:AlternateContent xmlns:mc="http://schemas.openxmlformats.org/markup-compatibility/2006" xmlns:a14="http://schemas.microsoft.com/office/drawing/2010/main">
      <mc:Choice Requires="a14">
        <xdr:sp macro="" textlink="">
          <xdr:nvSpPr>
            <xdr:cNvPr id="13" name="CuadroTexto 8">
              <a:extLst>
                <a:ext uri="{FF2B5EF4-FFF2-40B4-BE49-F238E27FC236}">
                  <a16:creationId xmlns:a16="http://schemas.microsoft.com/office/drawing/2014/main" id="{21A8CDDE-C127-0A40-AC4B-44F2419E6BB2}"/>
                </a:ext>
              </a:extLst>
            </xdr:cNvPr>
            <xdr:cNvSpPr txBox="1"/>
          </xdr:nvSpPr>
          <xdr:spPr>
            <a:xfrm>
              <a:off x="1657350" y="8553450"/>
              <a:ext cx="1847850" cy="605807"/>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400" b="0" i="1">
                        <a:latin typeface="Cambria Math" panose="02040503050406030204" pitchFamily="18" charset="0"/>
                      </a:rPr>
                      <m:t>𝐸</m:t>
                    </m:r>
                    <m:d>
                      <m:dPr>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𝑐</m:t>
                            </m:r>
                          </m:sub>
                        </m:sSub>
                      </m:e>
                    </m:d>
                    <m:r>
                      <a:rPr lang="es-AR" sz="1400" b="0" i="1">
                        <a:latin typeface="Cambria Math" panose="02040503050406030204" pitchFamily="18" charset="0"/>
                      </a:rPr>
                      <m:t>=</m:t>
                    </m:r>
                    <m:nary>
                      <m:naryPr>
                        <m:chr m:val="∑"/>
                        <m:ctrlPr>
                          <a:rPr lang="es-AR" sz="1400" i="1">
                            <a:latin typeface="Cambria Math" panose="02040503050406030204" pitchFamily="18" charset="0"/>
                          </a:rPr>
                        </m:ctrlPr>
                      </m:naryPr>
                      <m:sub>
                        <m:r>
                          <m:rPr>
                            <m:brk m:alnAt="23"/>
                          </m:rPr>
                          <a:rPr lang="es-AR" sz="1400" i="1">
                            <a:latin typeface="Cambria Math" panose="02040503050406030204" pitchFamily="18" charset="0"/>
                          </a:rPr>
                          <m:t>𝑛</m:t>
                        </m:r>
                        <m:r>
                          <a:rPr lang="es-AR" sz="1400" i="1">
                            <a:latin typeface="Cambria Math" panose="02040503050406030204" pitchFamily="18" charset="0"/>
                          </a:rPr>
                          <m:t>=1</m:t>
                        </m:r>
                      </m:sub>
                      <m:sup>
                        <m:r>
                          <a:rPr lang="es-AR" sz="1400" i="1">
                            <a:latin typeface="Cambria Math" panose="02040503050406030204" pitchFamily="18" charset="0"/>
                          </a:rPr>
                          <m:t>𝑁</m:t>
                        </m:r>
                      </m:sup>
                      <m:e>
                        <m:sSub>
                          <m:sSubPr>
                            <m:ctrlPr>
                              <a:rPr lang="es-AR" sz="1400" i="1">
                                <a:latin typeface="Cambria Math" panose="02040503050406030204" pitchFamily="18" charset="0"/>
                              </a:rPr>
                            </m:ctrlPr>
                          </m:sSubPr>
                          <m:e>
                            <m:r>
                              <a:rPr lang="es-AR" sz="1400" i="1">
                                <a:latin typeface="Cambria Math" panose="02040503050406030204" pitchFamily="18" charset="0"/>
                                <a:ea typeface="Cambria Math" panose="02040503050406030204" pitchFamily="18" charset="0"/>
                              </a:rPr>
                              <m:t>𝜔</m:t>
                            </m:r>
                          </m:e>
                          <m:sub>
                            <m:r>
                              <a:rPr lang="es-AR" sz="1400" i="1">
                                <a:latin typeface="Cambria Math" panose="02040503050406030204" pitchFamily="18" charset="0"/>
                              </a:rPr>
                              <m:t>𝑖</m:t>
                            </m:r>
                          </m:sub>
                        </m:sSub>
                        <m:r>
                          <a:rPr lang="es-AR" sz="1400" i="1">
                            <a:latin typeface="Cambria Math" panose="02040503050406030204" pitchFamily="18" charset="0"/>
                          </a:rPr>
                          <m:t> </m:t>
                        </m:r>
                        <m:r>
                          <a:rPr lang="es-AR" sz="1400" i="1">
                            <a:latin typeface="Cambria Math" panose="02040503050406030204" pitchFamily="18" charset="0"/>
                          </a:rPr>
                          <m:t>𝐸</m:t>
                        </m:r>
                        <m:r>
                          <a:rPr lang="es-AR" sz="1400" i="1">
                            <a:latin typeface="Cambria Math" panose="02040503050406030204" pitchFamily="18" charset="0"/>
                          </a:rPr>
                          <m:t>(</m:t>
                        </m:r>
                        <m:sSub>
                          <m:sSubPr>
                            <m:ctrlPr>
                              <a:rPr lang="es-AR" sz="1400" i="1">
                                <a:latin typeface="Cambria Math" panose="02040503050406030204" pitchFamily="18" charset="0"/>
                              </a:rPr>
                            </m:ctrlPr>
                          </m:sSubPr>
                          <m:e>
                            <m:r>
                              <a:rPr lang="es-AR" sz="1400" i="1">
                                <a:latin typeface="Cambria Math" panose="02040503050406030204" pitchFamily="18" charset="0"/>
                              </a:rPr>
                              <m:t>𝑟</m:t>
                            </m:r>
                          </m:e>
                          <m:sub>
                            <m:r>
                              <a:rPr lang="es-AR" sz="1400" i="1">
                                <a:latin typeface="Cambria Math" panose="02040503050406030204" pitchFamily="18" charset="0"/>
                              </a:rPr>
                              <m:t>𝑖</m:t>
                            </m:r>
                          </m:sub>
                        </m:sSub>
                        <m:r>
                          <a:rPr lang="es-AR" sz="1400" i="1">
                            <a:latin typeface="Cambria Math" panose="02040503050406030204" pitchFamily="18" charset="0"/>
                          </a:rPr>
                          <m:t>)</m:t>
                        </m:r>
                      </m:e>
                    </m:nary>
                  </m:oMath>
                </m:oMathPara>
              </a14:m>
              <a:endParaRPr lang="es-AR" sz="1400"/>
            </a:p>
          </xdr:txBody>
        </xdr:sp>
      </mc:Choice>
      <mc:Fallback xmlns="">
        <xdr:sp macro="" textlink="">
          <xdr:nvSpPr>
            <xdr:cNvPr id="13" name="CuadroTexto 8">
              <a:extLst>
                <a:ext uri="{FF2B5EF4-FFF2-40B4-BE49-F238E27FC236}">
                  <a16:creationId xmlns:a16="http://schemas.microsoft.com/office/drawing/2014/main" id="{21A8CDDE-C127-0A40-AC4B-44F2419E6BB2}"/>
                </a:ext>
              </a:extLst>
            </xdr:cNvPr>
            <xdr:cNvSpPr txBox="1"/>
          </xdr:nvSpPr>
          <xdr:spPr>
            <a:xfrm>
              <a:off x="1657350" y="8553450"/>
              <a:ext cx="1847850" cy="605807"/>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b="0" i="0">
                  <a:latin typeface="Cambria Math" panose="02040503050406030204" pitchFamily="18" charset="0"/>
                </a:rPr>
                <a:t>𝐸(𝑟_𝑐 )=</a:t>
              </a:r>
              <a:r>
                <a:rPr lang="es-AR" sz="1400" i="0">
                  <a:latin typeface="Cambria Math" panose="02040503050406030204" pitchFamily="18" charset="0"/>
                </a:rPr>
                <a:t>∑_(𝑛=1)^𝑁▒〖</a:t>
              </a:r>
              <a:r>
                <a:rPr lang="es-AR" sz="1400" i="0">
                  <a:latin typeface="Cambria Math" panose="02040503050406030204" pitchFamily="18" charset="0"/>
                  <a:ea typeface="Cambria Math" panose="02040503050406030204" pitchFamily="18" charset="0"/>
                </a:rPr>
                <a:t>𝜔_</a:t>
              </a:r>
              <a:r>
                <a:rPr lang="es-AR" sz="1400" i="0">
                  <a:latin typeface="Cambria Math" panose="02040503050406030204" pitchFamily="18" charset="0"/>
                </a:rPr>
                <a:t>𝑖  𝐸(𝑟_𝑖)〗</a:t>
              </a:r>
              <a:endParaRPr lang="es-AR" sz="1400"/>
            </a:p>
          </xdr:txBody>
        </xdr:sp>
      </mc:Fallback>
    </mc:AlternateContent>
    <xdr:clientData/>
  </xdr:twoCellAnchor>
  <xdr:twoCellAnchor>
    <xdr:from>
      <xdr:col>1</xdr:col>
      <xdr:colOff>866772</xdr:colOff>
      <xdr:row>52</xdr:row>
      <xdr:rowOff>123824</xdr:rowOff>
    </xdr:from>
    <xdr:to>
      <xdr:col>8</xdr:col>
      <xdr:colOff>523875</xdr:colOff>
      <xdr:row>53</xdr:row>
      <xdr:rowOff>121196</xdr:rowOff>
    </xdr:to>
    <mc:AlternateContent xmlns:mc="http://schemas.openxmlformats.org/markup-compatibility/2006" xmlns:a14="http://schemas.microsoft.com/office/drawing/2010/main">
      <mc:Choice Requires="a14">
        <xdr:sp macro="" textlink="">
          <xdr:nvSpPr>
            <xdr:cNvPr id="14" name="CuadroTexto 8">
              <a:extLst>
                <a:ext uri="{FF2B5EF4-FFF2-40B4-BE49-F238E27FC236}">
                  <a16:creationId xmlns:a16="http://schemas.microsoft.com/office/drawing/2014/main" id="{5AC64C8F-4E41-8845-B8B9-32580EA7B81F}"/>
                </a:ext>
              </a:extLst>
            </xdr:cNvPr>
            <xdr:cNvSpPr txBox="1"/>
          </xdr:nvSpPr>
          <xdr:spPr>
            <a:xfrm>
              <a:off x="1743072" y="10372724"/>
              <a:ext cx="9144003"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𝐻𝑢𝑚𝑎𝑛𝑒𝑥</m:t>
                            </m:r>
                          </m:sub>
                        </m:sSub>
                      </m:e>
                    </m:d>
                    <m:r>
                      <a:rPr lang="es-AR" sz="1200" b="0" i="1">
                        <a:latin typeface="Cambria Math" panose="02040503050406030204" pitchFamily="18" charset="0"/>
                      </a:rPr>
                      <m:t>=0,5</m:t>
                    </m:r>
                    <m:r>
                      <a:rPr lang="es-AR" sz="1200" i="1" kern="1200">
                        <a:solidFill>
                          <a:schemeClr val="tx1"/>
                        </a:solidFill>
                        <a:effectLst/>
                        <a:latin typeface="Cambria Math" panose="02040503050406030204" pitchFamily="18" charset="0"/>
                        <a:ea typeface="+mn-ea"/>
                        <a:cs typeface="+mn-cs"/>
                      </a:rPr>
                      <m:t>𝐸</m:t>
                    </m:r>
                    <m:d>
                      <m:dPr>
                        <m:ctrlPr>
                          <a:rPr lang="es-AR" sz="1200" i="1" kern="1200">
                            <a:solidFill>
                              <a:schemeClr val="tx1"/>
                            </a:solidFill>
                            <a:effectLst/>
                            <a:latin typeface="Cambria Math" panose="02040503050406030204" pitchFamily="18" charset="0"/>
                            <a:ea typeface="+mn-ea"/>
                            <a:cs typeface="+mn-cs"/>
                          </a:rPr>
                        </m:ctrlPr>
                      </m:dPr>
                      <m:e>
                        <m:sSub>
                          <m:sSubPr>
                            <m:ctrlPr>
                              <a:rPr lang="es-AR" sz="1200" i="1" kern="1200">
                                <a:solidFill>
                                  <a:schemeClr val="tx1"/>
                                </a:solidFill>
                                <a:effectLst/>
                                <a:latin typeface="Cambria Math" panose="02040503050406030204" pitchFamily="18" charset="0"/>
                                <a:ea typeface="+mn-ea"/>
                                <a:cs typeface="+mn-cs"/>
                              </a:rPr>
                            </m:ctrlPr>
                          </m:sSubPr>
                          <m:e>
                            <m:r>
                              <a:rPr lang="es-AR" sz="1200" i="1" kern="1200">
                                <a:solidFill>
                                  <a:schemeClr val="tx1"/>
                                </a:solidFill>
                                <a:effectLst/>
                                <a:latin typeface="Cambria Math" panose="02040503050406030204" pitchFamily="18" charset="0"/>
                                <a:ea typeface="+mn-ea"/>
                                <a:cs typeface="+mn-cs"/>
                              </a:rPr>
                              <m:t>𝑟</m:t>
                            </m:r>
                          </m:e>
                          <m:sub>
                            <m:r>
                              <a:rPr lang="es-AR" sz="1200" b="0" i="1" kern="1200">
                                <a:solidFill>
                                  <a:schemeClr val="tx1"/>
                                </a:solidFill>
                                <a:effectLst/>
                                <a:latin typeface="Cambria Math" panose="02040503050406030204" pitchFamily="18" charset="0"/>
                                <a:ea typeface="+mn-ea"/>
                                <a:cs typeface="+mn-cs"/>
                              </a:rPr>
                              <m:t>𝐵𝑒𝑠𝑡</m:t>
                            </m:r>
                          </m:sub>
                        </m:sSub>
                      </m:e>
                    </m:d>
                    <m:r>
                      <a:rPr lang="es-AR" sz="1200" b="0" i="1">
                        <a:latin typeface="Cambria Math" panose="02040503050406030204" pitchFamily="18" charset="0"/>
                      </a:rPr>
                      <m:t>+0,5</m:t>
                    </m:r>
                    <m:r>
                      <a:rPr lang="es-AR" sz="1200" i="1" kern="1200">
                        <a:solidFill>
                          <a:schemeClr val="tx1"/>
                        </a:solidFill>
                        <a:effectLst/>
                        <a:latin typeface="Cambria Math" panose="02040503050406030204" pitchFamily="18" charset="0"/>
                        <a:ea typeface="+mn-ea"/>
                        <a:cs typeface="+mn-cs"/>
                      </a:rPr>
                      <m:t>𝐸</m:t>
                    </m:r>
                    <m:d>
                      <m:dPr>
                        <m:ctrlPr>
                          <a:rPr lang="es-AR" sz="1200" i="1" kern="1200">
                            <a:solidFill>
                              <a:schemeClr val="tx1"/>
                            </a:solidFill>
                            <a:effectLst/>
                            <a:latin typeface="Cambria Math" panose="02040503050406030204" pitchFamily="18" charset="0"/>
                            <a:ea typeface="+mn-ea"/>
                            <a:cs typeface="+mn-cs"/>
                          </a:rPr>
                        </m:ctrlPr>
                      </m:dPr>
                      <m:e>
                        <m:sSub>
                          <m:sSubPr>
                            <m:ctrlPr>
                              <a:rPr lang="es-AR" sz="1200" i="1" kern="1200">
                                <a:solidFill>
                                  <a:schemeClr val="tx1"/>
                                </a:solidFill>
                                <a:effectLst/>
                                <a:latin typeface="Cambria Math" panose="02040503050406030204" pitchFamily="18" charset="0"/>
                                <a:ea typeface="+mn-ea"/>
                                <a:cs typeface="+mn-cs"/>
                              </a:rPr>
                            </m:ctrlPr>
                          </m:sSubPr>
                          <m:e>
                            <m:r>
                              <a:rPr lang="es-AR" sz="1200" i="1" kern="1200">
                                <a:solidFill>
                                  <a:schemeClr val="tx1"/>
                                </a:solidFill>
                                <a:effectLst/>
                                <a:latin typeface="Cambria Math" panose="02040503050406030204" pitchFamily="18" charset="0"/>
                                <a:ea typeface="+mn-ea"/>
                                <a:cs typeface="+mn-cs"/>
                              </a:rPr>
                              <m:t>𝑟</m:t>
                            </m:r>
                          </m:e>
                          <m:sub>
                            <m:r>
                              <a:rPr lang="es-AR" sz="1200" b="0" i="1" kern="1200">
                                <a:solidFill>
                                  <a:schemeClr val="tx1"/>
                                </a:solidFill>
                                <a:effectLst/>
                                <a:latin typeface="Cambria Math" panose="02040503050406030204" pitchFamily="18" charset="0"/>
                                <a:ea typeface="+mn-ea"/>
                                <a:cs typeface="+mn-cs"/>
                              </a:rPr>
                              <m:t>𝑇</m:t>
                            </m:r>
                            <m:r>
                              <a:rPr lang="es-AR" sz="1200" b="0" i="1" kern="1200">
                                <a:solidFill>
                                  <a:schemeClr val="tx1"/>
                                </a:solidFill>
                                <a:effectLst/>
                                <a:latin typeface="Cambria Math" panose="02040503050406030204" pitchFamily="18" charset="0"/>
                                <a:ea typeface="+mn-ea"/>
                                <a:cs typeface="+mn-cs"/>
                              </a:rPr>
                              <m:t> </m:t>
                            </m:r>
                            <m:r>
                              <a:rPr lang="es-AR" sz="1200" b="0" i="1" kern="1200">
                                <a:solidFill>
                                  <a:schemeClr val="tx1"/>
                                </a:solidFill>
                                <a:effectLst/>
                                <a:latin typeface="Cambria Math" panose="02040503050406030204" pitchFamily="18" charset="0"/>
                                <a:ea typeface="+mn-ea"/>
                                <a:cs typeface="+mn-cs"/>
                              </a:rPr>
                              <m:t>𝑏𝑖𝑙𝑙𝑠</m:t>
                            </m:r>
                          </m:sub>
                        </m:sSub>
                      </m:e>
                    </m:d>
                    <m:r>
                      <a:rPr lang="es-AR" sz="1200" b="0" i="1" kern="1200">
                        <a:solidFill>
                          <a:schemeClr val="tx1"/>
                        </a:solidFill>
                        <a:effectLst/>
                        <a:latin typeface="Cambria Math" panose="02040503050406030204" pitchFamily="18" charset="0"/>
                        <a:ea typeface="+mn-ea"/>
                        <a:cs typeface="+mn-cs"/>
                      </a:rPr>
                      <m:t>=0,5</m:t>
                    </m:r>
                    <m:d>
                      <m:dPr>
                        <m:ctrlPr>
                          <a:rPr lang="es-AR" sz="120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0,105</m:t>
                        </m:r>
                      </m:e>
                    </m:d>
                    <m:r>
                      <a:rPr lang="es-AR" sz="1200" b="0" i="1" kern="1200">
                        <a:solidFill>
                          <a:schemeClr val="tx1"/>
                        </a:solidFill>
                        <a:effectLst/>
                        <a:latin typeface="Cambria Math" panose="02040503050406030204" pitchFamily="18" charset="0"/>
                        <a:ea typeface="+mn-ea"/>
                        <a:cs typeface="+mn-cs"/>
                      </a:rPr>
                      <m:t>+0,5</m:t>
                    </m:r>
                    <m:d>
                      <m:dPr>
                        <m:ctrlPr>
                          <a:rPr lang="es-AR" sz="120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0,05</m:t>
                        </m:r>
                      </m:e>
                    </m:d>
                    <m:r>
                      <a:rPr lang="es-AR" sz="1200" b="0" i="1" kern="1200">
                        <a:solidFill>
                          <a:schemeClr val="tx1"/>
                        </a:solidFill>
                        <a:effectLst/>
                        <a:latin typeface="Cambria Math" panose="02040503050406030204" pitchFamily="18" charset="0"/>
                        <a:ea typeface="+mn-ea"/>
                        <a:cs typeface="+mn-cs"/>
                      </a:rPr>
                      <m:t>=0,0775  ó  7,75%</m:t>
                    </m:r>
                  </m:oMath>
                </m:oMathPara>
              </a14:m>
              <a:endParaRPr lang="es-AR" sz="1200"/>
            </a:p>
          </xdr:txBody>
        </xdr:sp>
      </mc:Choice>
      <mc:Fallback xmlns="">
        <xdr:sp macro="" textlink="">
          <xdr:nvSpPr>
            <xdr:cNvPr id="14" name="CuadroTexto 8">
              <a:extLst>
                <a:ext uri="{FF2B5EF4-FFF2-40B4-BE49-F238E27FC236}">
                  <a16:creationId xmlns:a16="http://schemas.microsoft.com/office/drawing/2014/main" id="{5AC64C8F-4E41-8845-B8B9-32580EA7B81F}"/>
                </a:ext>
              </a:extLst>
            </xdr:cNvPr>
            <xdr:cNvSpPr txBox="1"/>
          </xdr:nvSpPr>
          <xdr:spPr>
            <a:xfrm>
              <a:off x="1743072" y="10372724"/>
              <a:ext cx="9144003"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s-AR" sz="1200" b="0" i="0">
                  <a:latin typeface="Cambria Math" panose="02040503050406030204" pitchFamily="18" charset="0"/>
                </a:rPr>
                <a:t>𝐸(𝑟_𝐻𝑢𝑚𝑎𝑛𝑒𝑥 )=0,5</a:t>
              </a:r>
              <a:r>
                <a:rPr lang="es-AR" sz="1200" i="0" kern="1200">
                  <a:solidFill>
                    <a:schemeClr val="tx1"/>
                  </a:solidFill>
                  <a:effectLst/>
                  <a:latin typeface="Cambria Math" panose="02040503050406030204" pitchFamily="18" charset="0"/>
                  <a:ea typeface="+mn-ea"/>
                  <a:cs typeface="+mn-cs"/>
                </a:rPr>
                <a:t>𝐸(𝑟_</a:t>
              </a:r>
              <a:r>
                <a:rPr lang="es-AR" sz="1200" b="0" i="0" kern="1200">
                  <a:solidFill>
                    <a:schemeClr val="tx1"/>
                  </a:solidFill>
                  <a:effectLst/>
                  <a:latin typeface="Cambria Math" panose="02040503050406030204" pitchFamily="18" charset="0"/>
                  <a:ea typeface="+mn-ea"/>
                  <a:cs typeface="+mn-cs"/>
                </a:rPr>
                <a:t>𝐵𝑒𝑠𝑡 )</a:t>
              </a:r>
              <a:r>
                <a:rPr lang="es-AR" sz="1200" b="0" i="0">
                  <a:latin typeface="Cambria Math" panose="02040503050406030204" pitchFamily="18" charset="0"/>
                </a:rPr>
                <a:t>+0,5</a:t>
              </a:r>
              <a:r>
                <a:rPr lang="es-AR" sz="1200" i="0" kern="1200">
                  <a:solidFill>
                    <a:schemeClr val="tx1"/>
                  </a:solidFill>
                  <a:effectLst/>
                  <a:latin typeface="Cambria Math" panose="02040503050406030204" pitchFamily="18" charset="0"/>
                  <a:ea typeface="+mn-ea"/>
                  <a:cs typeface="+mn-cs"/>
                </a:rPr>
                <a:t>𝐸(𝑟_(</a:t>
              </a:r>
              <a:r>
                <a:rPr lang="es-AR" sz="1200" b="0" i="0" kern="1200">
                  <a:solidFill>
                    <a:schemeClr val="tx1"/>
                  </a:solidFill>
                  <a:effectLst/>
                  <a:latin typeface="Cambria Math" panose="02040503050406030204" pitchFamily="18" charset="0"/>
                  <a:ea typeface="+mn-ea"/>
                  <a:cs typeface="+mn-cs"/>
                </a:rPr>
                <a:t>𝑇 𝑏𝑖𝑙𝑙𝑠) )=0,5</a:t>
              </a:r>
              <a:r>
                <a:rPr lang="es-AR" sz="1200" i="0" kern="1200">
                  <a:solidFill>
                    <a:schemeClr val="tx1"/>
                  </a:solidFill>
                  <a:effectLst/>
                  <a:latin typeface="Cambria Math" panose="02040503050406030204" pitchFamily="18" charset="0"/>
                  <a:ea typeface="+mn-ea"/>
                  <a:cs typeface="+mn-cs"/>
                </a:rPr>
                <a:t>(</a:t>
              </a:r>
              <a:r>
                <a:rPr lang="es-AR" sz="1200" b="0" i="0" kern="1200">
                  <a:solidFill>
                    <a:schemeClr val="tx1"/>
                  </a:solidFill>
                  <a:effectLst/>
                  <a:latin typeface="Cambria Math" panose="02040503050406030204" pitchFamily="18" charset="0"/>
                  <a:ea typeface="+mn-ea"/>
                  <a:cs typeface="+mn-cs"/>
                </a:rPr>
                <a:t>0,105)+0,5</a:t>
              </a:r>
              <a:r>
                <a:rPr lang="es-AR" sz="1200" i="0" kern="1200">
                  <a:solidFill>
                    <a:schemeClr val="tx1"/>
                  </a:solidFill>
                  <a:effectLst/>
                  <a:latin typeface="Cambria Math" panose="02040503050406030204" pitchFamily="18" charset="0"/>
                  <a:ea typeface="+mn-ea"/>
                  <a:cs typeface="+mn-cs"/>
                </a:rPr>
                <a:t>(</a:t>
              </a:r>
              <a:r>
                <a:rPr lang="es-AR" sz="1200" b="0" i="0" kern="1200">
                  <a:solidFill>
                    <a:schemeClr val="tx1"/>
                  </a:solidFill>
                  <a:effectLst/>
                  <a:latin typeface="Cambria Math" panose="02040503050406030204" pitchFamily="18" charset="0"/>
                  <a:ea typeface="+mn-ea"/>
                  <a:cs typeface="+mn-cs"/>
                </a:rPr>
                <a:t>0,05)=0,0775  ó  7,75%</a:t>
              </a:r>
              <a:endParaRPr lang="es-AR" sz="1200"/>
            </a:p>
          </xdr:txBody>
        </xdr:sp>
      </mc:Fallback>
    </mc:AlternateContent>
    <xdr:clientData/>
  </xdr:twoCellAnchor>
  <xdr:twoCellAnchor>
    <xdr:from>
      <xdr:col>1</xdr:col>
      <xdr:colOff>895350</xdr:colOff>
      <xdr:row>54</xdr:row>
      <xdr:rowOff>171449</xdr:rowOff>
    </xdr:from>
    <xdr:to>
      <xdr:col>2</xdr:col>
      <xdr:colOff>990600</xdr:colOff>
      <xdr:row>55</xdr:row>
      <xdr:rowOff>168821</xdr:rowOff>
    </xdr:to>
    <mc:AlternateContent xmlns:mc="http://schemas.openxmlformats.org/markup-compatibility/2006" xmlns:a14="http://schemas.microsoft.com/office/drawing/2010/main">
      <mc:Choice Requires="a14">
        <xdr:sp macro="" textlink="">
          <xdr:nvSpPr>
            <xdr:cNvPr id="15" name="CuadroTexto 8">
              <a:extLst>
                <a:ext uri="{FF2B5EF4-FFF2-40B4-BE49-F238E27FC236}">
                  <a16:creationId xmlns:a16="http://schemas.microsoft.com/office/drawing/2014/main" id="{A918EBC9-7444-7648-A0F7-172820088445}"/>
                </a:ext>
              </a:extLst>
            </xdr:cNvPr>
            <xdr:cNvSpPr txBox="1"/>
          </xdr:nvSpPr>
          <xdr:spPr>
            <a:xfrm>
              <a:off x="1771650" y="10801349"/>
              <a:ext cx="13779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𝐻𝑢𝑚𝑎𝑛𝑒𝑥</m:t>
                            </m:r>
                          </m:sub>
                        </m:sSub>
                      </m:e>
                    </m:d>
                    <m:r>
                      <a:rPr lang="es-AR" sz="1200" b="0" i="1">
                        <a:latin typeface="Cambria Math" panose="02040503050406030204" pitchFamily="18" charset="0"/>
                      </a:rPr>
                      <m:t>=</m:t>
                    </m:r>
                  </m:oMath>
                </m:oMathPara>
              </a14:m>
              <a:endParaRPr lang="es-AR" sz="1200"/>
            </a:p>
          </xdr:txBody>
        </xdr:sp>
      </mc:Choice>
      <mc:Fallback xmlns="">
        <xdr:sp macro="" textlink="">
          <xdr:nvSpPr>
            <xdr:cNvPr id="15" name="CuadroTexto 8">
              <a:extLst>
                <a:ext uri="{FF2B5EF4-FFF2-40B4-BE49-F238E27FC236}">
                  <a16:creationId xmlns:a16="http://schemas.microsoft.com/office/drawing/2014/main" id="{A918EBC9-7444-7648-A0F7-172820088445}"/>
                </a:ext>
              </a:extLst>
            </xdr:cNvPr>
            <xdr:cNvSpPr txBox="1"/>
          </xdr:nvSpPr>
          <xdr:spPr>
            <a:xfrm>
              <a:off x="1771650" y="10801349"/>
              <a:ext cx="13779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s-AR" sz="1200" b="0" i="0">
                  <a:latin typeface="Cambria Math" panose="02040503050406030204" pitchFamily="18" charset="0"/>
                </a:rPr>
                <a:t>𝐸(𝑟_𝐻𝑢𝑚𝑎𝑛𝑒𝑥 )=</a:t>
              </a:r>
              <a:endParaRPr lang="es-AR" sz="1200"/>
            </a:p>
          </xdr:txBody>
        </xdr:sp>
      </mc:Fallback>
    </mc:AlternateContent>
    <xdr:clientData/>
  </xdr:twoCellAnchor>
  <xdr:twoCellAnchor>
    <xdr:from>
      <xdr:col>1</xdr:col>
      <xdr:colOff>885825</xdr:colOff>
      <xdr:row>67</xdr:row>
      <xdr:rowOff>0</xdr:rowOff>
    </xdr:from>
    <xdr:to>
      <xdr:col>2</xdr:col>
      <xdr:colOff>1324703</xdr:colOff>
      <xdr:row>68</xdr:row>
      <xdr:rowOff>28663</xdr:rowOff>
    </xdr:to>
    <mc:AlternateContent xmlns:mc="http://schemas.openxmlformats.org/markup-compatibility/2006" xmlns:a14="http://schemas.microsoft.com/office/drawing/2010/main">
      <mc:Choice Requires="a14">
        <xdr:sp macro="" textlink="">
          <xdr:nvSpPr>
            <xdr:cNvPr id="16" name="CuadroTexto 6">
              <a:extLst>
                <a:ext uri="{FF2B5EF4-FFF2-40B4-BE49-F238E27FC236}">
                  <a16:creationId xmlns:a16="http://schemas.microsoft.com/office/drawing/2014/main" id="{D1AB76BB-15E1-2849-A345-A3C0D2D41ECA}"/>
                </a:ext>
              </a:extLst>
            </xdr:cNvPr>
            <xdr:cNvSpPr txBox="1"/>
          </xdr:nvSpPr>
          <xdr:spPr>
            <a:xfrm>
              <a:off x="1762125" y="13373100"/>
              <a:ext cx="1480278" cy="21916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400" i="1">
                            <a:latin typeface="Cambria Math" panose="02040503050406030204" pitchFamily="18" charset="0"/>
                          </a:rPr>
                        </m:ctrlPr>
                      </m:sSubPr>
                      <m:e>
                        <m:r>
                          <a:rPr lang="es-AR" sz="140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𝐶</m:t>
                        </m:r>
                      </m:sub>
                    </m:sSub>
                    <m:r>
                      <a:rPr lang="es-AR" sz="1400" b="0" i="1">
                        <a:latin typeface="Cambria Math" panose="02040503050406030204" pitchFamily="18" charset="0"/>
                      </a:rPr>
                      <m:t>=</m:t>
                    </m:r>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𝑖</m:t>
                        </m:r>
                      </m:sub>
                    </m:sSub>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𝑖</m:t>
                        </m:r>
                      </m:sub>
                    </m:sSub>
                  </m:oMath>
                </m:oMathPara>
              </a14:m>
              <a:endParaRPr lang="es-AR" sz="1400"/>
            </a:p>
          </xdr:txBody>
        </xdr:sp>
      </mc:Choice>
      <mc:Fallback xmlns="">
        <xdr:sp macro="" textlink="">
          <xdr:nvSpPr>
            <xdr:cNvPr id="16" name="CuadroTexto 6">
              <a:extLst>
                <a:ext uri="{FF2B5EF4-FFF2-40B4-BE49-F238E27FC236}">
                  <a16:creationId xmlns:a16="http://schemas.microsoft.com/office/drawing/2014/main" id="{D1AB76BB-15E1-2849-A345-A3C0D2D41ECA}"/>
                </a:ext>
              </a:extLst>
            </xdr:cNvPr>
            <xdr:cNvSpPr txBox="1"/>
          </xdr:nvSpPr>
          <xdr:spPr>
            <a:xfrm>
              <a:off x="1762125" y="13373100"/>
              <a:ext cx="1480278" cy="21916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𝐶=</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𝑖 </a:t>
              </a:r>
              <a:r>
                <a:rPr lang="es-AR" sz="1400" b="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𝑖</a:t>
              </a:r>
              <a:endParaRPr lang="es-AR" sz="1400"/>
            </a:p>
          </xdr:txBody>
        </xdr:sp>
      </mc:Fallback>
    </mc:AlternateContent>
    <xdr:clientData/>
  </xdr:twoCellAnchor>
  <xdr:twoCellAnchor>
    <xdr:from>
      <xdr:col>2</xdr:col>
      <xdr:colOff>0</xdr:colOff>
      <xdr:row>69</xdr:row>
      <xdr:rowOff>66675</xdr:rowOff>
    </xdr:from>
    <xdr:to>
      <xdr:col>4</xdr:col>
      <xdr:colOff>342900</xdr:colOff>
      <xdr:row>70</xdr:row>
      <xdr:rowOff>64047</xdr:rowOff>
    </xdr:to>
    <mc:AlternateContent xmlns:mc="http://schemas.openxmlformats.org/markup-compatibility/2006" xmlns:a14="http://schemas.microsoft.com/office/drawing/2010/main">
      <mc:Choice Requires="a14">
        <xdr:sp macro="" textlink="">
          <xdr:nvSpPr>
            <xdr:cNvPr id="17" name="CuadroTexto 6">
              <a:extLst>
                <a:ext uri="{FF2B5EF4-FFF2-40B4-BE49-F238E27FC236}">
                  <a16:creationId xmlns:a16="http://schemas.microsoft.com/office/drawing/2014/main" id="{844915B4-3699-F742-BC9C-084E0C4EF179}"/>
                </a:ext>
              </a:extLst>
            </xdr:cNvPr>
            <xdr:cNvSpPr txBox="1"/>
          </xdr:nvSpPr>
          <xdr:spPr>
            <a:xfrm>
              <a:off x="2159000" y="13820775"/>
              <a:ext cx="30226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i="1">
                            <a:latin typeface="Cambria Math" panose="02040503050406030204" pitchFamily="18" charset="0"/>
                          </a:rPr>
                        </m:ctrlPr>
                      </m:sSub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𝐻𝑢𝑚𝑎𝑛𝑒𝑥</m:t>
                        </m:r>
                      </m:sub>
                    </m:sSub>
                    <m:r>
                      <a:rPr lang="es-AR" sz="1200" b="0" i="1">
                        <a:latin typeface="Cambria Math" panose="02040503050406030204" pitchFamily="18" charset="0"/>
                      </a:rPr>
                      <m:t>=0,5</m:t>
                    </m:r>
                    <m:sSub>
                      <m:sSubPr>
                        <m:ctrlPr>
                          <a:rPr lang="es-AR" sz="1200" b="0" i="1">
                            <a:latin typeface="Cambria Math" panose="02040503050406030204" pitchFamily="18" charset="0"/>
                          </a:rPr>
                        </m:ctrlPr>
                      </m:sSubPr>
                      <m:e>
                        <m:r>
                          <a:rPr lang="es-AR" sz="1200" b="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𝐵𝑒𝑠𝑡</m:t>
                        </m:r>
                      </m:sub>
                    </m:sSub>
                    <m:r>
                      <a:rPr lang="es-AR" sz="1200" b="0" i="1">
                        <a:latin typeface="Cambria Math" panose="02040503050406030204" pitchFamily="18" charset="0"/>
                      </a:rPr>
                      <m:t>=0,0945 ó 9,45%</m:t>
                    </m:r>
                  </m:oMath>
                </m:oMathPara>
              </a14:m>
              <a:endParaRPr lang="es-AR" sz="1200"/>
            </a:p>
          </xdr:txBody>
        </xdr:sp>
      </mc:Choice>
      <mc:Fallback xmlns="">
        <xdr:sp macro="" textlink="">
          <xdr:nvSpPr>
            <xdr:cNvPr id="17" name="CuadroTexto 6">
              <a:extLst>
                <a:ext uri="{FF2B5EF4-FFF2-40B4-BE49-F238E27FC236}">
                  <a16:creationId xmlns:a16="http://schemas.microsoft.com/office/drawing/2014/main" id="{844915B4-3699-F742-BC9C-084E0C4EF179}"/>
                </a:ext>
              </a:extLst>
            </xdr:cNvPr>
            <xdr:cNvSpPr txBox="1"/>
          </xdr:nvSpPr>
          <xdr:spPr>
            <a:xfrm>
              <a:off x="2159000" y="13820775"/>
              <a:ext cx="30226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𝐻𝑢𝑚𝑎𝑛𝑒𝑥=0,5</a:t>
              </a:r>
              <a:r>
                <a:rPr lang="es-AR" sz="1200" b="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𝐵𝑒𝑠𝑡=0,0945 ó 9,45%</a:t>
              </a:r>
              <a:endParaRPr lang="es-AR" sz="1200"/>
            </a:p>
          </xdr:txBody>
        </xdr:sp>
      </mc:Fallback>
    </mc:AlternateContent>
    <xdr:clientData/>
  </xdr:twoCellAnchor>
  <xdr:twoCellAnchor>
    <xdr:from>
      <xdr:col>2</xdr:col>
      <xdr:colOff>1</xdr:colOff>
      <xdr:row>72</xdr:row>
      <xdr:rowOff>0</xdr:rowOff>
    </xdr:from>
    <xdr:to>
      <xdr:col>2</xdr:col>
      <xdr:colOff>1181101</xdr:colOff>
      <xdr:row>72</xdr:row>
      <xdr:rowOff>187872</xdr:rowOff>
    </xdr:to>
    <mc:AlternateContent xmlns:mc="http://schemas.openxmlformats.org/markup-compatibility/2006" xmlns:a14="http://schemas.microsoft.com/office/drawing/2010/main">
      <mc:Choice Requires="a14">
        <xdr:sp macro="" textlink="">
          <xdr:nvSpPr>
            <xdr:cNvPr id="18" name="CuadroTexto 6">
              <a:extLst>
                <a:ext uri="{FF2B5EF4-FFF2-40B4-BE49-F238E27FC236}">
                  <a16:creationId xmlns:a16="http://schemas.microsoft.com/office/drawing/2014/main" id="{F2F745C7-B47D-C641-8AF8-C93ED61A738D}"/>
                </a:ext>
              </a:extLst>
            </xdr:cNvPr>
            <xdr:cNvSpPr txBox="1"/>
          </xdr:nvSpPr>
          <xdr:spPr>
            <a:xfrm>
              <a:off x="2159001" y="14325600"/>
              <a:ext cx="10795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i="1">
                            <a:latin typeface="Cambria Math" panose="02040503050406030204" pitchFamily="18" charset="0"/>
                          </a:rPr>
                        </m:ctrlPr>
                      </m:sSub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𝐻𝑢𝑚𝑎𝑛𝑒𝑥</m:t>
                        </m:r>
                      </m:sub>
                    </m:sSub>
                    <m:r>
                      <a:rPr lang="es-AR" sz="1200" b="0" i="1">
                        <a:latin typeface="Cambria Math" panose="02040503050406030204" pitchFamily="18" charset="0"/>
                      </a:rPr>
                      <m:t>=</m:t>
                    </m:r>
                  </m:oMath>
                </m:oMathPara>
              </a14:m>
              <a:endParaRPr lang="es-AR" sz="1200"/>
            </a:p>
          </xdr:txBody>
        </xdr:sp>
      </mc:Choice>
      <mc:Fallback xmlns="">
        <xdr:sp macro="" textlink="">
          <xdr:nvSpPr>
            <xdr:cNvPr id="18" name="CuadroTexto 6">
              <a:extLst>
                <a:ext uri="{FF2B5EF4-FFF2-40B4-BE49-F238E27FC236}">
                  <a16:creationId xmlns:a16="http://schemas.microsoft.com/office/drawing/2014/main" id="{F2F745C7-B47D-C641-8AF8-C93ED61A738D}"/>
                </a:ext>
              </a:extLst>
            </xdr:cNvPr>
            <xdr:cNvSpPr txBox="1"/>
          </xdr:nvSpPr>
          <xdr:spPr>
            <a:xfrm>
              <a:off x="2159001" y="14325600"/>
              <a:ext cx="10795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𝐻𝑢𝑚𝑎𝑛𝑒𝑥=</a:t>
              </a:r>
              <a:endParaRPr lang="es-AR" sz="1200"/>
            </a:p>
          </xdr:txBody>
        </xdr:sp>
      </mc:Fallback>
    </mc:AlternateContent>
    <xdr:clientData/>
  </xdr:twoCellAnchor>
  <xdr:twoCellAnchor>
    <xdr:from>
      <xdr:col>2</xdr:col>
      <xdr:colOff>0</xdr:colOff>
      <xdr:row>40</xdr:row>
      <xdr:rowOff>0</xdr:rowOff>
    </xdr:from>
    <xdr:to>
      <xdr:col>2</xdr:col>
      <xdr:colOff>723900</xdr:colOff>
      <xdr:row>40</xdr:row>
      <xdr:rowOff>187872</xdr:rowOff>
    </xdr:to>
    <mc:AlternateContent xmlns:mc="http://schemas.openxmlformats.org/markup-compatibility/2006" xmlns:a14="http://schemas.microsoft.com/office/drawing/2010/main">
      <mc:Choice Requires="a14">
        <xdr:sp macro="" textlink="">
          <xdr:nvSpPr>
            <xdr:cNvPr id="19" name="CuadroTexto 5">
              <a:extLst>
                <a:ext uri="{FF2B5EF4-FFF2-40B4-BE49-F238E27FC236}">
                  <a16:creationId xmlns:a16="http://schemas.microsoft.com/office/drawing/2014/main" id="{11F1A60A-1821-1C4C-9411-70174BD8F65D}"/>
                </a:ext>
              </a:extLst>
            </xdr:cNvPr>
            <xdr:cNvSpPr txBox="1"/>
          </xdr:nvSpPr>
          <xdr:spPr>
            <a:xfrm>
              <a:off x="2159000" y="7962900"/>
              <a:ext cx="7239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b="0" i="1">
                            <a:latin typeface="Cambria Math" panose="02040503050406030204" pitchFamily="18" charset="0"/>
                          </a:rPr>
                        </m:ctrlPr>
                      </m:sSubPr>
                      <m:e>
                        <m:r>
                          <a:rPr lang="es-AR" sz="1200" b="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𝐵𝑒𝑠𝑡</m:t>
                        </m:r>
                      </m:sub>
                    </m:sSub>
                    <m:r>
                      <a:rPr lang="es-AR" sz="1200" b="0" i="1">
                        <a:latin typeface="Cambria Math" panose="02040503050406030204" pitchFamily="18" charset="0"/>
                      </a:rPr>
                      <m:t>=</m:t>
                    </m:r>
                  </m:oMath>
                </m:oMathPara>
              </a14:m>
              <a:endParaRPr lang="es-AR" sz="1200"/>
            </a:p>
          </xdr:txBody>
        </xdr:sp>
      </mc:Choice>
      <mc:Fallback xmlns="">
        <xdr:sp macro="" textlink="">
          <xdr:nvSpPr>
            <xdr:cNvPr id="19" name="CuadroTexto 5">
              <a:extLst>
                <a:ext uri="{FF2B5EF4-FFF2-40B4-BE49-F238E27FC236}">
                  <a16:creationId xmlns:a16="http://schemas.microsoft.com/office/drawing/2014/main" id="{11F1A60A-1821-1C4C-9411-70174BD8F65D}"/>
                </a:ext>
              </a:extLst>
            </xdr:cNvPr>
            <xdr:cNvSpPr txBox="1"/>
          </xdr:nvSpPr>
          <xdr:spPr>
            <a:xfrm>
              <a:off x="2159000" y="7962900"/>
              <a:ext cx="7239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𝐵𝑒𝑠𝑡=</a:t>
              </a:r>
              <a:endParaRPr lang="es-AR" sz="1200"/>
            </a:p>
          </xdr:txBody>
        </xdr:sp>
      </mc:Fallback>
    </mc:AlternateContent>
    <xdr:clientData/>
  </xdr:twoCellAnchor>
  <xdr:twoCellAnchor>
    <xdr:from>
      <xdr:col>3</xdr:col>
      <xdr:colOff>1314450</xdr:colOff>
      <xdr:row>85</xdr:row>
      <xdr:rowOff>9525</xdr:rowOff>
    </xdr:from>
    <xdr:to>
      <xdr:col>4</xdr:col>
      <xdr:colOff>333375</xdr:colOff>
      <xdr:row>86</xdr:row>
      <xdr:rowOff>47625</xdr:rowOff>
    </xdr:to>
    <xdr:cxnSp macro="">
      <xdr:nvCxnSpPr>
        <xdr:cNvPr id="20" name="Conector recto de flecha 25">
          <a:extLst>
            <a:ext uri="{FF2B5EF4-FFF2-40B4-BE49-F238E27FC236}">
              <a16:creationId xmlns:a16="http://schemas.microsoft.com/office/drawing/2014/main" id="{2063E70C-43A9-2940-A730-251A3F3DCBCF}"/>
            </a:ext>
          </a:extLst>
        </xdr:cNvPr>
        <xdr:cNvCxnSpPr/>
      </xdr:nvCxnSpPr>
      <xdr:spPr>
        <a:xfrm>
          <a:off x="4552950" y="168497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847726</xdr:colOff>
      <xdr:row>85</xdr:row>
      <xdr:rowOff>9525</xdr:rowOff>
    </xdr:from>
    <xdr:to>
      <xdr:col>3</xdr:col>
      <xdr:colOff>1314450</xdr:colOff>
      <xdr:row>86</xdr:row>
      <xdr:rowOff>47625</xdr:rowOff>
    </xdr:to>
    <xdr:cxnSp macro="">
      <xdr:nvCxnSpPr>
        <xdr:cNvPr id="21" name="Conector recto de flecha 26">
          <a:extLst>
            <a:ext uri="{FF2B5EF4-FFF2-40B4-BE49-F238E27FC236}">
              <a16:creationId xmlns:a16="http://schemas.microsoft.com/office/drawing/2014/main" id="{BDB902A4-D611-D14E-9267-A964003F4A03}"/>
            </a:ext>
          </a:extLst>
        </xdr:cNvPr>
        <xdr:cNvCxnSpPr/>
      </xdr:nvCxnSpPr>
      <xdr:spPr>
        <a:xfrm flipH="1">
          <a:off x="4086226" y="16849725"/>
          <a:ext cx="466724"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85</xdr:row>
      <xdr:rowOff>38100</xdr:rowOff>
    </xdr:from>
    <xdr:to>
      <xdr:col>5</xdr:col>
      <xdr:colOff>704850</xdr:colOff>
      <xdr:row>86</xdr:row>
      <xdr:rowOff>142875</xdr:rowOff>
    </xdr:to>
    <xdr:cxnSp macro="">
      <xdr:nvCxnSpPr>
        <xdr:cNvPr id="22" name="Conector recto de flecha 27">
          <a:extLst>
            <a:ext uri="{FF2B5EF4-FFF2-40B4-BE49-F238E27FC236}">
              <a16:creationId xmlns:a16="http://schemas.microsoft.com/office/drawing/2014/main" id="{FCBFA50F-EA17-514A-9C3F-98C6E43E04E1}"/>
            </a:ext>
          </a:extLst>
        </xdr:cNvPr>
        <xdr:cNvCxnSpPr/>
      </xdr:nvCxnSpPr>
      <xdr:spPr>
        <a:xfrm>
          <a:off x="6664326" y="168783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685800</xdr:colOff>
      <xdr:row>211</xdr:row>
      <xdr:rowOff>0</xdr:rowOff>
    </xdr:from>
    <xdr:to>
      <xdr:col>3</xdr:col>
      <xdr:colOff>1143000</xdr:colOff>
      <xdr:row>212</xdr:row>
      <xdr:rowOff>60915</xdr:rowOff>
    </xdr:to>
    <mc:AlternateContent xmlns:mc="http://schemas.openxmlformats.org/markup-compatibility/2006" xmlns:a14="http://schemas.microsoft.com/office/drawing/2010/main">
      <mc:Choice Requires="a14">
        <xdr:sp macro="" textlink="">
          <xdr:nvSpPr>
            <xdr:cNvPr id="23" name="CuadroTexto 7">
              <a:extLst>
                <a:ext uri="{FF2B5EF4-FFF2-40B4-BE49-F238E27FC236}">
                  <a16:creationId xmlns:a16="http://schemas.microsoft.com/office/drawing/2014/main" id="{AEA4792E-5BB1-4143-9818-9B885086B5C7}"/>
                </a:ext>
              </a:extLst>
            </xdr:cNvPr>
            <xdr:cNvSpPr txBox="1"/>
          </xdr:nvSpPr>
          <xdr:spPr>
            <a:xfrm>
              <a:off x="1562100" y="41643300"/>
              <a:ext cx="2819400" cy="25141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s-AR" sz="1400" i="1">
                            <a:latin typeface="Cambria Math" panose="02040503050406030204" pitchFamily="18" charset="0"/>
                          </a:rPr>
                        </m:ctrlPr>
                      </m:sSubSupPr>
                      <m:e>
                        <m:r>
                          <a:rPr lang="es-AR" sz="140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𝑐</m:t>
                        </m:r>
                      </m:sub>
                      <m:sup>
                        <m:r>
                          <a:rPr lang="es-AR" sz="1400" b="0" i="1">
                            <a:latin typeface="Cambria Math" panose="02040503050406030204" pitchFamily="18" charset="0"/>
                          </a:rPr>
                          <m:t>2</m:t>
                        </m:r>
                      </m:sup>
                    </m:sSubSup>
                    <m:r>
                      <a:rPr lang="es-AR" sz="1400" b="0" i="1">
                        <a:latin typeface="Cambria Math" panose="02040503050406030204" pitchFamily="18" charset="0"/>
                      </a:rPr>
                      <m:t>=</m:t>
                    </m:r>
                    <m:sSubSup>
                      <m:sSubSupPr>
                        <m:ctrlPr>
                          <a:rPr lang="es-AR" sz="1400" b="0" i="1">
                            <a:latin typeface="Cambria Math" panose="02040503050406030204" pitchFamily="18" charset="0"/>
                          </a:rPr>
                        </m:ctrlPr>
                      </m:sSubSup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𝑖</m:t>
                        </m:r>
                      </m:sub>
                      <m:sup>
                        <m:r>
                          <a:rPr lang="es-AR" sz="1400" b="0" i="1">
                            <a:latin typeface="Cambria Math" panose="02040503050406030204" pitchFamily="18" charset="0"/>
                          </a:rPr>
                          <m:t>2</m:t>
                        </m:r>
                      </m:sup>
                    </m:sSubSup>
                    <m:sSubSup>
                      <m:sSubSupPr>
                        <m:ctrlPr>
                          <a:rPr lang="es-AR" sz="1400" b="0" i="1">
                            <a:latin typeface="Cambria Math" panose="02040503050406030204" pitchFamily="18" charset="0"/>
                          </a:rPr>
                        </m:ctrlPr>
                      </m:sSubSupPr>
                      <m:e>
                        <m:r>
                          <a:rPr lang="es-AR" sz="1400" b="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𝑖</m:t>
                        </m:r>
                      </m:sub>
                      <m:sup>
                        <m:r>
                          <a:rPr lang="es-AR" sz="1400" b="0" i="1">
                            <a:latin typeface="Cambria Math" panose="02040503050406030204" pitchFamily="18" charset="0"/>
                          </a:rPr>
                          <m:t>2</m:t>
                        </m:r>
                      </m:sup>
                    </m:sSubSup>
                    <m:r>
                      <a:rPr lang="es-AR" sz="1400" b="0" i="1">
                        <a:latin typeface="Cambria Math" panose="02040503050406030204" pitchFamily="18" charset="0"/>
                      </a:rPr>
                      <m:t>+</m:t>
                    </m:r>
                    <m:sSubSup>
                      <m:sSubSupPr>
                        <m:ctrlPr>
                          <a:rPr lang="es-AR" sz="1400" b="0" i="1">
                            <a:latin typeface="Cambria Math" panose="02040503050406030204" pitchFamily="18" charset="0"/>
                          </a:rPr>
                        </m:ctrlPr>
                      </m:sSubSup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𝑗</m:t>
                        </m:r>
                      </m:sub>
                      <m:sup>
                        <m:r>
                          <a:rPr lang="es-AR" sz="1400" b="0" i="1">
                            <a:latin typeface="Cambria Math" panose="02040503050406030204" pitchFamily="18" charset="0"/>
                          </a:rPr>
                          <m:t>2</m:t>
                        </m:r>
                      </m:sup>
                    </m:sSubSup>
                    <m:sSubSup>
                      <m:sSubSupPr>
                        <m:ctrlPr>
                          <a:rPr lang="es-AR" sz="1400" b="0" i="1">
                            <a:latin typeface="Cambria Math" panose="02040503050406030204" pitchFamily="18" charset="0"/>
                          </a:rPr>
                        </m:ctrlPr>
                      </m:sSubSupPr>
                      <m:e>
                        <m:r>
                          <a:rPr lang="es-AR" sz="1400" b="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𝑗</m:t>
                        </m:r>
                      </m:sub>
                      <m:sup>
                        <m:r>
                          <a:rPr lang="es-AR" sz="1400" b="0" i="1">
                            <a:latin typeface="Cambria Math" panose="02040503050406030204" pitchFamily="18" charset="0"/>
                          </a:rPr>
                          <m:t>2</m:t>
                        </m:r>
                      </m:sup>
                    </m:sSubSup>
                    <m:r>
                      <a:rPr lang="es-AR" sz="1400" b="0" i="1">
                        <a:latin typeface="Cambria Math" panose="02040503050406030204" pitchFamily="18" charset="0"/>
                      </a:rPr>
                      <m:t>+2</m:t>
                    </m:r>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𝑖</m:t>
                        </m:r>
                      </m:sub>
                    </m:sSub>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𝜔</m:t>
                        </m:r>
                      </m:e>
                      <m:sub>
                        <m:r>
                          <a:rPr lang="es-AR" sz="1400" b="0" i="1">
                            <a:latin typeface="Cambria Math" panose="02040503050406030204" pitchFamily="18" charset="0"/>
                          </a:rPr>
                          <m:t>𝑗</m:t>
                        </m:r>
                      </m:sub>
                    </m:sSub>
                    <m:sSub>
                      <m:sSubPr>
                        <m:ctrlPr>
                          <a:rPr lang="es-AR" sz="1400" b="0" i="1">
                            <a:latin typeface="Cambria Math" panose="02040503050406030204" pitchFamily="18" charset="0"/>
                          </a:rPr>
                        </m:ctrlPr>
                      </m:sSubPr>
                      <m:e>
                        <m:r>
                          <a:rPr lang="es-AR" sz="1400" b="0" i="1">
                            <a:latin typeface="Cambria Math" panose="02040503050406030204" pitchFamily="18" charset="0"/>
                            <a:ea typeface="Cambria Math" panose="02040503050406030204" pitchFamily="18" charset="0"/>
                          </a:rPr>
                          <m:t>𝜎</m:t>
                        </m:r>
                      </m:e>
                      <m:sub>
                        <m:r>
                          <a:rPr lang="es-AR" sz="1400" b="0" i="1">
                            <a:latin typeface="Cambria Math" panose="02040503050406030204" pitchFamily="18" charset="0"/>
                          </a:rPr>
                          <m:t>𝑖𝑗</m:t>
                        </m:r>
                      </m:sub>
                    </m:sSub>
                  </m:oMath>
                </m:oMathPara>
              </a14:m>
              <a:endParaRPr lang="es-AR" sz="1400"/>
            </a:p>
          </xdr:txBody>
        </xdr:sp>
      </mc:Choice>
      <mc:Fallback xmlns="">
        <xdr:sp macro="" textlink="">
          <xdr:nvSpPr>
            <xdr:cNvPr id="23" name="CuadroTexto 7">
              <a:extLst>
                <a:ext uri="{FF2B5EF4-FFF2-40B4-BE49-F238E27FC236}">
                  <a16:creationId xmlns:a16="http://schemas.microsoft.com/office/drawing/2014/main" id="{AEA4792E-5BB1-4143-9818-9B885086B5C7}"/>
                </a:ext>
              </a:extLst>
            </xdr:cNvPr>
            <xdr:cNvSpPr txBox="1"/>
          </xdr:nvSpPr>
          <xdr:spPr>
            <a:xfrm>
              <a:off x="1562100" y="41643300"/>
              <a:ext cx="2819400" cy="25141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𝑐^2=</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𝑖^2 </a:t>
              </a:r>
              <a:r>
                <a:rPr lang="es-AR" sz="1400" b="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𝑖^2+</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𝑗^2 </a:t>
              </a:r>
              <a:r>
                <a:rPr lang="es-AR" sz="1400" b="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𝑗^2+2</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𝑖 </a:t>
              </a:r>
              <a:r>
                <a:rPr lang="es-AR" sz="1400" b="0" i="0">
                  <a:latin typeface="Cambria Math" panose="02040503050406030204" pitchFamily="18" charset="0"/>
                  <a:ea typeface="Cambria Math" panose="02040503050406030204" pitchFamily="18" charset="0"/>
                </a:rPr>
                <a:t>𝜔_</a:t>
              </a:r>
              <a:r>
                <a:rPr lang="es-AR" sz="1400" b="0" i="0">
                  <a:latin typeface="Cambria Math" panose="02040503050406030204" pitchFamily="18" charset="0"/>
                </a:rPr>
                <a:t>𝑗 </a:t>
              </a:r>
              <a:r>
                <a:rPr lang="es-AR" sz="1400" b="0" i="0">
                  <a:latin typeface="Cambria Math" panose="02040503050406030204" pitchFamily="18" charset="0"/>
                  <a:ea typeface="Cambria Math" panose="02040503050406030204" pitchFamily="18" charset="0"/>
                </a:rPr>
                <a:t>𝜎_</a:t>
              </a:r>
              <a:r>
                <a:rPr lang="es-AR" sz="1400" b="0" i="0">
                  <a:latin typeface="Cambria Math" panose="02040503050406030204" pitchFamily="18" charset="0"/>
                </a:rPr>
                <a:t>𝑖𝑗</a:t>
              </a:r>
              <a:endParaRPr lang="es-AR" sz="1400"/>
            </a:p>
          </xdr:txBody>
        </xdr:sp>
      </mc:Fallback>
    </mc:AlternateContent>
    <xdr:clientData/>
  </xdr:twoCellAnchor>
  <xdr:twoCellAnchor>
    <xdr:from>
      <xdr:col>3</xdr:col>
      <xdr:colOff>1314450</xdr:colOff>
      <xdr:row>104</xdr:row>
      <xdr:rowOff>9525</xdr:rowOff>
    </xdr:from>
    <xdr:to>
      <xdr:col>4</xdr:col>
      <xdr:colOff>333375</xdr:colOff>
      <xdr:row>105</xdr:row>
      <xdr:rowOff>47625</xdr:rowOff>
    </xdr:to>
    <xdr:cxnSp macro="">
      <xdr:nvCxnSpPr>
        <xdr:cNvPr id="24" name="Conector recto de flecha 31">
          <a:extLst>
            <a:ext uri="{FF2B5EF4-FFF2-40B4-BE49-F238E27FC236}">
              <a16:creationId xmlns:a16="http://schemas.microsoft.com/office/drawing/2014/main" id="{99831FC8-C17F-C94D-BA0F-17664BAF3E5E}"/>
            </a:ext>
          </a:extLst>
        </xdr:cNvPr>
        <xdr:cNvCxnSpPr/>
      </xdr:nvCxnSpPr>
      <xdr:spPr>
        <a:xfrm>
          <a:off x="4552950" y="207359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847726</xdr:colOff>
      <xdr:row>104</xdr:row>
      <xdr:rowOff>0</xdr:rowOff>
    </xdr:from>
    <xdr:to>
      <xdr:col>3</xdr:col>
      <xdr:colOff>1323975</xdr:colOff>
      <xdr:row>105</xdr:row>
      <xdr:rowOff>47625</xdr:rowOff>
    </xdr:to>
    <xdr:cxnSp macro="">
      <xdr:nvCxnSpPr>
        <xdr:cNvPr id="25" name="Conector recto de flecha 32">
          <a:extLst>
            <a:ext uri="{FF2B5EF4-FFF2-40B4-BE49-F238E27FC236}">
              <a16:creationId xmlns:a16="http://schemas.microsoft.com/office/drawing/2014/main" id="{66BA31F1-4FFD-6E46-B145-E3152F32BE43}"/>
            </a:ext>
          </a:extLst>
        </xdr:cNvPr>
        <xdr:cNvCxnSpPr/>
      </xdr:nvCxnSpPr>
      <xdr:spPr>
        <a:xfrm flipH="1">
          <a:off x="4086226" y="20726400"/>
          <a:ext cx="476249" cy="2508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104</xdr:row>
      <xdr:rowOff>38100</xdr:rowOff>
    </xdr:from>
    <xdr:to>
      <xdr:col>5</xdr:col>
      <xdr:colOff>704850</xdr:colOff>
      <xdr:row>105</xdr:row>
      <xdr:rowOff>142875</xdr:rowOff>
    </xdr:to>
    <xdr:cxnSp macro="">
      <xdr:nvCxnSpPr>
        <xdr:cNvPr id="26" name="Conector recto de flecha 33">
          <a:extLst>
            <a:ext uri="{FF2B5EF4-FFF2-40B4-BE49-F238E27FC236}">
              <a16:creationId xmlns:a16="http://schemas.microsoft.com/office/drawing/2014/main" id="{8A66594A-D2A3-0A49-8F93-5307BFFD55A8}"/>
            </a:ext>
          </a:extLst>
        </xdr:cNvPr>
        <xdr:cNvCxnSpPr/>
      </xdr:nvCxnSpPr>
      <xdr:spPr>
        <a:xfrm>
          <a:off x="6664326" y="207645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95250</xdr:colOff>
      <xdr:row>120</xdr:row>
      <xdr:rowOff>85725</xdr:rowOff>
    </xdr:from>
    <xdr:to>
      <xdr:col>5</xdr:col>
      <xdr:colOff>714376</xdr:colOff>
      <xdr:row>120</xdr:row>
      <xdr:rowOff>104775</xdr:rowOff>
    </xdr:to>
    <xdr:cxnSp macro="">
      <xdr:nvCxnSpPr>
        <xdr:cNvPr id="27" name="Conector recto de flecha 34">
          <a:extLst>
            <a:ext uri="{FF2B5EF4-FFF2-40B4-BE49-F238E27FC236}">
              <a16:creationId xmlns:a16="http://schemas.microsoft.com/office/drawing/2014/main" id="{26477089-3F84-904C-A7FA-9A06B37131BB}"/>
            </a:ext>
          </a:extLst>
        </xdr:cNvPr>
        <xdr:cNvCxnSpPr/>
      </xdr:nvCxnSpPr>
      <xdr:spPr>
        <a:xfrm flipH="1">
          <a:off x="6064250" y="24126825"/>
          <a:ext cx="619126" cy="190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1314450</xdr:colOff>
      <xdr:row>59</xdr:row>
      <xdr:rowOff>9525</xdr:rowOff>
    </xdr:from>
    <xdr:to>
      <xdr:col>4</xdr:col>
      <xdr:colOff>333375</xdr:colOff>
      <xdr:row>60</xdr:row>
      <xdr:rowOff>47625</xdr:rowOff>
    </xdr:to>
    <xdr:cxnSp macro="">
      <xdr:nvCxnSpPr>
        <xdr:cNvPr id="28" name="Conector recto de flecha 35">
          <a:extLst>
            <a:ext uri="{FF2B5EF4-FFF2-40B4-BE49-F238E27FC236}">
              <a16:creationId xmlns:a16="http://schemas.microsoft.com/office/drawing/2014/main" id="{603C8E03-ED14-BA44-865C-5DCC1D0ED21B}"/>
            </a:ext>
          </a:extLst>
        </xdr:cNvPr>
        <xdr:cNvCxnSpPr/>
      </xdr:nvCxnSpPr>
      <xdr:spPr>
        <a:xfrm>
          <a:off x="4552950" y="116300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847726</xdr:colOff>
      <xdr:row>59</xdr:row>
      <xdr:rowOff>19050</xdr:rowOff>
    </xdr:from>
    <xdr:to>
      <xdr:col>3</xdr:col>
      <xdr:colOff>1314450</xdr:colOff>
      <xdr:row>60</xdr:row>
      <xdr:rowOff>47625</xdr:rowOff>
    </xdr:to>
    <xdr:cxnSp macro="">
      <xdr:nvCxnSpPr>
        <xdr:cNvPr id="29" name="Conector recto de flecha 36">
          <a:extLst>
            <a:ext uri="{FF2B5EF4-FFF2-40B4-BE49-F238E27FC236}">
              <a16:creationId xmlns:a16="http://schemas.microsoft.com/office/drawing/2014/main" id="{F376D9A2-5D5F-9C4C-83EE-51BEB79E35F3}"/>
            </a:ext>
          </a:extLst>
        </xdr:cNvPr>
        <xdr:cNvCxnSpPr/>
      </xdr:nvCxnSpPr>
      <xdr:spPr>
        <a:xfrm flipH="1">
          <a:off x="4086226" y="11639550"/>
          <a:ext cx="466724" cy="2317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59</xdr:row>
      <xdr:rowOff>38100</xdr:rowOff>
    </xdr:from>
    <xdr:to>
      <xdr:col>5</xdr:col>
      <xdr:colOff>704850</xdr:colOff>
      <xdr:row>60</xdr:row>
      <xdr:rowOff>142875</xdr:rowOff>
    </xdr:to>
    <xdr:cxnSp macro="">
      <xdr:nvCxnSpPr>
        <xdr:cNvPr id="30" name="Conector recto de flecha 37">
          <a:extLst>
            <a:ext uri="{FF2B5EF4-FFF2-40B4-BE49-F238E27FC236}">
              <a16:creationId xmlns:a16="http://schemas.microsoft.com/office/drawing/2014/main" id="{2ECBBA15-8C47-1542-86CD-B7EB3830B40A}"/>
            </a:ext>
          </a:extLst>
        </xdr:cNvPr>
        <xdr:cNvCxnSpPr/>
      </xdr:nvCxnSpPr>
      <xdr:spPr>
        <a:xfrm>
          <a:off x="6664326" y="116586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0</xdr:colOff>
      <xdr:row>74</xdr:row>
      <xdr:rowOff>0</xdr:rowOff>
    </xdr:from>
    <xdr:to>
      <xdr:col>2</xdr:col>
      <xdr:colOff>1181100</xdr:colOff>
      <xdr:row>74</xdr:row>
      <xdr:rowOff>187872</xdr:rowOff>
    </xdr:to>
    <mc:AlternateContent xmlns:mc="http://schemas.openxmlformats.org/markup-compatibility/2006" xmlns:a14="http://schemas.microsoft.com/office/drawing/2010/main">
      <mc:Choice Requires="a14">
        <xdr:sp macro="" textlink="">
          <xdr:nvSpPr>
            <xdr:cNvPr id="31" name="CuadroTexto 6">
              <a:extLst>
                <a:ext uri="{FF2B5EF4-FFF2-40B4-BE49-F238E27FC236}">
                  <a16:creationId xmlns:a16="http://schemas.microsoft.com/office/drawing/2014/main" id="{E0833159-5D3D-604C-9609-F2A60CCEC675}"/>
                </a:ext>
              </a:extLst>
            </xdr:cNvPr>
            <xdr:cNvSpPr txBox="1"/>
          </xdr:nvSpPr>
          <xdr:spPr>
            <a:xfrm>
              <a:off x="2159000" y="14706600"/>
              <a:ext cx="10795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i="1">
                            <a:latin typeface="Cambria Math" panose="02040503050406030204" pitchFamily="18" charset="0"/>
                          </a:rPr>
                        </m:ctrlPr>
                      </m:sSub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𝐻𝑢𝑚𝑎𝑛𝑒𝑥</m:t>
                        </m:r>
                      </m:sub>
                    </m:sSub>
                    <m:r>
                      <a:rPr lang="es-AR" sz="1200" b="0" i="1">
                        <a:latin typeface="Cambria Math" panose="02040503050406030204" pitchFamily="18" charset="0"/>
                      </a:rPr>
                      <m:t>=</m:t>
                    </m:r>
                  </m:oMath>
                </m:oMathPara>
              </a14:m>
              <a:endParaRPr lang="es-AR" sz="1200"/>
            </a:p>
          </xdr:txBody>
        </xdr:sp>
      </mc:Choice>
      <mc:Fallback xmlns="">
        <xdr:sp macro="" textlink="">
          <xdr:nvSpPr>
            <xdr:cNvPr id="31" name="CuadroTexto 6">
              <a:extLst>
                <a:ext uri="{FF2B5EF4-FFF2-40B4-BE49-F238E27FC236}">
                  <a16:creationId xmlns:a16="http://schemas.microsoft.com/office/drawing/2014/main" id="{E0833159-5D3D-604C-9609-F2A60CCEC675}"/>
                </a:ext>
              </a:extLst>
            </xdr:cNvPr>
            <xdr:cNvSpPr txBox="1"/>
          </xdr:nvSpPr>
          <xdr:spPr>
            <a:xfrm>
              <a:off x="2159000" y="14706600"/>
              <a:ext cx="107950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𝐻𝑢𝑚𝑎𝑛𝑒𝑥=</a:t>
              </a:r>
              <a:endParaRPr lang="es-AR" sz="1200"/>
            </a:p>
          </xdr:txBody>
        </xdr:sp>
      </mc:Fallback>
    </mc:AlternateContent>
    <xdr:clientData/>
  </xdr:twoCellAnchor>
  <xdr:twoCellAnchor>
    <xdr:from>
      <xdr:col>3</xdr:col>
      <xdr:colOff>228601</xdr:colOff>
      <xdr:row>167</xdr:row>
      <xdr:rowOff>66675</xdr:rowOff>
    </xdr:from>
    <xdr:to>
      <xdr:col>3</xdr:col>
      <xdr:colOff>238125</xdr:colOff>
      <xdr:row>175</xdr:row>
      <xdr:rowOff>114300</xdr:rowOff>
    </xdr:to>
    <xdr:cxnSp macro="">
      <xdr:nvCxnSpPr>
        <xdr:cNvPr id="32" name="Conector recto 8">
          <a:extLst>
            <a:ext uri="{FF2B5EF4-FFF2-40B4-BE49-F238E27FC236}">
              <a16:creationId xmlns:a16="http://schemas.microsoft.com/office/drawing/2014/main" id="{3501EE3D-E1F7-D14E-BB02-AEE3B7F26F99}"/>
            </a:ext>
          </a:extLst>
        </xdr:cNvPr>
        <xdr:cNvCxnSpPr/>
      </xdr:nvCxnSpPr>
      <xdr:spPr>
        <a:xfrm flipH="1">
          <a:off x="3467101" y="33327975"/>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228600</xdr:colOff>
      <xdr:row>175</xdr:row>
      <xdr:rowOff>114300</xdr:rowOff>
    </xdr:from>
    <xdr:to>
      <xdr:col>4</xdr:col>
      <xdr:colOff>952500</xdr:colOff>
      <xdr:row>175</xdr:row>
      <xdr:rowOff>123825</xdr:rowOff>
    </xdr:to>
    <xdr:cxnSp macro="">
      <xdr:nvCxnSpPr>
        <xdr:cNvPr id="33" name="Conector recto 40">
          <a:extLst>
            <a:ext uri="{FF2B5EF4-FFF2-40B4-BE49-F238E27FC236}">
              <a16:creationId xmlns:a16="http://schemas.microsoft.com/office/drawing/2014/main" id="{526441CE-6C01-7840-8213-882185C78C66}"/>
            </a:ext>
          </a:extLst>
        </xdr:cNvPr>
        <xdr:cNvCxnSpPr/>
      </xdr:nvCxnSpPr>
      <xdr:spPr>
        <a:xfrm flipV="1">
          <a:off x="3467100" y="34899600"/>
          <a:ext cx="23241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247650</xdr:colOff>
      <xdr:row>171</xdr:row>
      <xdr:rowOff>47625</xdr:rowOff>
    </xdr:from>
    <xdr:to>
      <xdr:col>4</xdr:col>
      <xdr:colOff>933450</xdr:colOff>
      <xdr:row>171</xdr:row>
      <xdr:rowOff>47625</xdr:rowOff>
    </xdr:to>
    <xdr:cxnSp macro="">
      <xdr:nvCxnSpPr>
        <xdr:cNvPr id="34" name="Conector recto 42">
          <a:extLst>
            <a:ext uri="{FF2B5EF4-FFF2-40B4-BE49-F238E27FC236}">
              <a16:creationId xmlns:a16="http://schemas.microsoft.com/office/drawing/2014/main" id="{40E454B9-F768-4D4D-AA75-39B504AE8B59}"/>
            </a:ext>
          </a:extLst>
        </xdr:cNvPr>
        <xdr:cNvCxnSpPr/>
      </xdr:nvCxnSpPr>
      <xdr:spPr>
        <a:xfrm>
          <a:off x="3486150" y="34070925"/>
          <a:ext cx="2286000" cy="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1276350</xdr:colOff>
      <xdr:row>167</xdr:row>
      <xdr:rowOff>28575</xdr:rowOff>
    </xdr:from>
    <xdr:to>
      <xdr:col>3</xdr:col>
      <xdr:colOff>1285875</xdr:colOff>
      <xdr:row>175</xdr:row>
      <xdr:rowOff>104777</xdr:rowOff>
    </xdr:to>
    <xdr:cxnSp macro="">
      <xdr:nvCxnSpPr>
        <xdr:cNvPr id="35" name="Conector recto 43">
          <a:extLst>
            <a:ext uri="{FF2B5EF4-FFF2-40B4-BE49-F238E27FC236}">
              <a16:creationId xmlns:a16="http://schemas.microsoft.com/office/drawing/2014/main" id="{57C959AD-2B89-204A-BCB0-08596937EB39}"/>
            </a:ext>
          </a:extLst>
        </xdr:cNvPr>
        <xdr:cNvCxnSpPr/>
      </xdr:nvCxnSpPr>
      <xdr:spPr>
        <a:xfrm flipV="1">
          <a:off x="4514850" y="33289875"/>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523875</xdr:colOff>
      <xdr:row>170</xdr:row>
      <xdr:rowOff>133350</xdr:rowOff>
    </xdr:from>
    <xdr:to>
      <xdr:col>3</xdr:col>
      <xdr:colOff>200025</xdr:colOff>
      <xdr:row>171</xdr:row>
      <xdr:rowOff>130722</xdr:rowOff>
    </xdr:to>
    <mc:AlternateContent xmlns:mc="http://schemas.openxmlformats.org/markup-compatibility/2006" xmlns:a14="http://schemas.microsoft.com/office/drawing/2010/main">
      <mc:Choice Requires="a14">
        <xdr:sp macro="" textlink="">
          <xdr:nvSpPr>
            <xdr:cNvPr id="36" name="CuadroTexto 5">
              <a:extLst>
                <a:ext uri="{FF2B5EF4-FFF2-40B4-BE49-F238E27FC236}">
                  <a16:creationId xmlns:a16="http://schemas.microsoft.com/office/drawing/2014/main" id="{1893386F-294B-9441-AC3C-470C50ACC2FC}"/>
                </a:ext>
              </a:extLst>
            </xdr:cNvPr>
            <xdr:cNvSpPr txBox="1"/>
          </xdr:nvSpPr>
          <xdr:spPr>
            <a:xfrm>
              <a:off x="2682875" y="33966150"/>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36" name="CuadroTexto 5">
              <a:extLst>
                <a:ext uri="{FF2B5EF4-FFF2-40B4-BE49-F238E27FC236}">
                  <a16:creationId xmlns:a16="http://schemas.microsoft.com/office/drawing/2014/main" id="{1893386F-294B-9441-AC3C-470C50ACC2FC}"/>
                </a:ext>
              </a:extLst>
            </xdr:cNvPr>
            <xdr:cNvSpPr txBox="1"/>
          </xdr:nvSpPr>
          <xdr:spPr>
            <a:xfrm>
              <a:off x="2682875" y="33966150"/>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3</xdr:col>
      <xdr:colOff>952500</xdr:colOff>
      <xdr:row>175</xdr:row>
      <xdr:rowOff>180975</xdr:rowOff>
    </xdr:from>
    <xdr:to>
      <xdr:col>4</xdr:col>
      <xdr:colOff>171450</xdr:colOff>
      <xdr:row>177</xdr:row>
      <xdr:rowOff>12918</xdr:rowOff>
    </xdr:to>
    <mc:AlternateContent xmlns:mc="http://schemas.openxmlformats.org/markup-compatibility/2006" xmlns:a14="http://schemas.microsoft.com/office/drawing/2010/main">
      <mc:Choice Requires="a14">
        <xdr:sp macro="" textlink="">
          <xdr:nvSpPr>
            <xdr:cNvPr id="37" name="CuadroTexto 5">
              <a:extLst>
                <a:ext uri="{FF2B5EF4-FFF2-40B4-BE49-F238E27FC236}">
                  <a16:creationId xmlns:a16="http://schemas.microsoft.com/office/drawing/2014/main" id="{542CBD69-DAD1-1E48-97E5-A00FB2E86FCD}"/>
                </a:ext>
              </a:extLst>
            </xdr:cNvPr>
            <xdr:cNvSpPr txBox="1"/>
          </xdr:nvSpPr>
          <xdr:spPr>
            <a:xfrm>
              <a:off x="4191000" y="34966275"/>
              <a:ext cx="8191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37" name="CuadroTexto 5">
              <a:extLst>
                <a:ext uri="{FF2B5EF4-FFF2-40B4-BE49-F238E27FC236}">
                  <a16:creationId xmlns:a16="http://schemas.microsoft.com/office/drawing/2014/main" id="{542CBD69-DAD1-1E48-97E5-A00FB2E86FCD}"/>
                </a:ext>
              </a:extLst>
            </xdr:cNvPr>
            <xdr:cNvSpPr txBox="1"/>
          </xdr:nvSpPr>
          <xdr:spPr>
            <a:xfrm>
              <a:off x="4191000" y="34966275"/>
              <a:ext cx="8191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4</xdr:col>
      <xdr:colOff>285750</xdr:colOff>
      <xdr:row>169</xdr:row>
      <xdr:rowOff>95250</xdr:rowOff>
    </xdr:from>
    <xdr:to>
      <xdr:col>4</xdr:col>
      <xdr:colOff>357750</xdr:colOff>
      <xdr:row>169</xdr:row>
      <xdr:rowOff>167250</xdr:rowOff>
    </xdr:to>
    <xdr:sp macro="" textlink="">
      <xdr:nvSpPr>
        <xdr:cNvPr id="38" name="Conector 54">
          <a:extLst>
            <a:ext uri="{FF2B5EF4-FFF2-40B4-BE49-F238E27FC236}">
              <a16:creationId xmlns:a16="http://schemas.microsoft.com/office/drawing/2014/main" id="{25DF6409-090C-874B-8AA2-2BC3B0422E4A}"/>
            </a:ext>
          </a:extLst>
        </xdr:cNvPr>
        <xdr:cNvSpPr>
          <a:spLocks noChangeAspect="1"/>
        </xdr:cNvSpPr>
      </xdr:nvSpPr>
      <xdr:spPr>
        <a:xfrm>
          <a:off x="5124450" y="337375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0</xdr:colOff>
      <xdr:row>169</xdr:row>
      <xdr:rowOff>0</xdr:rowOff>
    </xdr:from>
    <xdr:to>
      <xdr:col>4</xdr:col>
      <xdr:colOff>72000</xdr:colOff>
      <xdr:row>169</xdr:row>
      <xdr:rowOff>72000</xdr:rowOff>
    </xdr:to>
    <xdr:sp macro="" textlink="">
      <xdr:nvSpPr>
        <xdr:cNvPr id="39" name="Conector 55">
          <a:extLst>
            <a:ext uri="{FF2B5EF4-FFF2-40B4-BE49-F238E27FC236}">
              <a16:creationId xmlns:a16="http://schemas.microsoft.com/office/drawing/2014/main" id="{4222CE15-7643-8E42-97E8-75F31F5D4208}"/>
            </a:ext>
          </a:extLst>
        </xdr:cNvPr>
        <xdr:cNvSpPr>
          <a:spLocks noChangeAspect="1"/>
        </xdr:cNvSpPr>
      </xdr:nvSpPr>
      <xdr:spPr>
        <a:xfrm>
          <a:off x="4838700" y="336423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323850</xdr:colOff>
      <xdr:row>168</xdr:row>
      <xdr:rowOff>114300</xdr:rowOff>
    </xdr:from>
    <xdr:to>
      <xdr:col>4</xdr:col>
      <xdr:colOff>395850</xdr:colOff>
      <xdr:row>168</xdr:row>
      <xdr:rowOff>186300</xdr:rowOff>
    </xdr:to>
    <xdr:sp macro="" textlink="">
      <xdr:nvSpPr>
        <xdr:cNvPr id="40" name="Conector 56">
          <a:extLst>
            <a:ext uri="{FF2B5EF4-FFF2-40B4-BE49-F238E27FC236}">
              <a16:creationId xmlns:a16="http://schemas.microsoft.com/office/drawing/2014/main" id="{2BDFD560-BECD-7242-8F67-E7E0C5F9C78F}"/>
            </a:ext>
          </a:extLst>
        </xdr:cNvPr>
        <xdr:cNvSpPr>
          <a:spLocks noChangeAspect="1"/>
        </xdr:cNvSpPr>
      </xdr:nvSpPr>
      <xdr:spPr>
        <a:xfrm>
          <a:off x="5162550" y="335661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1038225</xdr:colOff>
      <xdr:row>172</xdr:row>
      <xdr:rowOff>47625</xdr:rowOff>
    </xdr:from>
    <xdr:to>
      <xdr:col>3</xdr:col>
      <xdr:colOff>1110225</xdr:colOff>
      <xdr:row>172</xdr:row>
      <xdr:rowOff>119625</xdr:rowOff>
    </xdr:to>
    <xdr:sp macro="" textlink="">
      <xdr:nvSpPr>
        <xdr:cNvPr id="41" name="Conector 58">
          <a:extLst>
            <a:ext uri="{FF2B5EF4-FFF2-40B4-BE49-F238E27FC236}">
              <a16:creationId xmlns:a16="http://schemas.microsoft.com/office/drawing/2014/main" id="{5B7B535F-6C58-0E4D-A319-2842C87FA68F}"/>
            </a:ext>
          </a:extLst>
        </xdr:cNvPr>
        <xdr:cNvSpPr>
          <a:spLocks noChangeAspect="1"/>
        </xdr:cNvSpPr>
      </xdr:nvSpPr>
      <xdr:spPr>
        <a:xfrm>
          <a:off x="4276725" y="342614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152400</xdr:colOff>
      <xdr:row>169</xdr:row>
      <xdr:rowOff>152400</xdr:rowOff>
    </xdr:from>
    <xdr:to>
      <xdr:col>4</xdr:col>
      <xdr:colOff>224400</xdr:colOff>
      <xdr:row>170</xdr:row>
      <xdr:rowOff>33900</xdr:rowOff>
    </xdr:to>
    <xdr:sp macro="" textlink="">
      <xdr:nvSpPr>
        <xdr:cNvPr id="42" name="Conector 59">
          <a:extLst>
            <a:ext uri="{FF2B5EF4-FFF2-40B4-BE49-F238E27FC236}">
              <a16:creationId xmlns:a16="http://schemas.microsoft.com/office/drawing/2014/main" id="{A7448C73-880C-624B-BD1E-AD3B98F7BBAF}"/>
            </a:ext>
          </a:extLst>
        </xdr:cNvPr>
        <xdr:cNvSpPr>
          <a:spLocks noChangeAspect="1"/>
        </xdr:cNvSpPr>
      </xdr:nvSpPr>
      <xdr:spPr>
        <a:xfrm>
          <a:off x="4991100" y="337947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904875</xdr:colOff>
      <xdr:row>173</xdr:row>
      <xdr:rowOff>95250</xdr:rowOff>
    </xdr:from>
    <xdr:to>
      <xdr:col>3</xdr:col>
      <xdr:colOff>976875</xdr:colOff>
      <xdr:row>173</xdr:row>
      <xdr:rowOff>167250</xdr:rowOff>
    </xdr:to>
    <xdr:sp macro="" textlink="">
      <xdr:nvSpPr>
        <xdr:cNvPr id="43" name="Conector 60">
          <a:extLst>
            <a:ext uri="{FF2B5EF4-FFF2-40B4-BE49-F238E27FC236}">
              <a16:creationId xmlns:a16="http://schemas.microsoft.com/office/drawing/2014/main" id="{E07EB175-C2DD-BD4F-9162-C471C0A0AA87}"/>
            </a:ext>
          </a:extLst>
        </xdr:cNvPr>
        <xdr:cNvSpPr>
          <a:spLocks noChangeAspect="1"/>
        </xdr:cNvSpPr>
      </xdr:nvSpPr>
      <xdr:spPr>
        <a:xfrm>
          <a:off x="4143375" y="344995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1352550</xdr:colOff>
      <xdr:row>170</xdr:row>
      <xdr:rowOff>95250</xdr:rowOff>
    </xdr:from>
    <xdr:to>
      <xdr:col>4</xdr:col>
      <xdr:colOff>24375</xdr:colOff>
      <xdr:row>170</xdr:row>
      <xdr:rowOff>167250</xdr:rowOff>
    </xdr:to>
    <xdr:sp macro="" textlink="">
      <xdr:nvSpPr>
        <xdr:cNvPr id="44" name="Conector 62">
          <a:extLst>
            <a:ext uri="{FF2B5EF4-FFF2-40B4-BE49-F238E27FC236}">
              <a16:creationId xmlns:a16="http://schemas.microsoft.com/office/drawing/2014/main" id="{549AE553-2CE9-634E-B519-798F6A3631F8}"/>
            </a:ext>
          </a:extLst>
        </xdr:cNvPr>
        <xdr:cNvSpPr>
          <a:spLocks noChangeAspect="1"/>
        </xdr:cNvSpPr>
      </xdr:nvSpPr>
      <xdr:spPr>
        <a:xfrm>
          <a:off x="4591050" y="33928050"/>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152400</xdr:colOff>
      <xdr:row>168</xdr:row>
      <xdr:rowOff>152400</xdr:rowOff>
    </xdr:from>
    <xdr:to>
      <xdr:col>4</xdr:col>
      <xdr:colOff>224400</xdr:colOff>
      <xdr:row>169</xdr:row>
      <xdr:rowOff>33900</xdr:rowOff>
    </xdr:to>
    <xdr:sp macro="" textlink="">
      <xdr:nvSpPr>
        <xdr:cNvPr id="45" name="Conector 63">
          <a:extLst>
            <a:ext uri="{FF2B5EF4-FFF2-40B4-BE49-F238E27FC236}">
              <a16:creationId xmlns:a16="http://schemas.microsoft.com/office/drawing/2014/main" id="{A82A1AAD-F08B-8441-9B4A-15E071F2215B}"/>
            </a:ext>
          </a:extLst>
        </xdr:cNvPr>
        <xdr:cNvSpPr>
          <a:spLocks noChangeAspect="1"/>
        </xdr:cNvSpPr>
      </xdr:nvSpPr>
      <xdr:spPr>
        <a:xfrm>
          <a:off x="4991100" y="336042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923925</xdr:colOff>
      <xdr:row>171</xdr:row>
      <xdr:rowOff>133350</xdr:rowOff>
    </xdr:from>
    <xdr:to>
      <xdr:col>3</xdr:col>
      <xdr:colOff>995925</xdr:colOff>
      <xdr:row>172</xdr:row>
      <xdr:rowOff>14850</xdr:rowOff>
    </xdr:to>
    <xdr:sp macro="" textlink="">
      <xdr:nvSpPr>
        <xdr:cNvPr id="46" name="Conector 64">
          <a:extLst>
            <a:ext uri="{FF2B5EF4-FFF2-40B4-BE49-F238E27FC236}">
              <a16:creationId xmlns:a16="http://schemas.microsoft.com/office/drawing/2014/main" id="{826908A5-8981-4242-94DE-A7116F1FA99C}"/>
            </a:ext>
          </a:extLst>
        </xdr:cNvPr>
        <xdr:cNvSpPr>
          <a:spLocks noChangeAspect="1"/>
        </xdr:cNvSpPr>
      </xdr:nvSpPr>
      <xdr:spPr>
        <a:xfrm>
          <a:off x="4162425" y="341566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381000</xdr:colOff>
      <xdr:row>168</xdr:row>
      <xdr:rowOff>180975</xdr:rowOff>
    </xdr:from>
    <xdr:to>
      <xdr:col>4</xdr:col>
      <xdr:colOff>453000</xdr:colOff>
      <xdr:row>169</xdr:row>
      <xdr:rowOff>62475</xdr:rowOff>
    </xdr:to>
    <xdr:sp macro="" textlink="">
      <xdr:nvSpPr>
        <xdr:cNvPr id="47" name="Conector 65">
          <a:extLst>
            <a:ext uri="{FF2B5EF4-FFF2-40B4-BE49-F238E27FC236}">
              <a16:creationId xmlns:a16="http://schemas.microsoft.com/office/drawing/2014/main" id="{015B36E4-18BF-C040-A282-57D4F665E597}"/>
            </a:ext>
          </a:extLst>
        </xdr:cNvPr>
        <xdr:cNvSpPr>
          <a:spLocks noChangeAspect="1"/>
        </xdr:cNvSpPr>
      </xdr:nvSpPr>
      <xdr:spPr>
        <a:xfrm>
          <a:off x="5219700" y="336327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800100</xdr:colOff>
      <xdr:row>172</xdr:row>
      <xdr:rowOff>123825</xdr:rowOff>
    </xdr:from>
    <xdr:to>
      <xdr:col>3</xdr:col>
      <xdr:colOff>872100</xdr:colOff>
      <xdr:row>173</xdr:row>
      <xdr:rowOff>5325</xdr:rowOff>
    </xdr:to>
    <xdr:sp macro="" textlink="">
      <xdr:nvSpPr>
        <xdr:cNvPr id="48" name="Conector 66">
          <a:extLst>
            <a:ext uri="{FF2B5EF4-FFF2-40B4-BE49-F238E27FC236}">
              <a16:creationId xmlns:a16="http://schemas.microsoft.com/office/drawing/2014/main" id="{7D974BF4-597F-244E-847F-EC9AE323C9E9}"/>
            </a:ext>
          </a:extLst>
        </xdr:cNvPr>
        <xdr:cNvSpPr>
          <a:spLocks noChangeAspect="1"/>
        </xdr:cNvSpPr>
      </xdr:nvSpPr>
      <xdr:spPr>
        <a:xfrm>
          <a:off x="4038600" y="343376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219076</xdr:colOff>
      <xdr:row>167</xdr:row>
      <xdr:rowOff>85725</xdr:rowOff>
    </xdr:from>
    <xdr:to>
      <xdr:col>6</xdr:col>
      <xdr:colOff>228600</xdr:colOff>
      <xdr:row>175</xdr:row>
      <xdr:rowOff>133350</xdr:rowOff>
    </xdr:to>
    <xdr:cxnSp macro="">
      <xdr:nvCxnSpPr>
        <xdr:cNvPr id="49" name="Conector recto 67">
          <a:extLst>
            <a:ext uri="{FF2B5EF4-FFF2-40B4-BE49-F238E27FC236}">
              <a16:creationId xmlns:a16="http://schemas.microsoft.com/office/drawing/2014/main" id="{463CA680-CF6D-0E4B-86F0-099AE03FB994}"/>
            </a:ext>
          </a:extLst>
        </xdr:cNvPr>
        <xdr:cNvCxnSpPr/>
      </xdr:nvCxnSpPr>
      <xdr:spPr>
        <a:xfrm flipH="1">
          <a:off x="7940676" y="33347025"/>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228600</xdr:colOff>
      <xdr:row>175</xdr:row>
      <xdr:rowOff>114300</xdr:rowOff>
    </xdr:from>
    <xdr:to>
      <xdr:col>7</xdr:col>
      <xdr:colOff>952500</xdr:colOff>
      <xdr:row>175</xdr:row>
      <xdr:rowOff>123825</xdr:rowOff>
    </xdr:to>
    <xdr:cxnSp macro="">
      <xdr:nvCxnSpPr>
        <xdr:cNvPr id="50" name="Conector recto 68">
          <a:extLst>
            <a:ext uri="{FF2B5EF4-FFF2-40B4-BE49-F238E27FC236}">
              <a16:creationId xmlns:a16="http://schemas.microsoft.com/office/drawing/2014/main" id="{51AFB9D4-9A3B-5643-B307-9F595B4ACA1F}"/>
            </a:ext>
          </a:extLst>
        </xdr:cNvPr>
        <xdr:cNvCxnSpPr/>
      </xdr:nvCxnSpPr>
      <xdr:spPr>
        <a:xfrm flipV="1">
          <a:off x="7950200" y="34899600"/>
          <a:ext cx="24130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285750</xdr:colOff>
      <xdr:row>171</xdr:row>
      <xdr:rowOff>47626</xdr:rowOff>
    </xdr:from>
    <xdr:to>
      <xdr:col>8</xdr:col>
      <xdr:colOff>0</xdr:colOff>
      <xdr:row>171</xdr:row>
      <xdr:rowOff>57150</xdr:rowOff>
    </xdr:to>
    <xdr:cxnSp macro="">
      <xdr:nvCxnSpPr>
        <xdr:cNvPr id="51" name="Conector recto 69">
          <a:extLst>
            <a:ext uri="{FF2B5EF4-FFF2-40B4-BE49-F238E27FC236}">
              <a16:creationId xmlns:a16="http://schemas.microsoft.com/office/drawing/2014/main" id="{6CA37625-658D-4E40-B18D-FB6ED87EC12A}"/>
            </a:ext>
          </a:extLst>
        </xdr:cNvPr>
        <xdr:cNvCxnSpPr/>
      </xdr:nvCxnSpPr>
      <xdr:spPr>
        <a:xfrm flipV="1">
          <a:off x="8007350" y="34070926"/>
          <a:ext cx="2355850" cy="9524"/>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1276350</xdr:colOff>
      <xdr:row>167</xdr:row>
      <xdr:rowOff>28575</xdr:rowOff>
    </xdr:from>
    <xdr:to>
      <xdr:col>6</xdr:col>
      <xdr:colOff>1285875</xdr:colOff>
      <xdr:row>175</xdr:row>
      <xdr:rowOff>104777</xdr:rowOff>
    </xdr:to>
    <xdr:cxnSp macro="">
      <xdr:nvCxnSpPr>
        <xdr:cNvPr id="52" name="Conector recto 70">
          <a:extLst>
            <a:ext uri="{FF2B5EF4-FFF2-40B4-BE49-F238E27FC236}">
              <a16:creationId xmlns:a16="http://schemas.microsoft.com/office/drawing/2014/main" id="{8C3C4072-A7C1-5F44-8B3A-C62DC87B366C}"/>
            </a:ext>
          </a:extLst>
        </xdr:cNvPr>
        <xdr:cNvCxnSpPr/>
      </xdr:nvCxnSpPr>
      <xdr:spPr>
        <a:xfrm flipV="1">
          <a:off x="8997950" y="33289875"/>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819150</xdr:colOff>
      <xdr:row>170</xdr:row>
      <xdr:rowOff>142875</xdr:rowOff>
    </xdr:from>
    <xdr:to>
      <xdr:col>6</xdr:col>
      <xdr:colOff>495300</xdr:colOff>
      <xdr:row>171</xdr:row>
      <xdr:rowOff>140247</xdr:rowOff>
    </xdr:to>
    <mc:AlternateContent xmlns:mc="http://schemas.openxmlformats.org/markup-compatibility/2006" xmlns:a14="http://schemas.microsoft.com/office/drawing/2010/main">
      <mc:Choice Requires="a14">
        <xdr:sp macro="" textlink="">
          <xdr:nvSpPr>
            <xdr:cNvPr id="53" name="CuadroTexto 5">
              <a:extLst>
                <a:ext uri="{FF2B5EF4-FFF2-40B4-BE49-F238E27FC236}">
                  <a16:creationId xmlns:a16="http://schemas.microsoft.com/office/drawing/2014/main" id="{CF295B78-548E-4F41-98C8-01FEC833200F}"/>
                </a:ext>
              </a:extLst>
            </xdr:cNvPr>
            <xdr:cNvSpPr txBox="1"/>
          </xdr:nvSpPr>
          <xdr:spPr>
            <a:xfrm>
              <a:off x="6788150" y="33975675"/>
              <a:ext cx="14287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53" name="CuadroTexto 5">
              <a:extLst>
                <a:ext uri="{FF2B5EF4-FFF2-40B4-BE49-F238E27FC236}">
                  <a16:creationId xmlns:a16="http://schemas.microsoft.com/office/drawing/2014/main" id="{CF295B78-548E-4F41-98C8-01FEC833200F}"/>
                </a:ext>
              </a:extLst>
            </xdr:cNvPr>
            <xdr:cNvSpPr txBox="1"/>
          </xdr:nvSpPr>
          <xdr:spPr>
            <a:xfrm>
              <a:off x="6788150" y="33975675"/>
              <a:ext cx="14287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6</xdr:col>
      <xdr:colOff>952500</xdr:colOff>
      <xdr:row>175</xdr:row>
      <xdr:rowOff>180975</xdr:rowOff>
    </xdr:from>
    <xdr:to>
      <xdr:col>7</xdr:col>
      <xdr:colOff>171450</xdr:colOff>
      <xdr:row>177</xdr:row>
      <xdr:rowOff>12918</xdr:rowOff>
    </xdr:to>
    <mc:AlternateContent xmlns:mc="http://schemas.openxmlformats.org/markup-compatibility/2006" xmlns:a14="http://schemas.microsoft.com/office/drawing/2010/main">
      <mc:Choice Requires="a14">
        <xdr:sp macro="" textlink="">
          <xdr:nvSpPr>
            <xdr:cNvPr id="54" name="CuadroTexto 5">
              <a:extLst>
                <a:ext uri="{FF2B5EF4-FFF2-40B4-BE49-F238E27FC236}">
                  <a16:creationId xmlns:a16="http://schemas.microsoft.com/office/drawing/2014/main" id="{8B5460FF-782A-554B-ADDD-1BB21173DAF8}"/>
                </a:ext>
              </a:extLst>
            </xdr:cNvPr>
            <xdr:cNvSpPr txBox="1"/>
          </xdr:nvSpPr>
          <xdr:spPr>
            <a:xfrm>
              <a:off x="8674100" y="34966275"/>
              <a:ext cx="10604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54" name="CuadroTexto 5">
              <a:extLst>
                <a:ext uri="{FF2B5EF4-FFF2-40B4-BE49-F238E27FC236}">
                  <a16:creationId xmlns:a16="http://schemas.microsoft.com/office/drawing/2014/main" id="{8B5460FF-782A-554B-ADDD-1BB21173DAF8}"/>
                </a:ext>
              </a:extLst>
            </xdr:cNvPr>
            <xdr:cNvSpPr txBox="1"/>
          </xdr:nvSpPr>
          <xdr:spPr>
            <a:xfrm>
              <a:off x="8674100" y="34966275"/>
              <a:ext cx="10604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7</xdr:col>
      <xdr:colOff>200025</xdr:colOff>
      <xdr:row>172</xdr:row>
      <xdr:rowOff>123825</xdr:rowOff>
    </xdr:from>
    <xdr:to>
      <xdr:col>7</xdr:col>
      <xdr:colOff>272025</xdr:colOff>
      <xdr:row>173</xdr:row>
      <xdr:rowOff>5325</xdr:rowOff>
    </xdr:to>
    <xdr:sp macro="" textlink="">
      <xdr:nvSpPr>
        <xdr:cNvPr id="55" name="Conector 73">
          <a:extLst>
            <a:ext uri="{FF2B5EF4-FFF2-40B4-BE49-F238E27FC236}">
              <a16:creationId xmlns:a16="http://schemas.microsoft.com/office/drawing/2014/main" id="{A06AC8D8-F899-2141-AB53-2A87F6B8CB91}"/>
            </a:ext>
          </a:extLst>
        </xdr:cNvPr>
        <xdr:cNvSpPr>
          <a:spLocks noChangeAspect="1"/>
        </xdr:cNvSpPr>
      </xdr:nvSpPr>
      <xdr:spPr>
        <a:xfrm>
          <a:off x="9763125" y="343376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95250</xdr:colOff>
      <xdr:row>172</xdr:row>
      <xdr:rowOff>95250</xdr:rowOff>
    </xdr:from>
    <xdr:to>
      <xdr:col>7</xdr:col>
      <xdr:colOff>167250</xdr:colOff>
      <xdr:row>172</xdr:row>
      <xdr:rowOff>167250</xdr:rowOff>
    </xdr:to>
    <xdr:sp macro="" textlink="">
      <xdr:nvSpPr>
        <xdr:cNvPr id="56" name="Conector 74">
          <a:extLst>
            <a:ext uri="{FF2B5EF4-FFF2-40B4-BE49-F238E27FC236}">
              <a16:creationId xmlns:a16="http://schemas.microsoft.com/office/drawing/2014/main" id="{0DFD43DE-01EC-7D4F-9046-3997C72B8CFC}"/>
            </a:ext>
          </a:extLst>
        </xdr:cNvPr>
        <xdr:cNvSpPr>
          <a:spLocks noChangeAspect="1"/>
        </xdr:cNvSpPr>
      </xdr:nvSpPr>
      <xdr:spPr>
        <a:xfrm>
          <a:off x="9658350" y="343090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9525</xdr:colOff>
      <xdr:row>173</xdr:row>
      <xdr:rowOff>19050</xdr:rowOff>
    </xdr:from>
    <xdr:to>
      <xdr:col>7</xdr:col>
      <xdr:colOff>81525</xdr:colOff>
      <xdr:row>173</xdr:row>
      <xdr:rowOff>91050</xdr:rowOff>
    </xdr:to>
    <xdr:sp macro="" textlink="">
      <xdr:nvSpPr>
        <xdr:cNvPr id="57" name="Conector 75">
          <a:extLst>
            <a:ext uri="{FF2B5EF4-FFF2-40B4-BE49-F238E27FC236}">
              <a16:creationId xmlns:a16="http://schemas.microsoft.com/office/drawing/2014/main" id="{32D927A3-F628-8143-8E94-C934639B03E1}"/>
            </a:ext>
          </a:extLst>
        </xdr:cNvPr>
        <xdr:cNvSpPr>
          <a:spLocks noChangeAspect="1"/>
        </xdr:cNvSpPr>
      </xdr:nvSpPr>
      <xdr:spPr>
        <a:xfrm>
          <a:off x="9572625" y="344233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1133475</xdr:colOff>
      <xdr:row>169</xdr:row>
      <xdr:rowOff>85725</xdr:rowOff>
    </xdr:from>
    <xdr:to>
      <xdr:col>6</xdr:col>
      <xdr:colOff>1205475</xdr:colOff>
      <xdr:row>169</xdr:row>
      <xdr:rowOff>157725</xdr:rowOff>
    </xdr:to>
    <xdr:sp macro="" textlink="">
      <xdr:nvSpPr>
        <xdr:cNvPr id="58" name="Conector 76">
          <a:extLst>
            <a:ext uri="{FF2B5EF4-FFF2-40B4-BE49-F238E27FC236}">
              <a16:creationId xmlns:a16="http://schemas.microsoft.com/office/drawing/2014/main" id="{F64A03CA-7C94-D445-B864-00367B2041D1}"/>
            </a:ext>
          </a:extLst>
        </xdr:cNvPr>
        <xdr:cNvSpPr>
          <a:spLocks noChangeAspect="1"/>
        </xdr:cNvSpPr>
      </xdr:nvSpPr>
      <xdr:spPr>
        <a:xfrm>
          <a:off x="8855075" y="337280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866775</xdr:colOff>
      <xdr:row>169</xdr:row>
      <xdr:rowOff>9525</xdr:rowOff>
    </xdr:from>
    <xdr:to>
      <xdr:col>6</xdr:col>
      <xdr:colOff>938775</xdr:colOff>
      <xdr:row>169</xdr:row>
      <xdr:rowOff>81525</xdr:rowOff>
    </xdr:to>
    <xdr:sp macro="" textlink="">
      <xdr:nvSpPr>
        <xdr:cNvPr id="59" name="Conector 77">
          <a:extLst>
            <a:ext uri="{FF2B5EF4-FFF2-40B4-BE49-F238E27FC236}">
              <a16:creationId xmlns:a16="http://schemas.microsoft.com/office/drawing/2014/main" id="{F0DCBDCB-F5DC-A04B-B7A8-D6703F5DC509}"/>
            </a:ext>
          </a:extLst>
        </xdr:cNvPr>
        <xdr:cNvSpPr>
          <a:spLocks noChangeAspect="1"/>
        </xdr:cNvSpPr>
      </xdr:nvSpPr>
      <xdr:spPr>
        <a:xfrm>
          <a:off x="8588375" y="336518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1143000</xdr:colOff>
      <xdr:row>170</xdr:row>
      <xdr:rowOff>28575</xdr:rowOff>
    </xdr:from>
    <xdr:to>
      <xdr:col>6</xdr:col>
      <xdr:colOff>1215000</xdr:colOff>
      <xdr:row>170</xdr:row>
      <xdr:rowOff>100575</xdr:rowOff>
    </xdr:to>
    <xdr:sp macro="" textlink="">
      <xdr:nvSpPr>
        <xdr:cNvPr id="60" name="Conector 78">
          <a:extLst>
            <a:ext uri="{FF2B5EF4-FFF2-40B4-BE49-F238E27FC236}">
              <a16:creationId xmlns:a16="http://schemas.microsoft.com/office/drawing/2014/main" id="{330D2E04-C7F4-A84F-98A4-4C22A80DA499}"/>
            </a:ext>
          </a:extLst>
        </xdr:cNvPr>
        <xdr:cNvSpPr>
          <a:spLocks noChangeAspect="1"/>
        </xdr:cNvSpPr>
      </xdr:nvSpPr>
      <xdr:spPr>
        <a:xfrm>
          <a:off x="8864600" y="338613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0</xdr:colOff>
      <xdr:row>171</xdr:row>
      <xdr:rowOff>180975</xdr:rowOff>
    </xdr:from>
    <xdr:to>
      <xdr:col>7</xdr:col>
      <xdr:colOff>62475</xdr:colOff>
      <xdr:row>172</xdr:row>
      <xdr:rowOff>62475</xdr:rowOff>
    </xdr:to>
    <xdr:sp macro="" textlink="">
      <xdr:nvSpPr>
        <xdr:cNvPr id="61" name="Conector 79">
          <a:extLst>
            <a:ext uri="{FF2B5EF4-FFF2-40B4-BE49-F238E27FC236}">
              <a16:creationId xmlns:a16="http://schemas.microsoft.com/office/drawing/2014/main" id="{D71650DC-8F6B-BA4F-8500-AC25599E2F34}"/>
            </a:ext>
          </a:extLst>
        </xdr:cNvPr>
        <xdr:cNvSpPr>
          <a:spLocks noChangeAspect="1"/>
        </xdr:cNvSpPr>
      </xdr:nvSpPr>
      <xdr:spPr>
        <a:xfrm>
          <a:off x="9563100" y="34204275"/>
          <a:ext cx="6247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314325</xdr:colOff>
      <xdr:row>172</xdr:row>
      <xdr:rowOff>76200</xdr:rowOff>
    </xdr:from>
    <xdr:to>
      <xdr:col>7</xdr:col>
      <xdr:colOff>386325</xdr:colOff>
      <xdr:row>172</xdr:row>
      <xdr:rowOff>148200</xdr:rowOff>
    </xdr:to>
    <xdr:sp macro="" textlink="">
      <xdr:nvSpPr>
        <xdr:cNvPr id="62" name="Conector 80">
          <a:extLst>
            <a:ext uri="{FF2B5EF4-FFF2-40B4-BE49-F238E27FC236}">
              <a16:creationId xmlns:a16="http://schemas.microsoft.com/office/drawing/2014/main" id="{61B98E50-0DF5-4C48-87C8-DA9F48C3E3BB}"/>
            </a:ext>
          </a:extLst>
        </xdr:cNvPr>
        <xdr:cNvSpPr>
          <a:spLocks noChangeAspect="1"/>
        </xdr:cNvSpPr>
      </xdr:nvSpPr>
      <xdr:spPr>
        <a:xfrm>
          <a:off x="9877425" y="342900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990600</xdr:colOff>
      <xdr:row>169</xdr:row>
      <xdr:rowOff>180975</xdr:rowOff>
    </xdr:from>
    <xdr:to>
      <xdr:col>6</xdr:col>
      <xdr:colOff>1062600</xdr:colOff>
      <xdr:row>170</xdr:row>
      <xdr:rowOff>62475</xdr:rowOff>
    </xdr:to>
    <xdr:sp macro="" textlink="">
      <xdr:nvSpPr>
        <xdr:cNvPr id="63" name="Conector 81">
          <a:extLst>
            <a:ext uri="{FF2B5EF4-FFF2-40B4-BE49-F238E27FC236}">
              <a16:creationId xmlns:a16="http://schemas.microsoft.com/office/drawing/2014/main" id="{27EF00B1-6F48-264B-B390-738E43B0302A}"/>
            </a:ext>
          </a:extLst>
        </xdr:cNvPr>
        <xdr:cNvSpPr>
          <a:spLocks noChangeAspect="1"/>
        </xdr:cNvSpPr>
      </xdr:nvSpPr>
      <xdr:spPr>
        <a:xfrm>
          <a:off x="8712200" y="338232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180975</xdr:colOff>
      <xdr:row>172</xdr:row>
      <xdr:rowOff>0</xdr:rowOff>
    </xdr:from>
    <xdr:to>
      <xdr:col>7</xdr:col>
      <xdr:colOff>252975</xdr:colOff>
      <xdr:row>172</xdr:row>
      <xdr:rowOff>72000</xdr:rowOff>
    </xdr:to>
    <xdr:sp macro="" textlink="">
      <xdr:nvSpPr>
        <xdr:cNvPr id="64" name="Conector 82">
          <a:extLst>
            <a:ext uri="{FF2B5EF4-FFF2-40B4-BE49-F238E27FC236}">
              <a16:creationId xmlns:a16="http://schemas.microsoft.com/office/drawing/2014/main" id="{8119C2CB-4B8E-2743-9108-30304862007F}"/>
            </a:ext>
          </a:extLst>
        </xdr:cNvPr>
        <xdr:cNvSpPr>
          <a:spLocks noChangeAspect="1"/>
        </xdr:cNvSpPr>
      </xdr:nvSpPr>
      <xdr:spPr>
        <a:xfrm>
          <a:off x="9744075" y="342138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847725</xdr:colOff>
      <xdr:row>169</xdr:row>
      <xdr:rowOff>142875</xdr:rowOff>
    </xdr:from>
    <xdr:to>
      <xdr:col>6</xdr:col>
      <xdr:colOff>919725</xdr:colOff>
      <xdr:row>170</xdr:row>
      <xdr:rowOff>24375</xdr:rowOff>
    </xdr:to>
    <xdr:sp macro="" textlink="">
      <xdr:nvSpPr>
        <xdr:cNvPr id="65" name="Conector 83">
          <a:extLst>
            <a:ext uri="{FF2B5EF4-FFF2-40B4-BE49-F238E27FC236}">
              <a16:creationId xmlns:a16="http://schemas.microsoft.com/office/drawing/2014/main" id="{BF19858C-9EB0-B046-81F5-306F1392BC51}"/>
            </a:ext>
          </a:extLst>
        </xdr:cNvPr>
        <xdr:cNvSpPr>
          <a:spLocks noChangeAspect="1"/>
        </xdr:cNvSpPr>
      </xdr:nvSpPr>
      <xdr:spPr>
        <a:xfrm>
          <a:off x="8569325" y="337851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228601</xdr:colOff>
      <xdr:row>179</xdr:row>
      <xdr:rowOff>66675</xdr:rowOff>
    </xdr:from>
    <xdr:to>
      <xdr:col>3</xdr:col>
      <xdr:colOff>238125</xdr:colOff>
      <xdr:row>187</xdr:row>
      <xdr:rowOff>114300</xdr:rowOff>
    </xdr:to>
    <xdr:cxnSp macro="">
      <xdr:nvCxnSpPr>
        <xdr:cNvPr id="66" name="Conector recto 86">
          <a:extLst>
            <a:ext uri="{FF2B5EF4-FFF2-40B4-BE49-F238E27FC236}">
              <a16:creationId xmlns:a16="http://schemas.microsoft.com/office/drawing/2014/main" id="{952CDDA3-4B96-A143-8B6B-6D14AA683BF9}"/>
            </a:ext>
          </a:extLst>
        </xdr:cNvPr>
        <xdr:cNvCxnSpPr/>
      </xdr:nvCxnSpPr>
      <xdr:spPr>
        <a:xfrm flipH="1">
          <a:off x="3467101" y="35613975"/>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228600</xdr:colOff>
      <xdr:row>187</xdr:row>
      <xdr:rowOff>114300</xdr:rowOff>
    </xdr:from>
    <xdr:to>
      <xdr:col>4</xdr:col>
      <xdr:colOff>952500</xdr:colOff>
      <xdr:row>187</xdr:row>
      <xdr:rowOff>123825</xdr:rowOff>
    </xdr:to>
    <xdr:cxnSp macro="">
      <xdr:nvCxnSpPr>
        <xdr:cNvPr id="67" name="Conector recto 87">
          <a:extLst>
            <a:ext uri="{FF2B5EF4-FFF2-40B4-BE49-F238E27FC236}">
              <a16:creationId xmlns:a16="http://schemas.microsoft.com/office/drawing/2014/main" id="{3E60D096-3B3C-A64B-88E8-A6FB2D19D9A1}"/>
            </a:ext>
          </a:extLst>
        </xdr:cNvPr>
        <xdr:cNvCxnSpPr/>
      </xdr:nvCxnSpPr>
      <xdr:spPr>
        <a:xfrm flipV="1">
          <a:off x="3467100" y="37185600"/>
          <a:ext cx="23241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247650</xdr:colOff>
      <xdr:row>183</xdr:row>
      <xdr:rowOff>47625</xdr:rowOff>
    </xdr:from>
    <xdr:to>
      <xdr:col>4</xdr:col>
      <xdr:colOff>933450</xdr:colOff>
      <xdr:row>183</xdr:row>
      <xdr:rowOff>47625</xdr:rowOff>
    </xdr:to>
    <xdr:cxnSp macro="">
      <xdr:nvCxnSpPr>
        <xdr:cNvPr id="68" name="Conector recto 88">
          <a:extLst>
            <a:ext uri="{FF2B5EF4-FFF2-40B4-BE49-F238E27FC236}">
              <a16:creationId xmlns:a16="http://schemas.microsoft.com/office/drawing/2014/main" id="{E2BDE252-9573-1B4D-A415-ABB958B01630}"/>
            </a:ext>
          </a:extLst>
        </xdr:cNvPr>
        <xdr:cNvCxnSpPr/>
      </xdr:nvCxnSpPr>
      <xdr:spPr>
        <a:xfrm>
          <a:off x="3486150" y="36356925"/>
          <a:ext cx="2286000" cy="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1276350</xdr:colOff>
      <xdr:row>179</xdr:row>
      <xdr:rowOff>28575</xdr:rowOff>
    </xdr:from>
    <xdr:to>
      <xdr:col>3</xdr:col>
      <xdr:colOff>1285875</xdr:colOff>
      <xdr:row>187</xdr:row>
      <xdr:rowOff>104777</xdr:rowOff>
    </xdr:to>
    <xdr:cxnSp macro="">
      <xdr:nvCxnSpPr>
        <xdr:cNvPr id="69" name="Conector recto 89">
          <a:extLst>
            <a:ext uri="{FF2B5EF4-FFF2-40B4-BE49-F238E27FC236}">
              <a16:creationId xmlns:a16="http://schemas.microsoft.com/office/drawing/2014/main" id="{3C824963-593C-A445-BAE4-BACAB2E015FC}"/>
            </a:ext>
          </a:extLst>
        </xdr:cNvPr>
        <xdr:cNvCxnSpPr/>
      </xdr:nvCxnSpPr>
      <xdr:spPr>
        <a:xfrm flipV="1">
          <a:off x="4514850" y="35575875"/>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523875</xdr:colOff>
      <xdr:row>182</xdr:row>
      <xdr:rowOff>133350</xdr:rowOff>
    </xdr:from>
    <xdr:to>
      <xdr:col>3</xdr:col>
      <xdr:colOff>200025</xdr:colOff>
      <xdr:row>183</xdr:row>
      <xdr:rowOff>130722</xdr:rowOff>
    </xdr:to>
    <mc:AlternateContent xmlns:mc="http://schemas.openxmlformats.org/markup-compatibility/2006" xmlns:a14="http://schemas.microsoft.com/office/drawing/2010/main">
      <mc:Choice Requires="a14">
        <xdr:sp macro="" textlink="">
          <xdr:nvSpPr>
            <xdr:cNvPr id="70" name="CuadroTexto 5">
              <a:extLst>
                <a:ext uri="{FF2B5EF4-FFF2-40B4-BE49-F238E27FC236}">
                  <a16:creationId xmlns:a16="http://schemas.microsoft.com/office/drawing/2014/main" id="{647D7D17-EF79-5944-9A37-A4B2572D42B8}"/>
                </a:ext>
              </a:extLst>
            </xdr:cNvPr>
            <xdr:cNvSpPr txBox="1"/>
          </xdr:nvSpPr>
          <xdr:spPr>
            <a:xfrm>
              <a:off x="2682875" y="36252150"/>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70" name="CuadroTexto 5">
              <a:extLst>
                <a:ext uri="{FF2B5EF4-FFF2-40B4-BE49-F238E27FC236}">
                  <a16:creationId xmlns:a16="http://schemas.microsoft.com/office/drawing/2014/main" id="{647D7D17-EF79-5944-9A37-A4B2572D42B8}"/>
                </a:ext>
              </a:extLst>
            </xdr:cNvPr>
            <xdr:cNvSpPr txBox="1"/>
          </xdr:nvSpPr>
          <xdr:spPr>
            <a:xfrm>
              <a:off x="2682875" y="36252150"/>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3</xdr:col>
      <xdr:colOff>857250</xdr:colOff>
      <xdr:row>188</xdr:row>
      <xdr:rowOff>19050</xdr:rowOff>
    </xdr:from>
    <xdr:to>
      <xdr:col>4</xdr:col>
      <xdr:colOff>238125</xdr:colOff>
      <xdr:row>189</xdr:row>
      <xdr:rowOff>41493</xdr:rowOff>
    </xdr:to>
    <mc:AlternateContent xmlns:mc="http://schemas.openxmlformats.org/markup-compatibility/2006" xmlns:a14="http://schemas.microsoft.com/office/drawing/2010/main">
      <mc:Choice Requires="a14">
        <xdr:sp macro="" textlink="">
          <xdr:nvSpPr>
            <xdr:cNvPr id="71" name="CuadroTexto 5">
              <a:extLst>
                <a:ext uri="{FF2B5EF4-FFF2-40B4-BE49-F238E27FC236}">
                  <a16:creationId xmlns:a16="http://schemas.microsoft.com/office/drawing/2014/main" id="{DFC08460-2A6D-424E-92D6-6B3C98842E5B}"/>
                </a:ext>
              </a:extLst>
            </xdr:cNvPr>
            <xdr:cNvSpPr txBox="1"/>
          </xdr:nvSpPr>
          <xdr:spPr>
            <a:xfrm>
              <a:off x="4095750" y="37280850"/>
              <a:ext cx="98107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71" name="CuadroTexto 5">
              <a:extLst>
                <a:ext uri="{FF2B5EF4-FFF2-40B4-BE49-F238E27FC236}">
                  <a16:creationId xmlns:a16="http://schemas.microsoft.com/office/drawing/2014/main" id="{DFC08460-2A6D-424E-92D6-6B3C98842E5B}"/>
                </a:ext>
              </a:extLst>
            </xdr:cNvPr>
            <xdr:cNvSpPr txBox="1"/>
          </xdr:nvSpPr>
          <xdr:spPr>
            <a:xfrm>
              <a:off x="4095750" y="37280850"/>
              <a:ext cx="98107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4</xdr:col>
      <xdr:colOff>161925</xdr:colOff>
      <xdr:row>184</xdr:row>
      <xdr:rowOff>9525</xdr:rowOff>
    </xdr:from>
    <xdr:to>
      <xdr:col>4</xdr:col>
      <xdr:colOff>233925</xdr:colOff>
      <xdr:row>184</xdr:row>
      <xdr:rowOff>81525</xdr:rowOff>
    </xdr:to>
    <xdr:sp macro="" textlink="">
      <xdr:nvSpPr>
        <xdr:cNvPr id="72" name="Conector 92">
          <a:extLst>
            <a:ext uri="{FF2B5EF4-FFF2-40B4-BE49-F238E27FC236}">
              <a16:creationId xmlns:a16="http://schemas.microsoft.com/office/drawing/2014/main" id="{B78FCF75-BE2B-2B4D-BC88-D5A1EF216B12}"/>
            </a:ext>
          </a:extLst>
        </xdr:cNvPr>
        <xdr:cNvSpPr>
          <a:spLocks noChangeAspect="1"/>
        </xdr:cNvSpPr>
      </xdr:nvSpPr>
      <xdr:spPr>
        <a:xfrm>
          <a:off x="5000625" y="365093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0</xdr:colOff>
      <xdr:row>181</xdr:row>
      <xdr:rowOff>0</xdr:rowOff>
    </xdr:from>
    <xdr:to>
      <xdr:col>4</xdr:col>
      <xdr:colOff>72000</xdr:colOff>
      <xdr:row>181</xdr:row>
      <xdr:rowOff>72000</xdr:rowOff>
    </xdr:to>
    <xdr:sp macro="" textlink="">
      <xdr:nvSpPr>
        <xdr:cNvPr id="73" name="Conector 93">
          <a:extLst>
            <a:ext uri="{FF2B5EF4-FFF2-40B4-BE49-F238E27FC236}">
              <a16:creationId xmlns:a16="http://schemas.microsoft.com/office/drawing/2014/main" id="{A3D31FE8-9C68-7945-82D0-0DD96D89F82F}"/>
            </a:ext>
          </a:extLst>
        </xdr:cNvPr>
        <xdr:cNvSpPr>
          <a:spLocks noChangeAspect="1"/>
        </xdr:cNvSpPr>
      </xdr:nvSpPr>
      <xdr:spPr>
        <a:xfrm>
          <a:off x="4838700" y="359283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66675</xdr:colOff>
      <xdr:row>181</xdr:row>
      <xdr:rowOff>180975</xdr:rowOff>
    </xdr:from>
    <xdr:to>
      <xdr:col>4</xdr:col>
      <xdr:colOff>138675</xdr:colOff>
      <xdr:row>182</xdr:row>
      <xdr:rowOff>62475</xdr:rowOff>
    </xdr:to>
    <xdr:sp macro="" textlink="">
      <xdr:nvSpPr>
        <xdr:cNvPr id="74" name="Conector 94">
          <a:extLst>
            <a:ext uri="{FF2B5EF4-FFF2-40B4-BE49-F238E27FC236}">
              <a16:creationId xmlns:a16="http://schemas.microsoft.com/office/drawing/2014/main" id="{183CE370-3A83-0C4B-A364-BB8C5C212BB4}"/>
            </a:ext>
          </a:extLst>
        </xdr:cNvPr>
        <xdr:cNvSpPr>
          <a:spLocks noChangeAspect="1"/>
        </xdr:cNvSpPr>
      </xdr:nvSpPr>
      <xdr:spPr>
        <a:xfrm>
          <a:off x="4905375" y="3610927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1171575</xdr:colOff>
      <xdr:row>183</xdr:row>
      <xdr:rowOff>123825</xdr:rowOff>
    </xdr:from>
    <xdr:to>
      <xdr:col>3</xdr:col>
      <xdr:colOff>1243575</xdr:colOff>
      <xdr:row>184</xdr:row>
      <xdr:rowOff>5325</xdr:rowOff>
    </xdr:to>
    <xdr:sp macro="" textlink="">
      <xdr:nvSpPr>
        <xdr:cNvPr id="75" name="Conector 95">
          <a:extLst>
            <a:ext uri="{FF2B5EF4-FFF2-40B4-BE49-F238E27FC236}">
              <a16:creationId xmlns:a16="http://schemas.microsoft.com/office/drawing/2014/main" id="{008D2CBB-94C9-5249-9814-94B0F30081CA}"/>
            </a:ext>
          </a:extLst>
        </xdr:cNvPr>
        <xdr:cNvSpPr>
          <a:spLocks noChangeAspect="1"/>
        </xdr:cNvSpPr>
      </xdr:nvSpPr>
      <xdr:spPr>
        <a:xfrm>
          <a:off x="4410075" y="364331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1390650</xdr:colOff>
      <xdr:row>183</xdr:row>
      <xdr:rowOff>152400</xdr:rowOff>
    </xdr:from>
    <xdr:to>
      <xdr:col>4</xdr:col>
      <xdr:colOff>62475</xdr:colOff>
      <xdr:row>184</xdr:row>
      <xdr:rowOff>33900</xdr:rowOff>
    </xdr:to>
    <xdr:sp macro="" textlink="">
      <xdr:nvSpPr>
        <xdr:cNvPr id="76" name="Conector 96">
          <a:extLst>
            <a:ext uri="{FF2B5EF4-FFF2-40B4-BE49-F238E27FC236}">
              <a16:creationId xmlns:a16="http://schemas.microsoft.com/office/drawing/2014/main" id="{E62FDCA0-DE56-7948-8744-2087544E7A81}"/>
            </a:ext>
          </a:extLst>
        </xdr:cNvPr>
        <xdr:cNvSpPr>
          <a:spLocks noChangeAspect="1"/>
        </xdr:cNvSpPr>
      </xdr:nvSpPr>
      <xdr:spPr>
        <a:xfrm>
          <a:off x="4629150" y="36461700"/>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1152525</xdr:colOff>
      <xdr:row>184</xdr:row>
      <xdr:rowOff>76200</xdr:rowOff>
    </xdr:from>
    <xdr:to>
      <xdr:col>3</xdr:col>
      <xdr:colOff>1224525</xdr:colOff>
      <xdr:row>184</xdr:row>
      <xdr:rowOff>148200</xdr:rowOff>
    </xdr:to>
    <xdr:sp macro="" textlink="">
      <xdr:nvSpPr>
        <xdr:cNvPr id="77" name="Conector 97">
          <a:extLst>
            <a:ext uri="{FF2B5EF4-FFF2-40B4-BE49-F238E27FC236}">
              <a16:creationId xmlns:a16="http://schemas.microsoft.com/office/drawing/2014/main" id="{549A79E3-8FFC-0846-BEC8-F855C8BA0BB1}"/>
            </a:ext>
          </a:extLst>
        </xdr:cNvPr>
        <xdr:cNvSpPr>
          <a:spLocks noChangeAspect="1"/>
        </xdr:cNvSpPr>
      </xdr:nvSpPr>
      <xdr:spPr>
        <a:xfrm>
          <a:off x="4391025" y="365760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1352550</xdr:colOff>
      <xdr:row>182</xdr:row>
      <xdr:rowOff>95250</xdr:rowOff>
    </xdr:from>
    <xdr:to>
      <xdr:col>4</xdr:col>
      <xdr:colOff>24375</xdr:colOff>
      <xdr:row>182</xdr:row>
      <xdr:rowOff>167250</xdr:rowOff>
    </xdr:to>
    <xdr:sp macro="" textlink="">
      <xdr:nvSpPr>
        <xdr:cNvPr id="78" name="Conector 98">
          <a:extLst>
            <a:ext uri="{FF2B5EF4-FFF2-40B4-BE49-F238E27FC236}">
              <a16:creationId xmlns:a16="http://schemas.microsoft.com/office/drawing/2014/main" id="{79AAC45A-39EC-5B4D-9066-CE4BDAA3AB18}"/>
            </a:ext>
          </a:extLst>
        </xdr:cNvPr>
        <xdr:cNvSpPr>
          <a:spLocks noChangeAspect="1"/>
        </xdr:cNvSpPr>
      </xdr:nvSpPr>
      <xdr:spPr>
        <a:xfrm>
          <a:off x="4591050" y="36214050"/>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1152525</xdr:colOff>
      <xdr:row>181</xdr:row>
      <xdr:rowOff>76200</xdr:rowOff>
    </xdr:from>
    <xdr:to>
      <xdr:col>3</xdr:col>
      <xdr:colOff>1224525</xdr:colOff>
      <xdr:row>181</xdr:row>
      <xdr:rowOff>148200</xdr:rowOff>
    </xdr:to>
    <xdr:sp macro="" textlink="">
      <xdr:nvSpPr>
        <xdr:cNvPr id="79" name="Conector 99">
          <a:extLst>
            <a:ext uri="{FF2B5EF4-FFF2-40B4-BE49-F238E27FC236}">
              <a16:creationId xmlns:a16="http://schemas.microsoft.com/office/drawing/2014/main" id="{62046620-0396-E645-902B-A521CDF0C51A}"/>
            </a:ext>
          </a:extLst>
        </xdr:cNvPr>
        <xdr:cNvSpPr>
          <a:spLocks noChangeAspect="1"/>
        </xdr:cNvSpPr>
      </xdr:nvSpPr>
      <xdr:spPr>
        <a:xfrm>
          <a:off x="4391025" y="360045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1057275</xdr:colOff>
      <xdr:row>182</xdr:row>
      <xdr:rowOff>38100</xdr:rowOff>
    </xdr:from>
    <xdr:to>
      <xdr:col>3</xdr:col>
      <xdr:colOff>1129275</xdr:colOff>
      <xdr:row>182</xdr:row>
      <xdr:rowOff>110100</xdr:rowOff>
    </xdr:to>
    <xdr:sp macro="" textlink="">
      <xdr:nvSpPr>
        <xdr:cNvPr id="80" name="Conector 100">
          <a:extLst>
            <a:ext uri="{FF2B5EF4-FFF2-40B4-BE49-F238E27FC236}">
              <a16:creationId xmlns:a16="http://schemas.microsoft.com/office/drawing/2014/main" id="{A3053862-5B64-564E-AEEF-44C98534DBF4}"/>
            </a:ext>
          </a:extLst>
        </xdr:cNvPr>
        <xdr:cNvSpPr>
          <a:spLocks noChangeAspect="1"/>
        </xdr:cNvSpPr>
      </xdr:nvSpPr>
      <xdr:spPr>
        <a:xfrm>
          <a:off x="4295775" y="3615690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4</xdr:col>
      <xdr:colOff>95250</xdr:colOff>
      <xdr:row>182</xdr:row>
      <xdr:rowOff>161925</xdr:rowOff>
    </xdr:from>
    <xdr:to>
      <xdr:col>4</xdr:col>
      <xdr:colOff>167250</xdr:colOff>
      <xdr:row>183</xdr:row>
      <xdr:rowOff>43425</xdr:rowOff>
    </xdr:to>
    <xdr:sp macro="" textlink="">
      <xdr:nvSpPr>
        <xdr:cNvPr id="81" name="Conector 101">
          <a:extLst>
            <a:ext uri="{FF2B5EF4-FFF2-40B4-BE49-F238E27FC236}">
              <a16:creationId xmlns:a16="http://schemas.microsoft.com/office/drawing/2014/main" id="{9A874698-88D6-4D41-A06F-651EA6CF82BF}"/>
            </a:ext>
          </a:extLst>
        </xdr:cNvPr>
        <xdr:cNvSpPr>
          <a:spLocks noChangeAspect="1"/>
        </xdr:cNvSpPr>
      </xdr:nvSpPr>
      <xdr:spPr>
        <a:xfrm>
          <a:off x="4933950" y="36280725"/>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3</xdr:col>
      <xdr:colOff>990600</xdr:colOff>
      <xdr:row>183</xdr:row>
      <xdr:rowOff>57150</xdr:rowOff>
    </xdr:from>
    <xdr:to>
      <xdr:col>3</xdr:col>
      <xdr:colOff>1062600</xdr:colOff>
      <xdr:row>183</xdr:row>
      <xdr:rowOff>129150</xdr:rowOff>
    </xdr:to>
    <xdr:sp macro="" textlink="">
      <xdr:nvSpPr>
        <xdr:cNvPr id="82" name="Conector 102">
          <a:extLst>
            <a:ext uri="{FF2B5EF4-FFF2-40B4-BE49-F238E27FC236}">
              <a16:creationId xmlns:a16="http://schemas.microsoft.com/office/drawing/2014/main" id="{8F4020F0-C9BD-6941-A1E6-CA81C72EEBE6}"/>
            </a:ext>
          </a:extLst>
        </xdr:cNvPr>
        <xdr:cNvSpPr>
          <a:spLocks noChangeAspect="1"/>
        </xdr:cNvSpPr>
      </xdr:nvSpPr>
      <xdr:spPr>
        <a:xfrm>
          <a:off x="4229100" y="36366450"/>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oneCellAnchor>
    <xdr:from>
      <xdr:col>1</xdr:col>
      <xdr:colOff>881062</xdr:colOff>
      <xdr:row>136</xdr:row>
      <xdr:rowOff>4762</xdr:rowOff>
    </xdr:from>
    <xdr:ext cx="2186817" cy="172227"/>
    <mc:AlternateContent xmlns:mc="http://schemas.openxmlformats.org/markup-compatibility/2006" xmlns:a14="http://schemas.microsoft.com/office/drawing/2010/main">
      <mc:Choice Requires="a14">
        <xdr:sp macro="" textlink="">
          <xdr:nvSpPr>
            <xdr:cNvPr id="83" name="CuadroTexto 103">
              <a:extLst>
                <a:ext uri="{FF2B5EF4-FFF2-40B4-BE49-F238E27FC236}">
                  <a16:creationId xmlns:a16="http://schemas.microsoft.com/office/drawing/2014/main" id="{A6F6B383-45DD-3649-B8E0-903FF71E016A}"/>
                </a:ext>
              </a:extLst>
            </xdr:cNvPr>
            <xdr:cNvSpPr txBox="1"/>
          </xdr:nvSpPr>
          <xdr:spPr>
            <a:xfrm>
              <a:off x="1757362" y="27093862"/>
              <a:ext cx="21868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es-AR" sz="1100" i="1">
                            <a:latin typeface="Cambria Math" panose="02040503050406030204" pitchFamily="18" charset="0"/>
                          </a:rPr>
                        </m:ctrlPr>
                      </m:dPr>
                      <m:e>
                        <m:sSub>
                          <m:sSubPr>
                            <m:ctrlPr>
                              <a:rPr lang="es-AR" sz="1100" i="1">
                                <a:latin typeface="Cambria Math" panose="02040503050406030204" pitchFamily="18" charset="0"/>
                              </a:rPr>
                            </m:ctrlPr>
                          </m:sSubPr>
                          <m:e>
                            <m:r>
                              <a:rPr lang="es-AR" sz="1100" b="0" i="1">
                                <a:latin typeface="Cambria Math" panose="02040503050406030204" pitchFamily="18" charset="0"/>
                              </a:rPr>
                              <m:t>𝑟</m:t>
                            </m:r>
                          </m:e>
                          <m:sub>
                            <m:r>
                              <a:rPr lang="es-AR" sz="1100" b="0" i="1">
                                <a:latin typeface="Cambria Math" panose="02040503050406030204" pitchFamily="18" charset="0"/>
                              </a:rPr>
                              <m:t>𝐵𝑒𝑠𝑡</m:t>
                            </m:r>
                          </m:sub>
                        </m:sSub>
                        <m:r>
                          <a:rPr lang="es-AR" sz="1100" b="0" i="1">
                            <a:latin typeface="Cambria Math" panose="02040503050406030204" pitchFamily="18" charset="0"/>
                          </a:rPr>
                          <m:t>−</m:t>
                        </m:r>
                        <m:r>
                          <a:rPr lang="es-AR" sz="1100" b="0" i="1">
                            <a:latin typeface="Cambria Math" panose="02040503050406030204" pitchFamily="18" charset="0"/>
                          </a:rPr>
                          <m:t>𝐸</m:t>
                        </m:r>
                        <m:d>
                          <m:dPr>
                            <m:ctrlPr>
                              <a:rPr lang="es-AR" sz="1100" b="0" i="1">
                                <a:latin typeface="Cambria Math" panose="02040503050406030204" pitchFamily="18" charset="0"/>
                              </a:rPr>
                            </m:ctrlPr>
                          </m:dPr>
                          <m:e>
                            <m:sSub>
                              <m:sSubPr>
                                <m:ctrlPr>
                                  <a:rPr lang="es-AR" sz="1100" b="0" i="1">
                                    <a:latin typeface="Cambria Math" panose="02040503050406030204" pitchFamily="18" charset="0"/>
                                  </a:rPr>
                                </m:ctrlPr>
                              </m:sSubPr>
                              <m:e>
                                <m:r>
                                  <a:rPr lang="es-AR" sz="1100" b="0" i="1">
                                    <a:latin typeface="Cambria Math" panose="02040503050406030204" pitchFamily="18" charset="0"/>
                                  </a:rPr>
                                  <m:t>𝑟</m:t>
                                </m:r>
                              </m:e>
                              <m:sub>
                                <m:r>
                                  <a:rPr lang="es-AR" sz="1100" b="0" i="1">
                                    <a:latin typeface="Cambria Math" panose="02040503050406030204" pitchFamily="18" charset="0"/>
                                  </a:rPr>
                                  <m:t>𝐵𝑒𝑠𝑡</m:t>
                                </m:r>
                              </m:sub>
                            </m:sSub>
                          </m:e>
                        </m:d>
                      </m:e>
                    </m:d>
                    <m:d>
                      <m:dPr>
                        <m:begChr m:val="["/>
                        <m:endChr m:val="]"/>
                        <m:ctrlPr>
                          <a:rPr lang="es-AR" sz="1100" i="1">
                            <a:latin typeface="Cambria Math" panose="02040503050406030204" pitchFamily="18" charset="0"/>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𝑟</m:t>
                            </m:r>
                          </m:e>
                          <m:sub>
                            <m:r>
                              <a:rPr lang="es-AR" sz="1100" b="0" i="1">
                                <a:solidFill>
                                  <a:schemeClr val="tx1"/>
                                </a:solidFill>
                                <a:effectLst/>
                                <a:latin typeface="Cambria Math" panose="02040503050406030204" pitchFamily="18" charset="0"/>
                                <a:ea typeface="+mn-ea"/>
                                <a:cs typeface="+mn-cs"/>
                              </a:rPr>
                              <m:t>𝐾𝑎𝑛𝑒</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d>
                          <m:dPr>
                            <m:ctrlPr>
                              <a:rPr lang="es-AR" sz="1100" b="0" i="1">
                                <a:solidFill>
                                  <a:schemeClr val="tx1"/>
                                </a:solidFill>
                                <a:effectLst/>
                                <a:latin typeface="Cambria Math" panose="02040503050406030204" pitchFamily="18" charset="0"/>
                                <a:ea typeface="+mn-ea"/>
                                <a:cs typeface="+mn-cs"/>
                              </a:rPr>
                            </m:ctrlPr>
                          </m:dPr>
                          <m:e>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𝑟</m:t>
                                </m:r>
                              </m:e>
                              <m:sub>
                                <m:r>
                                  <a:rPr lang="es-AR" sz="1100" b="0" i="1">
                                    <a:solidFill>
                                      <a:schemeClr val="tx1"/>
                                    </a:solidFill>
                                    <a:effectLst/>
                                    <a:latin typeface="Cambria Math" panose="02040503050406030204" pitchFamily="18" charset="0"/>
                                    <a:ea typeface="+mn-ea"/>
                                    <a:cs typeface="+mn-cs"/>
                                  </a:rPr>
                                  <m:t>𝐾𝑎𝑛𝑒</m:t>
                                </m:r>
                              </m:sub>
                            </m:sSub>
                          </m:e>
                        </m:d>
                      </m:e>
                    </m:d>
                  </m:oMath>
                </m:oMathPara>
              </a14:m>
              <a:endParaRPr lang="es-AR" sz="1100"/>
            </a:p>
          </xdr:txBody>
        </xdr:sp>
      </mc:Choice>
      <mc:Fallback xmlns="">
        <xdr:sp macro="" textlink="">
          <xdr:nvSpPr>
            <xdr:cNvPr id="83" name="CuadroTexto 103">
              <a:extLst>
                <a:ext uri="{FF2B5EF4-FFF2-40B4-BE49-F238E27FC236}">
                  <a16:creationId xmlns:a16="http://schemas.microsoft.com/office/drawing/2014/main" id="{A6F6B383-45DD-3649-B8E0-903FF71E016A}"/>
                </a:ext>
              </a:extLst>
            </xdr:cNvPr>
            <xdr:cNvSpPr txBox="1"/>
          </xdr:nvSpPr>
          <xdr:spPr>
            <a:xfrm>
              <a:off x="1757362" y="27093862"/>
              <a:ext cx="218681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i="0">
                  <a:latin typeface="Cambria Math" panose="02040503050406030204" pitchFamily="18" charset="0"/>
                </a:rPr>
                <a:t>[</a:t>
              </a:r>
              <a:r>
                <a:rPr lang="es-AR" sz="1100" b="0" i="0">
                  <a:latin typeface="Cambria Math" panose="02040503050406030204" pitchFamily="18" charset="0"/>
                </a:rPr>
                <a:t>𝑟_𝐵𝑒𝑠𝑡−𝐸(𝑟_𝐵𝑒𝑠𝑡 )]</a:t>
              </a:r>
              <a:r>
                <a:rPr lang="es-AR" sz="1100" i="0">
                  <a:latin typeface="Cambria Math" panose="02040503050406030204" pitchFamily="18" charset="0"/>
                </a:rPr>
                <a:t>[</a:t>
              </a:r>
              <a:r>
                <a:rPr lang="es-AR" sz="1100" b="0" i="0">
                  <a:solidFill>
                    <a:schemeClr val="tx1"/>
                  </a:solidFill>
                  <a:effectLst/>
                  <a:latin typeface="Cambria Math" panose="02040503050406030204" pitchFamily="18" charset="0"/>
                  <a:ea typeface="+mn-ea"/>
                  <a:cs typeface="+mn-cs"/>
                </a:rPr>
                <a:t>𝑟_𝐾𝑎𝑛𝑒−𝐸(𝑟_𝐾𝑎𝑛𝑒 )]</a:t>
              </a:r>
              <a:endParaRPr lang="es-AR" sz="1100"/>
            </a:p>
          </xdr:txBody>
        </xdr:sp>
      </mc:Fallback>
    </mc:AlternateContent>
    <xdr:clientData/>
  </xdr:oneCellAnchor>
  <xdr:twoCellAnchor>
    <xdr:from>
      <xdr:col>3</xdr:col>
      <xdr:colOff>1095374</xdr:colOff>
      <xdr:row>133</xdr:row>
      <xdr:rowOff>180974</xdr:rowOff>
    </xdr:from>
    <xdr:to>
      <xdr:col>4</xdr:col>
      <xdr:colOff>38099</xdr:colOff>
      <xdr:row>139</xdr:row>
      <xdr:rowOff>19049</xdr:rowOff>
    </xdr:to>
    <xdr:sp macro="" textlink="">
      <xdr:nvSpPr>
        <xdr:cNvPr id="84" name="Cerrar llave 104">
          <a:extLst>
            <a:ext uri="{FF2B5EF4-FFF2-40B4-BE49-F238E27FC236}">
              <a16:creationId xmlns:a16="http://schemas.microsoft.com/office/drawing/2014/main" id="{9F91BF94-B07D-984E-8DF3-C54A027CA987}"/>
            </a:ext>
          </a:extLst>
        </xdr:cNvPr>
        <xdr:cNvSpPr/>
      </xdr:nvSpPr>
      <xdr:spPr>
        <a:xfrm rot="10800000">
          <a:off x="4333874" y="26698574"/>
          <a:ext cx="542925" cy="981075"/>
        </a:xfrm>
        <a:prstGeom prst="righ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s-AR" sz="1100"/>
        </a:p>
      </xdr:txBody>
    </xdr:sp>
    <xdr:clientData/>
  </xdr:twoCellAnchor>
  <xdr:twoCellAnchor>
    <xdr:from>
      <xdr:col>1</xdr:col>
      <xdr:colOff>695325</xdr:colOff>
      <xdr:row>153</xdr:row>
      <xdr:rowOff>104775</xdr:rowOff>
    </xdr:from>
    <xdr:to>
      <xdr:col>4</xdr:col>
      <xdr:colOff>657225</xdr:colOff>
      <xdr:row>156</xdr:row>
      <xdr:rowOff>56110</xdr:rowOff>
    </xdr:to>
    <mc:AlternateContent xmlns:mc="http://schemas.openxmlformats.org/markup-compatibility/2006" xmlns:a14="http://schemas.microsoft.com/office/drawing/2010/main">
      <mc:Choice Requires="a14">
        <xdr:sp macro="" textlink="">
          <xdr:nvSpPr>
            <xdr:cNvPr id="85" name="CuadroTexto 9">
              <a:extLst>
                <a:ext uri="{FF2B5EF4-FFF2-40B4-BE49-F238E27FC236}">
                  <a16:creationId xmlns:a16="http://schemas.microsoft.com/office/drawing/2014/main" id="{19A99E5E-3E82-3943-8333-A014153D4AEF}"/>
                </a:ext>
              </a:extLst>
            </xdr:cNvPr>
            <xdr:cNvSpPr txBox="1"/>
          </xdr:nvSpPr>
          <xdr:spPr>
            <a:xfrm>
              <a:off x="1571625" y="30699075"/>
              <a:ext cx="3924300"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400" b="0" i="1">
                        <a:latin typeface="Cambria Math" panose="02040503050406030204" pitchFamily="18" charset="0"/>
                      </a:rPr>
                      <m:t>𝐶𝑜𝑣</m:t>
                    </m:r>
                    <m:d>
                      <m:dPr>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 </m:t>
                        </m:r>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𝑗</m:t>
                            </m:r>
                          </m:sub>
                        </m:sSub>
                      </m:e>
                    </m:d>
                    <m:r>
                      <a:rPr lang="es-AR" sz="1400" b="0" i="1">
                        <a:latin typeface="Cambria Math" panose="02040503050406030204" pitchFamily="18" charset="0"/>
                      </a:rPr>
                      <m:t>=</m:t>
                    </m:r>
                    <m:nary>
                      <m:naryPr>
                        <m:chr m:val="∑"/>
                        <m:supHide m:val="on"/>
                        <m:ctrlPr>
                          <a:rPr lang="es-AR" sz="1400" b="0" i="1">
                            <a:latin typeface="Cambria Math" panose="02040503050406030204" pitchFamily="18" charset="0"/>
                          </a:rPr>
                        </m:ctrlPr>
                      </m:naryPr>
                      <m:sub>
                        <m:r>
                          <m:rPr>
                            <m:brk m:alnAt="7"/>
                          </m:rPr>
                          <a:rPr lang="es-AR" sz="1400" b="0" i="1">
                            <a:latin typeface="Cambria Math" panose="02040503050406030204" pitchFamily="18" charset="0"/>
                          </a:rPr>
                          <m:t>𝑠</m:t>
                        </m:r>
                      </m:sub>
                      <m:sup/>
                      <m:e>
                        <m:r>
                          <m:rPr>
                            <m:sty m:val="p"/>
                          </m:rPr>
                          <a:rPr lang="es-AR" sz="1400" b="0" i="0">
                            <a:latin typeface="Cambria Math" panose="02040503050406030204" pitchFamily="18" charset="0"/>
                          </a:rPr>
                          <m:t>Pr</m:t>
                        </m:r>
                        <m:r>
                          <a:rPr lang="es-AR" sz="1400" b="0" i="1">
                            <a:latin typeface="Cambria Math" panose="02040503050406030204" pitchFamily="18" charset="0"/>
                          </a:rPr>
                          <m:t>⁡(</m:t>
                        </m:r>
                        <m:r>
                          <a:rPr lang="es-AR" sz="1400" b="0" i="1">
                            <a:latin typeface="Cambria Math" panose="02040503050406030204" pitchFamily="18" charset="0"/>
                          </a:rPr>
                          <m:t>𝑠</m:t>
                        </m:r>
                        <m:r>
                          <a:rPr lang="es-AR" sz="1400" b="0" i="1">
                            <a:latin typeface="Cambria Math" panose="02040503050406030204" pitchFamily="18" charset="0"/>
                          </a:rPr>
                          <m:t>)</m:t>
                        </m:r>
                        <m:d>
                          <m:dPr>
                            <m:begChr m:val="["/>
                            <m:endChr m:val="]"/>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m:t>
                            </m:r>
                            <m:r>
                              <a:rPr lang="es-AR" sz="1400" b="0" i="1">
                                <a:latin typeface="Cambria Math" panose="02040503050406030204" pitchFamily="18" charset="0"/>
                              </a:rPr>
                              <m:t>𝐸</m:t>
                            </m:r>
                            <m:r>
                              <a:rPr lang="es-AR" sz="1400" b="0" i="1">
                                <a:latin typeface="Cambria Math" panose="02040503050406030204" pitchFamily="18" charset="0"/>
                              </a:rPr>
                              <m:t>(</m:t>
                            </m:r>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𝑖</m:t>
                                </m:r>
                              </m:sub>
                            </m:sSub>
                            <m:r>
                              <a:rPr lang="es-AR" sz="1400" b="0" i="1">
                                <a:latin typeface="Cambria Math" panose="02040503050406030204" pitchFamily="18" charset="0"/>
                              </a:rPr>
                              <m:t>)</m:t>
                            </m:r>
                          </m:e>
                        </m:d>
                        <m:d>
                          <m:dPr>
                            <m:begChr m:val="["/>
                            <m:endChr m:val="]"/>
                            <m:ctrlPr>
                              <a:rPr lang="es-AR" sz="1400" b="0" i="1">
                                <a:latin typeface="Cambria Math" panose="02040503050406030204" pitchFamily="18" charset="0"/>
                              </a:rPr>
                            </m:ctrlPr>
                          </m:dPr>
                          <m:e>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𝑗</m:t>
                                </m:r>
                              </m:sub>
                            </m:sSub>
                            <m:r>
                              <a:rPr lang="es-AR" sz="1400" b="0" i="1">
                                <a:latin typeface="Cambria Math" panose="02040503050406030204" pitchFamily="18" charset="0"/>
                              </a:rPr>
                              <m:t>−</m:t>
                            </m:r>
                            <m:r>
                              <a:rPr lang="es-AR" sz="1400" b="0" i="1">
                                <a:latin typeface="Cambria Math" panose="02040503050406030204" pitchFamily="18" charset="0"/>
                              </a:rPr>
                              <m:t>𝐸</m:t>
                            </m:r>
                            <m:r>
                              <a:rPr lang="es-AR" sz="1400" b="0" i="1">
                                <a:latin typeface="Cambria Math" panose="02040503050406030204" pitchFamily="18" charset="0"/>
                              </a:rPr>
                              <m:t>(</m:t>
                            </m:r>
                            <m:sSub>
                              <m:sSubPr>
                                <m:ctrlPr>
                                  <a:rPr lang="es-AR" sz="1400" b="0" i="1">
                                    <a:latin typeface="Cambria Math" panose="02040503050406030204" pitchFamily="18" charset="0"/>
                                  </a:rPr>
                                </m:ctrlPr>
                              </m:sSubPr>
                              <m:e>
                                <m:r>
                                  <a:rPr lang="es-AR" sz="1400" b="0" i="1">
                                    <a:latin typeface="Cambria Math" panose="02040503050406030204" pitchFamily="18" charset="0"/>
                                  </a:rPr>
                                  <m:t>𝑟</m:t>
                                </m:r>
                              </m:e>
                              <m:sub>
                                <m:r>
                                  <a:rPr lang="es-AR" sz="1400" b="0" i="1">
                                    <a:latin typeface="Cambria Math" panose="02040503050406030204" pitchFamily="18" charset="0"/>
                                  </a:rPr>
                                  <m:t>𝑗</m:t>
                                </m:r>
                              </m:sub>
                            </m:sSub>
                            <m:r>
                              <a:rPr lang="es-AR" sz="1400" b="0" i="1">
                                <a:latin typeface="Cambria Math" panose="02040503050406030204" pitchFamily="18" charset="0"/>
                              </a:rPr>
                              <m:t>)</m:t>
                            </m:r>
                          </m:e>
                        </m:d>
                      </m:e>
                    </m:nary>
                  </m:oMath>
                </m:oMathPara>
              </a14:m>
              <a:endParaRPr lang="es-AR" sz="1400"/>
            </a:p>
          </xdr:txBody>
        </xdr:sp>
      </mc:Choice>
      <mc:Fallback xmlns="">
        <xdr:sp macro="" textlink="">
          <xdr:nvSpPr>
            <xdr:cNvPr id="85" name="CuadroTexto 9">
              <a:extLst>
                <a:ext uri="{FF2B5EF4-FFF2-40B4-BE49-F238E27FC236}">
                  <a16:creationId xmlns:a16="http://schemas.microsoft.com/office/drawing/2014/main" id="{19A99E5E-3E82-3943-8333-A014153D4AEF}"/>
                </a:ext>
              </a:extLst>
            </xdr:cNvPr>
            <xdr:cNvSpPr txBox="1"/>
          </xdr:nvSpPr>
          <xdr:spPr>
            <a:xfrm>
              <a:off x="1571625" y="30699075"/>
              <a:ext cx="3924300" cy="522835"/>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400" b="0" i="0">
                  <a:latin typeface="Cambria Math" panose="02040503050406030204" pitchFamily="18" charset="0"/>
                </a:rPr>
                <a:t>𝐶𝑜𝑣(𝑟_𝑖, 𝑟_𝑗 )=∑_𝑠▒〖Pr⁡(𝑠)[𝑟_𝑖−𝐸(𝑟_𝑖)][𝑟_𝑗−𝐸(𝑟_𝑗)] 〗</a:t>
              </a:r>
              <a:endParaRPr lang="es-AR" sz="1400"/>
            </a:p>
          </xdr:txBody>
        </xdr:sp>
      </mc:Fallback>
    </mc:AlternateContent>
    <xdr:clientData/>
  </xdr:twoCellAnchor>
  <xdr:twoCellAnchor>
    <xdr:from>
      <xdr:col>1</xdr:col>
      <xdr:colOff>552449</xdr:colOff>
      <xdr:row>156</xdr:row>
      <xdr:rowOff>161924</xdr:rowOff>
    </xdr:from>
    <xdr:to>
      <xdr:col>5</xdr:col>
      <xdr:colOff>838200</xdr:colOff>
      <xdr:row>159</xdr:row>
      <xdr:rowOff>38624</xdr:rowOff>
    </xdr:to>
    <mc:AlternateContent xmlns:mc="http://schemas.openxmlformats.org/markup-compatibility/2006" xmlns:a14="http://schemas.microsoft.com/office/drawing/2010/main">
      <mc:Choice Requires="a14">
        <xdr:sp macro="" textlink="">
          <xdr:nvSpPr>
            <xdr:cNvPr id="86" name="CuadroTexto 9">
              <a:extLst>
                <a:ext uri="{FF2B5EF4-FFF2-40B4-BE49-F238E27FC236}">
                  <a16:creationId xmlns:a16="http://schemas.microsoft.com/office/drawing/2014/main" id="{2A3FAC71-179E-3B4A-BDC2-6EDDEEEFD1D0}"/>
                </a:ext>
              </a:extLst>
            </xdr:cNvPr>
            <xdr:cNvSpPr txBox="1"/>
          </xdr:nvSpPr>
          <xdr:spPr>
            <a:xfrm>
              <a:off x="1428749" y="31327724"/>
              <a:ext cx="5378451" cy="448200"/>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m:t>
                    </m:r>
                    <m:nary>
                      <m:naryPr>
                        <m:chr m:val="∑"/>
                        <m:supHide m:val="on"/>
                        <m:ctrlPr>
                          <a:rPr lang="es-AR" sz="1200" b="0" i="1">
                            <a:latin typeface="Cambria Math" panose="02040503050406030204" pitchFamily="18" charset="0"/>
                          </a:rPr>
                        </m:ctrlPr>
                      </m:naryPr>
                      <m:sub>
                        <m:r>
                          <m:rPr>
                            <m:brk m:alnAt="7"/>
                          </m:rPr>
                          <a:rPr lang="es-AR" sz="1200" b="0" i="1">
                            <a:latin typeface="Cambria Math" panose="02040503050406030204" pitchFamily="18" charset="0"/>
                          </a:rPr>
                          <m:t>𝑠</m:t>
                        </m:r>
                      </m:sub>
                      <m:sup/>
                      <m:e>
                        <m:r>
                          <m:rPr>
                            <m:sty m:val="p"/>
                          </m:rPr>
                          <a:rPr lang="es-AR" sz="1200" b="0" i="0">
                            <a:latin typeface="Cambria Math" panose="02040503050406030204" pitchFamily="18" charset="0"/>
                          </a:rPr>
                          <m:t>Pr</m:t>
                        </m:r>
                        <m:r>
                          <a:rPr lang="es-AR" sz="1200" b="0" i="1">
                            <a:latin typeface="Cambria Math" panose="02040503050406030204" pitchFamily="18" charset="0"/>
                          </a:rPr>
                          <m:t>⁡(</m:t>
                        </m:r>
                        <m:r>
                          <a:rPr lang="es-AR" sz="1200" b="0" i="1">
                            <a:latin typeface="Cambria Math" panose="02040503050406030204" pitchFamily="18" charset="0"/>
                          </a:rPr>
                          <m:t>𝑠</m:t>
                        </m:r>
                        <m:r>
                          <a:rPr lang="es-AR" sz="1200" b="0" i="1">
                            <a:latin typeface="Cambria Math" panose="02040503050406030204" pitchFamily="18" charset="0"/>
                          </a:rPr>
                          <m:t>)</m:t>
                        </m:r>
                        <m:d>
                          <m:dPr>
                            <m:begChr m:val="["/>
                            <m:endChr m:val="]"/>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m:t>
                            </m:r>
                            <m:r>
                              <a:rPr lang="es-AR" sz="1200" b="0" i="1">
                                <a:latin typeface="Cambria Math" panose="02040503050406030204" pitchFamily="18" charset="0"/>
                              </a:rPr>
                              <m:t>𝐸</m:t>
                            </m:r>
                            <m:r>
                              <a:rPr lang="es-AR" sz="1200" b="0" i="1">
                                <a:latin typeface="Cambria Math" panose="02040503050406030204" pitchFamily="18" charset="0"/>
                              </a:rPr>
                              <m:t>(</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m:t>
                            </m:r>
                          </m:e>
                        </m:d>
                        <m:d>
                          <m:dPr>
                            <m:begChr m:val="["/>
                            <m:endChr m:val="]"/>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r>
                              <a:rPr lang="es-AR" sz="1200" b="0" i="1">
                                <a:latin typeface="Cambria Math" panose="02040503050406030204" pitchFamily="18" charset="0"/>
                              </a:rPr>
                              <m:t>−</m:t>
                            </m:r>
                            <m:r>
                              <a:rPr lang="es-AR" sz="1200" b="0" i="1">
                                <a:latin typeface="Cambria Math" panose="02040503050406030204" pitchFamily="18" charset="0"/>
                              </a:rPr>
                              <m:t>𝐸</m:t>
                            </m:r>
                            <m:r>
                              <a:rPr lang="es-AR" sz="1200" b="0" i="1">
                                <a:latin typeface="Cambria Math" panose="02040503050406030204" pitchFamily="18" charset="0"/>
                              </a:rPr>
                              <m:t>(</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r>
                              <a:rPr lang="es-AR" sz="1200" b="0" i="1">
                                <a:latin typeface="Cambria Math" panose="02040503050406030204" pitchFamily="18" charset="0"/>
                              </a:rPr>
                              <m:t>)</m:t>
                            </m:r>
                          </m:e>
                        </m:d>
                      </m:e>
                    </m:nary>
                  </m:oMath>
                </m:oMathPara>
              </a14:m>
              <a:endParaRPr lang="es-AR" sz="1200"/>
            </a:p>
          </xdr:txBody>
        </xdr:sp>
      </mc:Choice>
      <mc:Fallback xmlns="">
        <xdr:sp macro="" textlink="">
          <xdr:nvSpPr>
            <xdr:cNvPr id="86" name="CuadroTexto 9">
              <a:extLst>
                <a:ext uri="{FF2B5EF4-FFF2-40B4-BE49-F238E27FC236}">
                  <a16:creationId xmlns:a16="http://schemas.microsoft.com/office/drawing/2014/main" id="{2A3FAC71-179E-3B4A-BDC2-6EDDEEEFD1D0}"/>
                </a:ext>
              </a:extLst>
            </xdr:cNvPr>
            <xdr:cNvSpPr txBox="1"/>
          </xdr:nvSpPr>
          <xdr:spPr>
            <a:xfrm>
              <a:off x="1428749" y="31327724"/>
              <a:ext cx="5378451" cy="448200"/>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)=∑_𝑠▒〖Pr⁡(𝑠)[𝑟_𝐵𝑒𝑠𝑡−𝐸(𝑟_𝐵𝑒𝑠𝑡)][𝑟_𝑆𝑢𝑔𝑎𝑟−𝐸(𝑟_𝑆𝑢𝑔𝑎𝑟)] 〗</a:t>
              </a:r>
              <a:endParaRPr lang="es-AR" sz="1200"/>
            </a:p>
          </xdr:txBody>
        </xdr:sp>
      </mc:Fallback>
    </mc:AlternateContent>
    <xdr:clientData/>
  </xdr:twoCellAnchor>
  <xdr:twoCellAnchor>
    <xdr:from>
      <xdr:col>1</xdr:col>
      <xdr:colOff>733423</xdr:colOff>
      <xdr:row>159</xdr:row>
      <xdr:rowOff>161925</xdr:rowOff>
    </xdr:from>
    <xdr:to>
      <xdr:col>11</xdr:col>
      <xdr:colOff>647699</xdr:colOff>
      <xdr:row>160</xdr:row>
      <xdr:rowOff>184368</xdr:rowOff>
    </xdr:to>
    <mc:AlternateContent xmlns:mc="http://schemas.openxmlformats.org/markup-compatibility/2006" xmlns:a14="http://schemas.microsoft.com/office/drawing/2010/main">
      <mc:Choice Requires="a14">
        <xdr:sp macro="" textlink="">
          <xdr:nvSpPr>
            <xdr:cNvPr id="87" name="CuadroTexto 9">
              <a:extLst>
                <a:ext uri="{FF2B5EF4-FFF2-40B4-BE49-F238E27FC236}">
                  <a16:creationId xmlns:a16="http://schemas.microsoft.com/office/drawing/2014/main" id="{E5A8A61E-E849-DC47-8197-74175FA9BA70}"/>
                </a:ext>
              </a:extLst>
            </xdr:cNvPr>
            <xdr:cNvSpPr txBox="1"/>
          </xdr:nvSpPr>
          <xdr:spPr>
            <a:xfrm>
              <a:off x="1609723" y="31899225"/>
              <a:ext cx="12030076"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14:m>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=0,5</m:t>
                  </m:r>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0,25−0,105</m:t>
                      </m:r>
                    </m:e>
                  </m:d>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0,01−0,06</m:t>
                      </m:r>
                    </m:e>
                  </m:d>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0,3</m:t>
                  </m:r>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0,1−0,105</m:t>
                      </m:r>
                    </m:e>
                  </m:d>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−0,05−0,06</m:t>
                      </m:r>
                    </m:e>
                  </m:d>
                </m:oMath>
              </a14:m>
              <a:r>
                <a:rPr lang="es-AR" sz="1200"/>
                <a:t>+</a:t>
              </a:r>
              <a14:m>
                <m:oMath xmlns:m="http://schemas.openxmlformats.org/officeDocument/2006/math">
                  <m:r>
                    <a:rPr lang="es-AR" sz="1200" b="0" i="1" kern="1200">
                      <a:solidFill>
                        <a:schemeClr val="tx1"/>
                      </a:solidFill>
                      <a:effectLst/>
                      <a:latin typeface="Cambria Math" panose="02040503050406030204" pitchFamily="18" charset="0"/>
                      <a:ea typeface="+mn-ea"/>
                      <a:cs typeface="+mn-cs"/>
                    </a:rPr>
                    <m:t>0,2</m:t>
                  </m:r>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−0,25−0,105</m:t>
                      </m:r>
                    </m:e>
                  </m:d>
                  <m:d>
                    <m:dPr>
                      <m:begChr m:val="["/>
                      <m:endChr m:val="]"/>
                      <m:ctrlPr>
                        <a:rPr lang="es-AR" sz="1200" b="0" i="1" kern="1200">
                          <a:solidFill>
                            <a:schemeClr val="tx1"/>
                          </a:solidFill>
                          <a:effectLst/>
                          <a:latin typeface="Cambria Math" panose="02040503050406030204" pitchFamily="18" charset="0"/>
                          <a:ea typeface="+mn-ea"/>
                          <a:cs typeface="+mn-cs"/>
                        </a:rPr>
                      </m:ctrlPr>
                    </m:dPr>
                    <m:e>
                      <m:r>
                        <a:rPr lang="es-AR" sz="1200" b="0" i="1" kern="1200">
                          <a:solidFill>
                            <a:schemeClr val="tx1"/>
                          </a:solidFill>
                          <a:effectLst/>
                          <a:latin typeface="Cambria Math" panose="02040503050406030204" pitchFamily="18" charset="0"/>
                          <a:ea typeface="+mn-ea"/>
                          <a:cs typeface="+mn-cs"/>
                        </a:rPr>
                        <m:t>0,35−0,06</m:t>
                      </m:r>
                    </m:e>
                  </m:d>
                  <m:r>
                    <a:rPr lang="es-AR" sz="1200" b="0" i="1" kern="1200">
                      <a:solidFill>
                        <a:schemeClr val="tx1"/>
                      </a:solidFill>
                      <a:effectLst/>
                      <a:latin typeface="Cambria Math" panose="02040503050406030204" pitchFamily="18" charset="0"/>
                      <a:ea typeface="+mn-ea"/>
                      <a:cs typeface="+mn-cs"/>
                    </a:rPr>
                    <m:t>=−0,02405</m:t>
                  </m:r>
                </m:oMath>
              </a14:m>
              <a:endParaRPr lang="es-AR" sz="1200" b="0" kern="1200">
                <a:solidFill>
                  <a:schemeClr val="tx1"/>
                </a:solidFill>
                <a:effectLst/>
                <a:ea typeface="+mn-ea"/>
                <a:cs typeface="+mn-cs"/>
              </a:endParaRPr>
            </a:p>
          </xdr:txBody>
        </xdr:sp>
      </mc:Choice>
      <mc:Fallback xmlns="">
        <xdr:sp macro="" textlink="">
          <xdr:nvSpPr>
            <xdr:cNvPr id="87" name="CuadroTexto 9">
              <a:extLst>
                <a:ext uri="{FF2B5EF4-FFF2-40B4-BE49-F238E27FC236}">
                  <a16:creationId xmlns:a16="http://schemas.microsoft.com/office/drawing/2014/main" id="{E5A8A61E-E849-DC47-8197-74175FA9BA70}"/>
                </a:ext>
              </a:extLst>
            </xdr:cNvPr>
            <xdr:cNvSpPr txBox="1"/>
          </xdr:nvSpPr>
          <xdr:spPr>
            <a:xfrm>
              <a:off x="1609723" y="31899225"/>
              <a:ext cx="12030076"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AR" sz="1200" b="0" i="0">
                  <a:latin typeface="Cambria Math" panose="02040503050406030204" pitchFamily="18" charset="0"/>
                </a:rPr>
                <a:t>𝐶𝑜𝑣(𝑟_𝐵𝑒𝑠𝑡, 𝑟_𝑆𝑢𝑔𝑎𝑟 )=0,5</a:t>
              </a:r>
              <a:r>
                <a:rPr lang="es-AR" sz="1200" b="0" i="0" kern="1200">
                  <a:solidFill>
                    <a:schemeClr val="tx1"/>
                  </a:solidFill>
                  <a:effectLst/>
                  <a:latin typeface="Cambria Math" panose="02040503050406030204" pitchFamily="18" charset="0"/>
                  <a:ea typeface="+mn-ea"/>
                  <a:cs typeface="+mn-cs"/>
                </a:rPr>
                <a:t>[0,25−0,105][0,01−0,06]</a:t>
              </a:r>
              <a:r>
                <a:rPr lang="es-AR" sz="1200"/>
                <a:t>+</a:t>
              </a:r>
              <a:r>
                <a:rPr lang="es-AR" sz="1200" b="0" i="0" kern="1200">
                  <a:solidFill>
                    <a:schemeClr val="tx1"/>
                  </a:solidFill>
                  <a:effectLst/>
                  <a:latin typeface="Cambria Math" panose="02040503050406030204" pitchFamily="18" charset="0"/>
                  <a:ea typeface="+mn-ea"/>
                  <a:cs typeface="+mn-cs"/>
                </a:rPr>
                <a:t>0,3[0,1−0,105][−0,05−0,06]</a:t>
              </a:r>
              <a:r>
                <a:rPr lang="es-AR" sz="1200"/>
                <a:t>+</a:t>
              </a:r>
              <a:r>
                <a:rPr lang="es-AR" sz="1200" b="0" i="0" kern="1200">
                  <a:solidFill>
                    <a:schemeClr val="tx1"/>
                  </a:solidFill>
                  <a:effectLst/>
                  <a:latin typeface="Cambria Math" panose="02040503050406030204" pitchFamily="18" charset="0"/>
                  <a:ea typeface="+mn-ea"/>
                  <a:cs typeface="+mn-cs"/>
                </a:rPr>
                <a:t>0,2[−0,25−0,105][0,35−0,06]=−0,02405</a:t>
              </a:r>
              <a:endParaRPr lang="es-AR" sz="1200" b="0" kern="1200">
                <a:solidFill>
                  <a:schemeClr val="tx1"/>
                </a:solidFill>
                <a:effectLst/>
                <a:ea typeface="+mn-ea"/>
                <a:cs typeface="+mn-cs"/>
              </a:endParaRPr>
            </a:p>
          </xdr:txBody>
        </xdr:sp>
      </mc:Fallback>
    </mc:AlternateContent>
    <xdr:clientData/>
  </xdr:twoCellAnchor>
  <xdr:twoCellAnchor>
    <xdr:from>
      <xdr:col>3</xdr:col>
      <xdr:colOff>1314450</xdr:colOff>
      <xdr:row>143</xdr:row>
      <xdr:rowOff>9525</xdr:rowOff>
    </xdr:from>
    <xdr:to>
      <xdr:col>4</xdr:col>
      <xdr:colOff>333375</xdr:colOff>
      <xdr:row>144</xdr:row>
      <xdr:rowOff>47625</xdr:rowOff>
    </xdr:to>
    <xdr:cxnSp macro="">
      <xdr:nvCxnSpPr>
        <xdr:cNvPr id="88" name="Conector recto de flecha 110">
          <a:extLst>
            <a:ext uri="{FF2B5EF4-FFF2-40B4-BE49-F238E27FC236}">
              <a16:creationId xmlns:a16="http://schemas.microsoft.com/office/drawing/2014/main" id="{1B59BD92-7530-164B-8E8A-ECB36DA6448E}"/>
            </a:ext>
          </a:extLst>
        </xdr:cNvPr>
        <xdr:cNvCxnSpPr/>
      </xdr:nvCxnSpPr>
      <xdr:spPr>
        <a:xfrm>
          <a:off x="4552950" y="28470225"/>
          <a:ext cx="619125" cy="2413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800100</xdr:colOff>
      <xdr:row>143</xdr:row>
      <xdr:rowOff>0</xdr:rowOff>
    </xdr:from>
    <xdr:to>
      <xdr:col>3</xdr:col>
      <xdr:colOff>1304926</xdr:colOff>
      <xdr:row>144</xdr:row>
      <xdr:rowOff>66675</xdr:rowOff>
    </xdr:to>
    <xdr:cxnSp macro="">
      <xdr:nvCxnSpPr>
        <xdr:cNvPr id="89" name="Conector recto de flecha 111">
          <a:extLst>
            <a:ext uri="{FF2B5EF4-FFF2-40B4-BE49-F238E27FC236}">
              <a16:creationId xmlns:a16="http://schemas.microsoft.com/office/drawing/2014/main" id="{CAE0644E-193F-7B48-9B78-392DD3DF7809}"/>
            </a:ext>
          </a:extLst>
        </xdr:cNvPr>
        <xdr:cNvCxnSpPr/>
      </xdr:nvCxnSpPr>
      <xdr:spPr>
        <a:xfrm flipH="1">
          <a:off x="4038600" y="28460700"/>
          <a:ext cx="504826" cy="2698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695326</xdr:colOff>
      <xdr:row>143</xdr:row>
      <xdr:rowOff>38100</xdr:rowOff>
    </xdr:from>
    <xdr:to>
      <xdr:col>5</xdr:col>
      <xdr:colOff>704850</xdr:colOff>
      <xdr:row>144</xdr:row>
      <xdr:rowOff>142875</xdr:rowOff>
    </xdr:to>
    <xdr:cxnSp macro="">
      <xdr:nvCxnSpPr>
        <xdr:cNvPr id="90" name="Conector recto de flecha 112">
          <a:extLst>
            <a:ext uri="{FF2B5EF4-FFF2-40B4-BE49-F238E27FC236}">
              <a16:creationId xmlns:a16="http://schemas.microsoft.com/office/drawing/2014/main" id="{E0EC7193-A70A-744B-BCD8-25485EAB75AC}"/>
            </a:ext>
          </a:extLst>
        </xdr:cNvPr>
        <xdr:cNvCxnSpPr/>
      </xdr:nvCxnSpPr>
      <xdr:spPr>
        <a:xfrm>
          <a:off x="6664326" y="28498800"/>
          <a:ext cx="9524" cy="3079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695325</xdr:colOff>
      <xdr:row>161</xdr:row>
      <xdr:rowOff>180975</xdr:rowOff>
    </xdr:from>
    <xdr:to>
      <xdr:col>2</xdr:col>
      <xdr:colOff>1114425</xdr:colOff>
      <xdr:row>163</xdr:row>
      <xdr:rowOff>12918</xdr:rowOff>
    </xdr:to>
    <mc:AlternateContent xmlns:mc="http://schemas.openxmlformats.org/markup-compatibility/2006" xmlns:a14="http://schemas.microsoft.com/office/drawing/2010/main">
      <mc:Choice Requires="a14">
        <xdr:sp macro="" textlink="">
          <xdr:nvSpPr>
            <xdr:cNvPr id="91" name="CuadroTexto 9">
              <a:extLst>
                <a:ext uri="{FF2B5EF4-FFF2-40B4-BE49-F238E27FC236}">
                  <a16:creationId xmlns:a16="http://schemas.microsoft.com/office/drawing/2014/main" id="{85D77E90-CF10-D24F-9B5C-32787ABD1F29}"/>
                </a:ext>
              </a:extLst>
            </xdr:cNvPr>
            <xdr:cNvSpPr txBox="1"/>
          </xdr:nvSpPr>
          <xdr:spPr>
            <a:xfrm>
              <a:off x="1571625" y="32299275"/>
              <a:ext cx="166370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m:t>
                    </m:r>
                  </m:oMath>
                </m:oMathPara>
              </a14:m>
              <a:endParaRPr lang="es-AR" sz="1200"/>
            </a:p>
          </xdr:txBody>
        </xdr:sp>
      </mc:Choice>
      <mc:Fallback xmlns="">
        <xdr:sp macro="" textlink="">
          <xdr:nvSpPr>
            <xdr:cNvPr id="91" name="CuadroTexto 9">
              <a:extLst>
                <a:ext uri="{FF2B5EF4-FFF2-40B4-BE49-F238E27FC236}">
                  <a16:creationId xmlns:a16="http://schemas.microsoft.com/office/drawing/2014/main" id="{85D77E90-CF10-D24F-9B5C-32787ABD1F29}"/>
                </a:ext>
              </a:extLst>
            </xdr:cNvPr>
            <xdr:cNvSpPr txBox="1"/>
          </xdr:nvSpPr>
          <xdr:spPr>
            <a:xfrm>
              <a:off x="1571625" y="32299275"/>
              <a:ext cx="166370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a:t>
              </a:r>
              <a:endParaRPr lang="es-AR" sz="1200"/>
            </a:p>
          </xdr:txBody>
        </xdr:sp>
      </mc:Fallback>
    </mc:AlternateContent>
    <xdr:clientData/>
  </xdr:twoCellAnchor>
  <xdr:twoCellAnchor>
    <xdr:from>
      <xdr:col>3</xdr:col>
      <xdr:colOff>152400</xdr:colOff>
      <xdr:row>177</xdr:row>
      <xdr:rowOff>76200</xdr:rowOff>
    </xdr:from>
    <xdr:to>
      <xdr:col>4</xdr:col>
      <xdr:colOff>923925</xdr:colOff>
      <xdr:row>178</xdr:row>
      <xdr:rowOff>89118</xdr:rowOff>
    </xdr:to>
    <mc:AlternateContent xmlns:mc="http://schemas.openxmlformats.org/markup-compatibility/2006" xmlns:a14="http://schemas.microsoft.com/office/drawing/2010/main">
      <mc:Choice Requires="a14">
        <xdr:sp macro="" textlink="">
          <xdr:nvSpPr>
            <xdr:cNvPr id="92" name="CuadroTexto 9">
              <a:extLst>
                <a:ext uri="{FF2B5EF4-FFF2-40B4-BE49-F238E27FC236}">
                  <a16:creationId xmlns:a16="http://schemas.microsoft.com/office/drawing/2014/main" id="{DF12997E-D91D-4C49-9183-A9DA2B4D3B92}"/>
                </a:ext>
              </a:extLst>
            </xdr:cNvPr>
            <xdr:cNvSpPr txBox="1"/>
          </xdr:nvSpPr>
          <xdr:spPr>
            <a:xfrm>
              <a:off x="3390900" y="35242500"/>
              <a:ext cx="2371725"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&gt;0</m:t>
                    </m:r>
                  </m:oMath>
                </m:oMathPara>
              </a14:m>
              <a:endParaRPr lang="es-AR" sz="1200"/>
            </a:p>
          </xdr:txBody>
        </xdr:sp>
      </mc:Choice>
      <mc:Fallback xmlns="">
        <xdr:sp macro="" textlink="">
          <xdr:nvSpPr>
            <xdr:cNvPr id="92" name="CuadroTexto 9">
              <a:extLst>
                <a:ext uri="{FF2B5EF4-FFF2-40B4-BE49-F238E27FC236}">
                  <a16:creationId xmlns:a16="http://schemas.microsoft.com/office/drawing/2014/main" id="{DF12997E-D91D-4C49-9183-A9DA2B4D3B92}"/>
                </a:ext>
              </a:extLst>
            </xdr:cNvPr>
            <xdr:cNvSpPr txBox="1"/>
          </xdr:nvSpPr>
          <xdr:spPr>
            <a:xfrm>
              <a:off x="3390900" y="35242500"/>
              <a:ext cx="2371725"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)&gt;0</a:t>
              </a:r>
              <a:endParaRPr lang="es-AR" sz="1200"/>
            </a:p>
          </xdr:txBody>
        </xdr:sp>
      </mc:Fallback>
    </mc:AlternateContent>
    <xdr:clientData/>
  </xdr:twoCellAnchor>
  <xdr:twoCellAnchor>
    <xdr:from>
      <xdr:col>6</xdr:col>
      <xdr:colOff>28575</xdr:colOff>
      <xdr:row>177</xdr:row>
      <xdr:rowOff>57150</xdr:rowOff>
    </xdr:from>
    <xdr:to>
      <xdr:col>8</xdr:col>
      <xdr:colOff>47625</xdr:colOff>
      <xdr:row>178</xdr:row>
      <xdr:rowOff>70068</xdr:rowOff>
    </xdr:to>
    <mc:AlternateContent xmlns:mc="http://schemas.openxmlformats.org/markup-compatibility/2006" xmlns:a14="http://schemas.microsoft.com/office/drawing/2010/main">
      <mc:Choice Requires="a14">
        <xdr:sp macro="" textlink="">
          <xdr:nvSpPr>
            <xdr:cNvPr id="93" name="CuadroTexto 9">
              <a:extLst>
                <a:ext uri="{FF2B5EF4-FFF2-40B4-BE49-F238E27FC236}">
                  <a16:creationId xmlns:a16="http://schemas.microsoft.com/office/drawing/2014/main" id="{575EAC33-7A27-6B41-9353-274F4E11F73B}"/>
                </a:ext>
              </a:extLst>
            </xdr:cNvPr>
            <xdr:cNvSpPr txBox="1"/>
          </xdr:nvSpPr>
          <xdr:spPr>
            <a:xfrm>
              <a:off x="7750175" y="35223450"/>
              <a:ext cx="2660650"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&lt;0</m:t>
                    </m:r>
                  </m:oMath>
                </m:oMathPara>
              </a14:m>
              <a:endParaRPr lang="es-AR" sz="1200"/>
            </a:p>
          </xdr:txBody>
        </xdr:sp>
      </mc:Choice>
      <mc:Fallback xmlns="">
        <xdr:sp macro="" textlink="">
          <xdr:nvSpPr>
            <xdr:cNvPr id="93" name="CuadroTexto 9">
              <a:extLst>
                <a:ext uri="{FF2B5EF4-FFF2-40B4-BE49-F238E27FC236}">
                  <a16:creationId xmlns:a16="http://schemas.microsoft.com/office/drawing/2014/main" id="{575EAC33-7A27-6B41-9353-274F4E11F73B}"/>
                </a:ext>
              </a:extLst>
            </xdr:cNvPr>
            <xdr:cNvSpPr txBox="1"/>
          </xdr:nvSpPr>
          <xdr:spPr>
            <a:xfrm>
              <a:off x="7750175" y="35223450"/>
              <a:ext cx="2660650"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)&lt;0</a:t>
              </a:r>
              <a:endParaRPr lang="es-AR" sz="1200"/>
            </a:p>
          </xdr:txBody>
        </xdr:sp>
      </mc:Fallback>
    </mc:AlternateContent>
    <xdr:clientData/>
  </xdr:twoCellAnchor>
  <xdr:twoCellAnchor>
    <xdr:from>
      <xdr:col>3</xdr:col>
      <xdr:colOff>114300</xdr:colOff>
      <xdr:row>189</xdr:row>
      <xdr:rowOff>38100</xdr:rowOff>
    </xdr:from>
    <xdr:to>
      <xdr:col>4</xdr:col>
      <xdr:colOff>885825</xdr:colOff>
      <xdr:row>190</xdr:row>
      <xdr:rowOff>60543</xdr:rowOff>
    </xdr:to>
    <mc:AlternateContent xmlns:mc="http://schemas.openxmlformats.org/markup-compatibility/2006" xmlns:a14="http://schemas.microsoft.com/office/drawing/2010/main">
      <mc:Choice Requires="a14">
        <xdr:sp macro="" textlink="">
          <xdr:nvSpPr>
            <xdr:cNvPr id="94" name="CuadroTexto 9">
              <a:extLst>
                <a:ext uri="{FF2B5EF4-FFF2-40B4-BE49-F238E27FC236}">
                  <a16:creationId xmlns:a16="http://schemas.microsoft.com/office/drawing/2014/main" id="{5C257710-4705-304C-AF39-A6D7A53F6DE9}"/>
                </a:ext>
              </a:extLst>
            </xdr:cNvPr>
            <xdr:cNvSpPr txBox="1"/>
          </xdr:nvSpPr>
          <xdr:spPr>
            <a:xfrm>
              <a:off x="3352800" y="37490400"/>
              <a:ext cx="237172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=0</m:t>
                    </m:r>
                  </m:oMath>
                </m:oMathPara>
              </a14:m>
              <a:endParaRPr lang="es-AR" sz="1200"/>
            </a:p>
          </xdr:txBody>
        </xdr:sp>
      </mc:Choice>
      <mc:Fallback xmlns="">
        <xdr:sp macro="" textlink="">
          <xdr:nvSpPr>
            <xdr:cNvPr id="94" name="CuadroTexto 9">
              <a:extLst>
                <a:ext uri="{FF2B5EF4-FFF2-40B4-BE49-F238E27FC236}">
                  <a16:creationId xmlns:a16="http://schemas.microsoft.com/office/drawing/2014/main" id="{5C257710-4705-304C-AF39-A6D7A53F6DE9}"/>
                </a:ext>
              </a:extLst>
            </xdr:cNvPr>
            <xdr:cNvSpPr txBox="1"/>
          </xdr:nvSpPr>
          <xdr:spPr>
            <a:xfrm>
              <a:off x="3352800" y="37490400"/>
              <a:ext cx="237172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)=0</a:t>
              </a:r>
              <a:endParaRPr lang="es-AR" sz="1200"/>
            </a:p>
          </xdr:txBody>
        </xdr:sp>
      </mc:Fallback>
    </mc:AlternateContent>
    <xdr:clientData/>
  </xdr:twoCellAnchor>
  <xdr:twoCellAnchor>
    <xdr:from>
      <xdr:col>2</xdr:col>
      <xdr:colOff>219075</xdr:colOff>
      <xdr:row>193</xdr:row>
      <xdr:rowOff>114300</xdr:rowOff>
    </xdr:from>
    <xdr:to>
      <xdr:col>4</xdr:col>
      <xdr:colOff>952500</xdr:colOff>
      <xdr:row>196</xdr:row>
      <xdr:rowOff>54094</xdr:rowOff>
    </xdr:to>
    <mc:AlternateContent xmlns:mc="http://schemas.openxmlformats.org/markup-compatibility/2006" xmlns:a14="http://schemas.microsoft.com/office/drawing/2010/main">
      <mc:Choice Requires="a14">
        <xdr:sp macro="" textlink="">
          <xdr:nvSpPr>
            <xdr:cNvPr id="95" name="1 CuadroTexto">
              <a:extLst>
                <a:ext uri="{FF2B5EF4-FFF2-40B4-BE49-F238E27FC236}">
                  <a16:creationId xmlns:a16="http://schemas.microsoft.com/office/drawing/2014/main" id="{2762CFE4-28BC-0642-994B-072F4A4A2C07}"/>
                </a:ext>
              </a:extLst>
            </xdr:cNvPr>
            <xdr:cNvSpPr txBox="1"/>
          </xdr:nvSpPr>
          <xdr:spPr>
            <a:xfrm>
              <a:off x="2378075" y="38328600"/>
              <a:ext cx="3413125" cy="511294"/>
            </a:xfrm>
            <a:prstGeom prst="rect">
              <a:avLst/>
            </a:prstGeom>
            <a:noFill/>
          </xdr:spPr>
          <xdr:txBody>
            <a:bodyPr wrap="square"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L" sz="1400">
                  <a:ea typeface="Cambria Math" panose="02040503050406030204" pitchFamily="18" charset="0"/>
                </a:rPr>
                <a:t>-1</a:t>
              </a:r>
              <a14:m>
                <m:oMath xmlns:m="http://schemas.openxmlformats.org/officeDocument/2006/math">
                  <m:r>
                    <a:rPr lang="es-CL" sz="1400" i="1">
                      <a:latin typeface="Cambria Math" panose="02040503050406030204" pitchFamily="18" charset="0"/>
                      <a:ea typeface="Cambria Math" panose="02040503050406030204" pitchFamily="18" charset="0"/>
                    </a:rPr>
                    <m:t>≤</m:t>
                  </m:r>
                  <m:r>
                    <a:rPr lang="es-CL" sz="1400" i="1">
                      <a:latin typeface="Cambria Math" panose="02040503050406030204" pitchFamily="18" charset="0"/>
                      <a:ea typeface="Cambria Math" panose="02040503050406030204" pitchFamily="18" charset="0"/>
                    </a:rPr>
                    <m:t>𝜌</m:t>
                  </m:r>
                </m:oMath>
              </a14:m>
              <a:r>
                <a:rPr lang="es-CL" sz="1400"/>
                <a:t>=</a:t>
              </a:r>
              <a14:m>
                <m:oMath xmlns:m="http://schemas.openxmlformats.org/officeDocument/2006/math">
                  <m:f>
                    <m:fPr>
                      <m:ctrlPr>
                        <a:rPr lang="es-CL" sz="1400" i="1" kern="1200">
                          <a:solidFill>
                            <a:schemeClr val="tx1"/>
                          </a:solidFill>
                          <a:effectLst/>
                          <a:latin typeface="Cambria Math" panose="02040503050406030204" pitchFamily="18" charset="0"/>
                          <a:ea typeface="+mn-ea"/>
                          <a:cs typeface="+mn-cs"/>
                        </a:rPr>
                      </m:ctrlPr>
                    </m:fPr>
                    <m:num>
                      <m:r>
                        <a:rPr lang="es-CL" sz="1400" b="0" i="1" kern="1200">
                          <a:solidFill>
                            <a:schemeClr val="tx1"/>
                          </a:solidFill>
                          <a:effectLst/>
                          <a:latin typeface="Cambria Math" panose="02040503050406030204" pitchFamily="18" charset="0"/>
                          <a:ea typeface="+mn-ea"/>
                          <a:cs typeface="+mn-cs"/>
                        </a:rPr>
                        <m:t>𝐶𝑜𝑣</m:t>
                      </m:r>
                      <m:r>
                        <a:rPr lang="es-CL" sz="1400" b="0" i="1" kern="1200">
                          <a:solidFill>
                            <a:schemeClr val="tx1"/>
                          </a:solidFill>
                          <a:effectLst/>
                          <a:latin typeface="Cambria Math" panose="02040503050406030204" pitchFamily="18" charset="0"/>
                          <a:ea typeface="+mn-ea"/>
                          <a:cs typeface="+mn-cs"/>
                        </a:rPr>
                        <m:t>(</m:t>
                      </m:r>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𝑖</m:t>
                          </m:r>
                        </m:sub>
                      </m:sSub>
                      <m:r>
                        <a:rPr lang="es-CL" sz="1400" b="0" i="1" kern="1200">
                          <a:solidFill>
                            <a:schemeClr val="tx1"/>
                          </a:solidFill>
                          <a:effectLst/>
                          <a:latin typeface="Cambria Math" panose="02040503050406030204" pitchFamily="18" charset="0"/>
                          <a:ea typeface="+mn-ea"/>
                          <a:cs typeface="+mn-cs"/>
                        </a:rPr>
                        <m:t>,</m:t>
                      </m:r>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𝑗</m:t>
                          </m:r>
                        </m:sub>
                      </m:sSub>
                      <m:r>
                        <a:rPr lang="es-CL" sz="1400" b="0" i="1" kern="1200">
                          <a:solidFill>
                            <a:schemeClr val="tx1"/>
                          </a:solidFill>
                          <a:effectLst/>
                          <a:latin typeface="Cambria Math" panose="02040503050406030204" pitchFamily="18" charset="0"/>
                          <a:ea typeface="+mn-ea"/>
                          <a:cs typeface="+mn-cs"/>
                        </a:rPr>
                        <m:t>)</m:t>
                      </m:r>
                    </m:num>
                    <m:den>
                      <m:r>
                        <a:rPr lang="es-AR" sz="1400" b="0" i="1" kern="1200">
                          <a:solidFill>
                            <a:schemeClr val="tx1"/>
                          </a:solidFill>
                          <a:effectLst/>
                          <a:latin typeface="Cambria Math" panose="02040503050406030204" pitchFamily="18" charset="0"/>
                          <a:ea typeface="+mn-ea"/>
                          <a:cs typeface="+mn-cs"/>
                        </a:rPr>
                        <m:t>(</m:t>
                      </m:r>
                      <m:r>
                        <a:rPr lang="es-CL" sz="1400" b="0" i="1" kern="1200">
                          <a:solidFill>
                            <a:schemeClr val="tx1"/>
                          </a:solidFill>
                          <a:effectLst/>
                          <a:latin typeface="Cambria Math" panose="02040503050406030204" pitchFamily="18" charset="0"/>
                          <a:ea typeface="+mn-ea"/>
                          <a:cs typeface="+mn-cs"/>
                        </a:rPr>
                        <m:t>𝑉𝑎𝑟</m:t>
                      </m:r>
                      <m:d>
                        <m:dPr>
                          <m:ctrlPr>
                            <a:rPr lang="es-CL" sz="1400" b="0" i="1" kern="1200">
                              <a:solidFill>
                                <a:schemeClr val="tx1"/>
                              </a:solidFill>
                              <a:effectLst/>
                              <a:latin typeface="Cambria Math" panose="02040503050406030204" pitchFamily="18" charset="0"/>
                              <a:ea typeface="+mn-ea"/>
                              <a:cs typeface="+mn-cs"/>
                            </a:rPr>
                          </m:ctrlPr>
                        </m:dPr>
                        <m:e>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𝑖</m:t>
                              </m:r>
                            </m:sub>
                          </m:sSub>
                        </m:e>
                      </m:d>
                      <m:r>
                        <a:rPr lang="es-AR" sz="1400" b="0" i="1" kern="1200">
                          <a:solidFill>
                            <a:schemeClr val="tx1"/>
                          </a:solidFill>
                          <a:effectLst/>
                          <a:latin typeface="Cambria Math" panose="02040503050406030204" pitchFamily="18" charset="0"/>
                          <a:ea typeface="+mn-ea"/>
                          <a:cs typeface="+mn-cs"/>
                        </a:rPr>
                        <m:t>)^(</m:t>
                      </m:r>
                      <m:f>
                        <m:fPr>
                          <m:ctrlPr>
                            <a:rPr lang="es-AR" sz="1400" b="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1</m:t>
                          </m:r>
                        </m:num>
                        <m:den>
                          <m:r>
                            <a:rPr lang="es-AR" sz="1400" b="0" i="1" kern="1200">
                              <a:solidFill>
                                <a:schemeClr val="tx1"/>
                              </a:solidFill>
                              <a:effectLst/>
                              <a:latin typeface="Cambria Math" panose="02040503050406030204" pitchFamily="18" charset="0"/>
                              <a:ea typeface="+mn-ea"/>
                              <a:cs typeface="+mn-cs"/>
                            </a:rPr>
                            <m:t>2</m:t>
                          </m:r>
                        </m:den>
                      </m:f>
                      <m:r>
                        <a:rPr lang="es-AR" sz="1400" b="0" i="1" kern="1200">
                          <a:solidFill>
                            <a:schemeClr val="tx1"/>
                          </a:solidFill>
                          <a:effectLst/>
                          <a:latin typeface="Cambria Math" panose="02040503050406030204" pitchFamily="18" charset="0"/>
                          <a:ea typeface="+mn-ea"/>
                          <a:cs typeface="+mn-cs"/>
                        </a:rPr>
                        <m:t>)(</m:t>
                      </m:r>
                      <m:r>
                        <a:rPr lang="es-CL" sz="1400" b="0" i="1" kern="1200">
                          <a:solidFill>
                            <a:schemeClr val="tx1"/>
                          </a:solidFill>
                          <a:effectLst/>
                          <a:latin typeface="Cambria Math" panose="02040503050406030204" pitchFamily="18" charset="0"/>
                          <a:ea typeface="+mn-ea"/>
                          <a:cs typeface="+mn-cs"/>
                        </a:rPr>
                        <m:t>𝑉𝑎𝑟</m:t>
                      </m:r>
                      <m:d>
                        <m:dPr>
                          <m:ctrlPr>
                            <a:rPr lang="es-CL" sz="1400" b="0" i="1" kern="1200">
                              <a:solidFill>
                                <a:schemeClr val="tx1"/>
                              </a:solidFill>
                              <a:effectLst/>
                              <a:latin typeface="Cambria Math" panose="02040503050406030204" pitchFamily="18" charset="0"/>
                              <a:ea typeface="+mn-ea"/>
                              <a:cs typeface="+mn-cs"/>
                            </a:rPr>
                          </m:ctrlPr>
                        </m:dPr>
                        <m:e>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𝑗</m:t>
                              </m:r>
                            </m:sub>
                          </m:sSub>
                        </m:e>
                      </m:d>
                      <m:r>
                        <a:rPr lang="es-AR" sz="1400" b="0" i="1" kern="1200">
                          <a:solidFill>
                            <a:schemeClr val="tx1"/>
                          </a:solidFill>
                          <a:effectLst/>
                          <a:latin typeface="Cambria Math" panose="02040503050406030204" pitchFamily="18" charset="0"/>
                          <a:ea typeface="+mn-ea"/>
                          <a:cs typeface="+mn-cs"/>
                        </a:rPr>
                        <m:t>)^(</m:t>
                      </m:r>
                      <m:f>
                        <m:fPr>
                          <m:ctrlPr>
                            <a:rPr lang="es-AR" sz="1400" b="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1</m:t>
                          </m:r>
                        </m:num>
                        <m:den>
                          <m:r>
                            <a:rPr lang="es-AR" sz="1400" b="0" i="1" kern="1200">
                              <a:solidFill>
                                <a:schemeClr val="tx1"/>
                              </a:solidFill>
                              <a:effectLst/>
                              <a:latin typeface="Cambria Math" panose="02040503050406030204" pitchFamily="18" charset="0"/>
                              <a:ea typeface="+mn-ea"/>
                              <a:cs typeface="+mn-cs"/>
                            </a:rPr>
                            <m:t>2</m:t>
                          </m:r>
                        </m:den>
                      </m:f>
                      <m:r>
                        <a:rPr lang="es-AR" sz="1400" b="0" i="1" kern="1200">
                          <a:solidFill>
                            <a:schemeClr val="tx1"/>
                          </a:solidFill>
                          <a:effectLst/>
                          <a:latin typeface="Cambria Math" panose="02040503050406030204" pitchFamily="18" charset="0"/>
                          <a:ea typeface="+mn-ea"/>
                          <a:cs typeface="+mn-cs"/>
                        </a:rPr>
                        <m:t>)</m:t>
                      </m:r>
                    </m:den>
                  </m:f>
                  <m:r>
                    <a:rPr lang="es-CL" sz="1400" b="0" i="1">
                      <a:latin typeface="Cambria Math" panose="02040503050406030204" pitchFamily="18" charset="0"/>
                      <a:ea typeface="Cambria Math" panose="02040503050406030204" pitchFamily="18" charset="0"/>
                    </a:rPr>
                    <m:t>≤</m:t>
                  </m:r>
                  <m:r>
                    <a:rPr lang="es-AR" sz="1400" b="0" i="1">
                      <a:latin typeface="Cambria Math" panose="02040503050406030204" pitchFamily="18" charset="0"/>
                      <a:ea typeface="Cambria Math" panose="02040503050406030204" pitchFamily="18" charset="0"/>
                    </a:rPr>
                    <m:t>1</m:t>
                  </m:r>
                </m:oMath>
              </a14:m>
              <a:endParaRPr lang="es-CL" sz="1400"/>
            </a:p>
          </xdr:txBody>
        </xdr:sp>
      </mc:Choice>
      <mc:Fallback xmlns="">
        <xdr:sp macro="" textlink="">
          <xdr:nvSpPr>
            <xdr:cNvPr id="95" name="1 CuadroTexto">
              <a:extLst>
                <a:ext uri="{FF2B5EF4-FFF2-40B4-BE49-F238E27FC236}">
                  <a16:creationId xmlns:a16="http://schemas.microsoft.com/office/drawing/2014/main" id="{2762CFE4-28BC-0642-994B-072F4A4A2C07}"/>
                </a:ext>
              </a:extLst>
            </xdr:cNvPr>
            <xdr:cNvSpPr txBox="1"/>
          </xdr:nvSpPr>
          <xdr:spPr>
            <a:xfrm>
              <a:off x="2378075" y="38328600"/>
              <a:ext cx="3413125" cy="511294"/>
            </a:xfrm>
            <a:prstGeom prst="rect">
              <a:avLst/>
            </a:prstGeom>
            <a:noFill/>
          </xdr:spPr>
          <xdr:txBody>
            <a:bodyPr wrap="square"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L" sz="1400">
                  <a:ea typeface="Cambria Math" panose="02040503050406030204" pitchFamily="18" charset="0"/>
                </a:rPr>
                <a:t>-1</a:t>
              </a:r>
              <a:r>
                <a:rPr lang="es-CL" sz="1400" i="0">
                  <a:latin typeface="Cambria Math" panose="02040503050406030204" pitchFamily="18" charset="0"/>
                  <a:ea typeface="Cambria Math" panose="02040503050406030204" pitchFamily="18" charset="0"/>
                </a:rPr>
                <a:t>≤𝜌</a:t>
              </a:r>
              <a:r>
                <a:rPr lang="es-CL" sz="1400"/>
                <a:t>=</a:t>
              </a:r>
              <a:r>
                <a:rPr lang="es-CL" sz="1400" i="0" kern="1200">
                  <a:solidFill>
                    <a:schemeClr val="tx1"/>
                  </a:solidFill>
                  <a:effectLst/>
                  <a:latin typeface="Cambria Math" panose="02040503050406030204" pitchFamily="18" charset="0"/>
                  <a:ea typeface="+mn-ea"/>
                  <a:cs typeface="+mn-cs"/>
                </a:rPr>
                <a:t>(</a:t>
              </a:r>
              <a:r>
                <a:rPr lang="es-CL" sz="1400" b="0" i="0" kern="1200">
                  <a:solidFill>
                    <a:schemeClr val="tx1"/>
                  </a:solidFill>
                  <a:effectLst/>
                  <a:latin typeface="Cambria Math" panose="02040503050406030204" pitchFamily="18" charset="0"/>
                  <a:ea typeface="+mn-ea"/>
                  <a:cs typeface="+mn-cs"/>
                </a:rPr>
                <a:t>𝐶𝑜𝑣(</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𝑖</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𝑗</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a:t>
              </a:r>
              <a:r>
                <a:rPr lang="es-CL" sz="1400" b="0" i="0" kern="1200">
                  <a:solidFill>
                    <a:schemeClr val="tx1"/>
                  </a:solidFill>
                  <a:effectLst/>
                  <a:latin typeface="Cambria Math" panose="02040503050406030204" pitchFamily="18" charset="0"/>
                  <a:ea typeface="+mn-ea"/>
                  <a:cs typeface="+mn-cs"/>
                </a:rPr>
                <a:t>𝑉𝑎𝑟(</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𝑖 ))^(1/2)(</a:t>
              </a:r>
              <a:r>
                <a:rPr lang="es-CL" sz="1400" b="0" i="0" kern="1200">
                  <a:solidFill>
                    <a:schemeClr val="tx1"/>
                  </a:solidFill>
                  <a:effectLst/>
                  <a:latin typeface="Cambria Math" panose="02040503050406030204" pitchFamily="18" charset="0"/>
                  <a:ea typeface="+mn-ea"/>
                  <a:cs typeface="+mn-cs"/>
                </a:rPr>
                <a:t>𝑉𝑎𝑟(</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𝑗 ))^(1/2)</a:t>
              </a:r>
              <a:r>
                <a:rPr lang="es-CL" sz="1400" b="0" i="0" kern="1200">
                  <a:solidFill>
                    <a:schemeClr val="tx1"/>
                  </a:solidFill>
                  <a:effectLst/>
                  <a:latin typeface="Cambria Math" panose="02040503050406030204" pitchFamily="18" charset="0"/>
                  <a:ea typeface="+mn-ea"/>
                  <a:cs typeface="+mn-cs"/>
                </a:rPr>
                <a:t>)</a:t>
              </a:r>
              <a:r>
                <a:rPr lang="es-CL" sz="1400" b="0" i="0">
                  <a:latin typeface="Cambria Math" panose="02040503050406030204" pitchFamily="18" charset="0"/>
                  <a:ea typeface="Cambria Math" panose="02040503050406030204" pitchFamily="18" charset="0"/>
                </a:rPr>
                <a:t>≤</a:t>
              </a:r>
              <a:r>
                <a:rPr lang="es-AR" sz="1400" b="0" i="0">
                  <a:latin typeface="Cambria Math" panose="02040503050406030204" pitchFamily="18" charset="0"/>
                  <a:ea typeface="Cambria Math" panose="02040503050406030204" pitchFamily="18" charset="0"/>
                </a:rPr>
                <a:t>1</a:t>
              </a:r>
              <a:endParaRPr lang="es-CL" sz="1400"/>
            </a:p>
          </xdr:txBody>
        </xdr:sp>
      </mc:Fallback>
    </mc:AlternateContent>
    <xdr:clientData/>
  </xdr:twoCellAnchor>
  <xdr:twoCellAnchor>
    <xdr:from>
      <xdr:col>1</xdr:col>
      <xdr:colOff>76198</xdr:colOff>
      <xdr:row>203</xdr:row>
      <xdr:rowOff>180975</xdr:rowOff>
    </xdr:from>
    <xdr:to>
      <xdr:col>5</xdr:col>
      <xdr:colOff>876299</xdr:colOff>
      <xdr:row>206</xdr:row>
      <xdr:rowOff>120833</xdr:rowOff>
    </xdr:to>
    <mc:AlternateContent xmlns:mc="http://schemas.openxmlformats.org/markup-compatibility/2006" xmlns:a14="http://schemas.microsoft.com/office/drawing/2010/main">
      <mc:Choice Requires="a14">
        <xdr:sp macro="" textlink="">
          <xdr:nvSpPr>
            <xdr:cNvPr id="96" name="1 CuadroTexto">
              <a:extLst>
                <a:ext uri="{FF2B5EF4-FFF2-40B4-BE49-F238E27FC236}">
                  <a16:creationId xmlns:a16="http://schemas.microsoft.com/office/drawing/2014/main" id="{D69699EE-72E3-E84F-A4BF-03C4E7452966}"/>
                </a:ext>
              </a:extLst>
            </xdr:cNvPr>
            <xdr:cNvSpPr txBox="1"/>
          </xdr:nvSpPr>
          <xdr:spPr>
            <a:xfrm>
              <a:off x="952498" y="40300275"/>
              <a:ext cx="5892801" cy="511358"/>
            </a:xfrm>
            <a:prstGeom prst="rect">
              <a:avLst/>
            </a:prstGeom>
            <a:noFill/>
          </xdr:spPr>
          <xdr:txBody>
            <a:bodyPr wrap="square"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14:m>
                <m:oMath xmlns:m="http://schemas.openxmlformats.org/officeDocument/2006/math">
                  <m:r>
                    <a:rPr lang="es-CL" sz="1400" i="1">
                      <a:latin typeface="Cambria Math" panose="02040503050406030204" pitchFamily="18" charset="0"/>
                      <a:ea typeface="Cambria Math" panose="02040503050406030204" pitchFamily="18" charset="0"/>
                    </a:rPr>
                    <m:t>𝜌</m:t>
                  </m:r>
                  <m:d>
                    <m:dPr>
                      <m:ctrlPr>
                        <a:rPr lang="es-CL" sz="1400" i="1">
                          <a:latin typeface="Cambria Math" panose="02040503050406030204" pitchFamily="18" charset="0"/>
                          <a:ea typeface="Cambria Math" panose="02040503050406030204" pitchFamily="18" charset="0"/>
                        </a:rPr>
                      </m:ctrlPr>
                    </m:dPr>
                    <m:e>
                      <m:r>
                        <a:rPr lang="es-AR" sz="1400" b="0" i="1">
                          <a:latin typeface="Cambria Math" panose="02040503050406030204" pitchFamily="18" charset="0"/>
                          <a:ea typeface="Cambria Math" panose="02040503050406030204" pitchFamily="18" charset="0"/>
                        </a:rPr>
                        <m:t>𝐵𝑒𝑠𝑡</m:t>
                      </m:r>
                      <m:r>
                        <a:rPr lang="es-AR" sz="1400" b="0" i="1">
                          <a:latin typeface="Cambria Math" panose="02040503050406030204" pitchFamily="18" charset="0"/>
                          <a:ea typeface="Cambria Math" panose="02040503050406030204" pitchFamily="18" charset="0"/>
                        </a:rPr>
                        <m:t>, </m:t>
                      </m:r>
                      <m:r>
                        <a:rPr lang="es-AR" sz="1400" b="0" i="1">
                          <a:latin typeface="Cambria Math" panose="02040503050406030204" pitchFamily="18" charset="0"/>
                          <a:ea typeface="Cambria Math" panose="02040503050406030204" pitchFamily="18" charset="0"/>
                        </a:rPr>
                        <m:t>𝑆𝑢𝑔𝑎𝑟</m:t>
                      </m:r>
                    </m:e>
                  </m:d>
                  <m:r>
                    <a:rPr lang="es-AR" sz="1400" b="0" i="1">
                      <a:latin typeface="Cambria Math" panose="02040503050406030204" pitchFamily="18" charset="0"/>
                      <a:ea typeface="Cambria Math" panose="02040503050406030204" pitchFamily="18" charset="0"/>
                    </a:rPr>
                    <m:t>=</m:t>
                  </m:r>
                  <m:f>
                    <m:fPr>
                      <m:ctrlPr>
                        <a:rPr lang="es-CL" sz="1400" i="1" kern="1200">
                          <a:solidFill>
                            <a:schemeClr val="tx1"/>
                          </a:solidFill>
                          <a:effectLst/>
                          <a:latin typeface="Cambria Math" panose="02040503050406030204" pitchFamily="18" charset="0"/>
                          <a:ea typeface="+mn-ea"/>
                          <a:cs typeface="+mn-cs"/>
                        </a:rPr>
                      </m:ctrlPr>
                    </m:fPr>
                    <m:num>
                      <m:r>
                        <a:rPr lang="es-CL" sz="1400" b="0" i="1" kern="1200">
                          <a:solidFill>
                            <a:schemeClr val="tx1"/>
                          </a:solidFill>
                          <a:effectLst/>
                          <a:latin typeface="Cambria Math" panose="02040503050406030204" pitchFamily="18" charset="0"/>
                          <a:ea typeface="+mn-ea"/>
                          <a:cs typeface="+mn-cs"/>
                        </a:rPr>
                        <m:t>𝐶𝑜𝑣</m:t>
                      </m:r>
                      <m:r>
                        <a:rPr lang="es-CL" sz="1400" b="0" i="1" kern="1200">
                          <a:solidFill>
                            <a:schemeClr val="tx1"/>
                          </a:solidFill>
                          <a:effectLst/>
                          <a:latin typeface="Cambria Math" panose="02040503050406030204" pitchFamily="18" charset="0"/>
                          <a:ea typeface="+mn-ea"/>
                          <a:cs typeface="+mn-cs"/>
                        </a:rPr>
                        <m:t>(</m:t>
                      </m:r>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𝐵𝑒𝑠𝑡</m:t>
                          </m:r>
                        </m:sub>
                      </m:sSub>
                      <m:r>
                        <a:rPr lang="es-CL" sz="1400" b="0" i="1" kern="1200">
                          <a:solidFill>
                            <a:schemeClr val="tx1"/>
                          </a:solidFill>
                          <a:effectLst/>
                          <a:latin typeface="Cambria Math" panose="02040503050406030204" pitchFamily="18" charset="0"/>
                          <a:ea typeface="+mn-ea"/>
                          <a:cs typeface="+mn-cs"/>
                        </a:rPr>
                        <m:t>,</m:t>
                      </m:r>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𝑆𝑢𝑔𝑎𝑟</m:t>
                          </m:r>
                        </m:sub>
                      </m:sSub>
                      <m:r>
                        <a:rPr lang="es-CL" sz="1400" b="0" i="1" kern="1200">
                          <a:solidFill>
                            <a:schemeClr val="tx1"/>
                          </a:solidFill>
                          <a:effectLst/>
                          <a:latin typeface="Cambria Math" panose="02040503050406030204" pitchFamily="18" charset="0"/>
                          <a:ea typeface="+mn-ea"/>
                          <a:cs typeface="+mn-cs"/>
                        </a:rPr>
                        <m:t>)</m:t>
                      </m:r>
                    </m:num>
                    <m:den>
                      <m:r>
                        <a:rPr lang="es-AR" sz="1400" b="0" i="1" kern="1200">
                          <a:solidFill>
                            <a:schemeClr val="tx1"/>
                          </a:solidFill>
                          <a:effectLst/>
                          <a:latin typeface="Cambria Math" panose="02040503050406030204" pitchFamily="18" charset="0"/>
                          <a:ea typeface="+mn-ea"/>
                          <a:cs typeface="+mn-cs"/>
                        </a:rPr>
                        <m:t>(</m:t>
                      </m:r>
                      <m:r>
                        <a:rPr lang="es-CL" sz="1400" b="0" i="1" kern="1200">
                          <a:solidFill>
                            <a:schemeClr val="tx1"/>
                          </a:solidFill>
                          <a:effectLst/>
                          <a:latin typeface="Cambria Math" panose="02040503050406030204" pitchFamily="18" charset="0"/>
                          <a:ea typeface="+mn-ea"/>
                          <a:cs typeface="+mn-cs"/>
                        </a:rPr>
                        <m:t>𝑉𝑎𝑟</m:t>
                      </m:r>
                      <m:d>
                        <m:dPr>
                          <m:ctrlPr>
                            <a:rPr lang="es-CL" sz="1400" b="0" i="1" kern="1200">
                              <a:solidFill>
                                <a:schemeClr val="tx1"/>
                              </a:solidFill>
                              <a:effectLst/>
                              <a:latin typeface="Cambria Math" panose="02040503050406030204" pitchFamily="18" charset="0"/>
                              <a:ea typeface="+mn-ea"/>
                              <a:cs typeface="+mn-cs"/>
                            </a:rPr>
                          </m:ctrlPr>
                        </m:dPr>
                        <m:e>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𝐵𝑒𝑠𝑡</m:t>
                              </m:r>
                            </m:sub>
                          </m:sSub>
                        </m:e>
                      </m:d>
                      <m:r>
                        <a:rPr lang="es-AR" sz="1400" b="0" i="1" kern="1200">
                          <a:solidFill>
                            <a:schemeClr val="tx1"/>
                          </a:solidFill>
                          <a:effectLst/>
                          <a:latin typeface="Cambria Math" panose="02040503050406030204" pitchFamily="18" charset="0"/>
                          <a:ea typeface="+mn-ea"/>
                          <a:cs typeface="+mn-cs"/>
                        </a:rPr>
                        <m:t>)^(</m:t>
                      </m:r>
                      <m:f>
                        <m:fPr>
                          <m:ctrlPr>
                            <a:rPr lang="es-AR" sz="1400" b="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1</m:t>
                          </m:r>
                        </m:num>
                        <m:den>
                          <m:r>
                            <a:rPr lang="es-AR" sz="1400" b="0" i="1" kern="1200">
                              <a:solidFill>
                                <a:schemeClr val="tx1"/>
                              </a:solidFill>
                              <a:effectLst/>
                              <a:latin typeface="Cambria Math" panose="02040503050406030204" pitchFamily="18" charset="0"/>
                              <a:ea typeface="+mn-ea"/>
                              <a:cs typeface="+mn-cs"/>
                            </a:rPr>
                            <m:t>2</m:t>
                          </m:r>
                        </m:den>
                      </m:f>
                      <m:r>
                        <a:rPr lang="es-AR" sz="1400" b="0" i="1" kern="1200">
                          <a:solidFill>
                            <a:schemeClr val="tx1"/>
                          </a:solidFill>
                          <a:effectLst/>
                          <a:latin typeface="Cambria Math" panose="02040503050406030204" pitchFamily="18" charset="0"/>
                          <a:ea typeface="+mn-ea"/>
                          <a:cs typeface="+mn-cs"/>
                        </a:rPr>
                        <m:t>)(</m:t>
                      </m:r>
                      <m:r>
                        <a:rPr lang="es-CL" sz="1400" b="0" i="1" kern="1200">
                          <a:solidFill>
                            <a:schemeClr val="tx1"/>
                          </a:solidFill>
                          <a:effectLst/>
                          <a:latin typeface="Cambria Math" panose="02040503050406030204" pitchFamily="18" charset="0"/>
                          <a:ea typeface="+mn-ea"/>
                          <a:cs typeface="+mn-cs"/>
                        </a:rPr>
                        <m:t>𝑉𝑎𝑟</m:t>
                      </m:r>
                      <m:d>
                        <m:dPr>
                          <m:ctrlPr>
                            <a:rPr lang="es-CL" sz="1400" b="0" i="1" kern="1200">
                              <a:solidFill>
                                <a:schemeClr val="tx1"/>
                              </a:solidFill>
                              <a:effectLst/>
                              <a:latin typeface="Cambria Math" panose="02040503050406030204" pitchFamily="18" charset="0"/>
                              <a:ea typeface="+mn-ea"/>
                              <a:cs typeface="+mn-cs"/>
                            </a:rPr>
                          </m:ctrlPr>
                        </m:dPr>
                        <m:e>
                          <m:sSub>
                            <m:sSubPr>
                              <m:ctrlPr>
                                <a:rPr lang="es-CL" sz="1400" b="0" i="1" kern="1200">
                                  <a:solidFill>
                                    <a:schemeClr val="tx1"/>
                                  </a:solidFill>
                                  <a:effectLst/>
                                  <a:latin typeface="Cambria Math" panose="02040503050406030204" pitchFamily="18" charset="0"/>
                                  <a:ea typeface="+mn-ea"/>
                                  <a:cs typeface="+mn-cs"/>
                                </a:rPr>
                              </m:ctrlPr>
                            </m:sSubPr>
                            <m:e>
                              <m:r>
                                <a:rPr lang="es-AR" sz="1400" b="0" i="1" kern="1200">
                                  <a:solidFill>
                                    <a:schemeClr val="tx1"/>
                                  </a:solidFill>
                                  <a:effectLst/>
                                  <a:latin typeface="Cambria Math" panose="02040503050406030204" pitchFamily="18" charset="0"/>
                                  <a:ea typeface="+mn-ea"/>
                                  <a:cs typeface="+mn-cs"/>
                                </a:rPr>
                                <m:t>𝑟</m:t>
                              </m:r>
                            </m:e>
                            <m:sub>
                              <m:r>
                                <a:rPr lang="es-AR" sz="1400" b="0" i="1" kern="1200">
                                  <a:solidFill>
                                    <a:schemeClr val="tx1"/>
                                  </a:solidFill>
                                  <a:effectLst/>
                                  <a:latin typeface="Cambria Math" panose="02040503050406030204" pitchFamily="18" charset="0"/>
                                  <a:ea typeface="+mn-ea"/>
                                  <a:cs typeface="+mn-cs"/>
                                </a:rPr>
                                <m:t>𝑆𝑢𝑔𝑎𝑟</m:t>
                              </m:r>
                            </m:sub>
                          </m:sSub>
                        </m:e>
                      </m:d>
                      <m:r>
                        <a:rPr lang="es-AR" sz="1400" b="0" i="1" kern="1200">
                          <a:solidFill>
                            <a:schemeClr val="tx1"/>
                          </a:solidFill>
                          <a:effectLst/>
                          <a:latin typeface="Cambria Math" panose="02040503050406030204" pitchFamily="18" charset="0"/>
                          <a:ea typeface="+mn-ea"/>
                          <a:cs typeface="+mn-cs"/>
                        </a:rPr>
                        <m:t>)^(</m:t>
                      </m:r>
                      <m:f>
                        <m:fPr>
                          <m:ctrlPr>
                            <a:rPr lang="es-AR" sz="1400" b="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1</m:t>
                          </m:r>
                        </m:num>
                        <m:den>
                          <m:r>
                            <a:rPr lang="es-AR" sz="1400" b="0" i="1" kern="1200">
                              <a:solidFill>
                                <a:schemeClr val="tx1"/>
                              </a:solidFill>
                              <a:effectLst/>
                              <a:latin typeface="Cambria Math" panose="02040503050406030204" pitchFamily="18" charset="0"/>
                              <a:ea typeface="+mn-ea"/>
                              <a:cs typeface="+mn-cs"/>
                            </a:rPr>
                            <m:t>2</m:t>
                          </m:r>
                        </m:den>
                      </m:f>
                      <m:r>
                        <a:rPr lang="es-AR" sz="1400" b="0" i="1" kern="1200">
                          <a:solidFill>
                            <a:schemeClr val="tx1"/>
                          </a:solidFill>
                          <a:effectLst/>
                          <a:latin typeface="Cambria Math" panose="02040503050406030204" pitchFamily="18" charset="0"/>
                          <a:ea typeface="+mn-ea"/>
                          <a:cs typeface="+mn-cs"/>
                        </a:rPr>
                        <m:t>)</m:t>
                      </m:r>
                    </m:den>
                  </m:f>
                  <m:r>
                    <a:rPr lang="es-AR" sz="1400" b="0" i="0" kern="1200">
                      <a:solidFill>
                        <a:schemeClr val="tx1"/>
                      </a:solidFill>
                      <a:effectLst/>
                      <a:latin typeface="Cambria Math" panose="02040503050406030204" pitchFamily="18" charset="0"/>
                      <a:ea typeface="+mn-ea"/>
                      <a:cs typeface="+mn-cs"/>
                    </a:rPr>
                    <m:t>=</m:t>
                  </m:r>
                  <m:f>
                    <m:fPr>
                      <m:ctrlPr>
                        <a:rPr lang="es-CL" sz="1400" i="1" kern="1200">
                          <a:solidFill>
                            <a:schemeClr val="tx1"/>
                          </a:solidFill>
                          <a:effectLst/>
                          <a:latin typeface="Cambria Math" panose="02040503050406030204" pitchFamily="18" charset="0"/>
                          <a:ea typeface="+mn-ea"/>
                          <a:cs typeface="+mn-cs"/>
                        </a:rPr>
                      </m:ctrlPr>
                    </m:fPr>
                    <m:num>
                      <m:r>
                        <a:rPr lang="es-AR" sz="1400" b="0" i="1" kern="1200">
                          <a:solidFill>
                            <a:schemeClr val="tx1"/>
                          </a:solidFill>
                          <a:effectLst/>
                          <a:latin typeface="Cambria Math" panose="02040503050406030204" pitchFamily="18" charset="0"/>
                          <a:ea typeface="+mn-ea"/>
                          <a:cs typeface="+mn-cs"/>
                        </a:rPr>
                        <m:t>−0,02405</m:t>
                      </m:r>
                    </m:num>
                    <m:den>
                      <m:r>
                        <a:rPr lang="es-AR" sz="1400" b="0" i="1" kern="1200">
                          <a:solidFill>
                            <a:schemeClr val="tx1"/>
                          </a:solidFill>
                          <a:effectLst/>
                          <a:latin typeface="Cambria Math" panose="02040503050406030204" pitchFamily="18" charset="0"/>
                          <a:ea typeface="+mn-ea"/>
                          <a:cs typeface="+mn-cs"/>
                        </a:rPr>
                        <m:t>(0,189)(0,1473)</m:t>
                      </m:r>
                    </m:den>
                  </m:f>
                </m:oMath>
              </a14:m>
              <a:r>
                <a:rPr lang="es-CL" sz="1400"/>
                <a:t>=-0,86</a:t>
              </a:r>
            </a:p>
          </xdr:txBody>
        </xdr:sp>
      </mc:Choice>
      <mc:Fallback xmlns="">
        <xdr:sp macro="" textlink="">
          <xdr:nvSpPr>
            <xdr:cNvPr id="96" name="1 CuadroTexto">
              <a:extLst>
                <a:ext uri="{FF2B5EF4-FFF2-40B4-BE49-F238E27FC236}">
                  <a16:creationId xmlns:a16="http://schemas.microsoft.com/office/drawing/2014/main" id="{D69699EE-72E3-E84F-A4BF-03C4E7452966}"/>
                </a:ext>
              </a:extLst>
            </xdr:cNvPr>
            <xdr:cNvSpPr txBox="1"/>
          </xdr:nvSpPr>
          <xdr:spPr>
            <a:xfrm>
              <a:off x="952498" y="40300275"/>
              <a:ext cx="5892801" cy="511358"/>
            </a:xfrm>
            <a:prstGeom prst="rect">
              <a:avLst/>
            </a:prstGeom>
            <a:noFill/>
          </xdr:spPr>
          <xdr:txBody>
            <a:bodyPr wrap="square"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CL" sz="1400" i="0">
                  <a:latin typeface="Cambria Math" panose="02040503050406030204" pitchFamily="18" charset="0"/>
                  <a:ea typeface="Cambria Math" panose="02040503050406030204" pitchFamily="18" charset="0"/>
                </a:rPr>
                <a:t>𝜌(</a:t>
              </a:r>
              <a:r>
                <a:rPr lang="es-AR" sz="1400" b="0" i="0">
                  <a:latin typeface="Cambria Math" panose="02040503050406030204" pitchFamily="18" charset="0"/>
                  <a:ea typeface="Cambria Math" panose="02040503050406030204" pitchFamily="18" charset="0"/>
                </a:rPr>
                <a:t>𝐵𝑒𝑠𝑡, 𝑆𝑢𝑔𝑎𝑟)=</a:t>
              </a:r>
              <a:r>
                <a:rPr lang="es-CL" sz="1400" i="0" kern="1200">
                  <a:solidFill>
                    <a:schemeClr val="tx1"/>
                  </a:solidFill>
                  <a:effectLst/>
                  <a:latin typeface="Cambria Math" panose="02040503050406030204" pitchFamily="18" charset="0"/>
                  <a:ea typeface="+mn-ea"/>
                  <a:cs typeface="+mn-cs"/>
                </a:rPr>
                <a:t>(</a:t>
              </a:r>
              <a:r>
                <a:rPr lang="es-CL" sz="1400" b="0" i="0" kern="1200">
                  <a:solidFill>
                    <a:schemeClr val="tx1"/>
                  </a:solidFill>
                  <a:effectLst/>
                  <a:latin typeface="Cambria Math" panose="02040503050406030204" pitchFamily="18" charset="0"/>
                  <a:ea typeface="+mn-ea"/>
                  <a:cs typeface="+mn-cs"/>
                </a:rPr>
                <a:t>𝐶𝑜𝑣(</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𝐵𝑒𝑠𝑡</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𝑆𝑢𝑔𝑎𝑟</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a:t>
              </a:r>
              <a:r>
                <a:rPr lang="es-CL" sz="1400" b="0" i="0" kern="1200">
                  <a:solidFill>
                    <a:schemeClr val="tx1"/>
                  </a:solidFill>
                  <a:effectLst/>
                  <a:latin typeface="Cambria Math" panose="02040503050406030204" pitchFamily="18" charset="0"/>
                  <a:ea typeface="+mn-ea"/>
                  <a:cs typeface="+mn-cs"/>
                </a:rPr>
                <a:t>𝑉𝑎𝑟(</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𝐵𝑒𝑠𝑡 ))^(1/2)(</a:t>
              </a:r>
              <a:r>
                <a:rPr lang="es-CL" sz="1400" b="0" i="0" kern="1200">
                  <a:solidFill>
                    <a:schemeClr val="tx1"/>
                  </a:solidFill>
                  <a:effectLst/>
                  <a:latin typeface="Cambria Math" panose="02040503050406030204" pitchFamily="18" charset="0"/>
                  <a:ea typeface="+mn-ea"/>
                  <a:cs typeface="+mn-cs"/>
                </a:rPr>
                <a:t>𝑉𝑎𝑟(</a:t>
              </a:r>
              <a:r>
                <a:rPr lang="es-AR" sz="1400" b="0" i="0" kern="1200">
                  <a:solidFill>
                    <a:schemeClr val="tx1"/>
                  </a:solidFill>
                  <a:effectLst/>
                  <a:latin typeface="Cambria Math" panose="02040503050406030204" pitchFamily="18" charset="0"/>
                  <a:ea typeface="+mn-ea"/>
                  <a:cs typeface="+mn-cs"/>
                </a:rPr>
                <a:t>𝑟</a:t>
              </a:r>
              <a:r>
                <a:rPr lang="es-CL" sz="1400" b="0" i="0" kern="1200">
                  <a:solidFill>
                    <a:schemeClr val="tx1"/>
                  </a:solidFill>
                  <a:effectLst/>
                  <a:latin typeface="Cambria Math" panose="02040503050406030204" pitchFamily="18" charset="0"/>
                  <a:ea typeface="+mn-ea"/>
                  <a:cs typeface="+mn-cs"/>
                </a:rPr>
                <a:t>_</a:t>
              </a:r>
              <a:r>
                <a:rPr lang="es-AR" sz="1400" b="0" i="0" kern="1200">
                  <a:solidFill>
                    <a:schemeClr val="tx1"/>
                  </a:solidFill>
                  <a:effectLst/>
                  <a:latin typeface="Cambria Math" panose="02040503050406030204" pitchFamily="18" charset="0"/>
                  <a:ea typeface="+mn-ea"/>
                  <a:cs typeface="+mn-cs"/>
                </a:rPr>
                <a:t>𝑆𝑢𝑔𝑎𝑟 ))^(1/2)</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a:t>
              </a:r>
              <a:r>
                <a:rPr lang="es-CL" sz="140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−0,02405</a:t>
              </a:r>
              <a:r>
                <a:rPr lang="es-CL" sz="1400" b="0" i="0" kern="1200">
                  <a:solidFill>
                    <a:schemeClr val="tx1"/>
                  </a:solidFill>
                  <a:effectLst/>
                  <a:latin typeface="Cambria Math" panose="02040503050406030204" pitchFamily="18" charset="0"/>
                  <a:ea typeface="+mn-ea"/>
                  <a:cs typeface="+mn-cs"/>
                </a:rPr>
                <a:t>)/(</a:t>
              </a:r>
              <a:r>
                <a:rPr lang="es-AR" sz="1400" b="0" i="0" kern="1200">
                  <a:solidFill>
                    <a:schemeClr val="tx1"/>
                  </a:solidFill>
                  <a:effectLst/>
                  <a:latin typeface="Cambria Math" panose="02040503050406030204" pitchFamily="18" charset="0"/>
                  <a:ea typeface="+mn-ea"/>
                  <a:cs typeface="+mn-cs"/>
                </a:rPr>
                <a:t>(0,189)(0,1473)</a:t>
              </a:r>
              <a:r>
                <a:rPr lang="es-CL" sz="1400" b="0" i="0" kern="1200">
                  <a:solidFill>
                    <a:schemeClr val="tx1"/>
                  </a:solidFill>
                  <a:effectLst/>
                  <a:latin typeface="Cambria Math" panose="02040503050406030204" pitchFamily="18" charset="0"/>
                  <a:ea typeface="+mn-ea"/>
                  <a:cs typeface="+mn-cs"/>
                </a:rPr>
                <a:t>)</a:t>
              </a:r>
              <a:r>
                <a:rPr lang="es-CL" sz="1400"/>
                <a:t>=-0,86</a:t>
              </a:r>
            </a:p>
          </xdr:txBody>
        </xdr:sp>
      </mc:Fallback>
    </mc:AlternateContent>
    <xdr:clientData/>
  </xdr:twoCellAnchor>
  <xdr:twoCellAnchor>
    <xdr:from>
      <xdr:col>1</xdr:col>
      <xdr:colOff>85723</xdr:colOff>
      <xdr:row>215</xdr:row>
      <xdr:rowOff>66674</xdr:rowOff>
    </xdr:from>
    <xdr:to>
      <xdr:col>5</xdr:col>
      <xdr:colOff>809625</xdr:colOff>
      <xdr:row>216</xdr:row>
      <xdr:rowOff>67508</xdr:rowOff>
    </xdr:to>
    <mc:AlternateContent xmlns:mc="http://schemas.openxmlformats.org/markup-compatibility/2006" xmlns:a14="http://schemas.microsoft.com/office/drawing/2010/main">
      <mc:Choice Requires="a14">
        <xdr:sp macro="" textlink="">
          <xdr:nvSpPr>
            <xdr:cNvPr id="97" name="CuadroTexto 7">
              <a:extLst>
                <a:ext uri="{FF2B5EF4-FFF2-40B4-BE49-F238E27FC236}">
                  <a16:creationId xmlns:a16="http://schemas.microsoft.com/office/drawing/2014/main" id="{E1F25023-B38E-1F4C-BDBB-DD8B3D682D14}"/>
                </a:ext>
              </a:extLst>
            </xdr:cNvPr>
            <xdr:cNvSpPr txBox="1"/>
          </xdr:nvSpPr>
          <xdr:spPr>
            <a:xfrm>
              <a:off x="962023" y="42471974"/>
              <a:ext cx="5816602" cy="191334"/>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es-AR" sz="1200" i="1">
                            <a:latin typeface="Cambria Math" panose="02040503050406030204" pitchFamily="18" charset="0"/>
                          </a:rPr>
                        </m:ctrlPr>
                      </m:sSubSup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𝑐</m:t>
                        </m:r>
                      </m:sub>
                      <m:sup>
                        <m:r>
                          <a:rPr lang="es-AR" sz="1200" b="0" i="1">
                            <a:latin typeface="Cambria Math" panose="02040503050406030204" pitchFamily="18" charset="0"/>
                          </a:rPr>
                          <m:t>2</m:t>
                        </m:r>
                      </m:sup>
                    </m:sSubSup>
                    <m:r>
                      <a:rPr lang="es-AR" sz="1200" b="0" i="1">
                        <a:latin typeface="Cambria Math" panose="02040503050406030204" pitchFamily="18" charset="0"/>
                      </a:rPr>
                      <m:t>=</m:t>
                    </m:r>
                    <m:sSup>
                      <m:sSupPr>
                        <m:ctrlPr>
                          <a:rPr lang="es-AR" sz="1200" b="0" i="1">
                            <a:latin typeface="Cambria Math" panose="02040503050406030204" pitchFamily="18" charset="0"/>
                          </a:rPr>
                        </m:ctrlPr>
                      </m:sSupPr>
                      <m:e>
                        <m:d>
                          <m:dPr>
                            <m:ctrlPr>
                              <a:rPr lang="es-AR" sz="1200" b="0" i="1">
                                <a:latin typeface="Cambria Math" panose="02040503050406030204" pitchFamily="18" charset="0"/>
                              </a:rPr>
                            </m:ctrlPr>
                          </m:dPr>
                          <m:e>
                            <m:r>
                              <a:rPr lang="es-AR" sz="1200" b="0" i="1">
                                <a:latin typeface="Cambria Math" panose="02040503050406030204" pitchFamily="18" charset="0"/>
                              </a:rPr>
                              <m:t>0,5</m:t>
                            </m:r>
                          </m:e>
                        </m:d>
                      </m:e>
                      <m:sup>
                        <m:r>
                          <a:rPr lang="es-AR" sz="1200" b="0" i="1">
                            <a:latin typeface="Cambria Math" panose="02040503050406030204" pitchFamily="18" charset="0"/>
                          </a:rPr>
                          <m:t>2</m:t>
                        </m:r>
                      </m:sup>
                    </m:sSup>
                    <m:r>
                      <a:rPr lang="es-AR" sz="1200" b="0" i="1">
                        <a:latin typeface="Cambria Math" panose="02040503050406030204" pitchFamily="18" charset="0"/>
                      </a:rPr>
                      <m:t>(</m:t>
                    </m:r>
                    <m:sSup>
                      <m:sSupPr>
                        <m:ctrlPr>
                          <a:rPr lang="es-AR" sz="1200" b="0" i="1">
                            <a:latin typeface="Cambria Math" panose="02040503050406030204" pitchFamily="18" charset="0"/>
                          </a:rPr>
                        </m:ctrlPr>
                      </m:sSupPr>
                      <m:e>
                        <m:r>
                          <a:rPr lang="es-AR" sz="1200" b="0" i="1">
                            <a:latin typeface="Cambria Math" panose="02040503050406030204" pitchFamily="18" charset="0"/>
                          </a:rPr>
                          <m:t>0,189)</m:t>
                        </m:r>
                      </m:e>
                      <m:sup>
                        <m:r>
                          <a:rPr lang="es-AR" sz="1200" b="0" i="1">
                            <a:latin typeface="Cambria Math" panose="02040503050406030204" pitchFamily="18" charset="0"/>
                          </a:rPr>
                          <m:t>2</m:t>
                        </m:r>
                      </m:sup>
                    </m:sSup>
                    <m:r>
                      <a:rPr lang="es-AR" sz="1200" b="0" i="1">
                        <a:latin typeface="Cambria Math" panose="02040503050406030204" pitchFamily="18" charset="0"/>
                      </a:rPr>
                      <m:t>+</m:t>
                    </m:r>
                    <m:sSup>
                      <m:sSupPr>
                        <m:ctrlPr>
                          <a:rPr lang="es-AR" sz="1200" b="0" i="1">
                            <a:latin typeface="Cambria Math" panose="02040503050406030204" pitchFamily="18" charset="0"/>
                          </a:rPr>
                        </m:ctrlPr>
                      </m:sSupPr>
                      <m:e>
                        <m:d>
                          <m:dPr>
                            <m:ctrlPr>
                              <a:rPr lang="es-AR" sz="1200" b="0" i="1">
                                <a:latin typeface="Cambria Math" panose="02040503050406030204" pitchFamily="18" charset="0"/>
                              </a:rPr>
                            </m:ctrlPr>
                          </m:dPr>
                          <m:e>
                            <m:r>
                              <a:rPr lang="es-AR" sz="1200" b="0" i="1">
                                <a:latin typeface="Cambria Math" panose="02040503050406030204" pitchFamily="18" charset="0"/>
                              </a:rPr>
                              <m:t>0,5</m:t>
                            </m:r>
                          </m:e>
                        </m:d>
                      </m:e>
                      <m:sup>
                        <m:r>
                          <a:rPr lang="es-AR" sz="1200" b="0" i="1">
                            <a:latin typeface="Cambria Math" panose="02040503050406030204" pitchFamily="18" charset="0"/>
                          </a:rPr>
                          <m:t>2</m:t>
                        </m:r>
                      </m:sup>
                    </m:sSup>
                    <m:sSup>
                      <m:sSupPr>
                        <m:ctrlPr>
                          <a:rPr lang="es-AR" sz="1200" b="0" i="1">
                            <a:latin typeface="Cambria Math" panose="02040503050406030204" pitchFamily="18" charset="0"/>
                          </a:rPr>
                        </m:ctrlPr>
                      </m:sSupPr>
                      <m:e>
                        <m:d>
                          <m:dPr>
                            <m:ctrlPr>
                              <a:rPr lang="es-AR" sz="1200" b="0" i="1">
                                <a:latin typeface="Cambria Math" panose="02040503050406030204" pitchFamily="18" charset="0"/>
                              </a:rPr>
                            </m:ctrlPr>
                          </m:dPr>
                          <m:e>
                            <m:r>
                              <a:rPr lang="es-AR" sz="1200" b="0" i="1">
                                <a:latin typeface="Cambria Math" panose="02040503050406030204" pitchFamily="18" charset="0"/>
                              </a:rPr>
                              <m:t>0,1473</m:t>
                            </m:r>
                          </m:e>
                        </m:d>
                      </m:e>
                      <m:sup>
                        <m:r>
                          <a:rPr lang="es-AR" sz="1200" b="0" i="1">
                            <a:latin typeface="Cambria Math" panose="02040503050406030204" pitchFamily="18" charset="0"/>
                          </a:rPr>
                          <m:t>2</m:t>
                        </m:r>
                      </m:sup>
                    </m:sSup>
                    <m:r>
                      <a:rPr lang="es-AR" sz="1200" b="0" i="1">
                        <a:latin typeface="Cambria Math" panose="02040503050406030204" pitchFamily="18" charset="0"/>
                      </a:rPr>
                      <m:t>+2</m:t>
                    </m:r>
                    <m:d>
                      <m:dPr>
                        <m:ctrlPr>
                          <a:rPr lang="es-AR" sz="1200" b="0" i="1">
                            <a:latin typeface="Cambria Math" panose="02040503050406030204" pitchFamily="18" charset="0"/>
                          </a:rPr>
                        </m:ctrlPr>
                      </m:dPr>
                      <m:e>
                        <m:r>
                          <a:rPr lang="es-AR" sz="1200" b="0" i="1">
                            <a:latin typeface="Cambria Math" panose="02040503050406030204" pitchFamily="18" charset="0"/>
                          </a:rPr>
                          <m:t>0,5</m:t>
                        </m:r>
                      </m:e>
                    </m:d>
                    <m:d>
                      <m:dPr>
                        <m:ctrlPr>
                          <a:rPr lang="es-AR" sz="1200" b="0" i="1">
                            <a:latin typeface="Cambria Math" panose="02040503050406030204" pitchFamily="18" charset="0"/>
                          </a:rPr>
                        </m:ctrlPr>
                      </m:dPr>
                      <m:e>
                        <m:r>
                          <a:rPr lang="es-AR" sz="1200" b="0" i="1">
                            <a:latin typeface="Cambria Math" panose="02040503050406030204" pitchFamily="18" charset="0"/>
                          </a:rPr>
                          <m:t>0,5</m:t>
                        </m:r>
                      </m:e>
                    </m:d>
                    <m:d>
                      <m:dPr>
                        <m:ctrlPr>
                          <a:rPr lang="es-AR" sz="1200" b="0" i="1">
                            <a:latin typeface="Cambria Math" panose="02040503050406030204" pitchFamily="18" charset="0"/>
                          </a:rPr>
                        </m:ctrlPr>
                      </m:dPr>
                      <m:e>
                        <m:r>
                          <a:rPr lang="es-AR" sz="1200" b="0" i="0">
                            <a:latin typeface="Cambria Math" panose="02040503050406030204" pitchFamily="18" charset="0"/>
                          </a:rPr>
                          <m:t>−0,02405</m:t>
                        </m:r>
                      </m:e>
                    </m:d>
                    <m:r>
                      <a:rPr lang="es-AR" sz="1200" b="0" i="0">
                        <a:latin typeface="Cambria Math" panose="02040503050406030204" pitchFamily="18" charset="0"/>
                      </a:rPr>
                      <m:t>=0,233</m:t>
                    </m:r>
                  </m:oMath>
                </m:oMathPara>
              </a14:m>
              <a:endParaRPr lang="es-AR" sz="1200"/>
            </a:p>
          </xdr:txBody>
        </xdr:sp>
      </mc:Choice>
      <mc:Fallback xmlns="">
        <xdr:sp macro="" textlink="">
          <xdr:nvSpPr>
            <xdr:cNvPr id="97" name="CuadroTexto 7">
              <a:extLst>
                <a:ext uri="{FF2B5EF4-FFF2-40B4-BE49-F238E27FC236}">
                  <a16:creationId xmlns:a16="http://schemas.microsoft.com/office/drawing/2014/main" id="{E1F25023-B38E-1F4C-BDBB-DD8B3D682D14}"/>
                </a:ext>
              </a:extLst>
            </xdr:cNvPr>
            <xdr:cNvSpPr txBox="1"/>
          </xdr:nvSpPr>
          <xdr:spPr>
            <a:xfrm>
              <a:off x="962023" y="42471974"/>
              <a:ext cx="5816602" cy="191334"/>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𝑐^2=(0,5)^2 (〖0,189)〗^2+(0,5)^2 (0,1473)^2+2(0,5)(0,5)(−0,02405)=0,233</a:t>
              </a:r>
              <a:endParaRPr lang="es-AR" sz="1200"/>
            </a:p>
          </xdr:txBody>
        </xdr:sp>
      </mc:Fallback>
    </mc:AlternateContent>
    <xdr:clientData/>
  </xdr:twoCellAnchor>
  <xdr:twoCellAnchor>
    <xdr:from>
      <xdr:col>1</xdr:col>
      <xdr:colOff>66674</xdr:colOff>
      <xdr:row>217</xdr:row>
      <xdr:rowOff>142874</xdr:rowOff>
    </xdr:from>
    <xdr:to>
      <xdr:col>3</xdr:col>
      <xdr:colOff>447674</xdr:colOff>
      <xdr:row>218</xdr:row>
      <xdr:rowOff>151146</xdr:rowOff>
    </xdr:to>
    <mc:AlternateContent xmlns:mc="http://schemas.openxmlformats.org/markup-compatibility/2006" xmlns:a14="http://schemas.microsoft.com/office/drawing/2010/main">
      <mc:Choice Requires="a14">
        <xdr:sp macro="" textlink="">
          <xdr:nvSpPr>
            <xdr:cNvPr id="98" name="CuadroTexto 6">
              <a:extLst>
                <a:ext uri="{FF2B5EF4-FFF2-40B4-BE49-F238E27FC236}">
                  <a16:creationId xmlns:a16="http://schemas.microsoft.com/office/drawing/2014/main" id="{6A3EBE2A-BB43-BB45-82A9-DC46FFCCBE4C}"/>
                </a:ext>
              </a:extLst>
            </xdr:cNvPr>
            <xdr:cNvSpPr txBox="1"/>
          </xdr:nvSpPr>
          <xdr:spPr>
            <a:xfrm>
              <a:off x="942974" y="42929174"/>
              <a:ext cx="2743200" cy="1987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es-AR" sz="1200" i="1">
                            <a:latin typeface="Cambria Math" panose="02040503050406030204" pitchFamily="18" charset="0"/>
                          </a:rPr>
                        </m:ctrlPr>
                      </m:sSubPr>
                      <m:e>
                        <m:r>
                          <a:rPr lang="es-AR" sz="1200" i="1">
                            <a:latin typeface="Cambria Math" panose="02040503050406030204" pitchFamily="18" charset="0"/>
                            <a:ea typeface="Cambria Math" panose="02040503050406030204" pitchFamily="18" charset="0"/>
                          </a:rPr>
                          <m:t>𝜎</m:t>
                        </m:r>
                      </m:e>
                      <m:sub>
                        <m:r>
                          <a:rPr lang="es-AR" sz="1200" b="0" i="1">
                            <a:latin typeface="Cambria Math" panose="02040503050406030204" pitchFamily="18" charset="0"/>
                          </a:rPr>
                          <m:t>𝐶</m:t>
                        </m:r>
                      </m:sub>
                    </m:sSub>
                    <m:r>
                      <a:rPr lang="es-AR" sz="1200" b="0" i="1">
                        <a:latin typeface="Cambria Math" panose="02040503050406030204" pitchFamily="18" charset="0"/>
                      </a:rPr>
                      <m:t>=</m:t>
                    </m:r>
                    <m:sSup>
                      <m:sSupPr>
                        <m:ctrlPr>
                          <a:rPr lang="es-AR" sz="1200" b="0" i="1">
                            <a:latin typeface="Cambria Math" panose="02040503050406030204" pitchFamily="18" charset="0"/>
                          </a:rPr>
                        </m:ctrlPr>
                      </m:sSupPr>
                      <m:e>
                        <m:r>
                          <a:rPr lang="es-AR" sz="1200" b="0" i="1">
                            <a:latin typeface="Cambria Math" panose="02040503050406030204" pitchFamily="18" charset="0"/>
                          </a:rPr>
                          <m:t>0,233</m:t>
                        </m:r>
                      </m:e>
                      <m:sup>
                        <m:r>
                          <a:rPr lang="es-AR" sz="1200" b="0" i="1">
                            <a:latin typeface="Cambria Math" panose="02040503050406030204" pitchFamily="18" charset="0"/>
                          </a:rPr>
                          <m:t>1/2</m:t>
                        </m:r>
                      </m:sup>
                    </m:sSup>
                    <m:r>
                      <a:rPr lang="es-AR" sz="1200" b="0" i="0">
                        <a:latin typeface="Cambria Math" panose="02040503050406030204" pitchFamily="18" charset="0"/>
                      </a:rPr>
                      <m:t>=0,0483 ó 4,83%</m:t>
                    </m:r>
                  </m:oMath>
                </m:oMathPara>
              </a14:m>
              <a:endParaRPr lang="es-AR" sz="1200"/>
            </a:p>
          </xdr:txBody>
        </xdr:sp>
      </mc:Choice>
      <mc:Fallback xmlns="">
        <xdr:sp macro="" textlink="">
          <xdr:nvSpPr>
            <xdr:cNvPr id="98" name="CuadroTexto 6">
              <a:extLst>
                <a:ext uri="{FF2B5EF4-FFF2-40B4-BE49-F238E27FC236}">
                  <a16:creationId xmlns:a16="http://schemas.microsoft.com/office/drawing/2014/main" id="{6A3EBE2A-BB43-BB45-82A9-DC46FFCCBE4C}"/>
                </a:ext>
              </a:extLst>
            </xdr:cNvPr>
            <xdr:cNvSpPr txBox="1"/>
          </xdr:nvSpPr>
          <xdr:spPr>
            <a:xfrm>
              <a:off x="942974" y="42929174"/>
              <a:ext cx="2743200" cy="1987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i="0">
                  <a:latin typeface="Cambria Math" panose="02040503050406030204" pitchFamily="18" charset="0"/>
                  <a:ea typeface="Cambria Math" panose="02040503050406030204" pitchFamily="18" charset="0"/>
                </a:rPr>
                <a:t>𝜎_</a:t>
              </a:r>
              <a:r>
                <a:rPr lang="es-AR" sz="1200" b="0" i="0">
                  <a:latin typeface="Cambria Math" panose="02040503050406030204" pitchFamily="18" charset="0"/>
                </a:rPr>
                <a:t>𝐶=〖0,233〗^(1/2)=0,0483 ó 4,83%</a:t>
              </a:r>
              <a:endParaRPr lang="es-AR" sz="1200"/>
            </a:p>
          </xdr:txBody>
        </xdr:sp>
      </mc:Fallback>
    </mc:AlternateContent>
    <xdr:clientData/>
  </xdr:twoCellAnchor>
  <xdr:twoCellAnchor>
    <xdr:from>
      <xdr:col>3</xdr:col>
      <xdr:colOff>1143000</xdr:colOff>
      <xdr:row>211</xdr:row>
      <xdr:rowOff>123826</xdr:rowOff>
    </xdr:from>
    <xdr:to>
      <xdr:col>5</xdr:col>
      <xdr:colOff>0</xdr:colOff>
      <xdr:row>211</xdr:row>
      <xdr:rowOff>125708</xdr:rowOff>
    </xdr:to>
    <xdr:cxnSp macro="">
      <xdr:nvCxnSpPr>
        <xdr:cNvPr id="99" name="Conector recto de flecha 4">
          <a:extLst>
            <a:ext uri="{FF2B5EF4-FFF2-40B4-BE49-F238E27FC236}">
              <a16:creationId xmlns:a16="http://schemas.microsoft.com/office/drawing/2014/main" id="{79DD69F1-89C2-BB4A-935D-1F8A5BF78094}"/>
            </a:ext>
          </a:extLst>
        </xdr:cNvPr>
        <xdr:cNvCxnSpPr>
          <a:stCxn id="23" idx="3"/>
        </xdr:cNvCxnSpPr>
      </xdr:nvCxnSpPr>
      <xdr:spPr>
        <a:xfrm flipV="1">
          <a:off x="4381500" y="41767126"/>
          <a:ext cx="1587500" cy="1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784226</xdr:colOff>
      <xdr:row>9</xdr:row>
      <xdr:rowOff>38100</xdr:rowOff>
    </xdr:from>
    <xdr:to>
      <xdr:col>0</xdr:col>
      <xdr:colOff>793750</xdr:colOff>
      <xdr:row>16</xdr:row>
      <xdr:rowOff>163761</xdr:rowOff>
    </xdr:to>
    <xdr:cxnSp macro="">
      <xdr:nvCxnSpPr>
        <xdr:cNvPr id="56" name="Conector recto 8">
          <a:extLst>
            <a:ext uri="{FF2B5EF4-FFF2-40B4-BE49-F238E27FC236}">
              <a16:creationId xmlns:a16="http://schemas.microsoft.com/office/drawing/2014/main" id="{46881DF0-B5B7-914A-A834-4B30D82A5EF8}"/>
            </a:ext>
          </a:extLst>
        </xdr:cNvPr>
        <xdr:cNvCxnSpPr/>
      </xdr:nvCxnSpPr>
      <xdr:spPr>
        <a:xfrm flipH="1">
          <a:off x="784226" y="2019606"/>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784225</xdr:colOff>
      <xdr:row>16</xdr:row>
      <xdr:rowOff>163761</xdr:rowOff>
    </xdr:from>
    <xdr:to>
      <xdr:col>3</xdr:col>
      <xdr:colOff>48084</xdr:colOff>
      <xdr:row>16</xdr:row>
      <xdr:rowOff>173286</xdr:rowOff>
    </xdr:to>
    <xdr:cxnSp macro="">
      <xdr:nvCxnSpPr>
        <xdr:cNvPr id="57" name="Conector recto 40">
          <a:extLst>
            <a:ext uri="{FF2B5EF4-FFF2-40B4-BE49-F238E27FC236}">
              <a16:creationId xmlns:a16="http://schemas.microsoft.com/office/drawing/2014/main" id="{A6188680-4768-6645-A3AE-BE39E3851158}"/>
            </a:ext>
          </a:extLst>
        </xdr:cNvPr>
        <xdr:cNvCxnSpPr/>
      </xdr:nvCxnSpPr>
      <xdr:spPr>
        <a:xfrm flipV="1">
          <a:off x="784225" y="3591231"/>
          <a:ext cx="23241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803275</xdr:colOff>
      <xdr:row>12</xdr:row>
      <xdr:rowOff>161351</xdr:rowOff>
    </xdr:from>
    <xdr:to>
      <xdr:col>3</xdr:col>
      <xdr:colOff>29034</xdr:colOff>
      <xdr:row>12</xdr:row>
      <xdr:rowOff>161351</xdr:rowOff>
    </xdr:to>
    <xdr:cxnSp macro="">
      <xdr:nvCxnSpPr>
        <xdr:cNvPr id="58" name="Conector recto 42">
          <a:extLst>
            <a:ext uri="{FF2B5EF4-FFF2-40B4-BE49-F238E27FC236}">
              <a16:creationId xmlns:a16="http://schemas.microsoft.com/office/drawing/2014/main" id="{F26EBBA3-EB31-BF45-91D6-5C2E60C9EA37}"/>
            </a:ext>
          </a:extLst>
        </xdr:cNvPr>
        <xdr:cNvCxnSpPr/>
      </xdr:nvCxnSpPr>
      <xdr:spPr>
        <a:xfrm>
          <a:off x="803275" y="2762556"/>
          <a:ext cx="2286000" cy="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424264</xdr:colOff>
      <xdr:row>9</xdr:row>
      <xdr:rowOff>0</xdr:rowOff>
    </xdr:from>
    <xdr:to>
      <xdr:col>1</xdr:col>
      <xdr:colOff>433789</xdr:colOff>
      <xdr:row>16</xdr:row>
      <xdr:rowOff>154238</xdr:rowOff>
    </xdr:to>
    <xdr:cxnSp macro="">
      <xdr:nvCxnSpPr>
        <xdr:cNvPr id="59" name="Conector recto 43">
          <a:extLst>
            <a:ext uri="{FF2B5EF4-FFF2-40B4-BE49-F238E27FC236}">
              <a16:creationId xmlns:a16="http://schemas.microsoft.com/office/drawing/2014/main" id="{1BC69C94-8EF9-EA41-8DAC-BD056EA7CC14}"/>
            </a:ext>
          </a:extLst>
        </xdr:cNvPr>
        <xdr:cNvCxnSpPr/>
      </xdr:nvCxnSpPr>
      <xdr:spPr>
        <a:xfrm flipV="1">
          <a:off x="1831975" y="1981506"/>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12</xdr:row>
      <xdr:rowOff>56576</xdr:rowOff>
    </xdr:from>
    <xdr:to>
      <xdr:col>0</xdr:col>
      <xdr:colOff>755650</xdr:colOff>
      <xdr:row>13</xdr:row>
      <xdr:rowOff>37882</xdr:rowOff>
    </xdr:to>
    <mc:AlternateContent xmlns:mc="http://schemas.openxmlformats.org/markup-compatibility/2006" xmlns:a14="http://schemas.microsoft.com/office/drawing/2010/main">
      <mc:Choice Requires="a14">
        <xdr:sp macro="" textlink="">
          <xdr:nvSpPr>
            <xdr:cNvPr id="60" name="CuadroTexto 5">
              <a:extLst>
                <a:ext uri="{FF2B5EF4-FFF2-40B4-BE49-F238E27FC236}">
                  <a16:creationId xmlns:a16="http://schemas.microsoft.com/office/drawing/2014/main" id="{C1078B6A-5635-A947-B951-2A8F6DA5C98A}"/>
                </a:ext>
              </a:extLst>
            </xdr:cNvPr>
            <xdr:cNvSpPr txBox="1"/>
          </xdr:nvSpPr>
          <xdr:spPr>
            <a:xfrm>
              <a:off x="0" y="2657781"/>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60" name="CuadroTexto 5">
              <a:extLst>
                <a:ext uri="{FF2B5EF4-FFF2-40B4-BE49-F238E27FC236}">
                  <a16:creationId xmlns:a16="http://schemas.microsoft.com/office/drawing/2014/main" id="{C1078B6A-5635-A947-B951-2A8F6DA5C98A}"/>
                </a:ext>
              </a:extLst>
            </xdr:cNvPr>
            <xdr:cNvSpPr txBox="1"/>
          </xdr:nvSpPr>
          <xdr:spPr>
            <a:xfrm>
              <a:off x="0" y="2657781"/>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1</xdr:col>
      <xdr:colOff>100414</xdr:colOff>
      <xdr:row>17</xdr:row>
      <xdr:rowOff>23870</xdr:rowOff>
    </xdr:from>
    <xdr:to>
      <xdr:col>2</xdr:col>
      <xdr:colOff>93299</xdr:colOff>
      <xdr:row>18</xdr:row>
      <xdr:rowOff>30247</xdr:rowOff>
    </xdr:to>
    <mc:AlternateContent xmlns:mc="http://schemas.openxmlformats.org/markup-compatibility/2006" xmlns:a14="http://schemas.microsoft.com/office/drawing/2010/main">
      <mc:Choice Requires="a14">
        <xdr:sp macro="" textlink="">
          <xdr:nvSpPr>
            <xdr:cNvPr id="61" name="CuadroTexto 5">
              <a:extLst>
                <a:ext uri="{FF2B5EF4-FFF2-40B4-BE49-F238E27FC236}">
                  <a16:creationId xmlns:a16="http://schemas.microsoft.com/office/drawing/2014/main" id="{9F4A55A5-505A-7B4A-B6D8-0771384B75E2}"/>
                </a:ext>
              </a:extLst>
            </xdr:cNvPr>
            <xdr:cNvSpPr txBox="1"/>
          </xdr:nvSpPr>
          <xdr:spPr>
            <a:xfrm>
              <a:off x="1508125" y="3657906"/>
              <a:ext cx="8191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61" name="CuadroTexto 5">
              <a:extLst>
                <a:ext uri="{FF2B5EF4-FFF2-40B4-BE49-F238E27FC236}">
                  <a16:creationId xmlns:a16="http://schemas.microsoft.com/office/drawing/2014/main" id="{9F4A55A5-505A-7B4A-B6D8-0771384B75E2}"/>
                </a:ext>
              </a:extLst>
            </xdr:cNvPr>
            <xdr:cNvSpPr txBox="1"/>
          </xdr:nvSpPr>
          <xdr:spPr>
            <a:xfrm>
              <a:off x="1508125" y="3657906"/>
              <a:ext cx="8191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2</xdr:col>
      <xdr:colOff>207599</xdr:colOff>
      <xdr:row>11</xdr:row>
      <xdr:rowOff>34542</xdr:rowOff>
    </xdr:from>
    <xdr:to>
      <xdr:col>2</xdr:col>
      <xdr:colOff>279599</xdr:colOff>
      <xdr:row>11</xdr:row>
      <xdr:rowOff>106542</xdr:rowOff>
    </xdr:to>
    <xdr:sp macro="" textlink="">
      <xdr:nvSpPr>
        <xdr:cNvPr id="62" name="Conector 54">
          <a:extLst>
            <a:ext uri="{FF2B5EF4-FFF2-40B4-BE49-F238E27FC236}">
              <a16:creationId xmlns:a16="http://schemas.microsoft.com/office/drawing/2014/main" id="{3D712EEE-B21C-1440-A135-E84F160F4BF0}"/>
            </a:ext>
          </a:extLst>
        </xdr:cNvPr>
        <xdr:cNvSpPr>
          <a:spLocks noChangeAspect="1"/>
        </xdr:cNvSpPr>
      </xdr:nvSpPr>
      <xdr:spPr>
        <a:xfrm>
          <a:off x="2441575" y="24291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748114</xdr:colOff>
      <xdr:row>10</xdr:row>
      <xdr:rowOff>145859</xdr:rowOff>
    </xdr:from>
    <xdr:to>
      <xdr:col>1</xdr:col>
      <xdr:colOff>820114</xdr:colOff>
      <xdr:row>11</xdr:row>
      <xdr:rowOff>11292</xdr:rowOff>
    </xdr:to>
    <xdr:sp macro="" textlink="">
      <xdr:nvSpPr>
        <xdr:cNvPr id="63" name="Conector 55">
          <a:extLst>
            <a:ext uri="{FF2B5EF4-FFF2-40B4-BE49-F238E27FC236}">
              <a16:creationId xmlns:a16="http://schemas.microsoft.com/office/drawing/2014/main" id="{7277A9A3-E025-4B46-94E5-C60EB4B56989}"/>
            </a:ext>
          </a:extLst>
        </xdr:cNvPr>
        <xdr:cNvSpPr>
          <a:spLocks noChangeAspect="1"/>
        </xdr:cNvSpPr>
      </xdr:nvSpPr>
      <xdr:spPr>
        <a:xfrm>
          <a:off x="2155825" y="23339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245699</xdr:colOff>
      <xdr:row>10</xdr:row>
      <xdr:rowOff>69659</xdr:rowOff>
    </xdr:from>
    <xdr:to>
      <xdr:col>2</xdr:col>
      <xdr:colOff>317699</xdr:colOff>
      <xdr:row>10</xdr:row>
      <xdr:rowOff>141659</xdr:rowOff>
    </xdr:to>
    <xdr:sp macro="" textlink="">
      <xdr:nvSpPr>
        <xdr:cNvPr id="64" name="Conector 56">
          <a:extLst>
            <a:ext uri="{FF2B5EF4-FFF2-40B4-BE49-F238E27FC236}">
              <a16:creationId xmlns:a16="http://schemas.microsoft.com/office/drawing/2014/main" id="{2559E558-DE71-0E49-9182-6AE6E9329479}"/>
            </a:ext>
          </a:extLst>
        </xdr:cNvPr>
        <xdr:cNvSpPr>
          <a:spLocks noChangeAspect="1"/>
        </xdr:cNvSpPr>
      </xdr:nvSpPr>
      <xdr:spPr>
        <a:xfrm>
          <a:off x="2479675" y="22577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186139</xdr:colOff>
      <xdr:row>13</xdr:row>
      <xdr:rowOff>145285</xdr:rowOff>
    </xdr:from>
    <xdr:to>
      <xdr:col>1</xdr:col>
      <xdr:colOff>258139</xdr:colOff>
      <xdr:row>14</xdr:row>
      <xdr:rowOff>10719</xdr:rowOff>
    </xdr:to>
    <xdr:sp macro="" textlink="">
      <xdr:nvSpPr>
        <xdr:cNvPr id="65" name="Conector 58">
          <a:extLst>
            <a:ext uri="{FF2B5EF4-FFF2-40B4-BE49-F238E27FC236}">
              <a16:creationId xmlns:a16="http://schemas.microsoft.com/office/drawing/2014/main" id="{2B5E454A-EB94-6A46-B1E7-0070D1020867}"/>
            </a:ext>
          </a:extLst>
        </xdr:cNvPr>
        <xdr:cNvSpPr>
          <a:spLocks noChangeAspect="1"/>
        </xdr:cNvSpPr>
      </xdr:nvSpPr>
      <xdr:spPr>
        <a:xfrm>
          <a:off x="1593850" y="29530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74249</xdr:colOff>
      <xdr:row>11</xdr:row>
      <xdr:rowOff>91692</xdr:rowOff>
    </xdr:from>
    <xdr:to>
      <xdr:col>2</xdr:col>
      <xdr:colOff>146249</xdr:colOff>
      <xdr:row>11</xdr:row>
      <xdr:rowOff>163692</xdr:rowOff>
    </xdr:to>
    <xdr:sp macro="" textlink="">
      <xdr:nvSpPr>
        <xdr:cNvPr id="66" name="Conector 59">
          <a:extLst>
            <a:ext uri="{FF2B5EF4-FFF2-40B4-BE49-F238E27FC236}">
              <a16:creationId xmlns:a16="http://schemas.microsoft.com/office/drawing/2014/main" id="{79CAD315-F9B5-DD49-8144-58DEE7D071E0}"/>
            </a:ext>
          </a:extLst>
        </xdr:cNvPr>
        <xdr:cNvSpPr>
          <a:spLocks noChangeAspect="1"/>
        </xdr:cNvSpPr>
      </xdr:nvSpPr>
      <xdr:spPr>
        <a:xfrm>
          <a:off x="2308225" y="24863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52789</xdr:colOff>
      <xdr:row>14</xdr:row>
      <xdr:rowOff>176844</xdr:rowOff>
    </xdr:from>
    <xdr:to>
      <xdr:col>1</xdr:col>
      <xdr:colOff>124789</xdr:colOff>
      <xdr:row>15</xdr:row>
      <xdr:rowOff>42277</xdr:rowOff>
    </xdr:to>
    <xdr:sp macro="" textlink="">
      <xdr:nvSpPr>
        <xdr:cNvPr id="67" name="Conector 60">
          <a:extLst>
            <a:ext uri="{FF2B5EF4-FFF2-40B4-BE49-F238E27FC236}">
              <a16:creationId xmlns:a16="http://schemas.microsoft.com/office/drawing/2014/main" id="{D670D772-5531-9F4B-A2F5-752212F00AD0}"/>
            </a:ext>
          </a:extLst>
        </xdr:cNvPr>
        <xdr:cNvSpPr>
          <a:spLocks noChangeAspect="1"/>
        </xdr:cNvSpPr>
      </xdr:nvSpPr>
      <xdr:spPr>
        <a:xfrm>
          <a:off x="1460500" y="31911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500464</xdr:colOff>
      <xdr:row>12</xdr:row>
      <xdr:rowOff>18476</xdr:rowOff>
    </xdr:from>
    <xdr:to>
      <xdr:col>1</xdr:col>
      <xdr:colOff>772489</xdr:colOff>
      <xdr:row>12</xdr:row>
      <xdr:rowOff>90476</xdr:rowOff>
    </xdr:to>
    <xdr:sp macro="" textlink="">
      <xdr:nvSpPr>
        <xdr:cNvPr id="68" name="Conector 62">
          <a:extLst>
            <a:ext uri="{FF2B5EF4-FFF2-40B4-BE49-F238E27FC236}">
              <a16:creationId xmlns:a16="http://schemas.microsoft.com/office/drawing/2014/main" id="{484DBB07-B281-194E-9E91-E4935A02FB3E}"/>
            </a:ext>
          </a:extLst>
        </xdr:cNvPr>
        <xdr:cNvSpPr>
          <a:spLocks noChangeAspect="1"/>
        </xdr:cNvSpPr>
      </xdr:nvSpPr>
      <xdr:spPr>
        <a:xfrm>
          <a:off x="1908175" y="2619681"/>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74249</xdr:colOff>
      <xdr:row>10</xdr:row>
      <xdr:rowOff>107759</xdr:rowOff>
    </xdr:from>
    <xdr:to>
      <xdr:col>2</xdr:col>
      <xdr:colOff>146249</xdr:colOff>
      <xdr:row>10</xdr:row>
      <xdr:rowOff>179759</xdr:rowOff>
    </xdr:to>
    <xdr:sp macro="" textlink="">
      <xdr:nvSpPr>
        <xdr:cNvPr id="69" name="Conector 63">
          <a:extLst>
            <a:ext uri="{FF2B5EF4-FFF2-40B4-BE49-F238E27FC236}">
              <a16:creationId xmlns:a16="http://schemas.microsoft.com/office/drawing/2014/main" id="{8FEE1D4D-1B64-E74D-A37E-49CC9FA522FB}"/>
            </a:ext>
          </a:extLst>
        </xdr:cNvPr>
        <xdr:cNvSpPr>
          <a:spLocks noChangeAspect="1"/>
        </xdr:cNvSpPr>
      </xdr:nvSpPr>
      <xdr:spPr>
        <a:xfrm>
          <a:off x="2308225" y="22958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71839</xdr:colOff>
      <xdr:row>13</xdr:row>
      <xdr:rowOff>40510</xdr:rowOff>
    </xdr:from>
    <xdr:to>
      <xdr:col>1</xdr:col>
      <xdr:colOff>143839</xdr:colOff>
      <xdr:row>13</xdr:row>
      <xdr:rowOff>112510</xdr:rowOff>
    </xdr:to>
    <xdr:sp macro="" textlink="">
      <xdr:nvSpPr>
        <xdr:cNvPr id="70" name="Conector 64">
          <a:extLst>
            <a:ext uri="{FF2B5EF4-FFF2-40B4-BE49-F238E27FC236}">
              <a16:creationId xmlns:a16="http://schemas.microsoft.com/office/drawing/2014/main" id="{5DD7C032-41F6-934A-B996-ECA68AE0CCF6}"/>
            </a:ext>
          </a:extLst>
        </xdr:cNvPr>
        <xdr:cNvSpPr>
          <a:spLocks noChangeAspect="1"/>
        </xdr:cNvSpPr>
      </xdr:nvSpPr>
      <xdr:spPr>
        <a:xfrm>
          <a:off x="1479550" y="28482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302849</xdr:colOff>
      <xdr:row>10</xdr:row>
      <xdr:rowOff>136334</xdr:rowOff>
    </xdr:from>
    <xdr:to>
      <xdr:col>2</xdr:col>
      <xdr:colOff>374849</xdr:colOff>
      <xdr:row>11</xdr:row>
      <xdr:rowOff>1767</xdr:rowOff>
    </xdr:to>
    <xdr:sp macro="" textlink="">
      <xdr:nvSpPr>
        <xdr:cNvPr id="71" name="Conector 65">
          <a:extLst>
            <a:ext uri="{FF2B5EF4-FFF2-40B4-BE49-F238E27FC236}">
              <a16:creationId xmlns:a16="http://schemas.microsoft.com/office/drawing/2014/main" id="{0F14D5F3-B218-B84D-82FD-4B95F210D1B7}"/>
            </a:ext>
          </a:extLst>
        </xdr:cNvPr>
        <xdr:cNvSpPr>
          <a:spLocks noChangeAspect="1"/>
        </xdr:cNvSpPr>
      </xdr:nvSpPr>
      <xdr:spPr>
        <a:xfrm>
          <a:off x="2536825" y="23244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1355725</xdr:colOff>
      <xdr:row>14</xdr:row>
      <xdr:rowOff>14919</xdr:rowOff>
    </xdr:from>
    <xdr:to>
      <xdr:col>1</xdr:col>
      <xdr:colOff>20014</xdr:colOff>
      <xdr:row>14</xdr:row>
      <xdr:rowOff>86919</xdr:rowOff>
    </xdr:to>
    <xdr:sp macro="" textlink="">
      <xdr:nvSpPr>
        <xdr:cNvPr id="72" name="Conector 66">
          <a:extLst>
            <a:ext uri="{FF2B5EF4-FFF2-40B4-BE49-F238E27FC236}">
              <a16:creationId xmlns:a16="http://schemas.microsoft.com/office/drawing/2014/main" id="{D6CF2C33-0AC2-A749-ACA5-589D2A3966F5}"/>
            </a:ext>
          </a:extLst>
        </xdr:cNvPr>
        <xdr:cNvSpPr>
          <a:spLocks noChangeAspect="1"/>
        </xdr:cNvSpPr>
      </xdr:nvSpPr>
      <xdr:spPr>
        <a:xfrm>
          <a:off x="1355725" y="30292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5</xdr:col>
      <xdr:colOff>545030</xdr:colOff>
      <xdr:row>9</xdr:row>
      <xdr:rowOff>57150</xdr:rowOff>
    </xdr:from>
    <xdr:to>
      <xdr:col>5</xdr:col>
      <xdr:colOff>554554</xdr:colOff>
      <xdr:row>16</xdr:row>
      <xdr:rowOff>182811</xdr:rowOff>
    </xdr:to>
    <xdr:cxnSp macro="">
      <xdr:nvCxnSpPr>
        <xdr:cNvPr id="73" name="Conector recto 67">
          <a:extLst>
            <a:ext uri="{FF2B5EF4-FFF2-40B4-BE49-F238E27FC236}">
              <a16:creationId xmlns:a16="http://schemas.microsoft.com/office/drawing/2014/main" id="{D3914943-F407-EF40-833D-E3374FC32A30}"/>
            </a:ext>
          </a:extLst>
        </xdr:cNvPr>
        <xdr:cNvCxnSpPr/>
      </xdr:nvCxnSpPr>
      <xdr:spPr>
        <a:xfrm flipH="1">
          <a:off x="5257801" y="2038656"/>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554554</xdr:colOff>
      <xdr:row>16</xdr:row>
      <xdr:rowOff>163761</xdr:rowOff>
    </xdr:from>
    <xdr:to>
      <xdr:col>8</xdr:col>
      <xdr:colOff>488759</xdr:colOff>
      <xdr:row>16</xdr:row>
      <xdr:rowOff>173286</xdr:rowOff>
    </xdr:to>
    <xdr:cxnSp macro="">
      <xdr:nvCxnSpPr>
        <xdr:cNvPr id="74" name="Conector recto 68">
          <a:extLst>
            <a:ext uri="{FF2B5EF4-FFF2-40B4-BE49-F238E27FC236}">
              <a16:creationId xmlns:a16="http://schemas.microsoft.com/office/drawing/2014/main" id="{FA70B113-1912-1A46-920A-36FBDBCAE45A}"/>
            </a:ext>
          </a:extLst>
        </xdr:cNvPr>
        <xdr:cNvCxnSpPr/>
      </xdr:nvCxnSpPr>
      <xdr:spPr>
        <a:xfrm flipV="1">
          <a:off x="5267325" y="3591231"/>
          <a:ext cx="24130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611704</xdr:colOff>
      <xdr:row>12</xdr:row>
      <xdr:rowOff>161352</xdr:rowOff>
    </xdr:from>
    <xdr:to>
      <xdr:col>8</xdr:col>
      <xdr:colOff>488759</xdr:colOff>
      <xdr:row>12</xdr:row>
      <xdr:rowOff>170876</xdr:rowOff>
    </xdr:to>
    <xdr:cxnSp macro="">
      <xdr:nvCxnSpPr>
        <xdr:cNvPr id="75" name="Conector recto 69">
          <a:extLst>
            <a:ext uri="{FF2B5EF4-FFF2-40B4-BE49-F238E27FC236}">
              <a16:creationId xmlns:a16="http://schemas.microsoft.com/office/drawing/2014/main" id="{0F7AFED5-78DD-C146-BA1D-43977A7C0DF3}"/>
            </a:ext>
          </a:extLst>
        </xdr:cNvPr>
        <xdr:cNvCxnSpPr/>
      </xdr:nvCxnSpPr>
      <xdr:spPr>
        <a:xfrm flipV="1">
          <a:off x="5324475" y="2762557"/>
          <a:ext cx="2355850" cy="9524"/>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776039</xdr:colOff>
      <xdr:row>9</xdr:row>
      <xdr:rowOff>0</xdr:rowOff>
    </xdr:from>
    <xdr:to>
      <xdr:col>6</xdr:col>
      <xdr:colOff>785564</xdr:colOff>
      <xdr:row>16</xdr:row>
      <xdr:rowOff>154238</xdr:rowOff>
    </xdr:to>
    <xdr:cxnSp macro="">
      <xdr:nvCxnSpPr>
        <xdr:cNvPr id="76" name="Conector recto 70">
          <a:extLst>
            <a:ext uri="{FF2B5EF4-FFF2-40B4-BE49-F238E27FC236}">
              <a16:creationId xmlns:a16="http://schemas.microsoft.com/office/drawing/2014/main" id="{99F5F617-D9D5-0749-8C5B-460ABE650F96}"/>
            </a:ext>
          </a:extLst>
        </xdr:cNvPr>
        <xdr:cNvCxnSpPr/>
      </xdr:nvCxnSpPr>
      <xdr:spPr>
        <a:xfrm flipV="1">
          <a:off x="6315075" y="1981506"/>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218769</xdr:colOff>
      <xdr:row>12</xdr:row>
      <xdr:rowOff>66101</xdr:rowOff>
    </xdr:from>
    <xdr:to>
      <xdr:col>5</xdr:col>
      <xdr:colOff>821254</xdr:colOff>
      <xdr:row>13</xdr:row>
      <xdr:rowOff>47407</xdr:rowOff>
    </xdr:to>
    <mc:AlternateContent xmlns:mc="http://schemas.openxmlformats.org/markup-compatibility/2006" xmlns:a14="http://schemas.microsoft.com/office/drawing/2010/main">
      <mc:Choice Requires="a14">
        <xdr:sp macro="" textlink="">
          <xdr:nvSpPr>
            <xdr:cNvPr id="77" name="CuadroTexto 5">
              <a:extLst>
                <a:ext uri="{FF2B5EF4-FFF2-40B4-BE49-F238E27FC236}">
                  <a16:creationId xmlns:a16="http://schemas.microsoft.com/office/drawing/2014/main" id="{DBF67297-D436-BE48-BB47-6BF9656169A4}"/>
                </a:ext>
              </a:extLst>
            </xdr:cNvPr>
            <xdr:cNvSpPr txBox="1"/>
          </xdr:nvSpPr>
          <xdr:spPr>
            <a:xfrm>
              <a:off x="4105275" y="2667306"/>
              <a:ext cx="14287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77" name="CuadroTexto 5">
              <a:extLst>
                <a:ext uri="{FF2B5EF4-FFF2-40B4-BE49-F238E27FC236}">
                  <a16:creationId xmlns:a16="http://schemas.microsoft.com/office/drawing/2014/main" id="{DBF67297-D436-BE48-BB47-6BF9656169A4}"/>
                </a:ext>
              </a:extLst>
            </xdr:cNvPr>
            <xdr:cNvSpPr txBox="1"/>
          </xdr:nvSpPr>
          <xdr:spPr>
            <a:xfrm>
              <a:off x="4105275" y="2667306"/>
              <a:ext cx="14287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6</xdr:col>
      <xdr:colOff>452189</xdr:colOff>
      <xdr:row>17</xdr:row>
      <xdr:rowOff>23870</xdr:rowOff>
    </xdr:from>
    <xdr:to>
      <xdr:col>7</xdr:col>
      <xdr:colOff>686374</xdr:colOff>
      <xdr:row>18</xdr:row>
      <xdr:rowOff>30247</xdr:rowOff>
    </xdr:to>
    <mc:AlternateContent xmlns:mc="http://schemas.openxmlformats.org/markup-compatibility/2006" xmlns:a14="http://schemas.microsoft.com/office/drawing/2010/main">
      <mc:Choice Requires="a14">
        <xdr:sp macro="" textlink="">
          <xdr:nvSpPr>
            <xdr:cNvPr id="78" name="CuadroTexto 5">
              <a:extLst>
                <a:ext uri="{FF2B5EF4-FFF2-40B4-BE49-F238E27FC236}">
                  <a16:creationId xmlns:a16="http://schemas.microsoft.com/office/drawing/2014/main" id="{9C10E569-CD3C-094A-9713-1202A25017AA}"/>
                </a:ext>
              </a:extLst>
            </xdr:cNvPr>
            <xdr:cNvSpPr txBox="1"/>
          </xdr:nvSpPr>
          <xdr:spPr>
            <a:xfrm>
              <a:off x="5991225" y="3657906"/>
              <a:ext cx="10604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78" name="CuadroTexto 5">
              <a:extLst>
                <a:ext uri="{FF2B5EF4-FFF2-40B4-BE49-F238E27FC236}">
                  <a16:creationId xmlns:a16="http://schemas.microsoft.com/office/drawing/2014/main" id="{9C10E569-CD3C-094A-9713-1202A25017AA}"/>
                </a:ext>
              </a:extLst>
            </xdr:cNvPr>
            <xdr:cNvSpPr txBox="1"/>
          </xdr:nvSpPr>
          <xdr:spPr>
            <a:xfrm>
              <a:off x="5991225" y="3657906"/>
              <a:ext cx="1060450"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7</xdr:col>
      <xdr:colOff>714949</xdr:colOff>
      <xdr:row>14</xdr:row>
      <xdr:rowOff>14919</xdr:rowOff>
    </xdr:from>
    <xdr:to>
      <xdr:col>7</xdr:col>
      <xdr:colOff>786949</xdr:colOff>
      <xdr:row>14</xdr:row>
      <xdr:rowOff>86919</xdr:rowOff>
    </xdr:to>
    <xdr:sp macro="" textlink="">
      <xdr:nvSpPr>
        <xdr:cNvPr id="79" name="Conector 73">
          <a:extLst>
            <a:ext uri="{FF2B5EF4-FFF2-40B4-BE49-F238E27FC236}">
              <a16:creationId xmlns:a16="http://schemas.microsoft.com/office/drawing/2014/main" id="{DD74FBF3-9F1F-5643-9741-5906B3F21565}"/>
            </a:ext>
          </a:extLst>
        </xdr:cNvPr>
        <xdr:cNvSpPr>
          <a:spLocks noChangeAspect="1"/>
        </xdr:cNvSpPr>
      </xdr:nvSpPr>
      <xdr:spPr>
        <a:xfrm>
          <a:off x="7080250" y="30292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610174</xdr:colOff>
      <xdr:row>13</xdr:row>
      <xdr:rowOff>192910</xdr:rowOff>
    </xdr:from>
    <xdr:to>
      <xdr:col>7</xdr:col>
      <xdr:colOff>682174</xdr:colOff>
      <xdr:row>14</xdr:row>
      <xdr:rowOff>58344</xdr:rowOff>
    </xdr:to>
    <xdr:sp macro="" textlink="">
      <xdr:nvSpPr>
        <xdr:cNvPr id="80" name="Conector 74">
          <a:extLst>
            <a:ext uri="{FF2B5EF4-FFF2-40B4-BE49-F238E27FC236}">
              <a16:creationId xmlns:a16="http://schemas.microsoft.com/office/drawing/2014/main" id="{1C572296-DF95-CC44-A88A-93469409E386}"/>
            </a:ext>
          </a:extLst>
        </xdr:cNvPr>
        <xdr:cNvSpPr>
          <a:spLocks noChangeAspect="1"/>
        </xdr:cNvSpPr>
      </xdr:nvSpPr>
      <xdr:spPr>
        <a:xfrm>
          <a:off x="6975475" y="30006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524449</xdr:colOff>
      <xdr:row>14</xdr:row>
      <xdr:rowOff>100644</xdr:rowOff>
    </xdr:from>
    <xdr:to>
      <xdr:col>7</xdr:col>
      <xdr:colOff>596449</xdr:colOff>
      <xdr:row>14</xdr:row>
      <xdr:rowOff>172644</xdr:rowOff>
    </xdr:to>
    <xdr:sp macro="" textlink="">
      <xdr:nvSpPr>
        <xdr:cNvPr id="81" name="Conector 75">
          <a:extLst>
            <a:ext uri="{FF2B5EF4-FFF2-40B4-BE49-F238E27FC236}">
              <a16:creationId xmlns:a16="http://schemas.microsoft.com/office/drawing/2014/main" id="{17DA6149-A6C0-1E43-B9D5-29099DA983DF}"/>
            </a:ext>
          </a:extLst>
        </xdr:cNvPr>
        <xdr:cNvSpPr>
          <a:spLocks noChangeAspect="1"/>
        </xdr:cNvSpPr>
      </xdr:nvSpPr>
      <xdr:spPr>
        <a:xfrm>
          <a:off x="6889750" y="31149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633164</xdr:colOff>
      <xdr:row>11</xdr:row>
      <xdr:rowOff>25017</xdr:rowOff>
    </xdr:from>
    <xdr:to>
      <xdr:col>6</xdr:col>
      <xdr:colOff>705164</xdr:colOff>
      <xdr:row>11</xdr:row>
      <xdr:rowOff>97017</xdr:rowOff>
    </xdr:to>
    <xdr:sp macro="" textlink="">
      <xdr:nvSpPr>
        <xdr:cNvPr id="82" name="Conector 76">
          <a:extLst>
            <a:ext uri="{FF2B5EF4-FFF2-40B4-BE49-F238E27FC236}">
              <a16:creationId xmlns:a16="http://schemas.microsoft.com/office/drawing/2014/main" id="{BC4071B0-4364-D246-91D4-F1E2BB2210D3}"/>
            </a:ext>
          </a:extLst>
        </xdr:cNvPr>
        <xdr:cNvSpPr>
          <a:spLocks noChangeAspect="1"/>
        </xdr:cNvSpPr>
      </xdr:nvSpPr>
      <xdr:spPr>
        <a:xfrm>
          <a:off x="6172200" y="24196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366464</xdr:colOff>
      <xdr:row>10</xdr:row>
      <xdr:rowOff>155384</xdr:rowOff>
    </xdr:from>
    <xdr:to>
      <xdr:col>6</xdr:col>
      <xdr:colOff>438464</xdr:colOff>
      <xdr:row>11</xdr:row>
      <xdr:rowOff>20817</xdr:rowOff>
    </xdr:to>
    <xdr:sp macro="" textlink="">
      <xdr:nvSpPr>
        <xdr:cNvPr id="83" name="Conector 77">
          <a:extLst>
            <a:ext uri="{FF2B5EF4-FFF2-40B4-BE49-F238E27FC236}">
              <a16:creationId xmlns:a16="http://schemas.microsoft.com/office/drawing/2014/main" id="{9FFBDE53-A3B2-AC45-80FD-9D07A1A76C5E}"/>
            </a:ext>
          </a:extLst>
        </xdr:cNvPr>
        <xdr:cNvSpPr>
          <a:spLocks noChangeAspect="1"/>
        </xdr:cNvSpPr>
      </xdr:nvSpPr>
      <xdr:spPr>
        <a:xfrm>
          <a:off x="5905500" y="23434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642689</xdr:colOff>
      <xdr:row>11</xdr:row>
      <xdr:rowOff>158367</xdr:rowOff>
    </xdr:from>
    <xdr:to>
      <xdr:col>6</xdr:col>
      <xdr:colOff>714689</xdr:colOff>
      <xdr:row>12</xdr:row>
      <xdr:rowOff>23801</xdr:rowOff>
    </xdr:to>
    <xdr:sp macro="" textlink="">
      <xdr:nvSpPr>
        <xdr:cNvPr id="84" name="Conector 78">
          <a:extLst>
            <a:ext uri="{FF2B5EF4-FFF2-40B4-BE49-F238E27FC236}">
              <a16:creationId xmlns:a16="http://schemas.microsoft.com/office/drawing/2014/main" id="{D82C0E52-4F32-844A-95F7-51F1FF118987}"/>
            </a:ext>
          </a:extLst>
        </xdr:cNvPr>
        <xdr:cNvSpPr>
          <a:spLocks noChangeAspect="1"/>
        </xdr:cNvSpPr>
      </xdr:nvSpPr>
      <xdr:spPr>
        <a:xfrm>
          <a:off x="6181725" y="25530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514924</xdr:colOff>
      <xdr:row>13</xdr:row>
      <xdr:rowOff>88135</xdr:rowOff>
    </xdr:from>
    <xdr:to>
      <xdr:col>7</xdr:col>
      <xdr:colOff>577399</xdr:colOff>
      <xdr:row>13</xdr:row>
      <xdr:rowOff>160135</xdr:rowOff>
    </xdr:to>
    <xdr:sp macro="" textlink="">
      <xdr:nvSpPr>
        <xdr:cNvPr id="85" name="Conector 79">
          <a:extLst>
            <a:ext uri="{FF2B5EF4-FFF2-40B4-BE49-F238E27FC236}">
              <a16:creationId xmlns:a16="http://schemas.microsoft.com/office/drawing/2014/main" id="{12AA698F-E254-F141-B163-322C0029AE23}"/>
            </a:ext>
          </a:extLst>
        </xdr:cNvPr>
        <xdr:cNvSpPr>
          <a:spLocks noChangeAspect="1"/>
        </xdr:cNvSpPr>
      </xdr:nvSpPr>
      <xdr:spPr>
        <a:xfrm>
          <a:off x="6880225" y="2895906"/>
          <a:ext cx="6247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8</xdr:col>
      <xdr:colOff>2984</xdr:colOff>
      <xdr:row>13</xdr:row>
      <xdr:rowOff>173860</xdr:rowOff>
    </xdr:from>
    <xdr:to>
      <xdr:col>8</xdr:col>
      <xdr:colOff>74984</xdr:colOff>
      <xdr:row>14</xdr:row>
      <xdr:rowOff>39294</xdr:rowOff>
    </xdr:to>
    <xdr:sp macro="" textlink="">
      <xdr:nvSpPr>
        <xdr:cNvPr id="86" name="Conector 80">
          <a:extLst>
            <a:ext uri="{FF2B5EF4-FFF2-40B4-BE49-F238E27FC236}">
              <a16:creationId xmlns:a16="http://schemas.microsoft.com/office/drawing/2014/main" id="{EF8D6AF7-60D3-0142-8BE1-9196126206B3}"/>
            </a:ext>
          </a:extLst>
        </xdr:cNvPr>
        <xdr:cNvSpPr>
          <a:spLocks noChangeAspect="1"/>
        </xdr:cNvSpPr>
      </xdr:nvSpPr>
      <xdr:spPr>
        <a:xfrm>
          <a:off x="7194550" y="29816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490289</xdr:colOff>
      <xdr:row>11</xdr:row>
      <xdr:rowOff>120267</xdr:rowOff>
    </xdr:from>
    <xdr:to>
      <xdr:col>6</xdr:col>
      <xdr:colOff>562289</xdr:colOff>
      <xdr:row>11</xdr:row>
      <xdr:rowOff>192267</xdr:rowOff>
    </xdr:to>
    <xdr:sp macro="" textlink="">
      <xdr:nvSpPr>
        <xdr:cNvPr id="87" name="Conector 81">
          <a:extLst>
            <a:ext uri="{FF2B5EF4-FFF2-40B4-BE49-F238E27FC236}">
              <a16:creationId xmlns:a16="http://schemas.microsoft.com/office/drawing/2014/main" id="{47DA3A1E-ECF4-F74A-9C80-8064E920EA3B}"/>
            </a:ext>
          </a:extLst>
        </xdr:cNvPr>
        <xdr:cNvSpPr>
          <a:spLocks noChangeAspect="1"/>
        </xdr:cNvSpPr>
      </xdr:nvSpPr>
      <xdr:spPr>
        <a:xfrm>
          <a:off x="6029325" y="25149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695899</xdr:colOff>
      <xdr:row>13</xdr:row>
      <xdr:rowOff>97660</xdr:rowOff>
    </xdr:from>
    <xdr:to>
      <xdr:col>7</xdr:col>
      <xdr:colOff>767899</xdr:colOff>
      <xdr:row>13</xdr:row>
      <xdr:rowOff>169660</xdr:rowOff>
    </xdr:to>
    <xdr:sp macro="" textlink="">
      <xdr:nvSpPr>
        <xdr:cNvPr id="88" name="Conector 82">
          <a:extLst>
            <a:ext uri="{FF2B5EF4-FFF2-40B4-BE49-F238E27FC236}">
              <a16:creationId xmlns:a16="http://schemas.microsoft.com/office/drawing/2014/main" id="{25961013-D819-C742-BBEB-D43300A14B4D}"/>
            </a:ext>
          </a:extLst>
        </xdr:cNvPr>
        <xdr:cNvSpPr>
          <a:spLocks noChangeAspect="1"/>
        </xdr:cNvSpPr>
      </xdr:nvSpPr>
      <xdr:spPr>
        <a:xfrm>
          <a:off x="7061200" y="29054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347414</xdr:colOff>
      <xdr:row>11</xdr:row>
      <xdr:rowOff>82167</xdr:rowOff>
    </xdr:from>
    <xdr:to>
      <xdr:col>6</xdr:col>
      <xdr:colOff>419414</xdr:colOff>
      <xdr:row>11</xdr:row>
      <xdr:rowOff>154167</xdr:rowOff>
    </xdr:to>
    <xdr:sp macro="" textlink="">
      <xdr:nvSpPr>
        <xdr:cNvPr id="89" name="Conector 83">
          <a:extLst>
            <a:ext uri="{FF2B5EF4-FFF2-40B4-BE49-F238E27FC236}">
              <a16:creationId xmlns:a16="http://schemas.microsoft.com/office/drawing/2014/main" id="{894BEFD5-2061-664A-AF09-A0A0009D4434}"/>
            </a:ext>
          </a:extLst>
        </xdr:cNvPr>
        <xdr:cNvSpPr>
          <a:spLocks noChangeAspect="1"/>
        </xdr:cNvSpPr>
      </xdr:nvSpPr>
      <xdr:spPr>
        <a:xfrm>
          <a:off x="5886450" y="24768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784226</xdr:colOff>
      <xdr:row>20</xdr:row>
      <xdr:rowOff>51871</xdr:rowOff>
    </xdr:from>
    <xdr:to>
      <xdr:col>0</xdr:col>
      <xdr:colOff>793750</xdr:colOff>
      <xdr:row>27</xdr:row>
      <xdr:rowOff>177532</xdr:rowOff>
    </xdr:to>
    <xdr:cxnSp macro="">
      <xdr:nvCxnSpPr>
        <xdr:cNvPr id="90" name="Conector recto 86">
          <a:extLst>
            <a:ext uri="{FF2B5EF4-FFF2-40B4-BE49-F238E27FC236}">
              <a16:creationId xmlns:a16="http://schemas.microsoft.com/office/drawing/2014/main" id="{9DA8799F-AE42-6F4D-B28F-CF75B281DEB1}"/>
            </a:ext>
          </a:extLst>
        </xdr:cNvPr>
        <xdr:cNvCxnSpPr/>
      </xdr:nvCxnSpPr>
      <xdr:spPr>
        <a:xfrm flipH="1">
          <a:off x="784226" y="4305606"/>
          <a:ext cx="9524" cy="1571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784225</xdr:colOff>
      <xdr:row>27</xdr:row>
      <xdr:rowOff>177532</xdr:rowOff>
    </xdr:from>
    <xdr:to>
      <xdr:col>3</xdr:col>
      <xdr:colOff>48084</xdr:colOff>
      <xdr:row>27</xdr:row>
      <xdr:rowOff>187057</xdr:rowOff>
    </xdr:to>
    <xdr:cxnSp macro="">
      <xdr:nvCxnSpPr>
        <xdr:cNvPr id="91" name="Conector recto 87">
          <a:extLst>
            <a:ext uri="{FF2B5EF4-FFF2-40B4-BE49-F238E27FC236}">
              <a16:creationId xmlns:a16="http://schemas.microsoft.com/office/drawing/2014/main" id="{61E8E652-1C8C-9D41-949F-32A36E36F697}"/>
            </a:ext>
          </a:extLst>
        </xdr:cNvPr>
        <xdr:cNvCxnSpPr/>
      </xdr:nvCxnSpPr>
      <xdr:spPr>
        <a:xfrm flipV="1">
          <a:off x="784225" y="5877231"/>
          <a:ext cx="2324100"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803275</xdr:colOff>
      <xdr:row>23</xdr:row>
      <xdr:rowOff>175122</xdr:rowOff>
    </xdr:from>
    <xdr:to>
      <xdr:col>3</xdr:col>
      <xdr:colOff>29034</xdr:colOff>
      <xdr:row>23</xdr:row>
      <xdr:rowOff>175122</xdr:rowOff>
    </xdr:to>
    <xdr:cxnSp macro="">
      <xdr:nvCxnSpPr>
        <xdr:cNvPr id="92" name="Conector recto 88">
          <a:extLst>
            <a:ext uri="{FF2B5EF4-FFF2-40B4-BE49-F238E27FC236}">
              <a16:creationId xmlns:a16="http://schemas.microsoft.com/office/drawing/2014/main" id="{07BC6AB1-3E8C-4B4E-944C-A16E12FD13D5}"/>
            </a:ext>
          </a:extLst>
        </xdr:cNvPr>
        <xdr:cNvCxnSpPr/>
      </xdr:nvCxnSpPr>
      <xdr:spPr>
        <a:xfrm>
          <a:off x="803275" y="5048556"/>
          <a:ext cx="2286000" cy="0"/>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424264</xdr:colOff>
      <xdr:row>20</xdr:row>
      <xdr:rowOff>13771</xdr:rowOff>
    </xdr:from>
    <xdr:to>
      <xdr:col>1</xdr:col>
      <xdr:colOff>433789</xdr:colOff>
      <xdr:row>27</xdr:row>
      <xdr:rowOff>168009</xdr:rowOff>
    </xdr:to>
    <xdr:cxnSp macro="">
      <xdr:nvCxnSpPr>
        <xdr:cNvPr id="93" name="Conector recto 89">
          <a:extLst>
            <a:ext uri="{FF2B5EF4-FFF2-40B4-BE49-F238E27FC236}">
              <a16:creationId xmlns:a16="http://schemas.microsoft.com/office/drawing/2014/main" id="{FAB08C4D-76F9-384C-886A-C2B40BFF1929}"/>
            </a:ext>
          </a:extLst>
        </xdr:cNvPr>
        <xdr:cNvCxnSpPr/>
      </xdr:nvCxnSpPr>
      <xdr:spPr>
        <a:xfrm flipV="1">
          <a:off x="1831975" y="4267506"/>
          <a:ext cx="9525" cy="1600202"/>
        </a:xfrm>
        <a:prstGeom prst="line">
          <a:avLst/>
        </a:prstGeom>
        <a:ln>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23</xdr:row>
      <xdr:rowOff>70347</xdr:rowOff>
    </xdr:from>
    <xdr:to>
      <xdr:col>0</xdr:col>
      <xdr:colOff>755650</xdr:colOff>
      <xdr:row>24</xdr:row>
      <xdr:rowOff>51653</xdr:rowOff>
    </xdr:to>
    <mc:AlternateContent xmlns:mc="http://schemas.openxmlformats.org/markup-compatibility/2006" xmlns:a14="http://schemas.microsoft.com/office/drawing/2010/main">
      <mc:Choice Requires="a14">
        <xdr:sp macro="" textlink="">
          <xdr:nvSpPr>
            <xdr:cNvPr id="94" name="CuadroTexto 5">
              <a:extLst>
                <a:ext uri="{FF2B5EF4-FFF2-40B4-BE49-F238E27FC236}">
                  <a16:creationId xmlns:a16="http://schemas.microsoft.com/office/drawing/2014/main" id="{339CC3AC-F070-2544-93D0-8F031A7CEC4E}"/>
                </a:ext>
              </a:extLst>
            </xdr:cNvPr>
            <xdr:cNvSpPr txBox="1"/>
          </xdr:nvSpPr>
          <xdr:spPr>
            <a:xfrm>
              <a:off x="0" y="4943781"/>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e>
                    </m:d>
                  </m:oMath>
                </m:oMathPara>
              </a14:m>
              <a:endParaRPr lang="es-AR" sz="1200"/>
            </a:p>
          </xdr:txBody>
        </xdr:sp>
      </mc:Choice>
      <mc:Fallback xmlns="">
        <xdr:sp macro="" textlink="">
          <xdr:nvSpPr>
            <xdr:cNvPr id="94" name="CuadroTexto 5">
              <a:extLst>
                <a:ext uri="{FF2B5EF4-FFF2-40B4-BE49-F238E27FC236}">
                  <a16:creationId xmlns:a16="http://schemas.microsoft.com/office/drawing/2014/main" id="{339CC3AC-F070-2544-93D0-8F031A7CEC4E}"/>
                </a:ext>
              </a:extLst>
            </xdr:cNvPr>
            <xdr:cNvSpPr txBox="1"/>
          </xdr:nvSpPr>
          <xdr:spPr>
            <a:xfrm>
              <a:off x="0" y="4943781"/>
              <a:ext cx="755650" cy="187872"/>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𝐸(𝑟_𝐵𝑒𝑠𝑡 )</a:t>
              </a:r>
              <a:endParaRPr lang="es-AR" sz="1200"/>
            </a:p>
          </xdr:txBody>
        </xdr:sp>
      </mc:Fallback>
    </mc:AlternateContent>
    <xdr:clientData/>
  </xdr:twoCellAnchor>
  <xdr:twoCellAnchor>
    <xdr:from>
      <xdr:col>1</xdr:col>
      <xdr:colOff>5164</xdr:colOff>
      <xdr:row>28</xdr:row>
      <xdr:rowOff>66216</xdr:rowOff>
    </xdr:from>
    <xdr:to>
      <xdr:col>2</xdr:col>
      <xdr:colOff>159974</xdr:colOff>
      <xdr:row>29</xdr:row>
      <xdr:rowOff>72593</xdr:rowOff>
    </xdr:to>
    <mc:AlternateContent xmlns:mc="http://schemas.openxmlformats.org/markup-compatibility/2006" xmlns:a14="http://schemas.microsoft.com/office/drawing/2010/main">
      <mc:Choice Requires="a14">
        <xdr:sp macro="" textlink="">
          <xdr:nvSpPr>
            <xdr:cNvPr id="95" name="CuadroTexto 5">
              <a:extLst>
                <a:ext uri="{FF2B5EF4-FFF2-40B4-BE49-F238E27FC236}">
                  <a16:creationId xmlns:a16="http://schemas.microsoft.com/office/drawing/2014/main" id="{35912AF2-CD42-C04C-B123-FD4AB16EF25A}"/>
                </a:ext>
              </a:extLst>
            </xdr:cNvPr>
            <xdr:cNvSpPr txBox="1"/>
          </xdr:nvSpPr>
          <xdr:spPr>
            <a:xfrm>
              <a:off x="1412875" y="5972481"/>
              <a:ext cx="98107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𝐸</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oMath>
                </m:oMathPara>
              </a14:m>
              <a:endParaRPr lang="es-AR" sz="1200"/>
            </a:p>
          </xdr:txBody>
        </xdr:sp>
      </mc:Choice>
      <mc:Fallback xmlns="">
        <xdr:sp macro="" textlink="">
          <xdr:nvSpPr>
            <xdr:cNvPr id="95" name="CuadroTexto 5">
              <a:extLst>
                <a:ext uri="{FF2B5EF4-FFF2-40B4-BE49-F238E27FC236}">
                  <a16:creationId xmlns:a16="http://schemas.microsoft.com/office/drawing/2014/main" id="{35912AF2-CD42-C04C-B123-FD4AB16EF25A}"/>
                </a:ext>
              </a:extLst>
            </xdr:cNvPr>
            <xdr:cNvSpPr txBox="1"/>
          </xdr:nvSpPr>
          <xdr:spPr>
            <a:xfrm>
              <a:off x="1412875" y="5972481"/>
              <a:ext cx="98107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𝐸(𝑟_𝑆𝑢𝑔𝑎𝑟 )</a:t>
              </a:r>
              <a:endParaRPr lang="es-AR" sz="1200"/>
            </a:p>
          </xdr:txBody>
        </xdr:sp>
      </mc:Fallback>
    </mc:AlternateContent>
    <xdr:clientData/>
  </xdr:twoCellAnchor>
  <xdr:twoCellAnchor>
    <xdr:from>
      <xdr:col>2</xdr:col>
      <xdr:colOff>83774</xdr:colOff>
      <xdr:row>24</xdr:row>
      <xdr:rowOff>120956</xdr:rowOff>
    </xdr:from>
    <xdr:to>
      <xdr:col>2</xdr:col>
      <xdr:colOff>155774</xdr:colOff>
      <xdr:row>24</xdr:row>
      <xdr:rowOff>192956</xdr:rowOff>
    </xdr:to>
    <xdr:sp macro="" textlink="">
      <xdr:nvSpPr>
        <xdr:cNvPr id="96" name="Conector 92">
          <a:extLst>
            <a:ext uri="{FF2B5EF4-FFF2-40B4-BE49-F238E27FC236}">
              <a16:creationId xmlns:a16="http://schemas.microsoft.com/office/drawing/2014/main" id="{1C7E0E96-BAE9-7042-A3E0-3A8E4051782C}"/>
            </a:ext>
          </a:extLst>
        </xdr:cNvPr>
        <xdr:cNvSpPr>
          <a:spLocks noChangeAspect="1"/>
        </xdr:cNvSpPr>
      </xdr:nvSpPr>
      <xdr:spPr>
        <a:xfrm>
          <a:off x="2317750" y="52009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748114</xdr:colOff>
      <xdr:row>21</xdr:row>
      <xdr:rowOff>159630</xdr:rowOff>
    </xdr:from>
    <xdr:to>
      <xdr:col>1</xdr:col>
      <xdr:colOff>820114</xdr:colOff>
      <xdr:row>22</xdr:row>
      <xdr:rowOff>25064</xdr:rowOff>
    </xdr:to>
    <xdr:sp macro="" textlink="">
      <xdr:nvSpPr>
        <xdr:cNvPr id="97" name="Conector 93">
          <a:extLst>
            <a:ext uri="{FF2B5EF4-FFF2-40B4-BE49-F238E27FC236}">
              <a16:creationId xmlns:a16="http://schemas.microsoft.com/office/drawing/2014/main" id="{C9280DD7-045E-9B4D-96A7-F69BE3C532A4}"/>
            </a:ext>
          </a:extLst>
        </xdr:cNvPr>
        <xdr:cNvSpPr>
          <a:spLocks noChangeAspect="1"/>
        </xdr:cNvSpPr>
      </xdr:nvSpPr>
      <xdr:spPr>
        <a:xfrm>
          <a:off x="2155825" y="46199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814789</xdr:colOff>
      <xdr:row>22</xdr:row>
      <xdr:rowOff>134039</xdr:rowOff>
    </xdr:from>
    <xdr:to>
      <xdr:col>2</xdr:col>
      <xdr:colOff>60524</xdr:colOff>
      <xdr:row>22</xdr:row>
      <xdr:rowOff>206039</xdr:rowOff>
    </xdr:to>
    <xdr:sp macro="" textlink="">
      <xdr:nvSpPr>
        <xdr:cNvPr id="98" name="Conector 94">
          <a:extLst>
            <a:ext uri="{FF2B5EF4-FFF2-40B4-BE49-F238E27FC236}">
              <a16:creationId xmlns:a16="http://schemas.microsoft.com/office/drawing/2014/main" id="{14FCC390-1663-6E4F-9192-44E609B97F3A}"/>
            </a:ext>
          </a:extLst>
        </xdr:cNvPr>
        <xdr:cNvSpPr>
          <a:spLocks noChangeAspect="1"/>
        </xdr:cNvSpPr>
      </xdr:nvSpPr>
      <xdr:spPr>
        <a:xfrm>
          <a:off x="2222500" y="480090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319489</xdr:colOff>
      <xdr:row>24</xdr:row>
      <xdr:rowOff>44756</xdr:rowOff>
    </xdr:from>
    <xdr:to>
      <xdr:col>1</xdr:col>
      <xdr:colOff>391489</xdr:colOff>
      <xdr:row>24</xdr:row>
      <xdr:rowOff>116756</xdr:rowOff>
    </xdr:to>
    <xdr:sp macro="" textlink="">
      <xdr:nvSpPr>
        <xdr:cNvPr id="99" name="Conector 95">
          <a:extLst>
            <a:ext uri="{FF2B5EF4-FFF2-40B4-BE49-F238E27FC236}">
              <a16:creationId xmlns:a16="http://schemas.microsoft.com/office/drawing/2014/main" id="{F0CB91A6-7D71-5A49-A112-F9B8A02B94E3}"/>
            </a:ext>
          </a:extLst>
        </xdr:cNvPr>
        <xdr:cNvSpPr>
          <a:spLocks noChangeAspect="1"/>
        </xdr:cNvSpPr>
      </xdr:nvSpPr>
      <xdr:spPr>
        <a:xfrm>
          <a:off x="1727200" y="51247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538564</xdr:colOff>
      <xdr:row>24</xdr:row>
      <xdr:rowOff>73331</xdr:rowOff>
    </xdr:from>
    <xdr:to>
      <xdr:col>1</xdr:col>
      <xdr:colOff>810589</xdr:colOff>
      <xdr:row>24</xdr:row>
      <xdr:rowOff>145331</xdr:rowOff>
    </xdr:to>
    <xdr:sp macro="" textlink="">
      <xdr:nvSpPr>
        <xdr:cNvPr id="100" name="Conector 96">
          <a:extLst>
            <a:ext uri="{FF2B5EF4-FFF2-40B4-BE49-F238E27FC236}">
              <a16:creationId xmlns:a16="http://schemas.microsoft.com/office/drawing/2014/main" id="{5D4EF5CE-EECF-4243-BE6D-2CB03146D65D}"/>
            </a:ext>
          </a:extLst>
        </xdr:cNvPr>
        <xdr:cNvSpPr>
          <a:spLocks noChangeAspect="1"/>
        </xdr:cNvSpPr>
      </xdr:nvSpPr>
      <xdr:spPr>
        <a:xfrm>
          <a:off x="1946275" y="5153331"/>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300439</xdr:colOff>
      <xdr:row>24</xdr:row>
      <xdr:rowOff>187631</xdr:rowOff>
    </xdr:from>
    <xdr:to>
      <xdr:col>1</xdr:col>
      <xdr:colOff>372439</xdr:colOff>
      <xdr:row>25</xdr:row>
      <xdr:rowOff>53065</xdr:rowOff>
    </xdr:to>
    <xdr:sp macro="" textlink="">
      <xdr:nvSpPr>
        <xdr:cNvPr id="101" name="Conector 97">
          <a:extLst>
            <a:ext uri="{FF2B5EF4-FFF2-40B4-BE49-F238E27FC236}">
              <a16:creationId xmlns:a16="http://schemas.microsoft.com/office/drawing/2014/main" id="{9B689A47-CFD3-4B48-86CF-9F52F3984C7A}"/>
            </a:ext>
          </a:extLst>
        </xdr:cNvPr>
        <xdr:cNvSpPr>
          <a:spLocks noChangeAspect="1"/>
        </xdr:cNvSpPr>
      </xdr:nvSpPr>
      <xdr:spPr>
        <a:xfrm>
          <a:off x="1708150" y="52676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500464</xdr:colOff>
      <xdr:row>23</xdr:row>
      <xdr:rowOff>32247</xdr:rowOff>
    </xdr:from>
    <xdr:to>
      <xdr:col>1</xdr:col>
      <xdr:colOff>772489</xdr:colOff>
      <xdr:row>23</xdr:row>
      <xdr:rowOff>104247</xdr:rowOff>
    </xdr:to>
    <xdr:sp macro="" textlink="">
      <xdr:nvSpPr>
        <xdr:cNvPr id="102" name="Conector 98">
          <a:extLst>
            <a:ext uri="{FF2B5EF4-FFF2-40B4-BE49-F238E27FC236}">
              <a16:creationId xmlns:a16="http://schemas.microsoft.com/office/drawing/2014/main" id="{8FE2E963-53E1-C046-BDC5-D17DD4904F52}"/>
            </a:ext>
          </a:extLst>
        </xdr:cNvPr>
        <xdr:cNvSpPr>
          <a:spLocks noChangeAspect="1"/>
        </xdr:cNvSpPr>
      </xdr:nvSpPr>
      <xdr:spPr>
        <a:xfrm>
          <a:off x="1908175" y="4905681"/>
          <a:ext cx="272025"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300439</xdr:colOff>
      <xdr:row>22</xdr:row>
      <xdr:rowOff>29264</xdr:rowOff>
    </xdr:from>
    <xdr:to>
      <xdr:col>1</xdr:col>
      <xdr:colOff>372439</xdr:colOff>
      <xdr:row>22</xdr:row>
      <xdr:rowOff>101264</xdr:rowOff>
    </xdr:to>
    <xdr:sp macro="" textlink="">
      <xdr:nvSpPr>
        <xdr:cNvPr id="103" name="Conector 99">
          <a:extLst>
            <a:ext uri="{FF2B5EF4-FFF2-40B4-BE49-F238E27FC236}">
              <a16:creationId xmlns:a16="http://schemas.microsoft.com/office/drawing/2014/main" id="{074AD8FF-B872-C949-BC23-8579B535E4C6}"/>
            </a:ext>
          </a:extLst>
        </xdr:cNvPr>
        <xdr:cNvSpPr>
          <a:spLocks noChangeAspect="1"/>
        </xdr:cNvSpPr>
      </xdr:nvSpPr>
      <xdr:spPr>
        <a:xfrm>
          <a:off x="1708150" y="46961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205189</xdr:colOff>
      <xdr:row>22</xdr:row>
      <xdr:rowOff>181664</xdr:rowOff>
    </xdr:from>
    <xdr:to>
      <xdr:col>1</xdr:col>
      <xdr:colOff>277189</xdr:colOff>
      <xdr:row>23</xdr:row>
      <xdr:rowOff>47097</xdr:rowOff>
    </xdr:to>
    <xdr:sp macro="" textlink="">
      <xdr:nvSpPr>
        <xdr:cNvPr id="104" name="Conector 100">
          <a:extLst>
            <a:ext uri="{FF2B5EF4-FFF2-40B4-BE49-F238E27FC236}">
              <a16:creationId xmlns:a16="http://schemas.microsoft.com/office/drawing/2014/main" id="{3AFF51A1-CA6B-EF49-AE6C-8EB13EF461BF}"/>
            </a:ext>
          </a:extLst>
        </xdr:cNvPr>
        <xdr:cNvSpPr>
          <a:spLocks noChangeAspect="1"/>
        </xdr:cNvSpPr>
      </xdr:nvSpPr>
      <xdr:spPr>
        <a:xfrm>
          <a:off x="1612900" y="484853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2</xdr:col>
      <xdr:colOff>17099</xdr:colOff>
      <xdr:row>23</xdr:row>
      <xdr:rowOff>98922</xdr:rowOff>
    </xdr:from>
    <xdr:to>
      <xdr:col>2</xdr:col>
      <xdr:colOff>89099</xdr:colOff>
      <xdr:row>23</xdr:row>
      <xdr:rowOff>170922</xdr:rowOff>
    </xdr:to>
    <xdr:sp macro="" textlink="">
      <xdr:nvSpPr>
        <xdr:cNvPr id="105" name="Conector 101">
          <a:extLst>
            <a:ext uri="{FF2B5EF4-FFF2-40B4-BE49-F238E27FC236}">
              <a16:creationId xmlns:a16="http://schemas.microsoft.com/office/drawing/2014/main" id="{A13172EE-954D-3448-AFD6-EFD6A6BBBBA2}"/>
            </a:ext>
          </a:extLst>
        </xdr:cNvPr>
        <xdr:cNvSpPr>
          <a:spLocks noChangeAspect="1"/>
        </xdr:cNvSpPr>
      </xdr:nvSpPr>
      <xdr:spPr>
        <a:xfrm>
          <a:off x="2251075" y="4972356"/>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1</xdr:col>
      <xdr:colOff>138514</xdr:colOff>
      <xdr:row>23</xdr:row>
      <xdr:rowOff>184647</xdr:rowOff>
    </xdr:from>
    <xdr:to>
      <xdr:col>1</xdr:col>
      <xdr:colOff>210514</xdr:colOff>
      <xdr:row>24</xdr:row>
      <xdr:rowOff>50081</xdr:rowOff>
    </xdr:to>
    <xdr:sp macro="" textlink="">
      <xdr:nvSpPr>
        <xdr:cNvPr id="106" name="Conector 102">
          <a:extLst>
            <a:ext uri="{FF2B5EF4-FFF2-40B4-BE49-F238E27FC236}">
              <a16:creationId xmlns:a16="http://schemas.microsoft.com/office/drawing/2014/main" id="{9EACBB55-2ED4-C846-9363-234484B2DE28}"/>
            </a:ext>
          </a:extLst>
        </xdr:cNvPr>
        <xdr:cNvSpPr>
          <a:spLocks noChangeAspect="1"/>
        </xdr:cNvSpPr>
      </xdr:nvSpPr>
      <xdr:spPr>
        <a:xfrm>
          <a:off x="1546225" y="5058081"/>
          <a:ext cx="72000" cy="72000"/>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0</xdr:col>
      <xdr:colOff>708025</xdr:colOff>
      <xdr:row>18</xdr:row>
      <xdr:rowOff>93529</xdr:rowOff>
    </xdr:from>
    <xdr:to>
      <xdr:col>3</xdr:col>
      <xdr:colOff>19509</xdr:colOff>
      <xdr:row>19</xdr:row>
      <xdr:rowOff>90380</xdr:rowOff>
    </xdr:to>
    <mc:AlternateContent xmlns:mc="http://schemas.openxmlformats.org/markup-compatibility/2006" xmlns:a14="http://schemas.microsoft.com/office/drawing/2010/main">
      <mc:Choice Requires="a14">
        <xdr:sp macro="" textlink="">
          <xdr:nvSpPr>
            <xdr:cNvPr id="107" name="CuadroTexto 9">
              <a:extLst>
                <a:ext uri="{FF2B5EF4-FFF2-40B4-BE49-F238E27FC236}">
                  <a16:creationId xmlns:a16="http://schemas.microsoft.com/office/drawing/2014/main" id="{A28FA758-413F-3444-BB3B-53A20A131070}"/>
                </a:ext>
              </a:extLst>
            </xdr:cNvPr>
            <xdr:cNvSpPr txBox="1"/>
          </xdr:nvSpPr>
          <xdr:spPr>
            <a:xfrm>
              <a:off x="708025" y="3934131"/>
              <a:ext cx="2371725"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&gt;0</m:t>
                    </m:r>
                  </m:oMath>
                </m:oMathPara>
              </a14:m>
              <a:endParaRPr lang="es-AR" sz="1200"/>
            </a:p>
          </xdr:txBody>
        </xdr:sp>
      </mc:Choice>
      <mc:Fallback xmlns="">
        <xdr:sp macro="" textlink="">
          <xdr:nvSpPr>
            <xdr:cNvPr id="107" name="CuadroTexto 9">
              <a:extLst>
                <a:ext uri="{FF2B5EF4-FFF2-40B4-BE49-F238E27FC236}">
                  <a16:creationId xmlns:a16="http://schemas.microsoft.com/office/drawing/2014/main" id="{A28FA758-413F-3444-BB3B-53A20A131070}"/>
                </a:ext>
              </a:extLst>
            </xdr:cNvPr>
            <xdr:cNvSpPr txBox="1"/>
          </xdr:nvSpPr>
          <xdr:spPr>
            <a:xfrm>
              <a:off x="708025" y="3934131"/>
              <a:ext cx="2371725"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)&gt;0</a:t>
              </a:r>
              <a:endParaRPr lang="es-AR" sz="1200"/>
            </a:p>
          </xdr:txBody>
        </xdr:sp>
      </mc:Fallback>
    </mc:AlternateContent>
    <xdr:clientData/>
  </xdr:twoCellAnchor>
  <xdr:twoCellAnchor>
    <xdr:from>
      <xdr:col>5</xdr:col>
      <xdr:colOff>354529</xdr:colOff>
      <xdr:row>18</xdr:row>
      <xdr:rowOff>74479</xdr:rowOff>
    </xdr:from>
    <xdr:to>
      <xdr:col>8</xdr:col>
      <xdr:colOff>536384</xdr:colOff>
      <xdr:row>19</xdr:row>
      <xdr:rowOff>71330</xdr:rowOff>
    </xdr:to>
    <mc:AlternateContent xmlns:mc="http://schemas.openxmlformats.org/markup-compatibility/2006" xmlns:a14="http://schemas.microsoft.com/office/drawing/2010/main">
      <mc:Choice Requires="a14">
        <xdr:sp macro="" textlink="">
          <xdr:nvSpPr>
            <xdr:cNvPr id="108" name="CuadroTexto 9">
              <a:extLst>
                <a:ext uri="{FF2B5EF4-FFF2-40B4-BE49-F238E27FC236}">
                  <a16:creationId xmlns:a16="http://schemas.microsoft.com/office/drawing/2014/main" id="{C1052F18-7A56-2645-876D-6A02837833D6}"/>
                </a:ext>
              </a:extLst>
            </xdr:cNvPr>
            <xdr:cNvSpPr txBox="1"/>
          </xdr:nvSpPr>
          <xdr:spPr>
            <a:xfrm>
              <a:off x="5067300" y="3915081"/>
              <a:ext cx="2660650"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&lt;0</m:t>
                    </m:r>
                  </m:oMath>
                </m:oMathPara>
              </a14:m>
              <a:endParaRPr lang="es-AR" sz="1200"/>
            </a:p>
          </xdr:txBody>
        </xdr:sp>
      </mc:Choice>
      <mc:Fallback xmlns="">
        <xdr:sp macro="" textlink="">
          <xdr:nvSpPr>
            <xdr:cNvPr id="108" name="CuadroTexto 9">
              <a:extLst>
                <a:ext uri="{FF2B5EF4-FFF2-40B4-BE49-F238E27FC236}">
                  <a16:creationId xmlns:a16="http://schemas.microsoft.com/office/drawing/2014/main" id="{C1052F18-7A56-2645-876D-6A02837833D6}"/>
                </a:ext>
              </a:extLst>
            </xdr:cNvPr>
            <xdr:cNvSpPr txBox="1"/>
          </xdr:nvSpPr>
          <xdr:spPr>
            <a:xfrm>
              <a:off x="5067300" y="3915081"/>
              <a:ext cx="2660650" cy="203418"/>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)&lt;0</a:t>
              </a:r>
              <a:endParaRPr lang="es-AR" sz="1200"/>
            </a:p>
          </xdr:txBody>
        </xdr:sp>
      </mc:Fallback>
    </mc:AlternateContent>
    <xdr:clientData/>
  </xdr:twoCellAnchor>
  <xdr:twoCellAnchor>
    <xdr:from>
      <xdr:col>0</xdr:col>
      <xdr:colOff>669925</xdr:colOff>
      <xdr:row>29</xdr:row>
      <xdr:rowOff>69200</xdr:rowOff>
    </xdr:from>
    <xdr:to>
      <xdr:col>2</xdr:col>
      <xdr:colOff>807674</xdr:colOff>
      <xdr:row>30</xdr:row>
      <xdr:rowOff>75576</xdr:rowOff>
    </xdr:to>
    <mc:AlternateContent xmlns:mc="http://schemas.openxmlformats.org/markup-compatibility/2006" xmlns:a14="http://schemas.microsoft.com/office/drawing/2010/main">
      <mc:Choice Requires="a14">
        <xdr:sp macro="" textlink="">
          <xdr:nvSpPr>
            <xdr:cNvPr id="109" name="CuadroTexto 9">
              <a:extLst>
                <a:ext uri="{FF2B5EF4-FFF2-40B4-BE49-F238E27FC236}">
                  <a16:creationId xmlns:a16="http://schemas.microsoft.com/office/drawing/2014/main" id="{51F7175B-6023-C343-A232-483F63EF7BF7}"/>
                </a:ext>
              </a:extLst>
            </xdr:cNvPr>
            <xdr:cNvSpPr txBox="1"/>
          </xdr:nvSpPr>
          <xdr:spPr>
            <a:xfrm>
              <a:off x="669925" y="6182031"/>
              <a:ext cx="237172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es-AR" sz="1200" b="0" i="1">
                        <a:latin typeface="Cambria Math" panose="02040503050406030204" pitchFamily="18" charset="0"/>
                      </a:rPr>
                      <m:t>𝐶𝑜𝑣</m:t>
                    </m:r>
                    <m:d>
                      <m:dPr>
                        <m:ctrlPr>
                          <a:rPr lang="es-AR" sz="1200" b="0" i="1">
                            <a:latin typeface="Cambria Math" panose="02040503050406030204" pitchFamily="18" charset="0"/>
                          </a:rPr>
                        </m:ctrlPr>
                      </m:dPr>
                      <m:e>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𝐵𝑒𝑠𝑡</m:t>
                            </m:r>
                          </m:sub>
                        </m:sSub>
                        <m:r>
                          <a:rPr lang="es-AR" sz="1200" b="0" i="1">
                            <a:latin typeface="Cambria Math" panose="02040503050406030204" pitchFamily="18" charset="0"/>
                          </a:rPr>
                          <m:t>, </m:t>
                        </m:r>
                        <m:sSub>
                          <m:sSubPr>
                            <m:ctrlPr>
                              <a:rPr lang="es-AR" sz="1200" b="0" i="1">
                                <a:latin typeface="Cambria Math" panose="02040503050406030204" pitchFamily="18" charset="0"/>
                              </a:rPr>
                            </m:ctrlPr>
                          </m:sSubPr>
                          <m:e>
                            <m:r>
                              <a:rPr lang="es-AR" sz="1200" b="0" i="1">
                                <a:latin typeface="Cambria Math" panose="02040503050406030204" pitchFamily="18" charset="0"/>
                              </a:rPr>
                              <m:t>𝑟</m:t>
                            </m:r>
                          </m:e>
                          <m:sub>
                            <m:r>
                              <a:rPr lang="es-AR" sz="1200" b="0" i="1">
                                <a:latin typeface="Cambria Math" panose="02040503050406030204" pitchFamily="18" charset="0"/>
                              </a:rPr>
                              <m:t>𝑆𝑢𝑔𝑎𝑟</m:t>
                            </m:r>
                          </m:sub>
                        </m:sSub>
                      </m:e>
                    </m:d>
                    <m:r>
                      <a:rPr lang="es-AR" sz="1200" b="0" i="1">
                        <a:latin typeface="Cambria Math" panose="02040503050406030204" pitchFamily="18" charset="0"/>
                      </a:rPr>
                      <m:t>=0</m:t>
                    </m:r>
                  </m:oMath>
                </m:oMathPara>
              </a14:m>
              <a:endParaRPr lang="es-AR" sz="1200"/>
            </a:p>
          </xdr:txBody>
        </xdr:sp>
      </mc:Choice>
      <mc:Fallback xmlns="">
        <xdr:sp macro="" textlink="">
          <xdr:nvSpPr>
            <xdr:cNvPr id="109" name="CuadroTexto 9">
              <a:extLst>
                <a:ext uri="{FF2B5EF4-FFF2-40B4-BE49-F238E27FC236}">
                  <a16:creationId xmlns:a16="http://schemas.microsoft.com/office/drawing/2014/main" id="{51F7175B-6023-C343-A232-483F63EF7BF7}"/>
                </a:ext>
              </a:extLst>
            </xdr:cNvPr>
            <xdr:cNvSpPr txBox="1"/>
          </xdr:nvSpPr>
          <xdr:spPr>
            <a:xfrm>
              <a:off x="669925" y="6182031"/>
              <a:ext cx="2371725" cy="212943"/>
            </a:xfrm>
            <a:prstGeom prst="rect">
              <a:avLst/>
            </a:prstGeom>
            <a:noFill/>
          </xdr:spPr>
          <xdr:txBody>
            <a:bodyPr wrap="square" lIns="0" tIns="0" rIns="0" bIns="0" rtlCol="0">
              <a:spAutoFit/>
            </a:bodyPr>
            <a:lstStyle>
              <a:defPPr>
                <a:defRPr lang="es-A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s-AR" sz="1200" b="0" i="0">
                  <a:latin typeface="Cambria Math" panose="02040503050406030204" pitchFamily="18" charset="0"/>
                </a:rPr>
                <a:t>𝐶𝑜𝑣(𝑟_𝐵𝑒𝑠𝑡, 𝑟_𝑆𝑢𝑔𝑎𝑟 )=0</a:t>
              </a:r>
              <a:endParaRPr lang="es-AR" sz="1200"/>
            </a:p>
          </xdr:txBody>
        </xdr:sp>
      </mc:Fallback>
    </mc:AlternateContent>
    <xdr:clientData/>
  </xdr:twoCellAnchor>
  <xdr:twoCellAnchor editAs="oneCell">
    <xdr:from>
      <xdr:col>0</xdr:col>
      <xdr:colOff>328976</xdr:colOff>
      <xdr:row>48</xdr:row>
      <xdr:rowOff>7650</xdr:rowOff>
    </xdr:from>
    <xdr:to>
      <xdr:col>9</xdr:col>
      <xdr:colOff>83545</xdr:colOff>
      <xdr:row>73</xdr:row>
      <xdr:rowOff>130050</xdr:rowOff>
    </xdr:to>
    <xdr:pic>
      <xdr:nvPicPr>
        <xdr:cNvPr id="110" name="Picture 109">
          <a:extLst>
            <a:ext uri="{FF2B5EF4-FFF2-40B4-BE49-F238E27FC236}">
              <a16:creationId xmlns:a16="http://schemas.microsoft.com/office/drawing/2014/main" id="{6F2FE782-68FE-AD1C-B087-20BE6BA9E251}"/>
            </a:ext>
          </a:extLst>
        </xdr:cNvPr>
        <xdr:cNvPicPr>
          <a:picLocks noChangeAspect="1"/>
        </xdr:cNvPicPr>
      </xdr:nvPicPr>
      <xdr:blipFill>
        <a:blip xmlns:r="http://schemas.openxmlformats.org/officeDocument/2006/relationships" r:embed="rId1"/>
        <a:stretch>
          <a:fillRect/>
        </a:stretch>
      </xdr:blipFill>
      <xdr:spPr>
        <a:xfrm>
          <a:off x="328976" y="10045240"/>
          <a:ext cx="7772400" cy="5286557"/>
        </a:xfrm>
        <a:prstGeom prst="rect">
          <a:avLst/>
        </a:prstGeom>
      </xdr:spPr>
    </xdr:pic>
    <xdr:clientData/>
  </xdr:twoCellAnchor>
  <xdr:oneCellAnchor>
    <xdr:from>
      <xdr:col>8</xdr:col>
      <xdr:colOff>209550</xdr:colOff>
      <xdr:row>76</xdr:row>
      <xdr:rowOff>14287</xdr:rowOff>
    </xdr:from>
    <xdr:ext cx="520079" cy="172227"/>
    <mc:AlternateContent xmlns:mc="http://schemas.openxmlformats.org/markup-compatibility/2006" xmlns:a14="http://schemas.microsoft.com/office/drawing/2010/main">
      <mc:Choice Requires="a14">
        <xdr:sp macro="" textlink="">
          <xdr:nvSpPr>
            <xdr:cNvPr id="111" name="CuadroTexto 2">
              <a:extLst>
                <a:ext uri="{FF2B5EF4-FFF2-40B4-BE49-F238E27FC236}">
                  <a16:creationId xmlns:a16="http://schemas.microsoft.com/office/drawing/2014/main" id="{A544A753-9C82-8341-B8AA-AB0DFAA0343C}"/>
                </a:ext>
              </a:extLst>
            </xdr:cNvPr>
            <xdr:cNvSpPr txBox="1"/>
          </xdr:nvSpPr>
          <xdr:spPr>
            <a:xfrm>
              <a:off x="6877050" y="712787"/>
              <a:ext cx="52007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AR" sz="1100" b="0" i="1">
                        <a:latin typeface="Cambria Math" panose="02040503050406030204" pitchFamily="18" charset="0"/>
                      </a:rPr>
                      <m:t>𝐸</m:t>
                    </m:r>
                    <m:d>
                      <m:dPr>
                        <m:ctrlPr>
                          <a:rPr lang="es-AR" sz="1100" b="0" i="1">
                            <a:latin typeface="Cambria Math" panose="02040503050406030204" pitchFamily="18" charset="0"/>
                          </a:rPr>
                        </m:ctrlPr>
                      </m:dPr>
                      <m:e>
                        <m:sSub>
                          <m:sSubPr>
                            <m:ctrlPr>
                              <a:rPr lang="es-AR" sz="1100" b="0" i="1">
                                <a:latin typeface="Cambria Math" panose="02040503050406030204" pitchFamily="18" charset="0"/>
                              </a:rPr>
                            </m:ctrlPr>
                          </m:sSubPr>
                          <m:e>
                            <m:r>
                              <a:rPr lang="es-AR" sz="1100" b="0" i="1">
                                <a:latin typeface="Cambria Math" panose="02040503050406030204" pitchFamily="18" charset="0"/>
                              </a:rPr>
                              <m:t>𝑅</m:t>
                            </m:r>
                          </m:e>
                          <m:sub>
                            <m:r>
                              <a:rPr lang="es-AR" sz="1100" b="0" i="1">
                                <a:latin typeface="Cambria Math" panose="02040503050406030204" pitchFamily="18" charset="0"/>
                              </a:rPr>
                              <m:t>𝑖</m:t>
                            </m:r>
                          </m:sub>
                        </m:sSub>
                      </m:e>
                    </m:d>
                    <m:r>
                      <a:rPr lang="es-AR" sz="1100" b="0" i="1">
                        <a:latin typeface="Cambria Math" panose="02040503050406030204" pitchFamily="18" charset="0"/>
                      </a:rPr>
                      <m:t>=</m:t>
                    </m:r>
                  </m:oMath>
                </m:oMathPara>
              </a14:m>
              <a:endParaRPr lang="es-AR" sz="1100"/>
            </a:p>
          </xdr:txBody>
        </xdr:sp>
      </mc:Choice>
      <mc:Fallback xmlns="">
        <xdr:sp macro="" textlink="">
          <xdr:nvSpPr>
            <xdr:cNvPr id="111" name="CuadroTexto 2">
              <a:extLst>
                <a:ext uri="{FF2B5EF4-FFF2-40B4-BE49-F238E27FC236}">
                  <a16:creationId xmlns:a16="http://schemas.microsoft.com/office/drawing/2014/main" id="{A544A753-9C82-8341-B8AA-AB0DFAA0343C}"/>
                </a:ext>
              </a:extLst>
            </xdr:cNvPr>
            <xdr:cNvSpPr txBox="1"/>
          </xdr:nvSpPr>
          <xdr:spPr>
            <a:xfrm>
              <a:off x="6877050" y="712787"/>
              <a:ext cx="52007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latin typeface="Cambria Math" panose="02040503050406030204" pitchFamily="18" charset="0"/>
                </a:rPr>
                <a:t>𝐸(𝑅_𝑖 )=</a:t>
              </a:r>
              <a:endParaRPr lang="es-AR" sz="1100"/>
            </a:p>
          </xdr:txBody>
        </xdr:sp>
      </mc:Fallback>
    </mc:AlternateContent>
    <xdr:clientData/>
  </xdr:oneCellAnchor>
  <xdr:oneCellAnchor>
    <xdr:from>
      <xdr:col>8</xdr:col>
      <xdr:colOff>209550</xdr:colOff>
      <xdr:row>77</xdr:row>
      <xdr:rowOff>9525</xdr:rowOff>
    </xdr:from>
    <xdr:ext cx="529440" cy="194990"/>
    <mc:AlternateContent xmlns:mc="http://schemas.openxmlformats.org/markup-compatibility/2006" xmlns:a14="http://schemas.microsoft.com/office/drawing/2010/main">
      <mc:Choice Requires="a14">
        <xdr:sp macro="" textlink="">
          <xdr:nvSpPr>
            <xdr:cNvPr id="112" name="CuadroTexto 3">
              <a:extLst>
                <a:ext uri="{FF2B5EF4-FFF2-40B4-BE49-F238E27FC236}">
                  <a16:creationId xmlns:a16="http://schemas.microsoft.com/office/drawing/2014/main" id="{A2D37B5F-3C84-B54E-BE4E-BBBE1E8CD11F}"/>
                </a:ext>
              </a:extLst>
            </xdr:cNvPr>
            <xdr:cNvSpPr txBox="1"/>
          </xdr:nvSpPr>
          <xdr:spPr>
            <a:xfrm>
              <a:off x="6877050" y="898525"/>
              <a:ext cx="529440"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AR" sz="1100" b="0" i="1">
                        <a:latin typeface="Cambria Math" panose="02040503050406030204" pitchFamily="18" charset="0"/>
                      </a:rPr>
                      <m:t>𝐸</m:t>
                    </m:r>
                    <m:d>
                      <m:dPr>
                        <m:ctrlPr>
                          <a:rPr lang="es-AR" sz="1100" b="0" i="1">
                            <a:latin typeface="Cambria Math" panose="02040503050406030204" pitchFamily="18" charset="0"/>
                          </a:rPr>
                        </m:ctrlPr>
                      </m:dPr>
                      <m:e>
                        <m:sSub>
                          <m:sSubPr>
                            <m:ctrlPr>
                              <a:rPr lang="es-AR" sz="1100" b="0" i="1">
                                <a:latin typeface="Cambria Math" panose="02040503050406030204" pitchFamily="18" charset="0"/>
                              </a:rPr>
                            </m:ctrlPr>
                          </m:sSubPr>
                          <m:e>
                            <m:r>
                              <a:rPr lang="es-AR" sz="1100" b="0" i="1">
                                <a:latin typeface="Cambria Math" panose="02040503050406030204" pitchFamily="18" charset="0"/>
                              </a:rPr>
                              <m:t>𝑅</m:t>
                            </m:r>
                          </m:e>
                          <m:sub>
                            <m:r>
                              <a:rPr lang="es-AR" sz="1100" b="0" i="1">
                                <a:latin typeface="Cambria Math" panose="02040503050406030204" pitchFamily="18" charset="0"/>
                              </a:rPr>
                              <m:t>𝑗</m:t>
                            </m:r>
                          </m:sub>
                        </m:sSub>
                      </m:e>
                    </m:d>
                    <m:r>
                      <a:rPr lang="es-AR" sz="1100" b="0" i="1">
                        <a:latin typeface="Cambria Math" panose="02040503050406030204" pitchFamily="18" charset="0"/>
                      </a:rPr>
                      <m:t>=</m:t>
                    </m:r>
                  </m:oMath>
                </m:oMathPara>
              </a14:m>
              <a:endParaRPr lang="es-AR" sz="1100"/>
            </a:p>
          </xdr:txBody>
        </xdr:sp>
      </mc:Choice>
      <mc:Fallback xmlns="">
        <xdr:sp macro="" textlink="">
          <xdr:nvSpPr>
            <xdr:cNvPr id="112" name="CuadroTexto 3">
              <a:extLst>
                <a:ext uri="{FF2B5EF4-FFF2-40B4-BE49-F238E27FC236}">
                  <a16:creationId xmlns:a16="http://schemas.microsoft.com/office/drawing/2014/main" id="{A2D37B5F-3C84-B54E-BE4E-BBBE1E8CD11F}"/>
                </a:ext>
              </a:extLst>
            </xdr:cNvPr>
            <xdr:cNvSpPr txBox="1"/>
          </xdr:nvSpPr>
          <xdr:spPr>
            <a:xfrm>
              <a:off x="6877050" y="898525"/>
              <a:ext cx="529440" cy="194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latin typeface="Cambria Math" panose="02040503050406030204" pitchFamily="18" charset="0"/>
                </a:rPr>
                <a:t>𝐸(𝑅_𝑗 )=</a:t>
              </a:r>
              <a:endParaRPr lang="es-AR" sz="1100"/>
            </a:p>
          </xdr:txBody>
        </xdr:sp>
      </mc:Fallback>
    </mc:AlternateContent>
    <xdr:clientData/>
  </xdr:oneCellAnchor>
  <xdr:oneCellAnchor>
    <xdr:from>
      <xdr:col>7</xdr:col>
      <xdr:colOff>361950</xdr:colOff>
      <xdr:row>84</xdr:row>
      <xdr:rowOff>14287</xdr:rowOff>
    </xdr:from>
    <xdr:ext cx="164597" cy="185628"/>
    <mc:AlternateContent xmlns:mc="http://schemas.openxmlformats.org/markup-compatibility/2006" xmlns:a14="http://schemas.microsoft.com/office/drawing/2010/main">
      <mc:Choice Requires="a14">
        <xdr:sp macro="" textlink="">
          <xdr:nvSpPr>
            <xdr:cNvPr id="113" name="CuadroTexto 4">
              <a:extLst>
                <a:ext uri="{FF2B5EF4-FFF2-40B4-BE49-F238E27FC236}">
                  <a16:creationId xmlns:a16="http://schemas.microsoft.com/office/drawing/2014/main" id="{9B7CEB14-C10A-F040-A8D8-F65A2D5435B0}"/>
                </a:ext>
              </a:extLst>
            </xdr:cNvPr>
            <xdr:cNvSpPr txBox="1"/>
          </xdr:nvSpPr>
          <xdr:spPr>
            <a:xfrm>
              <a:off x="7905750" y="1855787"/>
              <a:ext cx="164597" cy="185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oMath>
                </m:oMathPara>
              </a14:m>
              <a:endParaRPr lang="es-AR" sz="1100"/>
            </a:p>
          </xdr:txBody>
        </xdr:sp>
      </mc:Choice>
      <mc:Fallback xmlns="">
        <xdr:sp macro="" textlink="">
          <xdr:nvSpPr>
            <xdr:cNvPr id="113" name="CuadroTexto 4">
              <a:extLst>
                <a:ext uri="{FF2B5EF4-FFF2-40B4-BE49-F238E27FC236}">
                  <a16:creationId xmlns:a16="http://schemas.microsoft.com/office/drawing/2014/main" id="{9B7CEB14-C10A-F040-A8D8-F65A2D5435B0}"/>
                </a:ext>
              </a:extLst>
            </xdr:cNvPr>
            <xdr:cNvSpPr txBox="1"/>
          </xdr:nvSpPr>
          <xdr:spPr>
            <a:xfrm>
              <a:off x="7905750" y="1855787"/>
              <a:ext cx="164597" cy="1856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mn-ea"/>
                  <a:cs typeface="+mn-cs"/>
                </a:rPr>
                <a:t>𝑅_𝑗</a:t>
              </a:r>
              <a:endParaRPr lang="es-AR" sz="1100"/>
            </a:p>
          </xdr:txBody>
        </xdr:sp>
      </mc:Fallback>
    </mc:AlternateContent>
    <xdr:clientData/>
  </xdr:oneCellAnchor>
  <xdr:oneCellAnchor>
    <xdr:from>
      <xdr:col>6</xdr:col>
      <xdr:colOff>342900</xdr:colOff>
      <xdr:row>84</xdr:row>
      <xdr:rowOff>9525</xdr:rowOff>
    </xdr:from>
    <xdr:ext cx="167225" cy="172227"/>
    <mc:AlternateContent xmlns:mc="http://schemas.openxmlformats.org/markup-compatibility/2006" xmlns:a14="http://schemas.microsoft.com/office/drawing/2010/main">
      <mc:Choice Requires="a14">
        <xdr:sp macro="" textlink="">
          <xdr:nvSpPr>
            <xdr:cNvPr id="114" name="CuadroTexto 5">
              <a:extLst>
                <a:ext uri="{FF2B5EF4-FFF2-40B4-BE49-F238E27FC236}">
                  <a16:creationId xmlns:a16="http://schemas.microsoft.com/office/drawing/2014/main" id="{9CA91724-77E4-8942-AC77-020233FBB45B}"/>
                </a:ext>
              </a:extLst>
            </xdr:cNvPr>
            <xdr:cNvSpPr txBox="1"/>
          </xdr:nvSpPr>
          <xdr:spPr>
            <a:xfrm>
              <a:off x="7010400" y="1851025"/>
              <a:ext cx="1672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oMath>
                </m:oMathPara>
              </a14:m>
              <a:endParaRPr lang="es-AR" sz="1100"/>
            </a:p>
          </xdr:txBody>
        </xdr:sp>
      </mc:Choice>
      <mc:Fallback xmlns="">
        <xdr:sp macro="" textlink="">
          <xdr:nvSpPr>
            <xdr:cNvPr id="114" name="CuadroTexto 5">
              <a:extLst>
                <a:ext uri="{FF2B5EF4-FFF2-40B4-BE49-F238E27FC236}">
                  <a16:creationId xmlns:a16="http://schemas.microsoft.com/office/drawing/2014/main" id="{9CA91724-77E4-8942-AC77-020233FBB45B}"/>
                </a:ext>
              </a:extLst>
            </xdr:cNvPr>
            <xdr:cNvSpPr txBox="1"/>
          </xdr:nvSpPr>
          <xdr:spPr>
            <a:xfrm>
              <a:off x="7010400" y="1851025"/>
              <a:ext cx="16722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mn-ea"/>
                  <a:cs typeface="+mn-cs"/>
                </a:rPr>
                <a:t>𝑅_𝑖</a:t>
              </a:r>
              <a:endParaRPr lang="es-AR" sz="1100"/>
            </a:p>
          </xdr:txBody>
        </xdr:sp>
      </mc:Fallback>
    </mc:AlternateContent>
    <xdr:clientData/>
  </xdr:oneCellAnchor>
  <xdr:oneCellAnchor>
    <xdr:from>
      <xdr:col>8</xdr:col>
      <xdr:colOff>352425</xdr:colOff>
      <xdr:row>78</xdr:row>
      <xdr:rowOff>0</xdr:rowOff>
    </xdr:from>
    <xdr:ext cx="294824" cy="172227"/>
    <mc:AlternateContent xmlns:mc="http://schemas.openxmlformats.org/markup-compatibility/2006" xmlns:a14="http://schemas.microsoft.com/office/drawing/2010/main">
      <mc:Choice Requires="a14">
        <xdr:sp macro="" textlink="">
          <xdr:nvSpPr>
            <xdr:cNvPr id="115" name="CuadroTexto 6">
              <a:extLst>
                <a:ext uri="{FF2B5EF4-FFF2-40B4-BE49-F238E27FC236}">
                  <a16:creationId xmlns:a16="http://schemas.microsoft.com/office/drawing/2014/main" id="{451B14AE-8C1A-0B43-9C0B-A3D685F5D302}"/>
                </a:ext>
              </a:extLst>
            </xdr:cNvPr>
            <xdr:cNvSpPr txBox="1"/>
          </xdr:nvSpPr>
          <xdr:spPr>
            <a:xfrm>
              <a:off x="8772525" y="698500"/>
              <a:ext cx="29482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Cambria Math" panose="02040503050406030204" pitchFamily="18" charset="0"/>
                            <a:cs typeface="+mn-cs"/>
                          </a:rPr>
                          <m:t>𝜎</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oMath>
                </m:oMathPara>
              </a14:m>
              <a:endParaRPr lang="es-AR" sz="1100"/>
            </a:p>
          </xdr:txBody>
        </xdr:sp>
      </mc:Choice>
      <mc:Fallback xmlns="">
        <xdr:sp macro="" textlink="">
          <xdr:nvSpPr>
            <xdr:cNvPr id="115" name="CuadroTexto 6">
              <a:extLst>
                <a:ext uri="{FF2B5EF4-FFF2-40B4-BE49-F238E27FC236}">
                  <a16:creationId xmlns:a16="http://schemas.microsoft.com/office/drawing/2014/main" id="{451B14AE-8C1A-0B43-9C0B-A3D685F5D302}"/>
                </a:ext>
              </a:extLst>
            </xdr:cNvPr>
            <xdr:cNvSpPr txBox="1"/>
          </xdr:nvSpPr>
          <xdr:spPr>
            <a:xfrm>
              <a:off x="8772525" y="698500"/>
              <a:ext cx="29482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Cambria Math" panose="02040503050406030204" pitchFamily="18" charset="0"/>
                  <a:cs typeface="+mn-cs"/>
                </a:rPr>
                <a:t>𝜎</a:t>
              </a:r>
              <a:r>
                <a:rPr lang="es-AR" sz="1100" b="0" i="0">
                  <a:solidFill>
                    <a:schemeClr val="tx1"/>
                  </a:solidFill>
                  <a:effectLst/>
                  <a:latin typeface="Cambria Math" panose="02040503050406030204" pitchFamily="18" charset="0"/>
                  <a:ea typeface="+mn-ea"/>
                  <a:cs typeface="+mn-cs"/>
                </a:rPr>
                <a:t>_𝑖=</a:t>
              </a:r>
              <a:endParaRPr lang="es-AR" sz="1100"/>
            </a:p>
          </xdr:txBody>
        </xdr:sp>
      </mc:Fallback>
    </mc:AlternateContent>
    <xdr:clientData/>
  </xdr:oneCellAnchor>
  <xdr:oneCellAnchor>
    <xdr:from>
      <xdr:col>8</xdr:col>
      <xdr:colOff>352425</xdr:colOff>
      <xdr:row>79</xdr:row>
      <xdr:rowOff>0</xdr:rowOff>
    </xdr:from>
    <xdr:ext cx="294568" cy="183192"/>
    <mc:AlternateContent xmlns:mc="http://schemas.openxmlformats.org/markup-compatibility/2006" xmlns:a14="http://schemas.microsoft.com/office/drawing/2010/main">
      <mc:Choice Requires="a14">
        <xdr:sp macro="" textlink="">
          <xdr:nvSpPr>
            <xdr:cNvPr id="116" name="CuadroTexto 7">
              <a:extLst>
                <a:ext uri="{FF2B5EF4-FFF2-40B4-BE49-F238E27FC236}">
                  <a16:creationId xmlns:a16="http://schemas.microsoft.com/office/drawing/2014/main" id="{0293D2BA-5A43-664B-9D58-CE3D0213EA12}"/>
                </a:ext>
              </a:extLst>
            </xdr:cNvPr>
            <xdr:cNvSpPr txBox="1"/>
          </xdr:nvSpPr>
          <xdr:spPr>
            <a:xfrm>
              <a:off x="8772525" y="889000"/>
              <a:ext cx="294568"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Cambria Math" panose="02040503050406030204" pitchFamily="18" charset="0"/>
                            <a:cs typeface="+mn-cs"/>
                          </a:rPr>
                          <m:t>𝜎</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oMath>
                </m:oMathPara>
              </a14:m>
              <a:endParaRPr lang="es-AR" sz="1100"/>
            </a:p>
          </xdr:txBody>
        </xdr:sp>
      </mc:Choice>
      <mc:Fallback xmlns="">
        <xdr:sp macro="" textlink="">
          <xdr:nvSpPr>
            <xdr:cNvPr id="116" name="CuadroTexto 7">
              <a:extLst>
                <a:ext uri="{FF2B5EF4-FFF2-40B4-BE49-F238E27FC236}">
                  <a16:creationId xmlns:a16="http://schemas.microsoft.com/office/drawing/2014/main" id="{0293D2BA-5A43-664B-9D58-CE3D0213EA12}"/>
                </a:ext>
              </a:extLst>
            </xdr:cNvPr>
            <xdr:cNvSpPr txBox="1"/>
          </xdr:nvSpPr>
          <xdr:spPr>
            <a:xfrm>
              <a:off x="8772525" y="889000"/>
              <a:ext cx="294568"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Cambria Math" panose="02040503050406030204" pitchFamily="18" charset="0"/>
                  <a:cs typeface="+mn-cs"/>
                </a:rPr>
                <a:t>𝜎</a:t>
              </a:r>
              <a:r>
                <a:rPr lang="es-AR" sz="1100" b="0" i="0">
                  <a:solidFill>
                    <a:schemeClr val="tx1"/>
                  </a:solidFill>
                  <a:effectLst/>
                  <a:latin typeface="Cambria Math" panose="02040503050406030204" pitchFamily="18" charset="0"/>
                  <a:ea typeface="+mn-ea"/>
                  <a:cs typeface="+mn-cs"/>
                </a:rPr>
                <a:t>_𝑗=</a:t>
              </a:r>
              <a:endParaRPr lang="es-AR" sz="1100"/>
            </a:p>
          </xdr:txBody>
        </xdr:sp>
      </mc:Fallback>
    </mc:AlternateContent>
    <xdr:clientData/>
  </xdr:oneCellAnchor>
  <xdr:oneCellAnchor>
    <xdr:from>
      <xdr:col>8</xdr:col>
      <xdr:colOff>114300</xdr:colOff>
      <xdr:row>84</xdr:row>
      <xdr:rowOff>23812</xdr:rowOff>
    </xdr:from>
    <xdr:ext cx="853503" cy="175369"/>
    <mc:AlternateContent xmlns:mc="http://schemas.openxmlformats.org/markup-compatibility/2006" xmlns:a14="http://schemas.microsoft.com/office/drawing/2010/main">
      <mc:Choice Requires="a14">
        <xdr:sp macro="" textlink="">
          <xdr:nvSpPr>
            <xdr:cNvPr id="117" name="CuadroTexto 8">
              <a:extLst>
                <a:ext uri="{FF2B5EF4-FFF2-40B4-BE49-F238E27FC236}">
                  <a16:creationId xmlns:a16="http://schemas.microsoft.com/office/drawing/2014/main" id="{8A1AD504-2102-7148-956F-7455DDD9DFA9}"/>
                </a:ext>
              </a:extLst>
            </xdr:cNvPr>
            <xdr:cNvSpPr txBox="1"/>
          </xdr:nvSpPr>
          <xdr:spPr>
            <a:xfrm>
              <a:off x="8534400" y="1865312"/>
              <a:ext cx="85350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s-AR" sz="1100" i="1">
                            <a:latin typeface="Cambria Math" panose="02040503050406030204" pitchFamily="18" charset="0"/>
                          </a:rPr>
                        </m:ctrlPr>
                      </m:sSupPr>
                      <m:e>
                        <m:d>
                          <m:dPr>
                            <m:ctrlPr>
                              <a:rPr lang="es-AR" sz="1100" i="1">
                                <a:solidFill>
                                  <a:schemeClr val="tx1"/>
                                </a:solidFill>
                                <a:effectLst/>
                                <a:latin typeface="Cambria Math" panose="02040503050406030204" pitchFamily="18" charset="0"/>
                                <a:ea typeface="+mn-ea"/>
                                <a:cs typeface="+mn-cs"/>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r>
                              <a:rPr lang="es-AR" sz="1100" b="0" i="1">
                                <a:solidFill>
                                  <a:schemeClr val="tx1"/>
                                </a:solidFill>
                                <a:effectLst/>
                                <a:latin typeface="Cambria Math" panose="02040503050406030204" pitchFamily="18" charset="0"/>
                                <a:ea typeface="+mn-ea"/>
                                <a:cs typeface="+mn-cs"/>
                              </a:rPr>
                              <m:t>(</m:t>
                            </m:r>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e>
                        </m:d>
                      </m:e>
                      <m:sup>
                        <m:r>
                          <a:rPr lang="es-AR" sz="1100" b="0" i="1">
                            <a:latin typeface="Cambria Math" panose="02040503050406030204" pitchFamily="18" charset="0"/>
                          </a:rPr>
                          <m:t>2</m:t>
                        </m:r>
                      </m:sup>
                    </m:sSup>
                  </m:oMath>
                </m:oMathPara>
              </a14:m>
              <a:endParaRPr lang="es-AR" sz="1100"/>
            </a:p>
          </xdr:txBody>
        </xdr:sp>
      </mc:Choice>
      <mc:Fallback xmlns="">
        <xdr:sp macro="" textlink="">
          <xdr:nvSpPr>
            <xdr:cNvPr id="117" name="CuadroTexto 8">
              <a:extLst>
                <a:ext uri="{FF2B5EF4-FFF2-40B4-BE49-F238E27FC236}">
                  <a16:creationId xmlns:a16="http://schemas.microsoft.com/office/drawing/2014/main" id="{8A1AD504-2102-7148-956F-7455DDD9DFA9}"/>
                </a:ext>
              </a:extLst>
            </xdr:cNvPr>
            <xdr:cNvSpPr txBox="1"/>
          </xdr:nvSpPr>
          <xdr:spPr>
            <a:xfrm>
              <a:off x="8534400" y="1865312"/>
              <a:ext cx="853503"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i="0">
                  <a:solidFill>
                    <a:schemeClr val="tx1"/>
                  </a:solidFill>
                  <a:effectLst/>
                  <a:latin typeface="Cambria Math" panose="02040503050406030204" pitchFamily="18" charset="0"/>
                  <a:ea typeface="+mn-ea"/>
                  <a:cs typeface="+mn-cs"/>
                </a:rPr>
                <a:t>(</a:t>
              </a:r>
              <a:r>
                <a:rPr lang="es-AR" sz="1100" b="0" i="0">
                  <a:solidFill>
                    <a:schemeClr val="tx1"/>
                  </a:solidFill>
                  <a:effectLst/>
                  <a:latin typeface="Cambria Math" panose="02040503050406030204" pitchFamily="18" charset="0"/>
                  <a:ea typeface="+mn-ea"/>
                  <a:cs typeface="+mn-cs"/>
                </a:rPr>
                <a:t>𝑅_𝑖−𝐸(𝑅_𝑖))^</a:t>
              </a:r>
              <a:r>
                <a:rPr lang="es-AR" sz="1100" b="0" i="0">
                  <a:latin typeface="Cambria Math" panose="02040503050406030204" pitchFamily="18" charset="0"/>
                </a:rPr>
                <a:t>2</a:t>
              </a:r>
              <a:endParaRPr lang="es-AR" sz="1100"/>
            </a:p>
          </xdr:txBody>
        </xdr:sp>
      </mc:Fallback>
    </mc:AlternateContent>
    <xdr:clientData/>
  </xdr:oneCellAnchor>
  <xdr:oneCellAnchor>
    <xdr:from>
      <xdr:col>9</xdr:col>
      <xdr:colOff>158750</xdr:colOff>
      <xdr:row>83</xdr:row>
      <xdr:rowOff>161925</xdr:rowOff>
    </xdr:from>
    <xdr:ext cx="862608" cy="228460"/>
    <mc:AlternateContent xmlns:mc="http://schemas.openxmlformats.org/markup-compatibility/2006" xmlns:a14="http://schemas.microsoft.com/office/drawing/2010/main">
      <mc:Choice Requires="a14">
        <xdr:sp macro="" textlink="">
          <xdr:nvSpPr>
            <xdr:cNvPr id="118" name="CuadroTexto 9">
              <a:extLst>
                <a:ext uri="{FF2B5EF4-FFF2-40B4-BE49-F238E27FC236}">
                  <a16:creationId xmlns:a16="http://schemas.microsoft.com/office/drawing/2014/main" id="{707BBB8B-993D-C84A-BA93-10574B74B476}"/>
                </a:ext>
              </a:extLst>
            </xdr:cNvPr>
            <xdr:cNvSpPr txBox="1"/>
          </xdr:nvSpPr>
          <xdr:spPr>
            <a:xfrm>
              <a:off x="8154670" y="17261205"/>
              <a:ext cx="862608" cy="228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s-AR" sz="1100" i="1">
                            <a:latin typeface="Cambria Math" panose="02040503050406030204" pitchFamily="18" charset="0"/>
                          </a:rPr>
                        </m:ctrlPr>
                      </m:sSupPr>
                      <m:e>
                        <m:d>
                          <m:dPr>
                            <m:ctrlPr>
                              <a:rPr lang="es-AR" sz="1100" i="1">
                                <a:solidFill>
                                  <a:schemeClr val="tx1"/>
                                </a:solidFill>
                                <a:effectLst/>
                                <a:latin typeface="Cambria Math" panose="02040503050406030204" pitchFamily="18" charset="0"/>
                                <a:ea typeface="+mn-ea"/>
                                <a:cs typeface="+mn-cs"/>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r>
                              <a:rPr lang="es-AR" sz="1100" b="0" i="1">
                                <a:solidFill>
                                  <a:schemeClr val="tx1"/>
                                </a:solidFill>
                                <a:effectLst/>
                                <a:latin typeface="Cambria Math" panose="02040503050406030204" pitchFamily="18" charset="0"/>
                                <a:ea typeface="+mn-ea"/>
                                <a:cs typeface="+mn-cs"/>
                              </a:rPr>
                              <m:t>(</m:t>
                            </m:r>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e>
                        </m:d>
                      </m:e>
                      <m:sup>
                        <m:r>
                          <a:rPr lang="es-AR" sz="1100" b="0" i="1">
                            <a:latin typeface="Cambria Math" panose="02040503050406030204" pitchFamily="18" charset="0"/>
                          </a:rPr>
                          <m:t>2</m:t>
                        </m:r>
                      </m:sup>
                    </m:sSup>
                  </m:oMath>
                </m:oMathPara>
              </a14:m>
              <a:endParaRPr lang="es-AR" sz="1100"/>
            </a:p>
          </xdr:txBody>
        </xdr:sp>
      </mc:Choice>
      <mc:Fallback xmlns="">
        <xdr:sp macro="" textlink="">
          <xdr:nvSpPr>
            <xdr:cNvPr id="118" name="CuadroTexto 9">
              <a:extLst>
                <a:ext uri="{FF2B5EF4-FFF2-40B4-BE49-F238E27FC236}">
                  <a16:creationId xmlns:a16="http://schemas.microsoft.com/office/drawing/2014/main" id="{707BBB8B-993D-C84A-BA93-10574B74B476}"/>
                </a:ext>
              </a:extLst>
            </xdr:cNvPr>
            <xdr:cNvSpPr txBox="1"/>
          </xdr:nvSpPr>
          <xdr:spPr>
            <a:xfrm>
              <a:off x="8154670" y="17261205"/>
              <a:ext cx="862608" cy="228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i="0">
                  <a:solidFill>
                    <a:schemeClr val="tx1"/>
                  </a:solidFill>
                  <a:effectLst/>
                  <a:latin typeface="Cambria Math" panose="02040503050406030204" pitchFamily="18" charset="0"/>
                  <a:ea typeface="+mn-ea"/>
                  <a:cs typeface="+mn-cs"/>
                </a:rPr>
                <a:t>(</a:t>
              </a:r>
              <a:r>
                <a:rPr lang="es-AR" sz="1100" b="0" i="0">
                  <a:solidFill>
                    <a:schemeClr val="tx1"/>
                  </a:solidFill>
                  <a:effectLst/>
                  <a:latin typeface="Cambria Math" panose="02040503050406030204" pitchFamily="18" charset="0"/>
                  <a:ea typeface="+mn-ea"/>
                  <a:cs typeface="+mn-cs"/>
                </a:rPr>
                <a:t>𝑅_𝑗−𝐸(𝑅_𝑗))^</a:t>
              </a:r>
              <a:r>
                <a:rPr lang="es-AR" sz="1100" b="0" i="0">
                  <a:latin typeface="Cambria Math" panose="02040503050406030204" pitchFamily="18" charset="0"/>
                </a:rPr>
                <a:t>2</a:t>
              </a:r>
              <a:endParaRPr lang="es-AR" sz="1100"/>
            </a:p>
          </xdr:txBody>
        </xdr:sp>
      </mc:Fallback>
    </mc:AlternateContent>
    <xdr:clientData/>
  </xdr:oneCellAnchor>
  <xdr:oneCellAnchor>
    <xdr:from>
      <xdr:col>8</xdr:col>
      <xdr:colOff>314325</xdr:colOff>
      <xdr:row>80</xdr:row>
      <xdr:rowOff>0</xdr:rowOff>
    </xdr:from>
    <xdr:ext cx="343171" cy="183192"/>
    <mc:AlternateContent xmlns:mc="http://schemas.openxmlformats.org/markup-compatibility/2006" xmlns:a14="http://schemas.microsoft.com/office/drawing/2010/main">
      <mc:Choice Requires="a14">
        <xdr:sp macro="" textlink="">
          <xdr:nvSpPr>
            <xdr:cNvPr id="119" name="CuadroTexto 10">
              <a:extLst>
                <a:ext uri="{FF2B5EF4-FFF2-40B4-BE49-F238E27FC236}">
                  <a16:creationId xmlns:a16="http://schemas.microsoft.com/office/drawing/2014/main" id="{6ACA83E5-F91C-7A4B-812D-F862FF8BEF5C}"/>
                </a:ext>
              </a:extLst>
            </xdr:cNvPr>
            <xdr:cNvSpPr txBox="1"/>
          </xdr:nvSpPr>
          <xdr:spPr>
            <a:xfrm>
              <a:off x="8734425" y="1079500"/>
              <a:ext cx="343171"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Cambria Math" panose="02040503050406030204" pitchFamily="18" charset="0"/>
                            <a:cs typeface="+mn-cs"/>
                          </a:rPr>
                          <m:t>𝜎</m:t>
                        </m:r>
                      </m:e>
                      <m:sub>
                        <m:r>
                          <a:rPr lang="es-AR" sz="1100" b="0" i="1">
                            <a:solidFill>
                              <a:schemeClr val="tx1"/>
                            </a:solidFill>
                            <a:effectLst/>
                            <a:latin typeface="Cambria Math" panose="02040503050406030204" pitchFamily="18" charset="0"/>
                            <a:ea typeface="+mn-ea"/>
                            <a:cs typeface="+mn-cs"/>
                          </a:rPr>
                          <m:t>𝑖𝑗</m:t>
                        </m:r>
                      </m:sub>
                    </m:sSub>
                    <m:r>
                      <a:rPr lang="es-AR" sz="1100" b="0" i="1">
                        <a:solidFill>
                          <a:schemeClr val="tx1"/>
                        </a:solidFill>
                        <a:effectLst/>
                        <a:latin typeface="Cambria Math" panose="02040503050406030204" pitchFamily="18" charset="0"/>
                        <a:ea typeface="+mn-ea"/>
                        <a:cs typeface="+mn-cs"/>
                      </a:rPr>
                      <m:t>=</m:t>
                    </m:r>
                  </m:oMath>
                </m:oMathPara>
              </a14:m>
              <a:endParaRPr lang="es-AR" sz="1100"/>
            </a:p>
          </xdr:txBody>
        </xdr:sp>
      </mc:Choice>
      <mc:Fallback xmlns="">
        <xdr:sp macro="" textlink="">
          <xdr:nvSpPr>
            <xdr:cNvPr id="119" name="CuadroTexto 10">
              <a:extLst>
                <a:ext uri="{FF2B5EF4-FFF2-40B4-BE49-F238E27FC236}">
                  <a16:creationId xmlns:a16="http://schemas.microsoft.com/office/drawing/2014/main" id="{6ACA83E5-F91C-7A4B-812D-F862FF8BEF5C}"/>
                </a:ext>
              </a:extLst>
            </xdr:cNvPr>
            <xdr:cNvSpPr txBox="1"/>
          </xdr:nvSpPr>
          <xdr:spPr>
            <a:xfrm>
              <a:off x="8734425" y="1079500"/>
              <a:ext cx="343171"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Cambria Math" panose="02040503050406030204" pitchFamily="18" charset="0"/>
                  <a:cs typeface="+mn-cs"/>
                </a:rPr>
                <a:t>𝜎</a:t>
              </a:r>
              <a:r>
                <a:rPr lang="es-AR" sz="1100" b="0" i="0">
                  <a:solidFill>
                    <a:schemeClr val="tx1"/>
                  </a:solidFill>
                  <a:effectLst/>
                  <a:latin typeface="Cambria Math" panose="02040503050406030204" pitchFamily="18" charset="0"/>
                  <a:ea typeface="+mn-ea"/>
                  <a:cs typeface="+mn-cs"/>
                </a:rPr>
                <a:t>_𝑖𝑗=</a:t>
              </a:r>
              <a:endParaRPr lang="es-AR" sz="1100"/>
            </a:p>
          </xdr:txBody>
        </xdr:sp>
      </mc:Fallback>
    </mc:AlternateContent>
    <xdr:clientData/>
  </xdr:oneCellAnchor>
  <xdr:oneCellAnchor>
    <xdr:from>
      <xdr:col>10</xdr:col>
      <xdr:colOff>222885</xdr:colOff>
      <xdr:row>83</xdr:row>
      <xdr:rowOff>185737</xdr:rowOff>
    </xdr:from>
    <xdr:ext cx="1544462" cy="197426"/>
    <mc:AlternateContent xmlns:mc="http://schemas.openxmlformats.org/markup-compatibility/2006" xmlns:a14="http://schemas.microsoft.com/office/drawing/2010/main">
      <mc:Choice Requires="a14">
        <xdr:sp macro="" textlink="">
          <xdr:nvSpPr>
            <xdr:cNvPr id="120" name="CuadroTexto 11">
              <a:extLst>
                <a:ext uri="{FF2B5EF4-FFF2-40B4-BE49-F238E27FC236}">
                  <a16:creationId xmlns:a16="http://schemas.microsoft.com/office/drawing/2014/main" id="{C9C53E48-2477-F648-BB35-D4755E54F25A}"/>
                </a:ext>
              </a:extLst>
            </xdr:cNvPr>
            <xdr:cNvSpPr txBox="1"/>
          </xdr:nvSpPr>
          <xdr:spPr>
            <a:xfrm>
              <a:off x="9041765" y="17285017"/>
              <a:ext cx="154446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ctrlPr>
                          <a:rPr lang="es-AR" sz="1100" i="1">
                            <a:latin typeface="Cambria Math" panose="02040503050406030204" pitchFamily="18" charset="0"/>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r>
                          <a:rPr lang="es-AR" sz="1100" b="0" i="1">
                            <a:solidFill>
                              <a:schemeClr val="tx1"/>
                            </a:solidFill>
                            <a:effectLst/>
                            <a:latin typeface="Cambria Math" panose="02040503050406030204" pitchFamily="18" charset="0"/>
                            <a:ea typeface="+mn-ea"/>
                            <a:cs typeface="+mn-cs"/>
                          </a:rPr>
                          <m:t>(</m:t>
                        </m:r>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𝑖</m:t>
                            </m:r>
                          </m:sub>
                        </m:sSub>
                        <m:r>
                          <a:rPr lang="es-AR" sz="1100" b="0" i="1">
                            <a:solidFill>
                              <a:schemeClr val="tx1"/>
                            </a:solidFill>
                            <a:effectLst/>
                            <a:latin typeface="Cambria Math" panose="02040503050406030204" pitchFamily="18" charset="0"/>
                            <a:ea typeface="+mn-ea"/>
                            <a:cs typeface="+mn-cs"/>
                          </a:rPr>
                          <m:t>)</m:t>
                        </m:r>
                      </m:e>
                    </m:d>
                    <m:d>
                      <m:dPr>
                        <m:ctrlPr>
                          <a:rPr lang="es-AR" sz="1100" i="1">
                            <a:latin typeface="Cambria Math" panose="02040503050406030204" pitchFamily="18" charset="0"/>
                          </a:rPr>
                        </m:ctrlPr>
                      </m:dPr>
                      <m:e>
                        <m:sSub>
                          <m:sSubPr>
                            <m:ctrlPr>
                              <a:rPr lang="es-AR" sz="110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r>
                          <a:rPr lang="es-AR" sz="1100" b="0" i="1">
                            <a:solidFill>
                              <a:schemeClr val="tx1"/>
                            </a:solidFill>
                            <a:effectLst/>
                            <a:latin typeface="Cambria Math" panose="02040503050406030204" pitchFamily="18" charset="0"/>
                            <a:ea typeface="+mn-ea"/>
                            <a:cs typeface="+mn-cs"/>
                          </a:rPr>
                          <m:t>𝐸</m:t>
                        </m:r>
                        <m:r>
                          <a:rPr lang="es-AR" sz="1100" b="0" i="1">
                            <a:solidFill>
                              <a:schemeClr val="tx1"/>
                            </a:solidFill>
                            <a:effectLst/>
                            <a:latin typeface="Cambria Math" panose="02040503050406030204" pitchFamily="18" charset="0"/>
                            <a:ea typeface="+mn-ea"/>
                            <a:cs typeface="+mn-cs"/>
                          </a:rPr>
                          <m:t>(</m:t>
                        </m:r>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mn-ea"/>
                                <a:cs typeface="+mn-cs"/>
                              </a:rPr>
                              <m:t>𝑅</m:t>
                            </m:r>
                          </m:e>
                          <m:sub>
                            <m:r>
                              <a:rPr lang="es-AR" sz="1100" b="0" i="1">
                                <a:solidFill>
                                  <a:schemeClr val="tx1"/>
                                </a:solidFill>
                                <a:effectLst/>
                                <a:latin typeface="Cambria Math" panose="02040503050406030204" pitchFamily="18" charset="0"/>
                                <a:ea typeface="+mn-ea"/>
                                <a:cs typeface="+mn-cs"/>
                              </a:rPr>
                              <m:t>𝑗</m:t>
                            </m:r>
                          </m:sub>
                        </m:sSub>
                        <m:r>
                          <a:rPr lang="es-AR" sz="1100" b="0" i="1">
                            <a:solidFill>
                              <a:schemeClr val="tx1"/>
                            </a:solidFill>
                            <a:effectLst/>
                            <a:latin typeface="Cambria Math" panose="02040503050406030204" pitchFamily="18" charset="0"/>
                            <a:ea typeface="+mn-ea"/>
                            <a:cs typeface="+mn-cs"/>
                          </a:rPr>
                          <m:t>)</m:t>
                        </m:r>
                      </m:e>
                    </m:d>
                  </m:oMath>
                </m:oMathPara>
              </a14:m>
              <a:endParaRPr lang="es-AR" sz="1100"/>
            </a:p>
          </xdr:txBody>
        </xdr:sp>
      </mc:Choice>
      <mc:Fallback xmlns="">
        <xdr:sp macro="" textlink="">
          <xdr:nvSpPr>
            <xdr:cNvPr id="120" name="CuadroTexto 11">
              <a:extLst>
                <a:ext uri="{FF2B5EF4-FFF2-40B4-BE49-F238E27FC236}">
                  <a16:creationId xmlns:a16="http://schemas.microsoft.com/office/drawing/2014/main" id="{C9C53E48-2477-F648-BB35-D4755E54F25A}"/>
                </a:ext>
              </a:extLst>
            </xdr:cNvPr>
            <xdr:cNvSpPr txBox="1"/>
          </xdr:nvSpPr>
          <xdr:spPr>
            <a:xfrm>
              <a:off x="9041765" y="17285017"/>
              <a:ext cx="1544462" cy="197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i="0">
                  <a:latin typeface="Cambria Math" panose="02040503050406030204" pitchFamily="18" charset="0"/>
                </a:rPr>
                <a:t>(</a:t>
              </a:r>
              <a:r>
                <a:rPr lang="es-AR" sz="1100" b="0" i="0">
                  <a:solidFill>
                    <a:schemeClr val="tx1"/>
                  </a:solidFill>
                  <a:effectLst/>
                  <a:latin typeface="Cambria Math" panose="02040503050406030204" pitchFamily="18" charset="0"/>
                  <a:ea typeface="+mn-ea"/>
                  <a:cs typeface="+mn-cs"/>
                </a:rPr>
                <a:t>𝑅_𝑖−𝐸(𝑅_𝑖))</a:t>
              </a:r>
              <a:r>
                <a:rPr lang="es-AR" sz="1100" i="0">
                  <a:latin typeface="Cambria Math" panose="02040503050406030204" pitchFamily="18" charset="0"/>
                </a:rPr>
                <a:t>(</a:t>
              </a:r>
              <a:r>
                <a:rPr lang="es-AR" sz="1100" b="0" i="0">
                  <a:solidFill>
                    <a:schemeClr val="tx1"/>
                  </a:solidFill>
                  <a:effectLst/>
                  <a:latin typeface="Cambria Math" panose="02040503050406030204" pitchFamily="18" charset="0"/>
                  <a:ea typeface="+mn-ea"/>
                  <a:cs typeface="+mn-cs"/>
                </a:rPr>
                <a:t>𝑅_𝑗−𝐸(𝑅_𝑗))</a:t>
              </a:r>
              <a:endParaRPr lang="es-AR" sz="1100"/>
            </a:p>
          </xdr:txBody>
        </xdr:sp>
      </mc:Fallback>
    </mc:AlternateContent>
    <xdr:clientData/>
  </xdr:oneCellAnchor>
  <xdr:oneCellAnchor>
    <xdr:from>
      <xdr:col>8</xdr:col>
      <xdr:colOff>314325</xdr:colOff>
      <xdr:row>81</xdr:row>
      <xdr:rowOff>9525</xdr:rowOff>
    </xdr:from>
    <xdr:ext cx="345416" cy="183192"/>
    <mc:AlternateContent xmlns:mc="http://schemas.openxmlformats.org/markup-compatibility/2006" xmlns:a14="http://schemas.microsoft.com/office/drawing/2010/main">
      <mc:Choice Requires="a14">
        <xdr:sp macro="" textlink="">
          <xdr:nvSpPr>
            <xdr:cNvPr id="121" name="CuadroTexto 13">
              <a:extLst>
                <a:ext uri="{FF2B5EF4-FFF2-40B4-BE49-F238E27FC236}">
                  <a16:creationId xmlns:a16="http://schemas.microsoft.com/office/drawing/2014/main" id="{9EC372BD-C023-D44D-B5FF-75B375E6B970}"/>
                </a:ext>
              </a:extLst>
            </xdr:cNvPr>
            <xdr:cNvSpPr txBox="1"/>
          </xdr:nvSpPr>
          <xdr:spPr>
            <a:xfrm>
              <a:off x="8734425" y="1279525"/>
              <a:ext cx="345416"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AR" sz="1100" b="0" i="1">
                            <a:solidFill>
                              <a:schemeClr val="tx1"/>
                            </a:solidFill>
                            <a:effectLst/>
                            <a:latin typeface="Cambria Math" panose="02040503050406030204" pitchFamily="18" charset="0"/>
                            <a:ea typeface="+mn-ea"/>
                            <a:cs typeface="+mn-cs"/>
                          </a:rPr>
                        </m:ctrlPr>
                      </m:sSubPr>
                      <m:e>
                        <m:r>
                          <a:rPr lang="es-AR" sz="1100" b="0" i="1">
                            <a:solidFill>
                              <a:schemeClr val="tx1"/>
                            </a:solidFill>
                            <a:effectLst/>
                            <a:latin typeface="Cambria Math" panose="02040503050406030204" pitchFamily="18" charset="0"/>
                            <a:ea typeface="Cambria Math" panose="02040503050406030204" pitchFamily="18" charset="0"/>
                            <a:cs typeface="+mn-cs"/>
                          </a:rPr>
                          <m:t>𝜌</m:t>
                        </m:r>
                      </m:e>
                      <m:sub>
                        <m:r>
                          <a:rPr lang="es-AR" sz="1100" b="0" i="1">
                            <a:solidFill>
                              <a:schemeClr val="tx1"/>
                            </a:solidFill>
                            <a:effectLst/>
                            <a:latin typeface="Cambria Math" panose="02040503050406030204" pitchFamily="18" charset="0"/>
                            <a:ea typeface="+mn-ea"/>
                            <a:cs typeface="+mn-cs"/>
                          </a:rPr>
                          <m:t>𝑖𝑗</m:t>
                        </m:r>
                      </m:sub>
                    </m:sSub>
                    <m:r>
                      <a:rPr lang="es-AR" sz="1100" b="0" i="1">
                        <a:solidFill>
                          <a:schemeClr val="tx1"/>
                        </a:solidFill>
                        <a:effectLst/>
                        <a:latin typeface="Cambria Math" panose="02040503050406030204" pitchFamily="18" charset="0"/>
                        <a:ea typeface="+mn-ea"/>
                        <a:cs typeface="+mn-cs"/>
                      </a:rPr>
                      <m:t>=</m:t>
                    </m:r>
                  </m:oMath>
                </m:oMathPara>
              </a14:m>
              <a:endParaRPr lang="es-AR" sz="1100"/>
            </a:p>
          </xdr:txBody>
        </xdr:sp>
      </mc:Choice>
      <mc:Fallback xmlns="">
        <xdr:sp macro="" textlink="">
          <xdr:nvSpPr>
            <xdr:cNvPr id="121" name="CuadroTexto 13">
              <a:extLst>
                <a:ext uri="{FF2B5EF4-FFF2-40B4-BE49-F238E27FC236}">
                  <a16:creationId xmlns:a16="http://schemas.microsoft.com/office/drawing/2014/main" id="{9EC372BD-C023-D44D-B5FF-75B375E6B970}"/>
                </a:ext>
              </a:extLst>
            </xdr:cNvPr>
            <xdr:cNvSpPr txBox="1"/>
          </xdr:nvSpPr>
          <xdr:spPr>
            <a:xfrm>
              <a:off x="8734425" y="1279525"/>
              <a:ext cx="345416" cy="1831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AR" sz="1100" b="0" i="0">
                  <a:solidFill>
                    <a:schemeClr val="tx1"/>
                  </a:solidFill>
                  <a:effectLst/>
                  <a:latin typeface="Cambria Math" panose="02040503050406030204" pitchFamily="18" charset="0"/>
                  <a:ea typeface="Cambria Math" panose="02040503050406030204" pitchFamily="18" charset="0"/>
                  <a:cs typeface="+mn-cs"/>
                </a:rPr>
                <a:t>𝜌</a:t>
              </a:r>
              <a:r>
                <a:rPr lang="es-AR" sz="1100" b="0" i="0">
                  <a:solidFill>
                    <a:schemeClr val="tx1"/>
                  </a:solidFill>
                  <a:effectLst/>
                  <a:latin typeface="Cambria Math" panose="02040503050406030204" pitchFamily="18" charset="0"/>
                  <a:ea typeface="+mn-ea"/>
                  <a:cs typeface="+mn-cs"/>
                </a:rPr>
                <a:t>_𝑖𝑗=</a:t>
              </a:r>
              <a:endParaRPr lang="es-AR" sz="1100"/>
            </a:p>
          </xdr:txBody>
        </xdr:sp>
      </mc:Fallback>
    </mc:AlternateContent>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30059</xdr:colOff>
      <xdr:row>3</xdr:row>
      <xdr:rowOff>127753</xdr:rowOff>
    </xdr:from>
    <xdr:to>
      <xdr:col>5</xdr:col>
      <xdr:colOff>0</xdr:colOff>
      <xdr:row>15</xdr:row>
      <xdr:rowOff>105207</xdr:rowOff>
    </xdr:to>
    <xdr:pic>
      <xdr:nvPicPr>
        <xdr:cNvPr id="2" name="Picture 1">
          <a:extLst>
            <a:ext uri="{FF2B5EF4-FFF2-40B4-BE49-F238E27FC236}">
              <a16:creationId xmlns:a16="http://schemas.microsoft.com/office/drawing/2014/main" id="{F1CF25DC-9F4E-7335-3B66-725953D23727}"/>
            </a:ext>
          </a:extLst>
        </xdr:cNvPr>
        <xdr:cNvPicPr>
          <a:picLocks noChangeAspect="1"/>
        </xdr:cNvPicPr>
      </xdr:nvPicPr>
      <xdr:blipFill>
        <a:blip xmlns:r="http://schemas.openxmlformats.org/officeDocument/2006/relationships" r:embed="rId1"/>
        <a:stretch>
          <a:fillRect/>
        </a:stretch>
      </xdr:blipFill>
      <xdr:spPr>
        <a:xfrm>
          <a:off x="30059" y="736451"/>
          <a:ext cx="4103077" cy="2412247"/>
        </a:xfrm>
        <a:prstGeom prst="rect">
          <a:avLst/>
        </a:prstGeom>
      </xdr:spPr>
    </xdr:pic>
    <xdr:clientData/>
  </xdr:twoCellAnchor>
  <xdr:twoCellAnchor editAs="oneCell">
    <xdr:from>
      <xdr:col>0</xdr:col>
      <xdr:colOff>37574</xdr:colOff>
      <xdr:row>19</xdr:row>
      <xdr:rowOff>112720</xdr:rowOff>
    </xdr:from>
    <xdr:to>
      <xdr:col>4</xdr:col>
      <xdr:colOff>821216</xdr:colOff>
      <xdr:row>35</xdr:row>
      <xdr:rowOff>138451</xdr:rowOff>
    </xdr:to>
    <xdr:pic>
      <xdr:nvPicPr>
        <xdr:cNvPr id="3" name="Picture 2">
          <a:extLst>
            <a:ext uri="{FF2B5EF4-FFF2-40B4-BE49-F238E27FC236}">
              <a16:creationId xmlns:a16="http://schemas.microsoft.com/office/drawing/2014/main" id="{F1A41A46-2154-82FB-B2E4-70489F576E03}"/>
            </a:ext>
          </a:extLst>
        </xdr:cNvPr>
        <xdr:cNvPicPr>
          <a:picLocks noChangeAspect="1"/>
        </xdr:cNvPicPr>
      </xdr:nvPicPr>
      <xdr:blipFill>
        <a:blip xmlns:r="http://schemas.openxmlformats.org/officeDocument/2006/relationships" r:embed="rId2"/>
        <a:stretch>
          <a:fillRect/>
        </a:stretch>
      </xdr:blipFill>
      <xdr:spPr>
        <a:xfrm>
          <a:off x="37574" y="3967809"/>
          <a:ext cx="4090151" cy="3272121"/>
        </a:xfrm>
        <a:prstGeom prst="rect">
          <a:avLst/>
        </a:prstGeom>
      </xdr:spPr>
    </xdr:pic>
    <xdr:clientData/>
  </xdr:twoCellAnchor>
  <xdr:twoCellAnchor editAs="oneCell">
    <xdr:from>
      <xdr:col>9</xdr:col>
      <xdr:colOff>623728</xdr:colOff>
      <xdr:row>20</xdr:row>
      <xdr:rowOff>145999</xdr:rowOff>
    </xdr:from>
    <xdr:to>
      <xdr:col>12</xdr:col>
      <xdr:colOff>789054</xdr:colOff>
      <xdr:row>25</xdr:row>
      <xdr:rowOff>143554</xdr:rowOff>
    </xdr:to>
    <xdr:pic>
      <xdr:nvPicPr>
        <xdr:cNvPr id="4" name="Picture 3">
          <a:extLst>
            <a:ext uri="{FF2B5EF4-FFF2-40B4-BE49-F238E27FC236}">
              <a16:creationId xmlns:a16="http://schemas.microsoft.com/office/drawing/2014/main" id="{CC23802B-1C32-5B82-642A-3DAD51D6F3D8}"/>
            </a:ext>
          </a:extLst>
        </xdr:cNvPr>
        <xdr:cNvPicPr>
          <a:picLocks noChangeAspect="1"/>
        </xdr:cNvPicPr>
      </xdr:nvPicPr>
      <xdr:blipFill>
        <a:blip xmlns:r="http://schemas.openxmlformats.org/officeDocument/2006/relationships" r:embed="rId3"/>
        <a:stretch>
          <a:fillRect/>
        </a:stretch>
      </xdr:blipFill>
      <xdr:spPr>
        <a:xfrm>
          <a:off x="8063373" y="4203987"/>
          <a:ext cx="2645208" cy="1012052"/>
        </a:xfrm>
        <a:prstGeom prst="rect">
          <a:avLst/>
        </a:prstGeom>
      </xdr:spPr>
    </xdr:pic>
    <xdr:clientData/>
  </xdr:twoCellAnchor>
  <xdr:twoCellAnchor editAs="oneCell">
    <xdr:from>
      <xdr:col>3</xdr:col>
      <xdr:colOff>352108</xdr:colOff>
      <xdr:row>30</xdr:row>
      <xdr:rowOff>161901</xdr:rowOff>
    </xdr:from>
    <xdr:to>
      <xdr:col>4</xdr:col>
      <xdr:colOff>788361</xdr:colOff>
      <xdr:row>31</xdr:row>
      <xdr:rowOff>113081</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 name="Ink 4">
              <a:extLst>
                <a:ext uri="{FF2B5EF4-FFF2-40B4-BE49-F238E27FC236}">
                  <a16:creationId xmlns:a16="http://schemas.microsoft.com/office/drawing/2014/main" id="{31DA2A94-C22D-27E1-4321-A48457AE6F59}"/>
                </a:ext>
              </a:extLst>
            </xdr14:cNvPr>
            <xdr14:cNvContentPartPr/>
          </xdr14:nvContentPartPr>
          <xdr14:nvPr macro=""/>
          <xdr14:xfrm>
            <a:off x="2831990" y="6248883"/>
            <a:ext cx="1262880" cy="154080"/>
          </xdr14:xfrm>
        </xdr:contentPart>
      </mc:Choice>
      <mc:Fallback xmlns="">
        <xdr:pic>
          <xdr:nvPicPr>
            <xdr:cNvPr id="5" name="Ink 4">
              <a:extLst>
                <a:ext uri="{FF2B5EF4-FFF2-40B4-BE49-F238E27FC236}">
                  <a16:creationId xmlns:a16="http://schemas.microsoft.com/office/drawing/2014/main" id="{31DA2A94-C22D-27E1-4321-A48457AE6F59}"/>
                </a:ext>
              </a:extLst>
            </xdr:cNvPr>
            <xdr:cNvPicPr/>
          </xdr:nvPicPr>
          <xdr:blipFill>
            <a:blip xmlns:r="http://schemas.openxmlformats.org/officeDocument/2006/relationships" r:embed="rId5"/>
            <a:stretch>
              <a:fillRect/>
            </a:stretch>
          </xdr:blipFill>
          <xdr:spPr>
            <a:xfrm>
              <a:off x="2827670" y="6244563"/>
              <a:ext cx="1271520" cy="162720"/>
            </a:xfrm>
            <a:prstGeom prst="rect">
              <a:avLst/>
            </a:prstGeom>
          </xdr:spPr>
        </xdr:pic>
      </mc:Fallback>
    </mc:AlternateContent>
    <xdr:clientData/>
  </xdr:twoCellAnchor>
  <xdr:twoCellAnchor editAs="oneCell">
    <xdr:from>
      <xdr:col>0</xdr:col>
      <xdr:colOff>0</xdr:colOff>
      <xdr:row>40</xdr:row>
      <xdr:rowOff>1</xdr:rowOff>
    </xdr:from>
    <xdr:to>
      <xdr:col>4</xdr:col>
      <xdr:colOff>728935</xdr:colOff>
      <xdr:row>52</xdr:row>
      <xdr:rowOff>130374</xdr:rowOff>
    </xdr:to>
    <xdr:pic>
      <xdr:nvPicPr>
        <xdr:cNvPr id="6" name="Picture 5">
          <a:extLst>
            <a:ext uri="{FF2B5EF4-FFF2-40B4-BE49-F238E27FC236}">
              <a16:creationId xmlns:a16="http://schemas.microsoft.com/office/drawing/2014/main" id="{ABF6D589-4CE4-1093-AFE4-9B7F1E90B475}"/>
            </a:ext>
          </a:extLst>
        </xdr:cNvPr>
        <xdr:cNvPicPr>
          <a:picLocks noChangeAspect="1"/>
        </xdr:cNvPicPr>
      </xdr:nvPicPr>
      <xdr:blipFill>
        <a:blip xmlns:r="http://schemas.openxmlformats.org/officeDocument/2006/relationships" r:embed="rId6"/>
        <a:stretch>
          <a:fillRect/>
        </a:stretch>
      </xdr:blipFill>
      <xdr:spPr>
        <a:xfrm>
          <a:off x="0" y="8115977"/>
          <a:ext cx="4035444" cy="2565166"/>
        </a:xfrm>
        <a:prstGeom prst="rect">
          <a:avLst/>
        </a:prstGeom>
      </xdr:spPr>
    </xdr:pic>
    <xdr:clientData/>
  </xdr:twoCellAnchor>
  <xdr:twoCellAnchor editAs="oneCell">
    <xdr:from>
      <xdr:col>0</xdr:col>
      <xdr:colOff>75148</xdr:colOff>
      <xdr:row>57</xdr:row>
      <xdr:rowOff>165326</xdr:rowOff>
    </xdr:from>
    <xdr:to>
      <xdr:col>4</xdr:col>
      <xdr:colOff>751479</xdr:colOff>
      <xdr:row>72</xdr:row>
      <xdr:rowOff>182651</xdr:rowOff>
    </xdr:to>
    <xdr:pic>
      <xdr:nvPicPr>
        <xdr:cNvPr id="7" name="Picture 6">
          <a:extLst>
            <a:ext uri="{FF2B5EF4-FFF2-40B4-BE49-F238E27FC236}">
              <a16:creationId xmlns:a16="http://schemas.microsoft.com/office/drawing/2014/main" id="{0D5DEAA3-E628-3B80-672E-95EF56BDE2EA}"/>
            </a:ext>
          </a:extLst>
        </xdr:cNvPr>
        <xdr:cNvPicPr>
          <a:picLocks noChangeAspect="1"/>
        </xdr:cNvPicPr>
      </xdr:nvPicPr>
      <xdr:blipFill>
        <a:blip xmlns:r="http://schemas.openxmlformats.org/officeDocument/2006/relationships" r:embed="rId7"/>
        <a:stretch>
          <a:fillRect/>
        </a:stretch>
      </xdr:blipFill>
      <xdr:spPr>
        <a:xfrm>
          <a:off x="75148" y="11730592"/>
          <a:ext cx="3982840" cy="3060816"/>
        </a:xfrm>
        <a:prstGeom prst="rect">
          <a:avLst/>
        </a:prstGeom>
      </xdr:spPr>
    </xdr:pic>
    <xdr:clientData/>
  </xdr:twoCellAnchor>
  <xdr:twoCellAnchor editAs="oneCell">
    <xdr:from>
      <xdr:col>0</xdr:col>
      <xdr:colOff>0</xdr:colOff>
      <xdr:row>73</xdr:row>
      <xdr:rowOff>0</xdr:rowOff>
    </xdr:from>
    <xdr:to>
      <xdr:col>4</xdr:col>
      <xdr:colOff>728935</xdr:colOff>
      <xdr:row>85</xdr:row>
      <xdr:rowOff>21564</xdr:rowOff>
    </xdr:to>
    <xdr:pic>
      <xdr:nvPicPr>
        <xdr:cNvPr id="8" name="Picture 7">
          <a:extLst>
            <a:ext uri="{FF2B5EF4-FFF2-40B4-BE49-F238E27FC236}">
              <a16:creationId xmlns:a16="http://schemas.microsoft.com/office/drawing/2014/main" id="{378E88D8-D263-BE62-4557-C7DFE32857CE}"/>
            </a:ext>
          </a:extLst>
        </xdr:cNvPr>
        <xdr:cNvPicPr>
          <a:picLocks noChangeAspect="1"/>
        </xdr:cNvPicPr>
      </xdr:nvPicPr>
      <xdr:blipFill>
        <a:blip xmlns:r="http://schemas.openxmlformats.org/officeDocument/2006/relationships" r:embed="rId8"/>
        <a:stretch>
          <a:fillRect/>
        </a:stretch>
      </xdr:blipFill>
      <xdr:spPr>
        <a:xfrm>
          <a:off x="0" y="14811657"/>
          <a:ext cx="4035444" cy="2456357"/>
        </a:xfrm>
        <a:prstGeom prst="rect">
          <a:avLst/>
        </a:prstGeom>
      </xdr:spPr>
    </xdr:pic>
    <xdr:clientData/>
  </xdr:twoCellAnchor>
  <xdr:twoCellAnchor editAs="oneCell">
    <xdr:from>
      <xdr:col>3</xdr:col>
      <xdr:colOff>94478</xdr:colOff>
      <xdr:row>77</xdr:row>
      <xdr:rowOff>117026</xdr:rowOff>
    </xdr:from>
    <xdr:to>
      <xdr:col>4</xdr:col>
      <xdr:colOff>186571</xdr:colOff>
      <xdr:row>80</xdr:row>
      <xdr:rowOff>199527</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9" name="Ink 8">
              <a:extLst>
                <a:ext uri="{FF2B5EF4-FFF2-40B4-BE49-F238E27FC236}">
                  <a16:creationId xmlns:a16="http://schemas.microsoft.com/office/drawing/2014/main" id="{680E2C72-6656-BC86-66ED-EF25DC47ACBE}"/>
                </a:ext>
              </a:extLst>
            </xdr14:cNvPr>
            <xdr14:cNvContentPartPr/>
          </xdr14:nvContentPartPr>
          <xdr14:nvPr macro=""/>
          <xdr14:xfrm>
            <a:off x="2574360" y="15740280"/>
            <a:ext cx="918720" cy="691200"/>
          </xdr14:xfrm>
        </xdr:contentPart>
      </mc:Choice>
      <mc:Fallback xmlns="">
        <xdr:pic>
          <xdr:nvPicPr>
            <xdr:cNvPr id="9" name="Ink 8">
              <a:extLst>
                <a:ext uri="{FF2B5EF4-FFF2-40B4-BE49-F238E27FC236}">
                  <a16:creationId xmlns:a16="http://schemas.microsoft.com/office/drawing/2014/main" id="{680E2C72-6656-BC86-66ED-EF25DC47ACBE}"/>
                </a:ext>
              </a:extLst>
            </xdr:cNvPr>
            <xdr:cNvPicPr/>
          </xdr:nvPicPr>
          <xdr:blipFill>
            <a:blip xmlns:r="http://schemas.openxmlformats.org/officeDocument/2006/relationships" r:embed="rId10"/>
            <a:stretch>
              <a:fillRect/>
            </a:stretch>
          </xdr:blipFill>
          <xdr:spPr>
            <a:xfrm>
              <a:off x="2565720" y="15731280"/>
              <a:ext cx="936360" cy="708840"/>
            </a:xfrm>
            <a:prstGeom prst="rect">
              <a:avLst/>
            </a:prstGeom>
          </xdr:spPr>
        </xdr:pic>
      </mc:Fallback>
    </mc:AlternateContent>
    <xdr:clientData/>
  </xdr:twoCellAnchor>
  <xdr:twoCellAnchor editAs="oneCell">
    <xdr:from>
      <xdr:col>3</xdr:col>
      <xdr:colOff>371678</xdr:colOff>
      <xdr:row>80</xdr:row>
      <xdr:rowOff>188727</xdr:rowOff>
    </xdr:from>
    <xdr:to>
      <xdr:col>5</xdr:col>
      <xdr:colOff>82824</xdr:colOff>
      <xdr:row>85</xdr:row>
      <xdr:rowOff>128950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751DAA1C-6BB7-A721-6ABB-CB27C7BB6E10}"/>
                </a:ext>
              </a:extLst>
            </xdr14:cNvPr>
            <xdr14:cNvContentPartPr/>
          </xdr14:nvContentPartPr>
          <xdr14:nvPr macro=""/>
          <xdr14:xfrm>
            <a:off x="2851560" y="16420680"/>
            <a:ext cx="1364400" cy="954720"/>
          </xdr14:xfrm>
        </xdr:contentPart>
      </mc:Choice>
      <mc:Fallback xmlns="">
        <xdr:pic>
          <xdr:nvPicPr>
            <xdr:cNvPr id="10" name="Ink 9">
              <a:extLst>
                <a:ext uri="{FF2B5EF4-FFF2-40B4-BE49-F238E27FC236}">
                  <a16:creationId xmlns:a16="http://schemas.microsoft.com/office/drawing/2014/main" id="{751DAA1C-6BB7-A721-6ABB-CB27C7BB6E10}"/>
                </a:ext>
              </a:extLst>
            </xdr:cNvPr>
            <xdr:cNvPicPr/>
          </xdr:nvPicPr>
          <xdr:blipFill>
            <a:blip xmlns:r="http://schemas.openxmlformats.org/officeDocument/2006/relationships" r:embed="rId12"/>
            <a:stretch>
              <a:fillRect/>
            </a:stretch>
          </xdr:blipFill>
          <xdr:spPr>
            <a:xfrm>
              <a:off x="2847233" y="16416284"/>
              <a:ext cx="1373054" cy="963513"/>
            </a:xfrm>
            <a:prstGeom prst="rect">
              <a:avLst/>
            </a:prstGeom>
          </xdr:spPr>
        </xdr:pic>
      </mc:Fallback>
    </mc:AlternateContent>
    <xdr:clientData/>
  </xdr:twoCellAnchor>
  <xdr:twoCellAnchor editAs="oneCell">
    <xdr:from>
      <xdr:col>3</xdr:col>
      <xdr:colOff>555638</xdr:colOff>
      <xdr:row>74</xdr:row>
      <xdr:rowOff>51444</xdr:rowOff>
    </xdr:from>
    <xdr:to>
      <xdr:col>5</xdr:col>
      <xdr:colOff>109464</xdr:colOff>
      <xdr:row>76</xdr:row>
      <xdr:rowOff>184565</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0">
              <a:extLst>
                <a:ext uri="{FF2B5EF4-FFF2-40B4-BE49-F238E27FC236}">
                  <a16:creationId xmlns:a16="http://schemas.microsoft.com/office/drawing/2014/main" id="{F9E707B5-797E-DBC3-561F-55BE0AFA3274}"/>
                </a:ext>
              </a:extLst>
            </xdr14:cNvPr>
            <xdr14:cNvContentPartPr/>
          </xdr14:nvContentPartPr>
          <xdr14:nvPr macro=""/>
          <xdr14:xfrm>
            <a:off x="3035520" y="15066000"/>
            <a:ext cx="1207080" cy="538920"/>
          </xdr14:xfrm>
        </xdr:contentPart>
      </mc:Choice>
      <mc:Fallback xmlns="">
        <xdr:pic>
          <xdr:nvPicPr>
            <xdr:cNvPr id="11" name="Ink 10">
              <a:extLst>
                <a:ext uri="{FF2B5EF4-FFF2-40B4-BE49-F238E27FC236}">
                  <a16:creationId xmlns:a16="http://schemas.microsoft.com/office/drawing/2014/main" id="{F9E707B5-797E-DBC3-561F-55BE0AFA3274}"/>
                </a:ext>
              </a:extLst>
            </xdr:cNvPr>
            <xdr:cNvPicPr/>
          </xdr:nvPicPr>
          <xdr:blipFill>
            <a:blip xmlns:r="http://schemas.openxmlformats.org/officeDocument/2006/relationships" r:embed="rId14"/>
            <a:stretch>
              <a:fillRect/>
            </a:stretch>
          </xdr:blipFill>
          <xdr:spPr>
            <a:xfrm>
              <a:off x="3026880" y="15057360"/>
              <a:ext cx="1224720" cy="556560"/>
            </a:xfrm>
            <a:prstGeom prst="rect">
              <a:avLst/>
            </a:prstGeom>
          </xdr:spPr>
        </xdr:pic>
      </mc:Fallback>
    </mc:AlternateContent>
    <xdr:clientData/>
  </xdr:twoCellAnchor>
  <xdr:twoCellAnchor editAs="oneCell">
    <xdr:from>
      <xdr:col>0</xdr:col>
      <xdr:colOff>0</xdr:colOff>
      <xdr:row>94</xdr:row>
      <xdr:rowOff>30059</xdr:rowOff>
    </xdr:from>
    <xdr:to>
      <xdr:col>4</xdr:col>
      <xdr:colOff>723665</xdr:colOff>
      <xdr:row>107</xdr:row>
      <xdr:rowOff>6412</xdr:rowOff>
    </xdr:to>
    <xdr:pic>
      <xdr:nvPicPr>
        <xdr:cNvPr id="12" name="Picture 11">
          <a:extLst>
            <a:ext uri="{FF2B5EF4-FFF2-40B4-BE49-F238E27FC236}">
              <a16:creationId xmlns:a16="http://schemas.microsoft.com/office/drawing/2014/main" id="{C992DF29-FA01-E313-155C-C7A304A6F553}"/>
            </a:ext>
          </a:extLst>
        </xdr:cNvPr>
        <xdr:cNvPicPr>
          <a:picLocks noChangeAspect="1"/>
        </xdr:cNvPicPr>
      </xdr:nvPicPr>
      <xdr:blipFill>
        <a:blip xmlns:r="http://schemas.openxmlformats.org/officeDocument/2006/relationships" r:embed="rId15"/>
        <a:stretch>
          <a:fillRect/>
        </a:stretch>
      </xdr:blipFill>
      <xdr:spPr>
        <a:xfrm>
          <a:off x="0" y="19102603"/>
          <a:ext cx="4030174" cy="2614046"/>
        </a:xfrm>
        <a:prstGeom prst="rect">
          <a:avLst/>
        </a:prstGeom>
      </xdr:spPr>
    </xdr:pic>
    <xdr:clientData/>
  </xdr:twoCellAnchor>
  <xdr:twoCellAnchor editAs="oneCell">
    <xdr:from>
      <xdr:col>0</xdr:col>
      <xdr:colOff>75148</xdr:colOff>
      <xdr:row>112</xdr:row>
      <xdr:rowOff>157811</xdr:rowOff>
    </xdr:from>
    <xdr:to>
      <xdr:col>3</xdr:col>
      <xdr:colOff>789053</xdr:colOff>
      <xdr:row>122</xdr:row>
      <xdr:rowOff>93921</xdr:rowOff>
    </xdr:to>
    <xdr:pic>
      <xdr:nvPicPr>
        <xdr:cNvPr id="13" name="Picture 12">
          <a:extLst>
            <a:ext uri="{FF2B5EF4-FFF2-40B4-BE49-F238E27FC236}">
              <a16:creationId xmlns:a16="http://schemas.microsoft.com/office/drawing/2014/main" id="{C99C4860-CCDB-27D1-309A-E587B3195F0B}"/>
            </a:ext>
          </a:extLst>
        </xdr:cNvPr>
        <xdr:cNvPicPr>
          <a:picLocks noChangeAspect="1"/>
        </xdr:cNvPicPr>
      </xdr:nvPicPr>
      <xdr:blipFill>
        <a:blip xmlns:r="http://schemas.openxmlformats.org/officeDocument/2006/relationships" r:embed="rId16"/>
        <a:stretch>
          <a:fillRect/>
        </a:stretch>
      </xdr:blipFill>
      <xdr:spPr>
        <a:xfrm>
          <a:off x="75148" y="22882545"/>
          <a:ext cx="3193787" cy="1965104"/>
        </a:xfrm>
        <a:prstGeom prst="rect">
          <a:avLst/>
        </a:prstGeom>
      </xdr:spPr>
    </xdr:pic>
    <xdr:clientData/>
  </xdr:twoCellAnchor>
  <xdr:twoCellAnchor editAs="oneCell">
    <xdr:from>
      <xdr:col>0</xdr:col>
      <xdr:colOff>0</xdr:colOff>
      <xdr:row>124</xdr:row>
      <xdr:rowOff>0</xdr:rowOff>
    </xdr:from>
    <xdr:to>
      <xdr:col>3</xdr:col>
      <xdr:colOff>766508</xdr:colOff>
      <xdr:row>135</xdr:row>
      <xdr:rowOff>71881</xdr:rowOff>
    </xdr:to>
    <xdr:pic>
      <xdr:nvPicPr>
        <xdr:cNvPr id="14" name="Picture 13">
          <a:extLst>
            <a:ext uri="{FF2B5EF4-FFF2-40B4-BE49-F238E27FC236}">
              <a16:creationId xmlns:a16="http://schemas.microsoft.com/office/drawing/2014/main" id="{F28AEBE5-C953-6990-9EBB-97D70ED842DE}"/>
            </a:ext>
          </a:extLst>
        </xdr:cNvPr>
        <xdr:cNvPicPr>
          <a:picLocks noChangeAspect="1"/>
        </xdr:cNvPicPr>
      </xdr:nvPicPr>
      <xdr:blipFill>
        <a:blip xmlns:r="http://schemas.openxmlformats.org/officeDocument/2006/relationships" r:embed="rId17"/>
        <a:stretch>
          <a:fillRect/>
        </a:stretch>
      </xdr:blipFill>
      <xdr:spPr>
        <a:xfrm>
          <a:off x="0" y="25159527"/>
          <a:ext cx="3246390" cy="2356378"/>
        </a:xfrm>
        <a:prstGeom prst="rect">
          <a:avLst/>
        </a:prstGeom>
      </xdr:spPr>
    </xdr:pic>
    <xdr:clientData/>
  </xdr:twoCellAnchor>
  <xdr:twoCellAnchor editAs="oneCell">
    <xdr:from>
      <xdr:col>0</xdr:col>
      <xdr:colOff>0</xdr:colOff>
      <xdr:row>140</xdr:row>
      <xdr:rowOff>7514</xdr:rowOff>
    </xdr:from>
    <xdr:to>
      <xdr:col>4</xdr:col>
      <xdr:colOff>802033</xdr:colOff>
      <xdr:row>153</xdr:row>
      <xdr:rowOff>105207</xdr:rowOff>
    </xdr:to>
    <xdr:pic>
      <xdr:nvPicPr>
        <xdr:cNvPr id="15" name="Picture 14">
          <a:extLst>
            <a:ext uri="{FF2B5EF4-FFF2-40B4-BE49-F238E27FC236}">
              <a16:creationId xmlns:a16="http://schemas.microsoft.com/office/drawing/2014/main" id="{C537CFBB-8532-EB06-BE9B-008E542DAB87}"/>
            </a:ext>
          </a:extLst>
        </xdr:cNvPr>
        <xdr:cNvPicPr>
          <a:picLocks noChangeAspect="1"/>
        </xdr:cNvPicPr>
      </xdr:nvPicPr>
      <xdr:blipFill>
        <a:blip xmlns:r="http://schemas.openxmlformats.org/officeDocument/2006/relationships" r:embed="rId18"/>
        <a:stretch>
          <a:fillRect/>
        </a:stretch>
      </xdr:blipFill>
      <xdr:spPr>
        <a:xfrm>
          <a:off x="0" y="28466035"/>
          <a:ext cx="4108542" cy="2735385"/>
        </a:xfrm>
        <a:prstGeom prst="rect">
          <a:avLst/>
        </a:prstGeom>
      </xdr:spPr>
    </xdr:pic>
    <xdr:clientData/>
  </xdr:twoCellAnchor>
  <xdr:twoCellAnchor editAs="oneCell">
    <xdr:from>
      <xdr:col>0</xdr:col>
      <xdr:colOff>0</xdr:colOff>
      <xdr:row>159</xdr:row>
      <xdr:rowOff>18142</xdr:rowOff>
    </xdr:from>
    <xdr:to>
      <xdr:col>4</xdr:col>
      <xdr:colOff>762000</xdr:colOff>
      <xdr:row>171</xdr:row>
      <xdr:rowOff>188408</xdr:rowOff>
    </xdr:to>
    <xdr:pic>
      <xdr:nvPicPr>
        <xdr:cNvPr id="16" name="Picture 15">
          <a:extLst>
            <a:ext uri="{FF2B5EF4-FFF2-40B4-BE49-F238E27FC236}">
              <a16:creationId xmlns:a16="http://schemas.microsoft.com/office/drawing/2014/main" id="{8B65E593-4033-9117-8CB9-8B0CBCCF155B}"/>
            </a:ext>
          </a:extLst>
        </xdr:cNvPr>
        <xdr:cNvPicPr>
          <a:picLocks noChangeAspect="1"/>
        </xdr:cNvPicPr>
      </xdr:nvPicPr>
      <xdr:blipFill>
        <a:blip xmlns:r="http://schemas.openxmlformats.org/officeDocument/2006/relationships" r:embed="rId19"/>
        <a:stretch>
          <a:fillRect/>
        </a:stretch>
      </xdr:blipFill>
      <xdr:spPr>
        <a:xfrm>
          <a:off x="0" y="31804428"/>
          <a:ext cx="4064000" cy="2565123"/>
        </a:xfrm>
        <a:prstGeom prst="rect">
          <a:avLst/>
        </a:prstGeom>
      </xdr:spPr>
    </xdr:pic>
    <xdr:clientData/>
  </xdr:twoCellAnchor>
  <xdr:twoCellAnchor editAs="oneCell">
    <xdr:from>
      <xdr:col>0</xdr:col>
      <xdr:colOff>0</xdr:colOff>
      <xdr:row>175</xdr:row>
      <xdr:rowOff>99786</xdr:rowOff>
    </xdr:from>
    <xdr:to>
      <xdr:col>4</xdr:col>
      <xdr:colOff>764218</xdr:colOff>
      <xdr:row>187</xdr:row>
      <xdr:rowOff>181429</xdr:rowOff>
    </xdr:to>
    <xdr:pic>
      <xdr:nvPicPr>
        <xdr:cNvPr id="17" name="Picture 16">
          <a:extLst>
            <a:ext uri="{FF2B5EF4-FFF2-40B4-BE49-F238E27FC236}">
              <a16:creationId xmlns:a16="http://schemas.microsoft.com/office/drawing/2014/main" id="{417A4459-375D-3860-8C58-7E08095CEF4C}"/>
            </a:ext>
          </a:extLst>
        </xdr:cNvPr>
        <xdr:cNvPicPr>
          <a:picLocks noChangeAspect="1"/>
        </xdr:cNvPicPr>
      </xdr:nvPicPr>
      <xdr:blipFill>
        <a:blip xmlns:r="http://schemas.openxmlformats.org/officeDocument/2006/relationships" r:embed="rId20"/>
        <a:stretch>
          <a:fillRect/>
        </a:stretch>
      </xdr:blipFill>
      <xdr:spPr>
        <a:xfrm>
          <a:off x="0" y="35079215"/>
          <a:ext cx="4066218" cy="2476500"/>
        </a:xfrm>
        <a:prstGeom prst="rect">
          <a:avLst/>
        </a:prstGeom>
      </xdr:spPr>
    </xdr:pic>
    <xdr:clientData/>
  </xdr:twoCellAnchor>
  <xdr:twoCellAnchor editAs="oneCell">
    <xdr:from>
      <xdr:col>0</xdr:col>
      <xdr:colOff>0</xdr:colOff>
      <xdr:row>189</xdr:row>
      <xdr:rowOff>0</xdr:rowOff>
    </xdr:from>
    <xdr:to>
      <xdr:col>4</xdr:col>
      <xdr:colOff>762000</xdr:colOff>
      <xdr:row>201</xdr:row>
      <xdr:rowOff>103906</xdr:rowOff>
    </xdr:to>
    <xdr:pic>
      <xdr:nvPicPr>
        <xdr:cNvPr id="18" name="Picture 17">
          <a:extLst>
            <a:ext uri="{FF2B5EF4-FFF2-40B4-BE49-F238E27FC236}">
              <a16:creationId xmlns:a16="http://schemas.microsoft.com/office/drawing/2014/main" id="{6FB36909-8D02-1B3A-B053-4D50F1E1AA15}"/>
            </a:ext>
          </a:extLst>
        </xdr:cNvPr>
        <xdr:cNvPicPr>
          <a:picLocks noChangeAspect="1"/>
        </xdr:cNvPicPr>
      </xdr:nvPicPr>
      <xdr:blipFill>
        <a:blip xmlns:r="http://schemas.openxmlformats.org/officeDocument/2006/relationships" r:embed="rId21"/>
        <a:stretch>
          <a:fillRect/>
        </a:stretch>
      </xdr:blipFill>
      <xdr:spPr>
        <a:xfrm>
          <a:off x="0" y="37773429"/>
          <a:ext cx="4064000" cy="2498763"/>
        </a:xfrm>
        <a:prstGeom prst="rect">
          <a:avLst/>
        </a:prstGeom>
      </xdr:spPr>
    </xdr:pic>
    <xdr:clientData/>
  </xdr:twoCellAnchor>
  <xdr:twoCellAnchor editAs="oneCell">
    <xdr:from>
      <xdr:col>0</xdr:col>
      <xdr:colOff>0</xdr:colOff>
      <xdr:row>201</xdr:row>
      <xdr:rowOff>45357</xdr:rowOff>
    </xdr:from>
    <xdr:to>
      <xdr:col>4</xdr:col>
      <xdr:colOff>734786</xdr:colOff>
      <xdr:row>209</xdr:row>
      <xdr:rowOff>111208</xdr:rowOff>
    </xdr:to>
    <xdr:pic>
      <xdr:nvPicPr>
        <xdr:cNvPr id="19" name="Picture 18">
          <a:extLst>
            <a:ext uri="{FF2B5EF4-FFF2-40B4-BE49-F238E27FC236}">
              <a16:creationId xmlns:a16="http://schemas.microsoft.com/office/drawing/2014/main" id="{78C8F647-7EAE-B211-7B60-2A8A647D8F13}"/>
            </a:ext>
          </a:extLst>
        </xdr:cNvPr>
        <xdr:cNvPicPr>
          <a:picLocks noChangeAspect="1"/>
        </xdr:cNvPicPr>
      </xdr:nvPicPr>
      <xdr:blipFill>
        <a:blip xmlns:r="http://schemas.openxmlformats.org/officeDocument/2006/relationships" r:embed="rId22"/>
        <a:stretch>
          <a:fillRect/>
        </a:stretch>
      </xdr:blipFill>
      <xdr:spPr>
        <a:xfrm>
          <a:off x="0" y="40213643"/>
          <a:ext cx="4036786" cy="1662422"/>
        </a:xfrm>
        <a:prstGeom prst="rect">
          <a:avLst/>
        </a:prstGeom>
      </xdr:spPr>
    </xdr:pic>
    <xdr:clientData/>
  </xdr:twoCellAnchor>
  <xdr:twoCellAnchor editAs="oneCell">
    <xdr:from>
      <xdr:col>0</xdr:col>
      <xdr:colOff>0</xdr:colOff>
      <xdr:row>211</xdr:row>
      <xdr:rowOff>199571</xdr:rowOff>
    </xdr:from>
    <xdr:to>
      <xdr:col>4</xdr:col>
      <xdr:colOff>780143</xdr:colOff>
      <xdr:row>224</xdr:row>
      <xdr:rowOff>176387</xdr:rowOff>
    </xdr:to>
    <xdr:pic>
      <xdr:nvPicPr>
        <xdr:cNvPr id="20" name="Picture 19">
          <a:extLst>
            <a:ext uri="{FF2B5EF4-FFF2-40B4-BE49-F238E27FC236}">
              <a16:creationId xmlns:a16="http://schemas.microsoft.com/office/drawing/2014/main" id="{673FA1E7-E8BA-0F47-8308-C06C424C6F08}"/>
            </a:ext>
          </a:extLst>
        </xdr:cNvPr>
        <xdr:cNvPicPr>
          <a:picLocks noChangeAspect="1"/>
        </xdr:cNvPicPr>
      </xdr:nvPicPr>
      <xdr:blipFill>
        <a:blip xmlns:r="http://schemas.openxmlformats.org/officeDocument/2006/relationships" r:embed="rId23"/>
        <a:stretch>
          <a:fillRect/>
        </a:stretch>
      </xdr:blipFill>
      <xdr:spPr>
        <a:xfrm>
          <a:off x="0" y="42363571"/>
          <a:ext cx="4082143" cy="2571245"/>
        </a:xfrm>
        <a:prstGeom prst="rect">
          <a:avLst/>
        </a:prstGeom>
      </xdr:spPr>
    </xdr:pic>
    <xdr:clientData/>
  </xdr:twoCellAnchor>
  <xdr:twoCellAnchor editAs="oneCell">
    <xdr:from>
      <xdr:col>3</xdr:col>
      <xdr:colOff>512220</xdr:colOff>
      <xdr:row>220</xdr:row>
      <xdr:rowOff>157137</xdr:rowOff>
    </xdr:from>
    <xdr:to>
      <xdr:col>4</xdr:col>
      <xdr:colOff>375760</xdr:colOff>
      <xdr:row>221</xdr:row>
      <xdr:rowOff>38566</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1" name="Ink 20">
              <a:extLst>
                <a:ext uri="{FF2B5EF4-FFF2-40B4-BE49-F238E27FC236}">
                  <a16:creationId xmlns:a16="http://schemas.microsoft.com/office/drawing/2014/main" id="{7893537E-A856-373C-C141-A0CC328518E2}"/>
                </a:ext>
              </a:extLst>
            </xdr14:cNvPr>
            <xdr14:cNvContentPartPr/>
          </xdr14:nvContentPartPr>
          <xdr14:nvPr macro=""/>
          <xdr14:xfrm>
            <a:off x="2988720" y="44117280"/>
            <a:ext cx="689040" cy="81000"/>
          </xdr14:xfrm>
        </xdr:contentPart>
      </mc:Choice>
      <mc:Fallback xmlns="">
        <xdr:pic>
          <xdr:nvPicPr>
            <xdr:cNvPr id="21" name="Ink 20">
              <a:extLst>
                <a:ext uri="{FF2B5EF4-FFF2-40B4-BE49-F238E27FC236}">
                  <a16:creationId xmlns:a16="http://schemas.microsoft.com/office/drawing/2014/main" id="{7893537E-A856-373C-C141-A0CC328518E2}"/>
                </a:ext>
              </a:extLst>
            </xdr:cNvPr>
            <xdr:cNvPicPr/>
          </xdr:nvPicPr>
          <xdr:blipFill>
            <a:blip xmlns:r="http://schemas.openxmlformats.org/officeDocument/2006/relationships" r:embed="rId25"/>
            <a:stretch>
              <a:fillRect/>
            </a:stretch>
          </xdr:blipFill>
          <xdr:spPr>
            <a:xfrm>
              <a:off x="2980080" y="44108280"/>
              <a:ext cx="706680" cy="98640"/>
            </a:xfrm>
            <a:prstGeom prst="rect">
              <a:avLst/>
            </a:prstGeom>
          </xdr:spPr>
        </xdr:pic>
      </mc:Fallback>
    </mc:AlternateContent>
    <xdr:clientData/>
  </xdr:twoCellAnchor>
  <xdr:twoCellAnchor editAs="oneCell">
    <xdr:from>
      <xdr:col>4</xdr:col>
      <xdr:colOff>142480</xdr:colOff>
      <xdr:row>220</xdr:row>
      <xdr:rowOff>132297</xdr:rowOff>
    </xdr:from>
    <xdr:to>
      <xdr:col>4</xdr:col>
      <xdr:colOff>732880</xdr:colOff>
      <xdr:row>221</xdr:row>
      <xdr:rowOff>73486</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2" name="Ink 21">
              <a:extLst>
                <a:ext uri="{FF2B5EF4-FFF2-40B4-BE49-F238E27FC236}">
                  <a16:creationId xmlns:a16="http://schemas.microsoft.com/office/drawing/2014/main" id="{0B6DEC58-3F5C-BE25-83A6-15BA8D3BDFD6}"/>
                </a:ext>
              </a:extLst>
            </xdr14:cNvPr>
            <xdr14:cNvContentPartPr/>
          </xdr14:nvContentPartPr>
          <xdr14:nvPr macro=""/>
          <xdr14:xfrm>
            <a:off x="3444480" y="44092440"/>
            <a:ext cx="590400" cy="140760"/>
          </xdr14:xfrm>
        </xdr:contentPart>
      </mc:Choice>
      <mc:Fallback xmlns="">
        <xdr:pic>
          <xdr:nvPicPr>
            <xdr:cNvPr id="22" name="Ink 21">
              <a:extLst>
                <a:ext uri="{FF2B5EF4-FFF2-40B4-BE49-F238E27FC236}">
                  <a16:creationId xmlns:a16="http://schemas.microsoft.com/office/drawing/2014/main" id="{0B6DEC58-3F5C-BE25-83A6-15BA8D3BDFD6}"/>
                </a:ext>
              </a:extLst>
            </xdr:cNvPr>
            <xdr:cNvPicPr/>
          </xdr:nvPicPr>
          <xdr:blipFill>
            <a:blip xmlns:r="http://schemas.openxmlformats.org/officeDocument/2006/relationships" r:embed="rId27"/>
            <a:stretch>
              <a:fillRect/>
            </a:stretch>
          </xdr:blipFill>
          <xdr:spPr>
            <a:xfrm>
              <a:off x="3435840" y="44083800"/>
              <a:ext cx="608040" cy="158400"/>
            </a:xfrm>
            <a:prstGeom prst="rect">
              <a:avLst/>
            </a:prstGeom>
          </xdr:spPr>
        </xdr:pic>
      </mc:Fallback>
    </mc:AlternateContent>
    <xdr:clientData/>
  </xdr:twoCellAnchor>
  <xdr:twoCellAnchor editAs="oneCell">
    <xdr:from>
      <xdr:col>3</xdr:col>
      <xdr:colOff>283480</xdr:colOff>
      <xdr:row>218</xdr:row>
      <xdr:rowOff>94617</xdr:rowOff>
    </xdr:from>
    <xdr:to>
      <xdr:col>5</xdr:col>
      <xdr:colOff>48000</xdr:colOff>
      <xdr:row>220</xdr:row>
      <xdr:rowOff>148714</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5">
              <a:extLst>
                <a:ext uri="{FF2B5EF4-FFF2-40B4-BE49-F238E27FC236}">
                  <a16:creationId xmlns:a16="http://schemas.microsoft.com/office/drawing/2014/main" id="{9B1FB065-8F63-CD58-D314-D39C784472AD}"/>
                </a:ext>
              </a:extLst>
            </xdr14:cNvPr>
            <xdr14:cNvContentPartPr/>
          </xdr14:nvContentPartPr>
          <xdr14:nvPr macro=""/>
          <xdr14:xfrm>
            <a:off x="2759980" y="43655617"/>
            <a:ext cx="1415520" cy="453240"/>
          </xdr14:xfrm>
        </xdr:contentPart>
      </mc:Choice>
      <mc:Fallback xmlns="">
        <xdr:pic>
          <xdr:nvPicPr>
            <xdr:cNvPr id="26" name="Ink 25">
              <a:extLst>
                <a:ext uri="{FF2B5EF4-FFF2-40B4-BE49-F238E27FC236}">
                  <a16:creationId xmlns:a16="http://schemas.microsoft.com/office/drawing/2014/main" id="{9B1FB065-8F63-CD58-D314-D39C784472AD}"/>
                </a:ext>
              </a:extLst>
            </xdr:cNvPr>
            <xdr:cNvPicPr/>
          </xdr:nvPicPr>
          <xdr:blipFill>
            <a:blip xmlns:r="http://schemas.openxmlformats.org/officeDocument/2006/relationships" r:embed="rId29"/>
            <a:stretch>
              <a:fillRect/>
            </a:stretch>
          </xdr:blipFill>
          <xdr:spPr>
            <a:xfrm>
              <a:off x="2751338" y="43646624"/>
              <a:ext cx="1433164" cy="470866"/>
            </a:xfrm>
            <a:prstGeom prst="rect">
              <a:avLst/>
            </a:prstGeom>
          </xdr:spPr>
        </xdr:pic>
      </mc:Fallback>
    </mc:AlternateContent>
    <xdr:clientData/>
  </xdr:twoCellAnchor>
  <xdr:twoCellAnchor editAs="oneCell">
    <xdr:from>
      <xdr:col>5</xdr:col>
      <xdr:colOff>476180</xdr:colOff>
      <xdr:row>216</xdr:row>
      <xdr:rowOff>99703</xdr:rowOff>
    </xdr:from>
    <xdr:to>
      <xdr:col>5</xdr:col>
      <xdr:colOff>476540</xdr:colOff>
      <xdr:row>216</xdr:row>
      <xdr:rowOff>100063</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7" name="Ink 26">
              <a:extLst>
                <a:ext uri="{FF2B5EF4-FFF2-40B4-BE49-F238E27FC236}">
                  <a16:creationId xmlns:a16="http://schemas.microsoft.com/office/drawing/2014/main" id="{545F6FC1-F93D-2088-79A5-99A52A04D833}"/>
                </a:ext>
              </a:extLst>
            </xdr14:cNvPr>
            <xdr14:cNvContentPartPr/>
          </xdr14:nvContentPartPr>
          <xdr14:nvPr macro=""/>
          <xdr14:xfrm>
            <a:off x="4603680" y="43261560"/>
            <a:ext cx="360" cy="360"/>
          </xdr14:xfrm>
        </xdr:contentPart>
      </mc:Choice>
      <mc:Fallback xmlns="">
        <xdr:pic>
          <xdr:nvPicPr>
            <xdr:cNvPr id="27" name="Ink 26">
              <a:extLst>
                <a:ext uri="{FF2B5EF4-FFF2-40B4-BE49-F238E27FC236}">
                  <a16:creationId xmlns:a16="http://schemas.microsoft.com/office/drawing/2014/main" id="{545F6FC1-F93D-2088-79A5-99A52A04D833}"/>
                </a:ext>
              </a:extLst>
            </xdr:cNvPr>
            <xdr:cNvPicPr/>
          </xdr:nvPicPr>
          <xdr:blipFill>
            <a:blip xmlns:r="http://schemas.openxmlformats.org/officeDocument/2006/relationships" r:embed="rId31"/>
            <a:stretch>
              <a:fillRect/>
            </a:stretch>
          </xdr:blipFill>
          <xdr:spPr>
            <a:xfrm>
              <a:off x="4595040" y="43252920"/>
              <a:ext cx="18000" cy="18000"/>
            </a:xfrm>
            <a:prstGeom prst="rect">
              <a:avLst/>
            </a:prstGeom>
          </xdr:spPr>
        </xdr:pic>
      </mc:Fallback>
    </mc:AlternateContent>
    <xdr:clientData/>
  </xdr:twoCellAnchor>
  <xdr:twoCellAnchor editAs="oneCell">
    <xdr:from>
      <xdr:col>0</xdr:col>
      <xdr:colOff>0</xdr:colOff>
      <xdr:row>225</xdr:row>
      <xdr:rowOff>199571</xdr:rowOff>
    </xdr:from>
    <xdr:to>
      <xdr:col>4</xdr:col>
      <xdr:colOff>734786</xdr:colOff>
      <xdr:row>240</xdr:row>
      <xdr:rowOff>28358</xdr:rowOff>
    </xdr:to>
    <xdr:pic>
      <xdr:nvPicPr>
        <xdr:cNvPr id="28" name="Picture 27">
          <a:extLst>
            <a:ext uri="{FF2B5EF4-FFF2-40B4-BE49-F238E27FC236}">
              <a16:creationId xmlns:a16="http://schemas.microsoft.com/office/drawing/2014/main" id="{2F5FE80E-369E-D481-5F6C-E8B7E370C5F0}"/>
            </a:ext>
          </a:extLst>
        </xdr:cNvPr>
        <xdr:cNvPicPr>
          <a:picLocks noChangeAspect="1"/>
        </xdr:cNvPicPr>
      </xdr:nvPicPr>
      <xdr:blipFill>
        <a:blip xmlns:r="http://schemas.openxmlformats.org/officeDocument/2006/relationships" r:embed="rId32"/>
        <a:stretch>
          <a:fillRect/>
        </a:stretch>
      </xdr:blipFill>
      <xdr:spPr>
        <a:xfrm>
          <a:off x="0" y="45157571"/>
          <a:ext cx="4036786" cy="2822358"/>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4"/>
    </inkml:context>
    <inkml:brush xml:id="br0">
      <inkml:brushProperty name="width" value="0.025" units="cm"/>
      <inkml:brushProperty name="height" value="0.025" units="cm"/>
    </inkml:brush>
  </inkml:definitions>
  <inkml:trace contextRef="#ctx0" brushRef="#br0">0 2508 24575,'8'5'0,"4"1"0,5 0 0,1 1 0,4-1 0,1-2 0,2 0 0,-1 1 0,-4-3 0,-4 0 0,-1-1 0,-3 0 0,-1-1 0,-3 1 0,-1-1 0,4 0 0,1 1 0,9 0 0,9 0 0,6 1 0,6 1 0,-5 0 0,3-2 0,1 1 0,-4-1 0,1 0 0,-9-1 0,-4 1 0,-5 0 0,-7 0 0,-1-1 0,-4 0 0,2 0 0,2 0 0,0-1 0,6 0 0,5-1 0,4 1 0,4 0 0,-1 0 0,1 0 0,2 0 0,-2 1 0,0 0 0,-3 0 0,-2-1 0,0-1 0,-6 0 0,1-1 0,2 0 0,0-1 0,2-1 0,-2 0 0,-4 2 0,-2 1 0,-6 0 0,-2 0 0,-1 0 0,0-1 0,0 1 0,-2 0 0,3 0 0,4 0 0,1-2 0,6-1 0,0-1 0,0-1 0,-1-1 0,-4 4 0,-2-1 0,0-1 0,-2 1 0,2-2 0,-3 1 0,1 0 0,1 0 0,-2 1 0,2-3 0,0 2 0,1-1 0,5-3 0,3 0 0,0-1 0,-1 0 0,-4 2 0,-2 1 0,-3 0 0,1-1 0,0 1 0,2-4 0,1 1 0,0 1 0,3-2 0,0 0 0,-1 0 0,-2 2 0,-2 0 0,-2 2 0,2-2 0,2-2 0,-2 1 0,1 1 0,-2 2 0,-3 1 0,-1 2 0,-3 2 0,0-1 0,1-1 0,0 1 0,0-2 0,0 3 0,0 0 0,2-1 0,0 0 0,0 0 0,3-1 0,1-1 0,3 0 0,3-2 0,0 0 0,3-3 0,-4 1 0,2 1 0,-1 2 0,-1 2 0,4 0 0,-3 2 0,9 0 0,11 1 0,4-1 0,14 3 0,4-1 0,3-2 0,-2 1 0,-14 0 0,-8 0 0,-7 2 0,-4 0 0,-1 0 0,-9 0 0,-4 0 0,-2 0 0,0 0 0,2 1 0,3 2 0,3 1 0,5 1 0,2 0 0,13 1 0,17 3 0,10 1 0,12 2 0,-11-2 0,-6 1 0,-8-2 0,-14-1 0,-3-1 0,-14-2 0,-7-1 0,-6-3 0,-7-2 0,-2-1 0,-2-2 0,0 0 0,1-1 0,0 0 0,0 0 0,0 1 0,0 0 0,0 0 0,0-2 0,0 2 0,0 0 0,0 0 0,0 2 0,0-1 0,0 1 0,0 1 0,0-1 0,0 0 0,0 0 0,1 0 0,0 1 0,0-1 0,0-1 0,1 0 0,-1 0 0,1 0 0,-1-2 0,1 1 0,-1-2 0,-1 2 0,1 1 0,0 0 0,-1 0 0,0 1 0,1-1 0,0-1 0,0-1 0,1 0 0,0 0 0,0-1 0,-1 2 0,2-1 0,0-2 0,2-1 0,1-3 0,3-3 0,0-2 0,2-4 0,-2 3 0,0 3 0,-4 3 0,-1 3 0,-1 2 0,1 0 0,-1 0 0,-1 2 0,1 0 0,-1 1 0,0 2 0,0-1 0,0 2 0,-1-1 0,0 0 0,1 1 0,-2-1 0,1 0 0,1 0 0,0-1 0,2 0 0,2-2 0,1 1 0,1 0 0,1 0 0,1-1 0,0 1 0,-1 0 0,-2 0 0,-2 1 0,0 0 0,0-1 0,2-1 0,0-1 0,2 0 0,2-1 0,-1 0 0,0 2 0,2-1 0,-1 0 0,1 1 0,-1-1 0,1 1 0,-1-1 0,-1 1 0,0-1 0,-2 2 0,-1 0 0,1 0 0,0 0 0,6-1 0,6 1 0,3 0 0,6-1 0,-1 2 0,3-2 0,1-1 0,-2 1 0,1-1 0,-5 0 0,-3-1 0,-2-1 0,-7-1 0,0 0 0,-2 1 0,2-1 0,2-1 0,0 2 0,3-2 0,4 0 0,2 1 0,2 0 0,1 2 0,-4 1 0,0 1 0,-2 1 0,-1 1 0,-3 1 0,0 0 0,2 0 0,2 1 0,3-1 0,1 1 0,1 0 0,-4 0 0,-1 0 0,2-1 0,-1 0 0,8 0 0,5 0 0,1 1 0,8-1 0,-4-1 0,15-3 0,11-1 0,-4 0 0,15-1 0,-8 0 0,-2 0 0,-1 0 0,-17 0 0,-7 1 0,-7-2 0,-12 3 0,-8 0 0,-5 0 0,-3 2 0,-1-1 0,-3 2 0,0-1 0,-1 2 0,0 0 0,0 0 0,1 0 0,2 0 0,1-1 0,1 1 0,2-1 0,4-1 0,2-1 0,6-2 0,0-1 0,7-1 0,4-3 0,0 0 0,5-4 0,-2-3 0,2-1 0,2-5 0,-5 2 0,5-4 0,3-5 0,-1 0 0,4-1 0,-12 9 0,10-4 0,9-3 0,3-2 0,11-5 0,-3 4 0,-1-1 0,-1 0 0,-12 4 0,-5 4 0,-6-1 0,-8 3 0,-1-4 0,-4 1 0,-2-1 0,4-4 0,-2 2 0,0-2 0,3 0 0,-3 0 0,0 0 0,-4 5 0,1 0 0,1-2 0,1 1 0,3-1 0,-7 8 0,1-1 0,0 0 0,-4 3 0,0-4 0,-3 3 0,-2 0 0,-1-2 0,-3 5 0,-3 0 0,-1-1 0,-2 2 0,-1 0 0,-2 2 0,0 1 0,-2-1 0,0 1 0,-1-1 0,-3-1 0,-1 2 0,-1-2 0,1 4 0,1 0 0,0 2 0,1 3 0,3 3 0,0 1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5"/>
    </inkml:context>
    <inkml:brush xml:id="br0">
      <inkml:brushProperty name="width" value="0.025" units="cm"/>
      <inkml:brushProperty name="height" value="0.025" units="cm"/>
    </inkml:brush>
  </inkml:definitions>
  <inkml:trace contextRef="#ctx0" brushRef="#br0">1 1 8191,'17'12'0,"3"1"5063,4 3-5063,0 1 2818,-2-3-2818,7 7 1719,6 3-1719,-1 0 6784,1 1-6784,-11-5 0,1 4 0,-1 0 0,-4-3 0,1 4 0,-3-6 0,1 4 0,2 3 0,-1 3 0,4 5 0,-2 4 0,-2 1 0,0 0 0,-3 1 0,-2-2 0,-2-1 0,-4 6 0,0 4 0,-4 0 0,-2 9 0,1 2 0,-2 0 0,2 4 0,-1-9 0,1 3 0,0 2 0,-1-5 0,3 3 0,0-11 0,2-1 0,-1-2 0,-1-7 0,1 2 0,-3-8 0,0 5 0,0 9 0,-2-2 0,1 15 0,-1 1 0,1-1 0,-1 3 0,-1-5 0,0-1 0,0 1 0,0-7 0,0-1 0,-1-2 0,0-2 0,0 5 0,0-9 0,-1 2 0,-1 2 0,0-3 0,-2 5 0,0-4 0,0-2 0,-1 2 0,0-6 0,1-1 0,-2-1 0,1-3 0,-3 3 0,2-6 0,-3 4 0,0 1 0,1-4 0,-1 1 0,2-3 0,0 0 0,-1 1 0,3-6 0,-3 3 0,-1 2 0,-2 0 0,-2 3 0,3-8 0,-1-1 0,2-4 0,3-3 0,0-1 0,1-3 0,1 2 0,0 0 0,1-2 0,0 0 0,0-1 0,0 0 0,1-1 0,-1 0 0,1 0 0,0 0 0,0-1 0,-1 2 0,1-1 0,0 0 0,0 1 0,0-2 0,0-1 0,0 1 0,0-2 0,0 1 0,0-1 0,0 0 0,-1 0 0,0-1 0,0 1 0,-1 0 0,1-1 0,1 1 0,0-2 0,0 0 0,1 1 0,0-1 0,-1 1 0,1-1 0,-1 1 0,1-1 0,-3 3 0,-2 2 0,-2 3 0,1-2 0,3-2 0,0 0 0,0 0 0,0 0 0,-1 2 0,0 1 0,-1 1 0,1 0 0,0-1 0,1-1 0,1 0 0,0-1 0,1-1 0,1-2 0,0-2 0,0 2 0,-5 2 0,-1 4 0,-1 0 0,0 1 0,2-3 0,-1 1 0,0 0 0,0 2 0,-2-1 0,1 0 0,0 0 0,2-1 0,0-2 0,2 1 0,0 0 0,0-2 0,-1 2 0,1-1 0,0 1 0,1-1 0,-1 0 0,1-1 0,0 0 0,0 2 0,1-1 0,0 1 0,-1-1 0,1 0 0,0-1 0,0 2 0,0-1 0,0 1 0,0 1 0,-1 0 0,0 2 0,0 0 0,0-1 0,0 1 0,0 0 0,1 0 0,-1 0 0,0-2 0,1 0 0,0 0 0,1-1 0,-1 2 0,1-2 0,0-1 0,0 1 0,0 0 0,-1 0 0,1 1 0,-1 0 0,1-1 0,1-1 0,-1-1 0,1-2 0,0-1 0,-1 0 0,0-2 0,0-3 0,0-1 0,-1-1 0,1 0 0,-3-2 0,2-1 0,0 1 0,-1-2 0,1 2 0,1-1 0,0 1 0,1 1 0,-1 1 0,0 0 0,0 1 0,1 0 0,-1 1 0,0-2 0,-1-1 0,1 1 0,-1 0 0,0 1 0,1 1 0,-2-2 0,2 1 0,-1 0 0,0 0 0,1 1 0,1 1 0,0 11 0,0-5 0,0 9 0,1-5 0,-1 1 0,2 0 0,-1-1 0,1 1 0,-1-3 0,0-2 0,-1-1 0,0 0 0,1-1 0,-1 0 0,1 1 0,0-1 0,-1 1 0,1-1 0,1 1 0,-2-2 0,0 1 0,0 0 0,1-1 0,-1 1 0,1-1 0,-1 1 0,1-1 0,0 0 0,1 1 0,0 0 0,-1 2 0,0-1 0,2-2 0,1-1 0,1-2 0,0-1 0,-1 0 0,1 0 0,1 0 0,1 1 0,-1-2 0,-1 1 0,1 0 0,-1 1 0,0 0 0,0 0 0,-1 0 0,1-1 0,2 0 0,0 1 0,1 0 0,1 0 0,-2 1 0,-1-1 0,-1 0 0,0 1 0,-2 0 0,2-1 0,2 0 0,-2 0 0,0 0 0,-2-1 0,-1 2 0,0 0 0,-2 0 0,-1 1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6"/>
    </inkml:context>
    <inkml:brush xml:id="br0">
      <inkml:brushProperty name="width" value="0.025" units="cm"/>
      <inkml:brushProperty name="height" value="0.025" units="cm"/>
    </inkml:brush>
  </inkml:definitions>
  <inkml:trace contextRef="#ctx0" brushRef="#br0">168 3667 24575,'0'-70'0,"0"25"0,0-47 0,0 25 0,0-12 0,0-9-441,0 37 0,0 0 441,0-45 0,0 44 0,0-1 0,0-3 0,0-2 0,0 5 0,0 1 0,0-2 0,0 3 216,0-29-216,0-3 0,0 12 0,0-15 0,0 8 0,0 2 0,0 8 0,0-1 0,0 7 0,0-5 0,0 12 0,0-5 666,0-17-666,-4 25 0,2-45 0,-2 51 0,4-51 0,0 50 0,0-42 0,0 31 0,-5-12 0,4 4 0,-8 4 0,7 1 0,-7 2 0,8-1 0,-4 4 0,5-10 0,-5 11 0,4-6 0,-4-15 0,5 24 0,0-23 0,0 28 0,0-5 0,0-2 0,0 7 0,0 7 0,0 7 0,0 10 0,0 6 0,0 6 0,0 4 0,0 5 0,0 6 0,0 4 0,0 3 0,-7-4 0,5 0 0,-5 2 0,4-2 0,2 1 0,-5-1 0,1 4 0,1-2 0,-3 3 0,6-5 0,-6 4 0,3-3 0,0 5 0,-3-2 0,3-3 0,-1 3 0,-2 1 0,3-3 0,-4 2 0,4-4 0,-2 0 0,2 2 0,-1-2 0,2 0 0,3 0 0,0-5 0,0-7 0,0-6 0,0-6 0,0 1 0,0 4 0,4-5 0,0 5 0,4-4 0,0-1 0,0 1 0,0 3 0,0 1 0,-1 5 0,-3-1 0,2 1 0,-5-1 0,6 1 0,-3-1 0,3 0 0,0 1 0,-3 0 0,2 0 0,-2-1 0,4 0 0,-1 0 0,0 1 0,0 3 0,0 1 0,0 3 0,0 0 0,-1 0 0,1 0 0,-3 3 0,3 1 0,-6 4 0,5-1 0,-5 1 0,5-1 0,-5 1 0,2-1 0,1 0 0,-4 0 0,7 2 0,-6-2 0,5 4 0,-1-2 0,3 7 0,-1-4 0,1 4 0,0 1 0,0-1 0,4 0 0,-3 1 0,3-1 0,-5-3 0,1 3 0,0-8 0,0 7 0,-4-7 0,3 4 0,-7-5 0,7 0 0,-6 0 0,5-3 0,-5 3 0,-4-6 0,1 2 0,-4-3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7"/>
    </inkml:context>
    <inkml:brush xml:id="br0">
      <inkml:brushProperty name="width" value="0.025" units="cm"/>
      <inkml:brushProperty name="height" value="0.025" units="cm"/>
    </inkml:brush>
  </inkml:definitions>
  <inkml:trace contextRef="#ctx0" brushRef="#br0">0 0 24575,'1'5'0,"2"-1"0,1 3 0,1-2 0,2 2 0,0 0 0,2 1 0,3 2 0,0-1 0,5 4 0,6 1 0,1 2 0,3 0 0,-5-4 0,5 1 0,8 3 0,4 1 0,12 4 0,4 0 0,2-2 0,4 0 0,-7-3 0,-1-1 0,-1-1 0,-2-1 0,6 2 0,-6-1 0,6 1 0,11 2 0,2 1-647,11 1 647,3-2 0,4 1-572,-36-8 0,0 0 572,-2-1 0,0 1 0,6 1 0,0-1 0,3 2 0,1-1 0,-3 0 0,1 0 0,2 1 0,1-1 0,-8-2 0,-2-1 0,39 7 0,-1-2 0,-11-3 0,9 1 0,12 0 0,-48-6 0,1 0 0,8 0 0,0 1 0,-7-1 0,0-1 0,2 1 0,1 0 0,4 0 0,0 0 0,-3-1 0,0 1 0,7-1 0,1-1 0,-3 1 0,1-1 0,-2-1 0,1 1 0,2-1 0,-2 0 0,-7 0 0,-1 0 0,3 0 0,-1 0 0,-2-1 0,-1 1 0,44 0 0,-45-1 0,0 1 0,30-1 0,12 2 0,-36-1 0,1 0 0,-1 0 0,2 1 0,9-1 0,2 0 0,-4 0 0,-1 0 0,-7-1 0,0 1 0,2-1 0,0 0 0,-9 0 0,-1 0 0,7 1 0,2 0 0,7 0 0,1 0 0,-4 0 0,1 0 0,6 0 0,-1 0 0,-13-1 0,-1 0-893,6-1 1,1 0 892,1 0 0,-1 0 0,-9 0 0,1 0 0,8 0 0,1 0 0,-4 1 0,-1-1 0,4 1 0,2 0 0,4 0 0,0 0 0,-13 0 0,-1-1 0,0 1 0,-1-1-123,46 0 123,-14 0 0,2 0 0,-13 1 0,1 0 0,5 1 0,-12-1 0,5 0 0,-2-1 0,-6 0 0,6 0 0,-14 0 0,9 0 0,12 0 0,-2 0 4,11 0-4,-9 0 0,-9 0 1027,-9 0-1027,-18 0 1881,-2 0-1881,1-1 145,1 0-145,-1 0 642,-11-1-642,-1 1 0,0 0 0,-1 0 0,9-1 0,3 0 0,6-1 0,12 1 0,-4 0 0,9 1 0,8-1 0,-2 0 0,-1 1 0,-10 0 0,-5 0 0,2 0 0,-1-1 0,3 2 0,2 0 0,-4 0 0,-1 0 0,-14 0 0,0 0 0,1 0 0,0 0 0,1-1 0,-9 0 0,-7 0 0,-3 0 0,-6 0 0,-2 1 0,-2-1 0,-1 0 0,2 0 0,-3 0 0,2 0 0,3 0 0,2-1 0,3 1 0,0 0 0,-1 0 0,1 0 0,-4 0 0,-2-1 0,-3 2 0,-2-1 0,-1 0 0,-3 1 0,0-1 0,1 0 0,0 0 0,2 0 0,1 0 0,0 0 0,2 1 0,-1-1 0,0 1 0,1-1 0,1 0 0,1 0 0,0 0 0,-2 0 0,-3-1 0,-3 1 0,-1 0 0,-2 1 0,0-1 0,-1 1 0,-1 0 0,-2-2 0,-1-3 0,-1 0 0,-1-1 0,2 2 0,0 1 0,0 0 0,-1 0 0,1 1 0,-1-1 0,0 1 0,-2-2 0,-1 1 0,1 1 0,-1-1 0,2 2 0,0 0 0,1 0 0,1 1 0,1-1 0,-1 1 0,1 0 0,-1-1 0,0 0 0,1-1 0,-4-1 0,-1 1 0,-1 0 0,-1 0 0,2 1 0,1 0 0,1 0 0,2 0 0,-1 0 0,-1 0 0,-1 1 0,-2-1 0,0-1 0,1 1 0,4 0 0,7 2 0,1 1 0,5 1 0,-5-1 0,1 0 0,-2-1 0,1 1 0,0-1 0,-1 0 0,0 0 0,0 0 0,-2 0 0,1 0 0,-1 0 0,-1 0 0,2 0 0,0 0 0,2-1 0,1 1 0,2 0 0,1 1 0,0-1 0,1 1 0,0 0 0,-1-1 0,-1-1 0,-4 0 0,-1 0 0,-2 0 0,-1 1 0,0 0 0,-1 1 0,-2 0 0,0 1 0,-1 1 0,-1 0 0,1 0 0,0 0 0,-1 0 0,1 0 0,-1 1 0,-1-1 0,0 1 0,-1-1 0,2-2 0,-2 0 0,1 0 0,-1-1 0,-1 0 0,0 0 0,0 0 0,0-1 0,1 0 0,0 1 0,0 0 0,2-1 0,-1 1 0,0-1 0,0 1 0,-3 0 0,1-1 0,-2 1 0,1 0 0,-1 1 0,0-1 0,2 1 0,-2 0 0,0-1 0,2 1 0,-1 0 0,2 0 0,0 1 0,-1-1 0,-1 1 0,-2 0 0,-1 1 0,1 0 0,0 1 0,2-2 0,0 0 0,0 0 0,0 0 0,1 0 0,2-1 0,1 0 0,0 0 0,1 0 0,-1-1 0,1 0 0,5-1 0,4-1 0,5 0 0,6 0 0,-1-1 0,3-1 0,3-1 0,0 0 0,4-1 0,-1 0 0,-4 1 0,0 1 0,-3 1 0,-1 0 0,-1-1 0,-2 0 0,-1 1 0,-4 0 0,-3 0 0,-1 1 0,-1 0 0,2 0 0,0 0 0,0 0 0,2-1 0,-1 0 0,0 0 0,2 0 0,0 0 0,1 1 0,-2 0 0,-1 0 0,1 0 0,-1 0 0,0 0 0,-2 0 0,-1 0 0,-2 0 0,0 0 0,-2-2 0,0 1 0,-3-1 0,-3-1 0,-2 1 0,-7-1 0,-6 1 0,-2 1 0,-2 1 0,5-1 0,0 1 0,3 0 0,-2 1 0,-2 0 0,4 0 0,-5 0 0,1 0 0,3 0 0,-2 0 0,3 0 0,2 0 0,1 0 0,4 0 0,0 0 0,1 0 0,0 0 0,0 0 0,2 0 0,0 0 0,-1 0 0,-1 0 0,-2-1 0,1 0 0,-1 0 0,2 0 0,-3 0 0,-1-1 0,0 1 0,1 0 0,2 0 0,2-1 0,1 2 0,2-1 0,14 0 0,21 0 0,-12 0 0,10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8"/>
    </inkml:context>
    <inkml:brush xml:id="br0">
      <inkml:brushProperty name="width" value="0.1" units="cm"/>
      <inkml:brushProperty name="height" value="0.1" units="cm"/>
      <inkml:brushProperty name="color" value="#33CCFF"/>
    </inkml:brush>
  </inkml:definitions>
  <inkml:trace contextRef="#ctx0" brushRef="#br0">233 1 24575,'2'17'0,"-1"-2"0,-2-1 0,-2-3 0,-3 1 0,-6 0 0,-3-2 0,-5 0 0,0-3 0,-1-2 0,-2-3 0,3-1 0,-2-1 0,3-1 0,5 1 0,3-2 0,5-1 0,3-1 0,1-2 0,1-1 0,1 0 0,4-3 0,3 0 0,4-1 0,5 2 0,1 4 0,2 2 0,4 3 0,-1 1 0,7 3 0,1 3 0,-6 2 0,-6 0 0,-13 0 0,-5 0 0,-6 0 0,-3 1 0,-13 0 0,-6 0 0,-4-3 0,-2 0 0,2-4 0,4-2 0,5-2 0,10-1 0,9 0 0,2-1 0,1 0 0,2-5 0,3-3 0,2-2 0,4-2 0,7 1 0,4 1 0,8 2 0,1 4 0,7 4 0,4 3 0,-5 3 0,-4 1 0,-17 1 0,-8 1 0,-6 4 0,-4 3 0,-8 5 0,-4-2 0,-12 0 0,-10-3 0,1-5 0,-2-2 0,11-4 0,6-1 0,6-1 0,6 0 0,4-1 0,3-1 0,1-1 0,1-3 0,1-2 0,0 0 0,2-3 0,2 0 0,3 0 0,5 0 0,2 3 0,3 2 0,-1 3 0,0 1 0,-2 2 0,-4 0 0,-4 3 0,-6 2 0,-3 4 0,-6 3 0,-1 0 0,-8-1 0,-6-1 0,-1-4 0,-5 0 0,5-4 0,6-2 0,4 0 0,7 0 0,4-1 0,2 0 0,0-3 0,2-3 0,0-1 0,3-3 0,0 1 0,3 0 0,2 1 0,0 3 0,5 1 0,0 3 0,3 3 0,-2 2 0,-4 2 0,-6 4 0,-3 4 0,-2 2 0,-3 2 0,-1-3 0,-5-1 0,-2-1 0,0-5 0,-2-2 0,3-3 0,1-1 0,2-1 0,4 0 0,0-2 0,1-1 0,1-3 0,-1-2 0,1 0 0,1 0 0,0-1 0,0 1 0,1-1 0,2 2 0,2 2 0,1 1 0,-1 2 0,1 0 0,2 1 0,1 1 0,-2 0 0,-2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19"/>
    </inkml:context>
    <inkml:brush xml:id="br0">
      <inkml:brushProperty name="width" value="0.1" units="cm"/>
      <inkml:brushProperty name="height" value="0.1" units="cm"/>
      <inkml:brushProperty name="color" value="#33CCFF"/>
    </inkml:brush>
  </inkml:definitions>
  <inkml:trace contextRef="#ctx0" brushRef="#br0">1 1 24575,'5'7'0,"1"-1"0,-3-2 0,3 3 0,3 2 0,3 1 0,4 2 0,0-1 0,5 2 0,7 1 0,3 1 0,2 0 0,-4-2 0,-4-2 0,-3-1 0,-3-3 0,0 1 0,2 0 0,0 0 0,4 1 0,-4-3 0,6 1 0,5 0 0,-1 0 0,10 2 0,3 1 0,6 1 0,12 2 0,-4-2 0,8 1 0,6 1-439,0-1 439,9 2 0,-13-4 0,4 0 0,8-1 0,-7-1 0,10 0 0,-5-3 0,-6-1 0,0 0 0,-13 0 0,8 1 0,8 1 0,2-1 0,11 0 0,-6-2 0,0 1 0,-1 0 0,-15 0 0,4 2 0,7 0 0,5-1 0,14 1 0,-19-1 0,7-1-1128,11 1 1128,-1-3 0,-42-1 0,-1 0 0,40 1 0,-9 3 0,0-1-514,-9-1 514,3-2 0,-9-1 0,3 0 0,4 0 0,-12 0 0,12 0 0,-4 1 0,1 0 0,7 0 0,-13 1 0,10-2 0,13 1 0,2 0 0,9 1 0,-7-1-979,-2 0 979,-41-1 0,2 0 0,1 0 0,0 0 0,48 2 0,-5-1 0,-18 0-28,-3 1 28,0 0 0,-1 1 0,5-1 0,-11 0 0,-3-2 0,1 0 0,-6 0 1038,3 0-1038,-3 0 0,3 0 0,7 1 0,-4 1 0,3-1 0,-9 0 0,2 0 0,10-1 0,-7 0 0,10 0 0,-7 0 0,-5 0 0,6 0 0,5 0 0,4 0 0,3 0 515,-9 0-515,-1 0 0,1 0 0,2 0 236,16 0-236,-9 0 0,12 0 0,3-1 0,-11-1 0,4 1 0,-23-1 0,3 3 0,5 0 0,-4 0 0,16 1 0,2-2 0,0 0 0,13-1 0,-5-1 0,-3 0 0,7 1 0,-12 0 0,4 1 0,-6 0 0,3-1 0,3 0 0,-10-1 0,7 1 38,-13 0-38,-6 0 0,-3-1 0,-16 0 0,-1-1 0,2 0 0,-4 0 829,7-1-829,-7 0 432,-1 0-432,8 1 0,-4 1 0,18-1 0,9-1 0,5 1-614,9 0 614,-13 1 0,9-2 0,2-1 0,-10 2 0,12-1 0,-9 1 0,1-1 0,5-2 0,-15 2 0,9-1 0,7-1 0,-2 0 0,-36 2 0,3-1 0,1 0 0,2 0 0,3 0 0,1 0 0,2 0 0,-1 1 0,37-2 0,-12 2 0,-11 1 0,-12 1 0,8 0 0,-15 0 0,6 0 0,12-1 0,-1 1 0,13 0 0,-11 0 0,3 0 0,-1-2 0,-12-1 0,5-1 0,-7-2 0,0 1 0,0-1 0,-17 4 0,-12 0 0,-12 1 0,-7 0 0,0 0 0,-3 1 614,3 0-614,1 0 0,-4 0 0,2 0 0,-3 0 0,1 0 0,0 0 0,-2 2 0,-2-2 0,0 1 0,-1-1 0,0 0 0,-1 1 0,-1 0 0,0 1 0,-3-1 0,4 0 0,5-1 0,3 0 0,1 0 0,-3 0 0,-1 0 0,0-1 0,3 0 0,-1 0 0,-4 1 0,-4-1 0,-6 0 0,-5 0 0,-2 0 0,0 0 0,3 1 0,-2 0 0,-1-1 0,-5 0 0,-2 1 0,-3 0 0,-1 1 0,2 0 0,-2 0 0,4 0 0,0 0 0,0 0 0,4 1 0,1-1 0,3 1 0,2 0 0,0-1 0,1 0 0,-4-1 0,-2-1 0,-3 0 0,-3-1 0,2 1 0,-4 1 0,-6 0 0,0 0 0,-3 0 0,5 1 0,3 0 0,3 0 0,6 0 0,14 3 0,18 4 0,14 1 0,5 0 0,-3-2 0,-4-1 0,0 0 0,0-2 0,-9 0 0,-7-2 0,-7 1 0,-6-1 0,-3 2 0,-3 2 0,-2 1 0,-1 1 0,-1-1 0,-2 0 0,0 0 0,-1-1 0,0 1 0,1-1 0,-1 1 0,1-1 0,-1 1 0,-1 2 0,0-1 0,-3 1 0,-1 0 0,-1-1 0,-1 0 0,0 0 0,0 1 0,-3 2 0,1 0 0,0-1 0,4-2 0,2-2 0,3-2 0,2 0 0,1 1 0,1-1 0,0 0 0,0 0 0,1 0 0,-2 1 0,0 2 0,-1 0 0,0-1 0,1-1 0,1-1 0,0 0 0,1 0 0,-1 0 0,1-1 0,0 1 0,-1 0 0,1 0 0,-2 0 0,2 0 0,-1 0 0,0-1 0,1 0 0,-1 0 0,0 0 0,1 0 0,-3 1 0,-2 0 0,-1 1 0,-1 0 0,3-1 0,1 0 0,2-1 0,2-1 0,0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20"/>
    </inkml:context>
    <inkml:brush xml:id="br0">
      <inkml:brushProperty name="width" value="0.05" units="cm"/>
      <inkml:brushProperty name="height" value="0.05" units="cm"/>
      <inkml:brushProperty name="color" value="#FFC114"/>
    </inkml:brush>
  </inkml:definitions>
  <inkml:trace contextRef="#ctx0" brushRef="#br0">0 0 24575,'10'19'0,"7"8"0,2 2 0,16 15 0,14 13 0,2-4 0,8 8 0,-6-11 0,-5-7 0,6 1 0,1-4 0,1-4 0,9 3 0,-6-6 0,3 2 0,8 5 0,4 4-725,-28-16 0,2 2 725,4 3 0,1 1 0,3 1 0,2 2 0,10 7 0,1 2 0,3 0 0,-1 1-687,-4-3 0,-2 0 687,-7-5 0,-4-2 0,29 21-692,-25-13 692,3 3 0,2 1 0,-4-3 0,6 4 0,-5-4 0,-3-2 0,0-2 0,-11-10 0,10-1 0,6-1 0,2-1 0,2-1 0,-19-10 0,3 1 961,3 2-961,-4-2 0,11 4 0,1 1 0,5 3 1116,11 5-1116,-10-4 0,6 4 0,5 5 0,-3 2 0,0 4 0,-9-2 0,2 3 0,9 8 0,-1 0-359,-32-23 0,2-1 359,3 2 0,1 0 0,1-1 0,1-1 0,8 4 0,0-2 0,-7-3 0,0-2 0,0 0 0,0-1 0,0 0 0,-1-1-396,-5-3 1,-1 0 395,2 1 0,0 0 0,38 15 0,-5-3 0,-8-3-136,-13-7 136,-9-3 581,-4 0-581,-1 0 1467,10 6-1467,1 0 0,11 5 0,9 5 0,-4-2 0,6 5 877,-10-4-877,-7-4 0,-2-1 159,-13-4-159,1 1 0,5 5 0,1 0 0,11 7 0,-5-3 0,6 0 0,-2-3 0,-13-7 0,6 2 0,-2-1 0,4 4 0,10 6 0,-10-4 0,0 0 0,-3 0 0,-7-6 0,6 5 0,6 1 0,9 3-734,12 9 734,-7-3 0,7 5-639,-39-21 1,2-1 638,0-1 0,2 0 0,0 0 0,-1 0 0,26 10 0,-3-2 0,-1-2 0,-3-3-378,8 3 378,-7-3 0,1 2 0,7 6 0,-7-3 0,4 1 0,-11-4 0,15 5 0,15 6 0,-10-4 0,-33-15 0,-2 0 0,24 14 0,-11-5 0,-6-1 0,-17-9 0,-8-4 672,-4 0-672,-4-3 1298,1 1-1298,4 3 419,2 2-419,8 3 0,-2-2 0,3 0 0,3-1 0,-3-2 0,2 0 0,-3-2 0,-3-2 0,2-1 0,-2-1 0,5-1 0,5 2 0,1 0 0,14 6 0,10 3 0,7 2 0,10 4-512,-11-3 512,4 3 0,1 0 0,-7-1 0,0 0 0,-18-6 0,1 2 0,6 3 0,1 1 0,3 2 0,-10-6 0,-4-1 0,0-1 0,-8-2 512,7-1-512,-2-2 0,3-1 0,6 0 0,-10-2 0,4 2 0,2 1 0,-7-2 0,1 2 0,-7-1 0,1 1 0,5 2 0,-5-1 0,-1-1 0,-5-3 0,-8-3 0,-4-2 0,-8-3 0,-4-1 0,-3-2 0,-3 0 0,-1-4 0,-2-5 0,-1-1 0,-2-3 0,-2 1 0,0 0 0,0-1 0,0 2 0,0 1 0,-1 0 0,1 3 0,0 0 0,2 1 0,1 1 0,-1 0 0,1 0 0,-1 1 0,0-1 0,1 0 0,-1 0 0,-1-1 0,0-1 0,-2-1 0,1 2 0,-1-1 0,-1 2 0,2 1 0,0 0 0,3 2 0,0-1 0,0 2 0,1 0 0,3 7 0,5 5 0,2 2 0,3 4 0,2-2 0,1 2 0,3 2 0,-2-3 0,-2-1 0,2 0 0,-1-1 0,5 4 0,2 0 0,0-2 0,-2-2 0,-8-5 0,-4-3 0,-5-3 0,-4-1 0,-7-2 0,-2-1 0,-5 0 0,1 0 0,0 0 0,-4 0 0,1 0 0,0 0 0,-2 1 0,3 0 0,-1 1 0,-3-1 0,-2 0 0,-3 0 0,0-1 0,0 0 0,3 0 0,0-1 0,2 0 0,6 0 0,2 0 0,4 1 0,7 0 0,5 0 0,8 0 0,-4 0 0,-1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19:42.021"/>
    </inkml:context>
    <inkml:brush xml:id="br0">
      <inkml:brushProperty name="width" value="0.05" units="cm"/>
      <inkml:brushProperty name="height" value="0.05" units="cm"/>
      <inkml:brushProperty name="color" value="#5B2D90"/>
    </inkml:brush>
  </inkml:definitions>
  <inkml:trace contextRef="#ctx0" brushRef="#br0">1 0 24575,'19'19'0,"4"2"0,1 2 0,15 13 0,15 14 0,11 9 0,-25-23 0,0 1-2844,32 27 2844,-33-27 0,2 2 0,2 3 0,0 1 0,-3-1 0,-1-1 0,2 4 0,-1-1 0,-5-4 0,-1 1 0,-1-1 0,0 0 0,3 4 0,0 1 0,-3-5 0,0 0 0,3 4 0,0-1 0,4 4 0,0 0 0,0 0 0,0 1 0,6 6 0,0-1 0,-8-7 0,-1-2 0,1 0 0,-1 1 0,3 1 0,-1 1 0,-4-6 0,1 2 0,7 8 0,0 1 0,-7-8 0,0 0 0,6 8 0,2 3-871,6 8 1,-1-1 870,-6-6 0,1 0 0,8 11 0,0 1 0,-3-3 0,1-1 0,0 2 0,2 2 0,6 6 0,-1 0 0,-8-10 0,0-1 0,2 1 0,0-1 0,3 3 0,2 0-594,-2-3 1,1-1 593,4 3 0,1-1 0,-1-4 0,0-1 0,-1-2 0,1-1 0,7 6 0,2-1 0,-6-6 0,0-1 0,4 3 0,2 0 0,1-1 0,1-1 0,-8-7 0,1 0 0,4 2 0,0-1 0,-8-8 0,-3-2 0,-4-3 0,0 0-611,6 3 1,-1-1 610,-7-5 0,0 0 0,9 6 0,3 2-462,9 6 0,0 2 462,-1 0 0,1 1 0,-17-12 0,1 3 0,-2-2 0,15 14 0,-2-1 0,1 2 0,1 1 0,4 5 0,1 1 0,-6-4 0,2 0 0,-16-14 0,1 2 0,1-1 0,-1-1 0,-1 0 0,0-1 0,23 18 0,0 0 0,-2-1 0,-1-1 0,-16-10 0,-2-2 0,0-1 0,-1-1 0,-4-4 0,-1-1 0,-7-6 0,0-2 0,3 1 0,0-2 0,33 20 117,7 1-117,-39-24 0,-1 0 1130,33 19-1130,3 0 0,-3-2 0,-5-5 0,-2-1 0,-19-11 737,10 8-737,17 10 0,-36-19 0,2 1 0,10 5 0,2 1 0,-1-2 0,-1 1 603,1-2 1,-1 0-604,0-1 0,-3-1 0,31 17 0,-38-23 0,1 1 0,4 1 0,2 0 0,6 3 0,1 0 0,8 2 0,-1 0 0,-8-4 0,-2-1 0,0-2 0,-1 0 0,0-2 0,-1-2 0,-5-2 0,1 0 0,1-1 0,-1-1 983,35 10-983,-37-11 0,2 1 0,6 1 0,0 0 0,-1 0 0,0-1 0,6 1 0,-2-1 0,33 7 0,-43-10 0,0-1 0,3 1 0,-1 0 0,38 8 0,-35-8 0,0 0 0,37 6 0,-4-3 0,0 0 0,-17-2 731,0 0-731,-6-2 616,-12-3-616,-7-3 1233,-8-1-1233,-6-2 901,-4 0-901,-11-1 262,-5 0-262,-4-1 0,-3 0 0,-1-1 0,-1 2 0,0 0 0,-1 0 0,1 0 0,-1 0 0,2-1 0,0 1 0,1-1 0,0 0 0,1 1 0,0-1 0,-1 0 0,0 1 0,-1-1 0,0 1 0,1-1 0,-1-1 0,0 1 0,1-2 0,-1 1 0,-1-2 0,-1-1 0,-1-2 0,-1-2 0,-1-1 0,0 0 0,-1 4 0,1 3 0,0 1 0,0 1 0,0 0 0,1 1 0,-2-1 0,0 0 0,-4-2 0,-5-1 0,-3-3 0,-4 1 0,4 2 0,3 1 0,1 1 0,3 1 0,2 0 0,3 1 0,2 0 0,5 2 0,8 2 0,6 2 0,10 1 0,-1-1 0,4-2 0,3-1 0,-4-1 0,6 1 0,1-1 0,-2 0 0,1 1 0,-9 0 0,-7-1 0,-4 1 0,-6-2 0,-5 0 0,-2 0 0,-2 0 0,0 1 0,-1 0 0,0 1 0,0-1 0,-1 0 0,-1 1 0,0-1 0,-2 0 0,-3 1 0,0 0 0,-4 2 0,1 0 0,-2 1 0,-1 2 0,1 0 0,-1 3 0,0 1 0,-4 1 0,-4 3 0,-2-2 0,1 0 0,6-5 0,4-2 0,0-1 0,1 0 0,0 1 0,2-1 0,3-2 0,-1 0 0,3-1 0,0-1 0,2-1 0,1 0 0,0-1 0,0 1 0,-1 1 0,0-1 0,0 1 0,2-1 0,5 0 0,5-1 0,-3 0 0,1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27:38.082"/>
    </inkml:context>
    <inkml:brush xml:id="br0">
      <inkml:brushProperty name="width" value="0.2" units="cm"/>
      <inkml:brushProperty name="height" value="1.2" units="cm"/>
      <inkml:brushProperty name="color" value="#AB008B"/>
      <inkml:brushProperty name="inkEffects" value="pencil"/>
    </inkml:brush>
  </inkml:definitions>
  <inkml:trace contextRef="#ctx0" brushRef="#br0">1 0 16383,'40'87'0,"1"-1"0,-2 0 0,2 1 0,-1-1 0,1 1 0,-1-1 0,2 7 0,3 3 0,-2-2 0,-1-5 0,-4-10 0,-4-15 0,7 3 0,-4-13 0,-1 1 0,0-2 0,-1-1 0,0-3 0,20 23 0,-8-14 0,2 0 0,0-4 0,-1-2 0,5 3 0,-8-5 0,-1-2 0,-2-1 0,-7-7 0,-6-8 0,6 7 0,12 8 0,7 3 0,13 14 0,-12-12 0,12 6 0,4 3 0,-12-10 0,10 9 0,-9-4 0,2 1 0,12 8 0,-3-5 0,-5-7 0,-7-6 0,-15-12 0,-3-2 0,3 2 0,5 4 0,7 4 0,-11-5 0,3 2 0,1 1 0,-3-5 0,8 5 0,1-3 0,3 4 0,4 5 0,-8-5 0,0 0 0,-3-2 0,-7-4 0,5 3 0,-7-7 0,5 5 0,6 5 0,-5-2 0,3 1 0,-5-5 0,-5-4 0,-3-1 0,-7-6 0,1 2 0,2 2 0,0-1 0,6 6 0,-7-8 0,5 3 0,2 2 0,-6-5 0,6 6 0,-1 1 0,5 5 0,7 7 0,-7-6 0,4 2 0,2 1 0,-2-4 0,6 5 0,-2-3 0,2 0 0,11 5 0,-1-1 0,-1-3 0,-4-3 0,-13-7 0,-7-4 0,-1-1 0,2 2 0,1 1 0,1 1 0,-6-4 0,-2-2 0,-1-2 0,-2-1 0,4 2 0,-6-3 0,8 2 0,7 4 0,-3-2 0,10 8 0,-4-2 0,-4-3 0,8 5 0,0-1 0,4 5 0,8 5 0,-6-4 0,5 3 0,4 0 0,-7-5 0,2 2 0,-9-8 0,13 7 0,9 4 0,0-2 0,10 1 0,-15-9 0,5 0 0,2 0 0,-6-5 0,11 4 0,0-2 0,3-1 0,0 1 0,-12-4 0,-7-2 0,-1 1 0,-2-1 0,2 0 0,-10-3 0,-1 0 0,-1 0 0,-5-2 0,-1 0 0,-7-4 0,-2-2 0,2 0 0,-4-1 0,-1 0 0,1-1 0,-2-1 0,2 1 0,-9-3 0,-3-1 0,1 0 0,-1-1 0,4 2 0,2-1 0,-1 1 0,7 1 0,-1 0 0,-4-1 0,4 1 0,-3-1 0,7 2 0,12 3 0,1 0 0,7 1 0,-7 0 0,-2 0 0,1 1 0,-1 0 0,6 2 0,-10-3 0,2 1 0,6 2 0,1 0 0,5 2 0,0-1 0,-2-1 0,5 1 0,5 2 0,4 1 0,4 0 0,-6 0 0,-8-3 0,-8-3 0,-9-3 0,0-1 0,-7-1 0,7 1 0,2 1 0,0 1 0,3 0 0,-11-1 0,-5-1 0,1-1 0,-5 0 0,3 0 0,2 1 0,-2 0 0,3 2 0,0-1 0,-3 0 0,-1 0 0,-9-3 0,1 0 0,1 0 0,-1 0 0,0-1 0,-4-2 0,-3 1 0,0-1 0,-1 0 0,3 0 0,0-1 0,0 0 0,-2 0 0,-2-1 0,-2 1 0,-4-2 0,0 1 0,-1 0 0,-1-1 0,2 0 0,4 0 0,3 1 0,-1 1 0,3-1 0,-1 1 0,0-1 0,1 1 0,-2 0 0,-1 0 0,0 0 0,-3 0 0,0 0 0,3 1 0,0-1 0,1 1 0,-1 0 0,-1-1 0,1 0 0,0 3 0,-1-2 0,0 1 0,1-1 0,0 1 0,-1-1 0,-1 0 0,-1 2 0,-1-2 0,0 0 0,-3 0 0,-2 0 0,2 0 0,0 1 0,2 1 0,3 3 0,0 0 0,1 0 0,0 0 0,0-1 0,4 1 0,-1-2 0,-2-1 0,-1-2 0,-2-1 0,-2 0 0,3 0 0,-2 0 0,1-1 0,1 1 0,0-2 0,-1 1 0,-1 0 0,-4-1 0,-1-1 0,-4-7 0,-1 3 0,-2-6 0,0 7 0,0-1 0,-1 0 0,0 0 0,1 0 0,-1 0 0,0 1 0,-1-1 0,1 1 0,-1 0 0,1 0 0,0 0 0,-1-1 0,1 0 0,-2-2 0,0 2 0,1-3 0,0 2 0,-1-1 0,1 1 0,0 1 0,1 0 0,0 0 0,1 1 0,-2-3 0,-2-5 0,0-1 0,0 0 0,1 2 0,3 5 0,0-1 0,-1-1 0,1 0 0,-3-2 0,-1 0 0,-5-2 0,-5-1 0,-1 0 0,-2 1 0,5 3 0,1 2 0,1 0 0,3 2 0,1 1 0,4 2 0,0 1 0,15 17 0,-4-4 0,11 14 0,-5-10 0,-2-1 0,2-1 0,-2-1 0,-2-2 0,0-1 0,-1 1 0,0-1 0,1 1 0,0-1 0,-2-1 0,1 0 0,-1-3 0,-1 2 0,1-1 0,0 0 0,-1-1 0,-3-3 0,-1 2 0,0-1 0,1 3 0,1 0 0,1 2 0,-1-1 0,0 0 0,0-1 0,-1-3 0,2 3 0,-2-1 0,1 1 0,0 1 0,-1-1 0,-1-1 0,0-2 0,-1 2 0,0-1 0,0 2 0,1-1 0,-1-1 0,-1 0 0,-2 0 0,-1 0 0,-2-1 0,1-1 0,-1 1 0,1-2 0,-3 1 0,2 0 0,-2-2 0,0 0 0,-1 1 0,-3 0 0,-1 0 0,-4 0 0,-1-1 0,1 0 0,-1 0 0,3 0 0,0 0 0,-2 0 0,1-1 0,-2 1 0,2 1 0,2-1 0,0 1 0,1-1 0,0 1 0,-2-1 0,1 1 0,0-1 0,-1 1 0,2-1 0,0 1 0,2 1 0,0-2 0,0 1 0,1-1 0,0 1 0,3 0 0,1-1 0,0 2 0,-1-1 0,2-1 0,0 1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6T04:39:17.431"/>
    </inkml:context>
    <inkml:brush xml:id="br0">
      <inkml:brushProperty name="width" value="0.025" units="cm"/>
      <inkml:brushProperty name="height" value="0.025" units="cm"/>
    </inkml:brush>
  </inkml:definitions>
  <inkml:trace contextRef="#ctx0" brushRef="#br0">0 4642 8191,'32'-4'0,"4"-1"5063,3-1-5063,6 0 0,7-1 2818,3 0-2818,19-4 0,14 0 322,-36 6 0,-1-2-322,11-3 0,3 1 0,-7 0 0,3 0 0,5-3 0,3 1 0,2-1 0,1 0 0,-5 0 0,0 1 0,9-5 0,0 1 0,-16 3 0,0-2 0,8-2 0,4-3 1762,8 1 0,-1 0-1762,-3 1 0,-4 1 0,12-4 0,-3 2 0,-8 3 0,-4 0 0,-4 1 0,-4-1-642,7-2 1,-3 1 641,-11 2 0,0-1 0,7-3 0,0-1 0,7-3 0,-1 0 0,-3 0 0,-2 0 0,10-6 0,0-1 0,-6 3 0,-1-3 0,0 2 0,-1-1 0,5-6 0,1-1 0,-6 3 0,-2-1 0,7-4 0,-1-2 0,-9 5 0,-1 1 0,-1 1 0,1-4 0,1-1 0,2-1 0,-11 6 0,0-3 0,7-4 0,-2-2 0,-11 7 0,-3 0-165,20-20 165,-3-7 0,-13 8 0,1-2 0,0-8 0,-9 10 0,-2-6 0,2-2 0,-4 5 0,3-6 0,-7 10 0,6-9 0,4-8 0,-5 6 0,2-2 0,-10 11 0,-4 7 0,0 2 0,-4 4 1252,3 0-1252,0-5 2695,-1 3-2695,-2 1 1608,-2 5-1608,1 3 228,2-6-228,0 6 0,5-4 0,1-4 0,-1 2 0,2 2 0,-5 8 0,1 0 0,2-2 0,1-2 0,2-3 0,-1 1 0,-1 2 0,6-6 0,2 1 0,-1-2 0,-2 3 0,-6 5 0,-3 8 0,1-1 0,3-6 0,-1 0 0,6-6 0,0 3 0,-2 1 0,2 1 0,-5 5 0,3-1 0,2 1 0,-1 1 0,0-3 0,-7 10 0,-2 0 0,1-1 0,-2 3 0,7-3 0,4-1 0,-1-2 0,7 1 0,-6 2 0,0 1 0,-2 2 0,-6 5 0,0-2 0,-4 3 0,0 0 0,2 0 0,-3 0 0,2 2 0,1 0 0,0 1 0,1-1 0,-3 1 0,6-1 0,3-2 0,1 0 0,1 2 0,-7 1 0,-2 1 0,-1 1 0,-3 0 0,3-2 0,3 1 0,1-1 0,2-4 0,-4 1 0,-1-1 0,5-5 0,1 3 0,7-4 0,2-2 0,-1-1 0,2 3 0,-10 4 0,-3 2 0,-3 3 0,-1 1 0,2-2 0,-2 4 0,1 0 0,0 0 0,0 0 0,6 0 0,3 1 0,5 0 0,9-1 0,-2 0 0,12-1 0,9-1 0,-1 2 0,2 3 0,-18 1 0,-16 1 0,-12-1 0,-12 3 0,-3-1 0,1 0 0,0 1 0,0-1 0,-1 1 0,0-1 0,-1 1 0,1 0 0,0 0 0,0 0 0,0 0 0,0 0 0,-1 0 0,1 0 0,-1 0 0,1-1 0,0 1 0,-1-1 0,0 1 0,0 0 0,1 0 0,-1 0 0,-1-1 0,0 0 0,0-1 0,0 0 0,0-1 0,0 2 0,0 0 0,2-1 0,-2 1 0,1-2 0,-1 1 0,0-1 0,0 0 0,0-1 0,0-1 0,0 2 0,0 0 0,0 0 0,0 0 0,0 1 0,0-1 0,0 1 0,0-1 0,0 1 0,0 0 0,0-1 0,0 2 0,0-1 0,0 1 0,0 0 0,1 0 0,-1-1 0,1 1 0,-1 0 0,0 0 0,-9 4 0,-8 2 0,-6-1 0,-7 0 0,2-2 0,1-2 0,6 0 0,7 0 0,4 0 0,7 0 0,0 0 0,0 0 0,1 1 0,1 0 0,4-1 0,0 1 0,0-1 0,-1 1 0,-1-1 0,1 0 0,-1 1 0,0-1 0,0 1 0,0-1 0,0 0 0,1 0 0,-1 0 0,1 0 0,1 0 0,0 0 0,0 0 0,-1 1 0,1-1 0,-1 1 0,1 0 0,1 0 0,0-1 0,0 2 0,0-2 0,-1 1 0,1-1 0,-2 0 0,1 0 0,-1 0 0,0 0 0,-1 0 0,0 0 0,0 0 0,0 0 0,1 0 0,1 0 0,-1 0 0,0 0 0,-1 0 0,0 0 0,1 1 0,0-1 0,2-1 0,6-3 0,2 0 0,3-1 0,3 0 0,0 2 0,2-1 0,-1 2 0,-2-1 0,3 0 0,0 1 0,-1 0 0,4 0 0,-4 2 0,-1-1 0,3 1 0,-1 0 0,-1 0 0,-5 0 0,-6 0 0,-2 0 0,-4 1 0,-1-1 0,-1 1 0,-1 1 0,-2 1 0,-1 1 0,-1 0 0,1-1 0,0 0 0,0 0 0,1 0 0,-1 0 0,-1 2 0,0 0 0,-1 1 0,0 0 0,1-1 0,0-1 0,-1 0 0,1 0 0,0 0 0,1 0 0,0-1 0,0 0 0,0 0 0,0 0 0,0 1 0,0-1 0,-1 1 0,-3 0 0,-1 1 0,0 1 0,-2-2 0,1 0 0,1-1 0,-2 0 0,2-1 0,-3 0 0,1 1 0,1-1 0,0-1 0,1 1 0,1 1 0,-2 0 0,2-1 0,-2 1 0,0-1 0,1-1 0,0 1 0,2-1 0,0 1 0,2 0 0,1 0 0,0 0 0,-1-1 0,3 0 0,0 0 0,1-1 0,0 0 0,0 1 0,-1 0 0,-4 1 0,-8 2 0,-4 1 0,0 1 0,4 0 0,3-2 0,0-1 0,1 0 0,1-1 0,1 0 0,0 0 0,4-1 0,4-1 0,-1 0 0,4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8T03:59:43.369"/>
    </inkml:context>
    <inkml:brush xml:id="br0">
      <inkml:brushProperty name="width" value="0.025" units="cm"/>
      <inkml:brushProperty name="height" value="0.025" units="cm"/>
    </inkml:brush>
  </inkml:definitions>
  <inkml:trace contextRef="#ctx0" brushRef="#br0">4 1 24575,'0'6'0,"-1"3"0,0 4 0,0 0 0,1 4 0,0 3 0,1-2 0,1 2 0,0-5 0,0-2 0,0 1 0,-1-2 0,0 4 0,0-2 0,0 2 0,3 3 0,1-2 0,2 2 0,2-1 0,1 0 0,3 0 0,0 0 0,1-1 0,1 1 0,2 1 0,3 1 0,-5-4 0,3 2 0,3 0 0,0-2 0,6 1 0,0-6 0,2-3 0,3-1 0,-6-3 0,-2-2 0,-1-2 0,-1 1 0,4-1 0,-6 0 0,6-1 0,3 0 0,-2 0 0,1-1 0,-5 1 0,-5 0 0,-2 0 0,-4-1 0,1 1 0,0-1 0,-1 1 0,1 0 0,3 0 0,2-1 0,3-1 0,3 0 0,3-1 0,-1 2 0,-3 0 0,-5 1 0,-6 0 0,-5 0 0,-2 1 0,-3-1 0,0 0 0,0-2 0,3 0 0,2-2 0,3-1 0,4-1 0,4 1 0,-3 0 0,-1 2 0,-2 2 0,0 1 0,3 0 0,2 0 0,1 1 0,7 0 0,1 0 0,4 0 0,8 0 0,0 0 0,8 1 0,4 0 0,-1 0 0,7 0 0,-4 0 0,-9 0 0,0 1 0,-10 1 0,0 2 0,-5 0 0,-7-1 0,-5 0 0,-6 0 0,0 1 0,-3 1 0,0 0 0,-1 1 0,-1-1 0,-1 1 0,-1 1 0,0-1 0,0 2 0,-1-2 0,3 1 0,1 1 0,1 1 0,3-1 0,-1 0 0,-1-3 0,2-1 0,-3-1 0,-2-1 0,-1-2 0,-3-1 0,-1-2 0,2-2 0,-2-1 0,0-1 0,0 1 0,0-2 0,0 1 0,0 1 0,0 1 0,0 0 0,0 0 0,0 0 0,0-1 0,2 1 0,-1-1 0,1 1 0,-1 0 0,0 1 0,1 0 0,0 0 0,2 0 0,0 1 0,1 1 0,0 0 0,3 0 0,4-1 0,0 1 0,4 0 0,1 0 0,1 0 0,7 0 0,0 1 0,5 0 0,7 0 0,1 0 0,11 0 0,7 0 0,0 1 0,8 2 0,-6 1 0,-5 1 0,4-1 0,0 0 0,-1-1 0,-7 0 0,-14-2 0,-7-1 0,-4 0 0,0 0 0,1 0 0,7 1 0,3 0 0,11 0 0,13 1 0,6-1 0,4 0 0,-4 1 0,1-2 0,4 0 0,-5 0 0,-5 0 0,-4 0 0,-6 0 0,-5 0 0,-13 0 0,-6 0 0,-2-2 0,0 0 0,0 0 0,-2 0 0,0 0 0,3 0 0,1 1 0,5 0 0,6-1 0,4-1 0,7 0 0,-3-1 0,4 1 0,-4 2 0,-9-1 0,-8 0 0,-10 0 0,-7-1 0,-4-1 0,-2-1 0,-1-1 0,-2-2 0,0 1 0,-2-2 0,1-1 0,0-1 0,0 0 0,1 0 0,0 0 0,1-2 0,-2 2 0,0-2 0,-1 0 0,0 0 0,-1-3 0,0-2 0,-1 4 0,-1-1 0,-1 3 0,1 2 0,-1 1 0,3 2 0,0 3 0,0 1 0,0 1 0,0 0 0,0 0 0,1 0 0,1 2 0,0 1 0,5 5 0,8 6 0,-7-5 0,4 3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9T00:31:17.353"/>
    </inkml:context>
    <inkml:brush xml:id="br0">
      <inkml:brushProperty name="width" value="0.025" units="cm"/>
      <inkml:brushProperty name="height" value="0.025" units="cm"/>
    </inkml:brush>
  </inkml:definitions>
  <inkml:trace contextRef="#ctx0" brushRef="#br0">485 1 24575,'0'25'0,"0"10"0,0 2 0,0 40 0,0-9 0,0-20 0,0 3 0,0 39 0,0 0-473,0-40 1,0 0 472,0 42 0,0-36 0,0-3 0,0 16 53,0-16 0,0-2-53,0-1 0,0 29 0,0-28 0,0 18 0,0-6 709,0 8-709,0-11 0,0-9 0,-4 5 0,-1 2 130,3 9-130,-3-13 0,1-2 0,4-2 0,-6-6 0,5-5 0,-5-5 0,6-12 0,0-6 0,0-1 0,0-6 0,0 2 0,0-2 0,0 0 0,0 9 0,-12 20 0,3 5 0,-5-7 0,8-12 0</inkml:trace>
  <inkml:trace contextRef="#ctx0" brushRef="#br0" timeOffset="2497">573 73 24575,'31'0'0,"8"0"0,-8 0 0,45 0 0,-30 0 0,41 0 0,-24 0 0,16 0 0,-5 0 0,23 0 0,-21 0-297,-23 0 0,2 0 297,30 0 0,-30 0 0,1 0 0,21 0 0,19 0 0,-13 0 0,2 0 0,13 0 0,-15 0-480,-23 0 0,4 0 480,34 0 0,-35-3 0,-1 0 0,28 1 0,-16-5-279,13 7 279,-4 0 0,2 0 0,13 0 0,-15 0 0,7-6 0,-8 4 0,7-4 0,-7 6 0,-1 0 0,8 0 0,-16 0 0,7 0 0,-19 0 0,9 0 558,-8 0-558,-1 0 974,9 0-974,-8 0 301,8 0-301,-8 0 0,7 0 0,-7 0 0,0 0 0,-1 0 0,-1 0 0,-6 0 0,7 0 0,-9 0 0,-1 0 0,-5 0 0,4 0 0,-12 0 0,4 0 0,-5 0 0,-2 5 0,1-4 0,0 4 0,0-5 0,-1 0 0,-5 5 0,4-4 0,-10 4 0,4-5 0,-6 0 0,-5 4 0,2-3 0,-8 3 0,10-4 0,-10 0 0,4 0 0,0 0 0,2 5 0,-1-3 0,6 3 0,-6-5 0,6 5 0,0-4 0,-1 4 0,0-1 0,1-3 0,0 4 0,-5-5 0,-1 0 0,-7 4 0,1-3 0,-4 7 0,-2-3 0,-4 6 0,0-2 0,0 0 0,-4 1 0,-7 5 0,-1 2 0,-4 4 0,4 7 0,0 1 0,0 6 0,-1 16 0,0 3 0,-2 24 0,0 4-710,1 7 710,6-39 0,0 0 0,-6 33 0,5-29 0,1 0 0,0 28 0,0-32 0,1 0 0,6 32-9,-12-4 9,11-17 0,-4-2 0,6-14 0,0 5 0,0-13 709,-6 13-709,4-14 10,-3 14-10,5-6 0,0 8 0,0-1 0,0 1 0,0-8 0,0 6 0,0-12 0,0 10 0,0-10 0,0 11 0,0-11 0,0 12 0,0-6 0,0 0 0,0-2 0,0-6 0,0-7 0,0-1 0,0-12 0,0-1 0,0-5 0,0 0 0,-8-5 0,1-1 0,-12-4 0,3 0 0,-43-10 0,5 1 0,-2-2 0,-4 2-792,7 4 0,-3 2 792,-24-5 0,-3 0-1379,-8 2 0,-1 1 1379,18 1 0,-2 0 0,-1 0-1028,-4 1 1,0 0 0,-1 0 1027,-5 0 0,1 0 0,-1 0 0,6 2 0,-1 2 0,2-3 0,-1-4 0,0-1 0,2 2 0,7 3 0,1 2 0,3-1-712,-32-3 1,5-1 711,4 0 0,3 2 0,4 2 0,3 0 0,3-4 0,2 2-39,-6 3 1,2 0 38,8-4 0,2 0 0,-11 4 0,0-2 0,3-5 0,2-1 0,-1 3 0,0-1 0,-5 1 0,2 1 0,24 0 0,0 0 0,-8 1 0,-4-1 0,3 0 0,1-2 0,-3-2 0,-1-2 0,-8 1 0,0 1 652,14 3 0,-1 1-652,5-3 0,2 0 2719,-30-1-2719,33 0 0,-1 0 0,-22 1 0,-17-7 0,15 13 0,14-11 0,11 11 1905,16-5-1905,4 6 1591,8 0-1591,3 0 997,6 0-997,6 0 408,0 0-408,5 12 0,0-9 0,5 9 0</inkml:trace>
  <inkml:trace contextRef="#ctx0" brushRef="#br0" timeOffset="4399">5945 1955 24575,'51'0'0,"28"0"0,-18 0 0,7 0-2449,28 0 0,3 0 2449,-31 0 0,-1 0 0,1 0 0,27 0 0,0 0 0,-24 0 0,1 0 0,-2 0 0,19 0 0,-2 0 0,-17 0 0,1 0 0,-1 0 0,1 0 0,-2 0 0,0 0 0,23 0 0,-3 0-418,1-4 1,-2 0 417,-5 3 0,0 0 0,-6-4 0,-1 2 338,-5 9 1,-2 2-339,28-5 0,-1 12 0,-22-15-27,8 6 27,-11-4 2254,-17 9-2254,-17-5 2046,-10 0-2046,-5-1 746,-6-5-746,-1 0 37,-14 0-37,-2 0 0,-14 0 0,-8 0 0,-6-5 0,-6-7 0,-1-1 0,-1-10 0,1 10 0,6-3 0,7 5 0,9 4 0,4-2 0,0 8 0,8-3 0,3 4 0,8 0 0,0 0 0,-1 0 0,2 0 0,0 0 0,0 0 0,-1 0 0,1 4 0,5 2 0,2 5 0,11 0 0,10 6 0,-1 1 0,13 8 0,3 0 0,4 7 0,2-4 0,-2 10 0,-4-11 0,-7-2 0,-4-2 0,-11-7 0,-8 0 0,-8-1 0,-5-7 0,0-4 0,-1 4 0,-11-8 0,-6 3 0,-18-4 0,-11 0 0,-16 6 0,-9 2 0,-19 7 0,17-2 0,-23 2 0,22-8 0,-14 6 0,16-6 0,10 1 0,17-3 0,7 0 0,12-4 0,2 4 0,10-5 0,0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21T00:01:27.405"/>
    </inkml:context>
    <inkml:brush xml:id="br0">
      <inkml:brushProperty name="width" value="0.025" units="cm"/>
      <inkml:brushProperty name="height" value="0.025" units="cm"/>
    </inkml:brush>
  </inkml:definitions>
  <inkml:trace contextRef="#ctx0" brushRef="#br0">3 1 24575,'0'3'0,"0"3"0,0 3 0,0 3 0,0 1 0,0-2 0,0 1 0,0 1 0,0 0 0,0 3 0,0-1 0,0 0 0,-1-1 0,0-3 0,1-1 0,0-1 0,0 0 0,0-1 0,0-1 0,0 0 0,0 1 0,0-1 0,1-1 0,0 0 0,0-1 0,2 0 0,-1-1 0,0 0 0,0-1 0,-1-1 0,0 0 0,0 0 0,0 1 0,-1 0 0,1 1 0,0-1 0,0 1 0,0 1 0,-1 0 0,1 2 0,0-1 0,1 0 0,-1 1 0,-1-1 0,1-1 0,0-2 0,-1-2 0,1-3 0,0 0 0,-1-2 0,0 2 0,0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21T21:01:40.536"/>
    </inkml:context>
    <inkml:brush xml:id="br0">
      <inkml:brushProperty name="width" value="0.025" units="cm"/>
      <inkml:brushProperty name="height" value="0.025" units="cm"/>
    </inkml:brush>
  </inkml:definitions>
  <inkml:trace contextRef="#ctx0" brushRef="#br0">11807 980 8191,'-37'0'0,"-4"1"5063,-4 2-5063,-2 0 0,-6 1 0,3-1 0,-9 1 0,6 1 0,5 0 2818,-2 0-2818,11-2 1719,-2 0-1719,4 0 6784,-6-2-6784,-8 0 0,1-1 0,-19-1 0,1 0 0,0-1 0,-8 1 0,11 1 0,-7 0 0,-3 0 0,12 0 0,-1 0 0,11 0 0,10 0 0,-2 0 0,3-1 0,-3 0 0,-5-1 0,5 0 0,-2-1 0,0 0 0,2 0 0,2 0 0,12 1 0,3 0 0,0-1 0,0 0 0,-7-1 0,-1 0 0,0 0 0,-2-1 0,5 1 0,-4-2 0,-7-1 0,-1-2 0,-6-3 0,9 0 0,0-2 0,0 0 0,8 3 0,-2-1 0,9 4 0,-2 0 0,-6-2 0,2 2 0,-10-2 0,6 3 0,-4-1 0,2 0 0,10 2 0,-1-1 0,7 1 0,0-1 0,-2 0 0,2 0 0,3 1 0,1-1 0,4 3 0,-3-2 0,-5-2 0,-3-1 0,-3-2 0,4 2 0,5 2 0,3 1 0,6 2 0,5 1 0,3 1 0,1-2 0,2-2 0,0 0 0,0-3 0,0 0 0,1-2 0,0-2 0,0 3 0,1-4 0,0 0 0,0 1 0,0-2 0,0 4 0,1 1 0,2 0 0,0 1 0,0 0 0,0 0 0,0-1 0,1 0 0,-1 2 0,1 0 0,1-1 0,0 0 0,2-3 0,0 2 0,0 0 0,2-1 0,-2 3 0,0 1 0,-2 1 0,-2-1 0,-1 1 0,-2 1 0,0 1 0,0 0 0,0 1 0,-1 0 0,0 1 0,0 0 0,1-1 0,1-1 0,2-1 0,3-2 0,1 0 0,1-1 0,0 0 0,0 0 0,3-2 0,1 1 0,1 0 0,-3 0 0,-1 2 0,-1 1 0,-2 1 0,0 0 0,0 1 0,-1 1 0,1 0 0,2-1 0,3 0 0,3-1 0,2 1 0,6-4 0,3-1 0,1-1 0,4-1 0,-4 2 0,4 0 0,6 1 0,1 3 0,9-1 0,-7 1 0,4 1 0,8 0 0,5-1 0,20 0-1459,14-1 1459,-41 2 0,2 1 0,6-1 0,1 0 0,-6-1 0,-1 2 0,0 0 0,0 0 0,-1 1 0,0 0 0,43-4-140,-44 4 1,-1 0 139,38-2 0,-10 1 0,11 2 0,8-1 0,-4 2-659,-41-1 0,1-1 659,1 1 0,0-2 0,-3 1 0,2-1 0,10 1 0,2-1 0,0 0 0,2 0 0,0-1 0,2 0 0,10 0 0,-1 0 0,-10 0 0,-2 0 0,-4 2 0,-1 0 0,-3 0 0,-2 2 0,31-1 0,-1 1 0,-11 0 0,-10 0 0,2 1 0,-9 0 1336,-4 1-1336,-7 1 279,-8-2-279,-3 1 1441,-6 0-1441,0 0 0,1 3 0,-1 0 0,4 3 0,-3 0 0,-2 0 0,-2 1 0,-8-3 0,5 4 0,5 3 0,-1 3 0,1 1 0,-9-3 0,-6-3 0,-5-1 0,-4-2 0,-2 1 0,-1 2 0,0-2 0,-2 1 0,-1-2 0,-1 0 0,-1 2 0,0-1 0,-2 3 0,-2 2 0,-1 1 0,-3 2 0,-4 1 0,-3 0 0,-5 2 0,3-3 0,-7 4 0,-7 5 0,-7 3 0,-8 3 0,3-6 0,-2 2 0,-4 2 0,3-3 0,-5 0 0,3-4 0,-2-4 0,-9 1 0,1-2 0,-16 6-1243,-19 4 1243,46-14 0,-1 1 0,-6 2 0,1-2 0,-34 8 0,39-10 0,-1 1 0,-5 2 0,0 0 0,2 0 0,-1 1 0,-8 2 0,1 0 0,9-2 0,0-2 0,3 0 0,1-2 0,-44 9 0,26-8 0,13-7 0,12-3 0,8-2 0,5-1 0,13-1 0,2 0 1243,2 0-1243,2 0 0,-3 0 0,-10 0 0,-11 0 0,-23 0 0,-9 0-1365,15 0 1,-5 0 1364,-11 0 0,-3 0 0,-2 0 0,3 0 0,17 0 0,4 0 0,-8 0 0</inkml:trace>
  <inkml:trace contextRef="#ctx0" brushRef="#br0" timeOffset="2411">8727 689 8191,'-13'-2'0,"-3"0"5063,-14 1-5063,-15-1 0,-8 0 0,-33-1 0,-13-2 235,21 1 1,-9-2-236,7 2 0,-5-1 0,-1-1-299,-3 1 1,-2 0-1,-4-1 299,6 0 0,-5 0 0,-3-1 0,1 0 0,-1 1 0,-1-1 0,1 0 0,1 1 0,4-1 0,2 1 0,-1 0 0,-1-1 0,-6 1 0,-2 0 0,0 0 0,5 0-772,-6 1 0,5 0 0,-2 1 772,21 1 0,-1 0 0,0 0 0,-2 0 0,-3 0 0,-3 0 0,0 1 0,1-1 0,5 1 0,0 1 0,0-1 0,-1 0 0,-12 1 0,-2 0 0,-1 0 0,2 0-275,6 0 0,-1 1 0,1 0 0,0 0 275,3 0 0,1-1 0,2 2 0,-1-1 0,3 0 0,-1 1 0,3 0 0,3 1 145,-6-1 1,5 1-1,-1 1-145,-1 1 0,0 0 0,1 2 0,1 0 0,0 1 0,2 0 0,4-1 0,2 1 0,-1 0 496,-3 1 1,0 1 0,2 0-497,-15 3 0,1 1 0,3 0 0,2 1 0,2 0 0,4-1 0,14-2 0,5 0 1029,2 0 0,0 2-1029,2 0 0,0 2 0,-2-1 0,1 2 0,-6 2 0,2 2 0,-32 13 0,-1 0 0,2 1 3919,13-7-3919,-2 1 0,12-1 0,1 0 0,-5 4 0,8-2 2564,-8 7-2564,-5 3 0,4 0 0,1 0 0,14-8 0,6-3 0,1 1 2964,5-2-2964,3 0 0,-1 0 1120,3-2-1120,1 0 0,10-9 0,3-1 611,3-3-611,4-2 0,2 1 0,7-6 0,2-1 0,1-1 0,1-1 0,0-5 0,0-4 0,0-4 0,1-1 0,0 3 0,1-1 0,0 0 0,0 0 0,0-2 0,0 2 0,0 1 0,0 2 0,0 2 0,0 2 0,0 1 0,0 0 0,1-1 0,0 1 0,2-1 0,1-1 0,0 1 0,1 0 0,-1 1 0,0 0 0,-2 1 0,0 0 0,0 0 0,-1-1 0,1 1 0,-1 0 0,0 4 0,0 1 0,-2 3 0,-2 7 0,-2 3 0,-2 2 0,1-1 0,2-5 0,0-3 0,2 0 0,0-2 0,0-2 0,1 1 0,0-2 0,0-1 0,0 0 0,-1-1 0,1-1 0,0 0 0,0 1 0,-1-1 0,1 0 0,0 0 0,0 0 0,1-1 0,0 1 0,0-1 0,0 1 0,0 0 0,0 0 0,0 0 0,1 0 0,1 1 0,1 0 0,2-1 0,0 1 0,0 0 0,-1-1 0,0 1 0,0-1 0,1 2 0,0 0 0,0 0 0,0-1 0,-1-2 0,0 0 0,0 0 0,0-1 0,-1 0 0,0 0 0,0 0 0,0 0 0,1 0 0,1 0 0,0-1 0,0 0 0,3-1 0,-1 0 0,4 1 0,2 0 0,2 0 0,3-1 0,-1 0 0,1 0 0,1 0 0,-1 0 0,0 0 0,-3 0 0,-1 0 0,-4 1 0,-6 0 0,-2-2 0,-2 0 0,1-1 0,2-1 0,-1 4 0,0-1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21T21:44:49.096"/>
    </inkml:context>
    <inkml:brush xml:id="br0">
      <inkml:brushProperty name="width" value="0.025" units="cm"/>
      <inkml:brushProperty name="height" value="0.025" units="cm"/>
    </inkml:brush>
  </inkml:definitions>
  <inkml:trace contextRef="#ctx0" brushRef="#br0">330 1481 24575,'-4'11'0,"0"0"0,-1 4 0,-3 1 0,-3 5 0,1-1 0,-2 3 0,4 1 0,2-6 0,0 2 0,2-4 0,1 5 0,0 4 0,1-3 0,0 4 0,0-4 0,1 2 0,0 5 0,0-1 0,0 7 0,0 4 0,-1-2 0,1 5 0,1-9 0,1 0 0,1-1 0,1-4 0,2 6 0,1 1 0,1 0 0,1 2 0,-1-5 0,0 1 0,0 0 0,1-2 0,2 7 0,1 2 0,-1 0 0,2 3 0,0-3 0,0-3 0,2 0 0,-1-3 0,1 0 0,0-2 0,0 1 0,2-2 0,-3-3 0,0-1 0,0 1 0,0-2 0,4 6 0,0-3 0,3 2 0,4 3 0,0-2 0,4 4 0,-3-5 0,6 2 0,8 1 0,3-1 0,8-2 0,-1-5 0,0-4 0,2-2 0,-4-2 0,4-2 0,14 1 0,15 3-719,-3-1 719,10-2 0,-3-3 0,-11-3 0,21 0 0,3-4 0,-47-4 0,1 0 0,4 0 0,1-1 0,36 0 0,4-2 0,-6 0 0,-15 0 0,-2 0-41,-15-2 41,-2-1 0,6-2 0,-4 0 0,-6-2 0,2-1 0,-3-1 0,-3 0 0,3 0 0,3 1 0,0 1 0,15 2 0,-2 2 0,-5 1 0,5 0 0,-11 1 0,-1 1 0,2 0 0,-11 2 717,-5 0-717,-4 0 43,-3 0-43,-4 1 0,-8 0 0,2 2 0,3 2 0,1 2 0,3 1 0,-6 0 0,-4 1 0,-2-1 0,-6 0 0,0 0 0,0 0 0,-2-2 0,-1 0 0,-6-1 0,-1-3 0,-1-1 0,0-1 0,0 0 0,1 0 0,0 2 0,-1-2 0,-1 0 0,0-1 0,1 0 0,-2-1 0,3-3 0,1-5 0,2-4 0,1-2 0,-1-1 0,1-3 0,1-3 0,4-4 0,-3 1 0,5-3 0,2-3 0,1 1 0,3 0 0,-2 4 0,0 2 0,2 2 0,-1 4 0,4-3 0,2 3 0,0 2 0,1-1 0,4 0 0,6 1 0,8-3 0,0 4 0,3 0 0,6 0 0,0 2 0,10-1 0,0 0 0,1 1 0,4-1 0,-8 5 0,-2-1 0,-2 1 0,-9-1 0,-2 0 0,-12 0 0,-1 0 0,0-3 0,3 1 0,-6 1 0,0-3 0,-4 0 0,-4-1 0,6-1 0,-1 1 0,3-1 0,2-1 0,-7 3 0,1-1 0,0-1 0,-2 2 0,0-6 0,-3 2 0,1-3 0,7-4 0,-2 4 0,7-4 0,5-2 0,-2 1 0,8-6 0,-7 7 0,2-2 0,-6-2 0,-8 7 0,-6 0 0,-8 3 0,-3 2 0,-2-1 0,0 0 0,0-4 0,0 0 0,-1 2 0,1-2 0,-1 6 0,0-1 0,2-1 0,-1 0 0,0-2 0,-1-1 0,-1-1 0,-1-1 0,-2-3 0,-1 1 0,0-3 0,0 1 0,0-1 0,0 5 0,0-3 0,0 0 0,-1 1 0,0 0 0,0 5 0,0 0 0,-1-4 0,0 5 0,0 1 0,0-1 0,0 0 0,0 0 0,1 6 0,0 0 0,0 0 0,1 1 0,-2-1 0,1 2 0,0-1 0,-1 0 0,0 2 0,1-1 0,0 1 0,0-1 0,-1 0 0,0 0 0,1 1 0,-1 0 0,1-1 0,0 1 0,0 0 0,0 1 0,1 1 0,-1 2 0,0-1 0,0 1 0,1 0 0,0 1 0,0-2 0,0 2 0,-1-1 0,1 0 0,-2 1 0,1-1 0,0-1 0,0 0 0,1 0 0,-1-1 0,0-1 0,-1-2 0,0 0 0,0-2 0,0-2 0,-2-3 0,0-2 0,-1 3 0,0-6 0,-1-2 0,-1-2 0,0 3 0,0 1 0,3 3 0,-1 0 0,2 2 0,1 1 0,0 1 0,0 1 0,-1 2 0,0 0 0,2 4 0,-1 4 0,2 0 0,-1 1 0,1 0 0,-1 0 0,0 0 0,1-2 0,-1-2 0,-1-1 0,0-1 0,-1-3 0,1 2 0,-2-5 0,1 1 0,-1 2 0,-1-2 0,2 6 0,0-2 0,-1-2 0,0 1 0,-1-1 0,2 4 0,-1 0 0,1 2 0,0 0 0,-1-1 0,1 0 0,-1 0 0,1-1 0,0 2 0,1 1 0,0 1 0,0-1 0,0 0 0,-2-2 0,0 0 0,0 2 0,1 0 0,1 1 0,0 1 0,1 0 0,-1 1 0,0-1 0,1 1 0,0-1 0,0 2 0,-1-2 0,-1-1 0,0-1 0,-1-3 0,0 2 0,0-2 0,-2-1 0,-1-1 0,0-3 0,-2 0 0,-2-3 0,-3-1 0,1-1 0,-3-3 0,-2-1 0,-3-2 0,-6-5 0,2 4 0,-9-7 0,-12-6 0,-10-7 0,-14-5 0,-1 3-575,1 3 575,1 0 0,0 6 0,-2 2 0,-21-2 0,40 17 0,0 1-1038,2 2 1,0 2 1037,-2-1 0,1 3 0,-30-4-281,17 6 281,-11 1 0,4 5 0,1 1 0,-15 0 0,-3 2 0,-4 0 0,-5 2 0,21 1 0,-11 0 0,-8 0-537,-4 0 537,45-1 0,-1 1 0,-40-2 0,3 1 0,1-1 0,14 2 0,-10 0 0,-6 0 0,-5 0 0,43 0 0,1 1 0,-35 0 0,38 0 0,0 1 0,-5 0 0,1 1 0,5 0 0,0 1 0,-4 0 0,1 1-42,-41 6 42,0 1 0,-6 0 1165,16-1-1165,1 0 0,7 0 0,11-1 0,3-2 290,17-2-290,-6 3 0,-3 3 1131,4 0-1131,2 0 49,9 0-49,-1 0 875,-2 1-875,6 0 0,0 3 0,-2 4 0,-1 1 0,-8 4 0,11-4 0,-3 5 0,-4 2 0,5-3 0,-9 10 0,-1-1 0,-2 4 0,-5 4 0,13-8 0,3 2 0,5-1 0,7-5 0,3 3 0,9-9 0,-2 6 0,-1 7 0,0 0 0,-3 8 0,0-1 0,-1 2 0,-5 11 0,1-2 0,-3 12 0,1 2 0,4-8 0,1-1 0,6-16 0,3-6 0,3-3 0,4-5 0,3 4 0,0-5 0,2-3 0,-1-1 0,1-5 0,1-2 0,-1-3 0,0-1 0,0 3 0,-2 3 0,1-2 0,0 1 0,0-4 0,1-4 0,2-2 0,-1-2 0,1-2 0,0 0 0,0-3 0,0-1 0,0 0 0</inkml:trace>
  <inkml:trace contextRef="#ctx0" brushRef="#br0" timeOffset="2391">4511 4423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21T21:45:50.221"/>
    </inkml:context>
    <inkml:brush xml:id="br0">
      <inkml:brushProperty name="width" value="0.025" units="cm"/>
      <inkml:brushProperty name="height" value="0.025" units="cm"/>
    </inkml:brush>
  </inkml:definitions>
  <inkml:trace contextRef="#ctx0" brushRef="#br0">0 1408 10644,'4'-5'0,"0"-2"5032,0-1-5032,3-2 2424,1-1-2424,4-3 1396,10-7-1396,5-4 5079,1 3-5079,8-6 0,16-8 0,7-3-955,18-12 955,6 0 0,2 1 0,-38 23 0,-1 1 0,33-18 0,4 0 0,-12 5 0,9-4 0,-20 13 0,6-3 0,12-4 0,5-2-1030,-21 11 0,1 0 0,-1 0 1030,22-9 0,-3 3 0,-12 4 0,-2 2-362,-11 4 1,0 0 361,-2 0 0,2 0 0,5-2 0,0 1 0,-9 4 0,-1 1-552,5-3 0,0 0 552,-2 1 0,0 1 0,33-11 350,-38 15 0,-2 2-350,26-5 0,-11 5 2879,-10 2-2879,-31 9 836,-7 1-836,-5 1 1439,-3 0-1439,-3 1 18,-1 0-18,-2 0 0,0-1 0,-1 0 0,-1 0 0,0-1 0,-1 1 0,1 1 0,-1 0 0,-1 0 0,-2-1 0,-2 1 0,-1 0 0,-2 0 0,-2-1 0,0 1 0,-2-1 0,-2 0 0,-1 1 0,-3 0 0,1-1 0,2 1 0,1-1 0,4 1 0,0 0 0,1 0 0,-1 0 0,1-1 0,2 2 0,-2-1 0,0 0 0,2 1 0,2 0 0,3 0 0,1 0 0,0 0 0,3 0 0,8 0 0,8 0 0,22 1 0,20 2 0,10 0 0,14-1 0,-12-1 0,0-1 0,0-1 0,-8-2 0,-4-1 0,-15-1 0,-15 1 0,-13 1 0,-9 2 0,-7 2 0,-5 3 0,-3 2 0,-4 2 0,-2 2 0,-2 2 0,-2 3 0,2-2 0,-1 3 0,-5 3 0,-5 4 0,-5 5 0,4-3 0,3 0 0,4 0 0,7-3 0,3-4 0,5-6 0,3-3 0,1-1 0,1-3 0,2-1 0,0-2 0,0 0 0,1 0 0,-1 0 0,0-1 0,1 0 0,0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1:29:49.149"/>
    </inkml:context>
    <inkml:brush xml:id="br0">
      <inkml:brushProperty name="width" value="0.025" units="cm"/>
      <inkml:brushProperty name="height" value="0.025" units="cm"/>
    </inkml:brush>
  </inkml:definitions>
  <inkml:trace contextRef="#ctx0" brushRef="#br0">0 427 24575,'21'0'0,"11"0"0,8 0 0,15-8 0,8-3 0,13-7 0,7-2 0,-34 8 0,0-1 0,0 0 0,1-1-542,2-2 0,2 0 542,3-1 0,0 1 0,-3 2 0,0 1 0,-1 0 0,0 0 0,44-8 0,-24 6 0,-18-1 0,-2 1 0,-2 6-5,5-6 0,1 0 5,1 9 0,25-13 0,-15 13 0,0-6 0,-5 7 0,12 0 0,-6-4 806,1 8-806,-13-3 0,15 4 288,-27 0-288,26 0 0,-19 0 0,5 0 0,-2 0 0,-6 0 0,1 0 0,-5 0 0,-2 0 0,-4 0 0,-5 0 0,3 0 0,-11 3 0,6-2 0,-8 2 0,5 0 0,-5-2 0,4 2 0,-4 0 0,9-2 0,-3 5 0,15-2 0,-13 3 0,9 0 0,-17-3 0,0 2 0,-5-5 0,1 2 0,-4-1 0,-1-1 0,-3 2 0,0-3 0,4 0 0,-4 0 0,4 2 0,-1-1 0,1 2 0,4-3 0,-4 0 0,-1 0 0,0 0 0,-2 2 0,3-1 0,-5 2 0,-2-3 0,0 0 0,-4 0 0,1 0 0,-1 0 0,0 0 0,1 0 0,-8-3 0,1 0 0,-6-2 0,1 2 0,-2-2 0,2 4 0,-6-4 0,6 2 0,-2 0 0,2-2 0,1 4 0,-1-4 0,1 5 0,0-3 0,-1 1 0,1 1 0,-1-4 0,1 2 0,-4-2 0,3-1 0,-5 0 0,2 0 0,0 1 0,0 1 0,4 0 0,0 1 0,-1-1 0,5 2 0,2 2 0,4 0 0,0 0 0,1 0 0,-1 0 0,1 0 0,-1 0 0,3 0 0,-2 2 0,3-1 0,-4 4 0,0-2 0,1 2 0,-1-2 0,1 2 0,-1-2 0,0 2 0,1 1 0,-3-1 0,2-2 0,-2 2 0,-1-2 0,3 2 0,-2 0 0,0 1 0,2-1 0,-2-2 0,0 2 0,1-2 0,-1 2 0,3 0 0,-1 1 0,0-1 0,1 0 0,-1-2 0,0 2 0,1-2 0,-1 0 0,1 2 0,-3-2 0,1 0 0,-1 2 0,3-2 0,-1 0 0,-2 1 0,2-1 0,-2 0 0,2 2 0,-2-2 0,2 0 0,-4 2 0,3-5 0,-3 5 0,1-2 0,-2 1 0,-2-1 0,-4 2 0,0-4 0,-5 1 0,5-2 0,-6 0 0,3 0 0,-3 0 0,0 0 0,0 0 0,0 0 0,3 0 0,-2 0 0,2 0 0,0 0 0,1 0 0,-1 0 0,3 0 0,-2 0 0,2 0 0,-2 0 0,2 3 0,-3-3 0,4 3 0,-1-1 0,1-2 0,0 3 0,0 1 0,2-3 0,1 4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1:49:30.057"/>
    </inkml:context>
    <inkml:brush xml:id="br0">
      <inkml:brushProperty name="width" value="0.05" units="cm"/>
      <inkml:brushProperty name="height" value="0.05" units="cm"/>
      <inkml:brushProperty name="color" value="#5B2D90"/>
    </inkml:brush>
  </inkml:definitions>
  <inkml:trace contextRef="#ctx0" brushRef="#br0">2043 22 24575,'-8'0'0,"1"0"0,1 0 0,-5 0 0,4 0 0,-8 0 0,3 0 0,-1 0 0,-10 0 0,9 0 0,-17 0 0,9 0 0,-7 0 0,1 0 0,4 0 0,-5 0 0,0-4 0,5 4 0,-4-4 0,4 4 0,-9 0 0,3-6 0,-7 4 0,7-4 0,-7 6 0,7 0 0,-3 0 0,4 0 0,5 0 0,-4 0 0,11 0 0,-6 0 0,10 0 0,-5 0 0,5 0 0,-3 0 0,4 0 0,0 0 0,0 0 0,0 0 0,3 0 0,-2 0 0,5 0 0,-5 0 0,4 0 0,-4 0 0,5 0 0,-2 0 0,-1 0 0,3 0 0,-2 0 0,2 0 0,1 0 0,-1 0 0,1 0 0,-1 0 0,1 0 0,-1 0 0,1 0 0,0 0 0,-1 0 0,1 0 0,-1 0 0,-2 0 0,2 0 0,-2 0 0,-1 0 0,3 0 0,-5 0 0,5 0 0,-6 0 0,6 0 0,-5 0 0,5 0 0,-6 0 0,6 0 0,-5 0 0,5 0 0,-3 0 0,1 0 0,2 0 0,-2 0 0,2 0 0,1 0 0,-1 0 0,-2 0 0,2 0 0,-3 0 0,4 0 0,-4 0 0,0 0 0,0 0 0,-2 3 0,2-3 0,0 5 0,-2-4 0,4 4 0,-4-5 0,2 5 0,0-4 0,-2 4 0,4-4 0,-4 4 0,2-1 0,0-1 0,-2 2 0,2-4 0,0 4 0,0-2 0,1 0 0,2 2 0,-6-2 0,6 2 0,-5 1 0,5 0 0,-5 0 0,1-1 0,-2 1 0,0 0 0,0 0 0,0 0 0,3 0 0,-2 0 0,5-1 0,-5 1 0,5 0 0,-6-1 0,3 1 0,0 0 0,-2 0 0,2-1 0,-3 4 0,0-2 0,0 4 0,0-5 0,0 6 0,2-3 0,-1 0 0,2 2 0,-3-1 0,0 2 0,0 0 0,0-1 0,2 1 0,-1-2 0,2 1 0,-1-2 0,-1 3 0,2 0 0,-4 3 0,4-2 0,-3 6 0,2-7 0,-3 7 0,1-6 0,-1 2 0,1 1 0,2-4 0,-1 4 0,4-4 0,-4-1 0,4 1 0,-2 0 0,3 0 0,0 0 0,0 3 0,0-2 0,0 2 0,-1 1 0,1-3 0,3 5 0,-3-2 0,2 4 0,-2 0 0,-1-1 0,0 5 0,1-4 0,2 4 0,1-8 0,3 3 0,-3-7 0,2 4 0,-1-1 0,2-2 0,0 2 0,0-3 0,0 0 0,0 0 0,0 0 0,0 0 0,0-3 0,0 2 0,0-5 0,0 5 0,0-5 0,0 2 0,0-2 0,0 2 0,0-2 0,0 2 0,0-2 0,0-1 0,0 4 0,0-3 0,0 2 0,0-3 0,0 4 0,0-3 0,0 5 0,0-2 0,2 3 0,-1 0 0,4 0 0,-1-1 0,-1 1 0,2 0 0,-2 0 0,1 0 0,1 0 0,-2 0 0,3 0 0,0 0 0,0 0 0,0 0 0,0-1 0,0 1 0,0 0 0,0 0 0,0-3 0,0 2 0,-1-2 0,1 3 0,0 0 0,0 0 0,0 0 0,3-3 0,-2 6 0,1-8 0,1 8 0,-3-6 0,3 3 0,-1-1 0,-1 1 0,1-3 0,1 3 0,-3-3 0,3 2 0,-1 1 0,2 0 0,1 0 0,1 0 0,0 0 0,4 0 0,-4 0 0,4 4 0,-4-6 0,1 5 0,-1-6 0,-1 3 0,1-3 0,0 0 0,0 0 0,-3-3 0,2 3 0,-2-4 0,3 1 0,4 0 0,-4 0 0,7 1 0,1-1 0,1 1 0,6 0 0,-2 0 0,-1 0 0,4 0 0,-4 0 0,5 0 0,-1 0 0,1 0 0,-1 0 0,0 0 0,5 0 0,1 1 0,0-1 0,4 1 0,-4-1 0,4-3 0,-4 3 0,4-6 0,-9 5 0,4-5 0,-8 2 0,2-3 0,-6 0 0,2 0 0,-3 0 0,-1 0 0,-2 0 0,1 0 0,-2 0 0,4 0 0,4 0 0,-4 0 0,8 3 0,-4-2 0,9 2 0,-3-3 0,7 0 0,-8 0 0,9 0 0,-9 0 0,4 0 0,-4 0 0,-1 0 0,1 0 0,4 0 0,-4 0 0,4 0 0,0 0 0,-3 0 0,3 0 0,-5 0 0,-4 0 0,0 0 0,-4 0 0,-1 0 0,-3 0 0,0 0 0,-4 0 0,-3 0 0,2 0 0,-5 0 0,2 0 0,-3 0 0,1 0 0,-1 0 0,1 0 0,-1 0 0,0 0 0,7 0 0,-2 0 0,5 0 0,1 0 0,-4 0 0,4 0 0,-4-3 0,-1 3 0,-2-3 0,0 3 0,-4 0 0,3 0 0,-1 0 0,1 0 0,-3-2 0,1 1 0,-1-1 0,0-1 0,1 3 0,-1-3 0,0 1 0,1 1 0,-1-4 0,1 5 0,-1-5 0,0 4 0,1-4 0,-1 5 0,0-3 0,1 1 0,2 1 0,-2-1 0,5 2 0,-5-2 0,6 1 0,-3-1 0,2 2 0,1-3 0,0 2 0,0-2 0,-3 3 0,-1 0 0,-2 0 0,-1 0 0,1 0 0,-3 3 0,-1-3 0,-2 2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1:49:37.830"/>
    </inkml:context>
    <inkml:brush xml:id="br0">
      <inkml:brushProperty name="width" value="0.025" units="cm"/>
      <inkml:brushProperty name="height" value="0.025" units="cm"/>
    </inkml:brush>
  </inkml:definitions>
  <inkml:trace contextRef="#ctx0" brushRef="#br0">147 0 24575,'-8'52'0,"1"18"0,-2-23 0,-2 4-883,3 1 1,0 2 882,-1 6 0,0-1 0,-1-10 0,1 1 0,2 29 0,0 5-699,-4-8 1,0 0 698,5 5 0,2 5 0,0-6 0,-1 5 0,2-6 0,2-3 0,2 0 0,-1 2 0,1 6 0,4-5-603,10 5 1,6-5 602,5 5 0,8-2 0,13 1 0,6-5 0,-7-23 0,3-3 0,9 14 0,2-7 0,-10-25 0,-1-4-189,-5 4 0,1-2 189,4-7 0,-3-4 0,14 0 725,-9-6-725,-5-7 1383,-15-8-1383,13 0 0,31-9 0,13-8 155,-24 3 1,4-1-156,7-3 0,3 0 0,17-5 0,2 1 0,1 4 0,-1 1 0,-8 0 0,-1 1 0,10 5 0,-2 4 0,-21 3 0,-3 1 0,-3 0 0,-2 0 16,-2 3 0,-5 0-16,19 0 0,1 0 0,-31 0 0,2 0 0,-6 0 0,18 0 0,11 0 0,-10 0 0,10 0 0,16 0 0,4 0 0,-10 0 0,1 0 0,-32 0 0,4 0 1849,-12 0-1849,-20 0 445,-6 3-445,-10 0 0,0 0 0,-4-1 0,-2-4 0,-1 0 0,-2-6 0,-2 2 0,1-2 0,-4-1 0,2 3 0,-3-5 0,1 5 0,1-2 0,-1 0 0,5 2 0,-3-2 0,7 5 0,15 9 0,-5 2 0,13 7 0,-14-6 0,-1 0 0,-4-3 0,-2-1 0,-1 0 0,-2 0 0,0 1 0,-3-1 0,0 0 0,0 0 0,0 0 0,-3 0 0,-3 1 0,-3 0 0,-3-1 0,0 4 0,0-3 0,0 3 0,3-4 0,-2 1 0,5 0 0,-5-3 0,4 1 0,-1-3 0,3 1 0,2 1 0,-2-1 0,5 1 0,-3-1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1:50:56.857"/>
    </inkml:context>
    <inkml:brush xml:id="br0">
      <inkml:brushProperty name="width" value="0.05" units="cm"/>
      <inkml:brushProperty name="height" value="0.05" units="cm"/>
      <inkml:brushProperty name="color" value="#FFC114"/>
    </inkml:brush>
  </inkml:definitions>
  <inkml:trace contextRef="#ctx0" brushRef="#br0">1 1497 24575,'27'0'0,"5"-4"0,29-1 0,-13-9 0,2-2 0,34-7 0,4-11 0,5-6-1212,-26 11 1,0-1 1211,12-2 0,6-3 0,-11 2 0,5-1 0,-9 4 0,-12 7 0,-1 0 0,15-7 0,7-5 0,-6 3 0,-5 1 0,-2 1 0,12-10 0,3-2 0,-2 4 0,-1-1 0,-10 0 0,-4 2 0,-14 10 0,-5 3 577,20-11-577,-18 17 0,-1 2 0,18-12 0,4-5 0,3-1-560,-22 9 0,2-1 560,1 3 0,1-1 0,12-10 0,0-1 0,-7 5 0,-2 2 0,29-16 0,-2-3 0,-30 22 0,7-10 1735,-26 20-1735,-4 5 0,-12 10 0,11-3 1231,-5-1-1231,-4 0 0,-4-1 0,-1 1 0,1 0 0,-3-1 0,-1 5 0,-6-3 0,-1 3 0,-2-2 0,-8 1 0,-2-3 0,-4 3 0,0-2 0,2 0 0,-3 3 0,0-6 0,2 6 0,-1-6 0,5 6 0,-5-3 0,5 1 0,-5 1 0,5-1 0,-6-1 0,6 3 0,-2-5 0,5 2 0,3 0 0,3 1 0,2 2 0,0 0 0,0 0 0,3 0 0,2 0 0,5 0 0,-2 0 0,2 0 0,-3 0 0,0 3 0,-3-3 0,2 3 0,-5-1 0,2-1 0,-2 4 0,-3-3 0,-1 4 0,-2-2 0,0 1 0,0 1 0,-2-1 0,-4-2 0,-1 2 0,-4-2 0,5 0 0,-5 2 0,5-4 0,-3 2 0,4-1 0,-1-1 0,3 1 0,1-2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2:27:50.913"/>
    </inkml:context>
    <inkml:brush xml:id="br0">
      <inkml:brushProperty name="width" value="0.05" units="cm"/>
      <inkml:brushProperty name="height" value="0.05" units="cm"/>
      <inkml:brushProperty name="color" value="#FFC114"/>
    </inkml:brush>
  </inkml:definitions>
  <inkml:trace contextRef="#ctx0" brushRef="#br0">1 0 24575,'0'7'0,"0"0"0,0-2 0,0-1 0,0 1 0,0-2 0,0 1 0,0-1 0,0 1 0,0 0 0,0 1 0,0 0 0,0 0 0,0 0 0,0 0 0,0 0 0,0 1 0,0-1 0,0 1 0,0-1 0,0 0 0,0-1 0,0-1 0,0 0 0,0-1 0,0 1 0,0-1 0,0 0 0,0 1 0,0 0 0,0 1 0,0 0 0,0 0 0,0 0 0,0-1 0,0 0 0,1-1 0,-1 2 0,1-1 0,-1 0 0,0 0 0,0 0 0,1 0 0,0-1 0,-1 1 0,0-1 0,0 0 0,0 0 0,0-1 0,3 0 0,0-1 0,3 0 0,1 0 0,-1 0 0,2 0 0,4 0 0,1 0 0,-1-1 0,-4 0 0,-3 1 0,-2 0 0,0 0 0,1 0 0,0 0 0,0 0 0,0 0 0,-2-1 0,0 0 0,0 1 0,0-1 0,1 1 0,-1 0 0,1 0 0,1 0 0,0 0 0,1 0 0,0 0 0,0 0 0,0 0 0,1 0 0,1 0 0,2 0 0,0 0 0,0 0 0,-1 0 0,0 0 0,-1 0 0,-1 0 0,1 0 0,-1 0 0,1 0 0,0 0 0,0 0 0,1 0 0,2 0 0,-1 0 0,3 0 0,-1 0 0,1 0 0,-1 0 0,-2 0 0,-1 0 0,0 0 0,0 0 0,0 0 0,-2 0 0,0 0 0,0 0 0,1 0 0,-1 0 0,0 0 0,0 0 0,0 0 0,-1 0 0,2 0 0,0 0 0,0 0 0,2 1 0,0 0 0,3-1 0,5 1 0,1-1 0,1 0 0,0 0 0,-2 1 0,0 0 0,0-1 0,-2 1 0,-1-1 0,-3 0 0,-1 1 0,0 0 0,1 0 0,2-1 0,-1 1 0,6 0 0,4-1 0,3 1 0,4 0 0,-3 0 0,-1 0 0,0 0 0,-5-1 0,-1 0 0,-3 0 0,-3 0 0,1 0 0,-3 0 0,2 0 0,4 0 0,1 0 0,4 0 0,-2 0 0,2 1 0,3-1 0,-3 1 0,2 0 0,-1 1 0,2-1 0,6 1 0,6 0 0,7 1 0,13-1 0,4 1 0,-7 0 0,-3 0 0,-14-2 0,-10 1 0,-2-2 0,-10 1 0,-3-1 0,-1 1 0,-5-1 0,-1 0 0,-1 0 0,0 0 0,1 0 0,1 0 0,-1 0 0,0 0 0,-3 0 0,2 0 0,1 0 0,2 0 0,1 0 0,-2 0 0,-1 0 0,-1 0 0,1 0 0,-1 0 0,0-1 0,0 0 0,0 1 0,0-1 0,0 0 0,2 0 0,-1 1 0,1-1 0,2 0 0,-1 0 0,1 1 0,-2-1 0,-1 1 0,0 0 0,-3 0 0,1 0 0,0 0 0,-1 0 0,1 0 0,-2 0 0,1-1 0,-1 0 0,0 0 0,0-1 0,0 0 0,0 1 0,0-2 0,1-1 0,-1-1 0,2 0 0,-1-1 0,1 0 0,0-1 0,-1 1 0,0-1 0,1 0 0,-2 2 0,1-1 0,0 2 0,1-1 0,-1 1 0,-1-1 0,1 0 0,0-1 0,1-2 0,0 0 0,0 0 0,0 0 0,1 0 0,-2 2 0,0-1 0,0 0 0,1 0 0,0-1 0,-1 2 0,0 0 0,0 3 0,0-1 0,-1 1 0,-1 1 0,1 1 0,-1 1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2:27:54.107"/>
    </inkml:context>
    <inkml:brush xml:id="br0">
      <inkml:brushProperty name="width" value="0.05" units="cm"/>
      <inkml:brushProperty name="height" value="0.05" units="cm"/>
      <inkml:brushProperty name="color" value="#FFC114"/>
    </inkml:brush>
  </inkml:definitions>
  <inkml:trace contextRef="#ctx0" brushRef="#br0">1 292 24575,'2'8'0,"0"0"0,1-3 0,0 0 0,0 0 0,0-2 0,-1 1 0,1 0 0,-1-1 0,0 1 0,1-1 0,1 1 0,0-1 0,2 1 0,-2-1 0,2-1 0,2 1 0,0 0 0,1-1 0,0 0 0,1 0 0,0-1 0,-1 1 0,3-1 0,3 1 0,3-1 0,3 1 0,0-1 0,1 0 0,2 0 0,-1-1 0,0 1 0,0-1 0,-1 0 0,1 0 0,-2 0 0,2 0 0,2 0 0,0 0 0,3 0 0,-2 0 0,1 1 0,0 0 0,-5-1 0,-3 1 0,-2-1 0,0 1 0,2-1 0,-3 1 0,6-1 0,3 0 0,-1 0 0,4 0 0,-6 0 0,-2 0 0,0 0 0,-5 0 0,1 0 0,0 0 0,-1-1 0,1 0 0,-4 1 0,0 0 0,0-1 0,-1 1 0,1-1 0,-2 0 0,-1 1 0,-1 0 0,-3-1 0,-1 0 0,-1 0 0,0 1 0,0-1 0,2 0 0,2 0 0,0 0 0,-1 0 0,-1 0 0,0-1 0,0 0 0,1 0 0,-1 0 0,-1 1 0,-1-1 0,-1 1 0,1-1 0,-1 0 0,1 0 0,0 0 0,-1 0 0,1-1 0,1-2 0,-1 1 0,2 0 0,-2 0 0,0 1 0,0 0 0,-1-1 0,0 1 0,1-1 0,-1 1 0,0-1 0,0 1 0,0-1 0,1 1 0,-1-1 0,1 1 0,0 0 0,-1 0 0,0 0 0,-1 1 0,1 0 0,0 1 0,-1-1 0,1-1 0,0 0 0,-1 0 0,1-2 0,1 0 0,-1 1 0,0 0 0,0 0 0,1-1 0,0 0 0,0 0 0,1 1 0,-1-1 0,0 0 0,0 0 0,0 0 0,0 1 0,-1-1 0,1 1 0,-1 1 0,1 1 0,-2 0 0,1 0 0,0 0 0,2-1 0,0 0 0,1 0 0,-1-1 0,1 1 0,1-2 0,-1 1 0,1-1 0,0-1 0,1 1 0,3-2 0,0 1 0,1 0 0,1 0 0,-1 1 0,2-1 0,-1 1 0,0 0 0,2 0 0,-2-1 0,0 1 0,1 0 0,0 0 0,3-1 0,-2 2 0,2 0 0,0 0 0,-2 0 0,3 1 0,-2-1 0,1 1 0,1 0 0,-4 0 0,-1 1 0,-1 1 0,-2-1 0,-1 1 0,-3 0 0,-1 1 0,-1 0 0,1 0 0,-1 0 0,-1 0 0,-7-1 0,1 0 0,-4-1 0,2 1 0,3 0 0,-2-1 0,1 0 0,-2 0 0,1 1 0,0 0 0,1 0 0,1 1 0,1-1 0,0 1 0,0 0 0,1 0 0,-1 0 0,-2 0 0,1 0 0,-1 0 0,1 0 0,-3-1 0,-2 0 0,-1-1 0,1 1 0,2 0 0,0 0 0,2 0 0,4 1 0,6 1 0,5 2 0,4 1 0,1 0 0,0-1 0,0 1 0,-3-1 0,-1-1 0,-1 0 0,-3 0 0,-1-1 0,-4-1 0,-1 1 0,-5 1 0,-1 1 0,-2 0 0,1 1 0,1 0 0,0 1 0,1-1 0,-1 1 0,0 0 0,0-1 0,0 0 0,-1 0 0,1 1 0,-2 0 0,1-1 0,1 0 0,-1-1 0,0 0 0,0-1 0,0 1 0,1-1 0,0 0 0,2-2 0,-1 1 0,2-1 0,0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2:28:11.998"/>
    </inkml:context>
    <inkml:brush xml:id="br0">
      <inkml:brushProperty name="width" value="0.05" units="cm"/>
      <inkml:brushProperty name="height" value="0.05" units="cm"/>
      <inkml:brushProperty name="color" value="#CC0066"/>
    </inkml:brush>
  </inkml:definitions>
  <inkml:trace contextRef="#ctx0" brushRef="#br0">538 1183 8191,'-9'2'0,"-1"0"5063,-2 1-5063,2 0 2818,1-1-2818,0 1 1719,0-1-1719,1 1 6784,3-1-6784,-1 0 0,-1-1 0,0 1 0,-1 0 0,1 0 0,1 0 0,-1-1 0,1 0 0,-1 1 0,0 0 0,0 0 0,0 0 0,0 0 0,-1 1 0,-2 0 0,-1 0 0,-2-1 0,0 2 0,1-2 0,1 1 0,4-1 0,-1 0 0,-1-1 0,1 0 0,-3 0 0,0 0 0,-1 0 0,0 0 0,1-1 0,1 1 0,1-2 0,1 1 0,1-1 0,2 0 0,0-1 0,-1 0 0,1 1 0,-2-2 0,-1-1 0,-2-1 0,-2-1 0,2 0 0,1 0 0,-1 0 0,2-1 0,-3 0 0,1-1 0,0-1 0,2 1 0,1 2 0,2 0 0,2 1 0,1 0 0,0 0 0,0 0 0,1 0 0,0-1 0,0 1 0,0-2 0,0 1 0,0 0 0,0-1 0,1 1 0,-1 0 0,0 0 0,0 0 0,1-2 0,-1 2 0,1-2 0,0 0 0,1 1 0,0-2 0,0 2 0,-1-1 0,2 1 0,-1 1 0,0 0 0,1 0 0,0 0 0,1-2 0,-1 2 0,1-1 0,-1-1 0,0 1 0,0-1 0,0 1 0,1 2 0,-1-1 0,0 1 0,0 0 0,-1 1 0,1-1 0,0 0 0,0-1 0,0 0 0,1-1 0,-1 1 0,0 0 0,1 0 0,0 0 0,-1 1 0,1 0 0,0 0 0,1-1 0,1 1 0,-1-1 0,0 1 0,0 0 0,2 0 0,0 0 0,0 0 0,-1 1 0,0 0 0,0-1 0,-1 2 0,-1-1 0,0 1 0,0 2 0,-1-1 0,0 1 0,-1 0 0,1 0 0,0-1 0,1 1 0,0-1 0,1 0 0,18-4 0,-3 3 0,11-2 0,-14 3 0,-7 1 0,-4 1 0,-2-1 0,-1 1 0,2 0 0,2 0 0,1 0 0,1 0 0,-2 0 0,1 0 0,-1 1 0,0-1 0,1 1 0,-2 0 0,0 1 0,1-1 0,-1-1 0,0 1 0,1-1 0,-1 0 0,4 1 0,-1 0 0,1-1 0,-1 0 0,-3 0 0,-2 0 0,0 0 0,1 0 0,1 0 0,-1 0 0,1 0 0,-1 0 0,1 1 0,0-1 0,-1 1 0,-1-1 0,0 0 0,-1 0 0,0 0 0,-1 1 0,0 0 0,2 0 0,1 1 0,0 1 0,1-1 0,-1 0 0,-2-1 0,0 0 0,0 1 0,-1-1 0,0 0 0,0 1 0,-1 0 0,1 0 0,0-1 0,1 1 0,-1 0 0,0 1 0,0 0 0,0-1 0,-1 1 0,1 0 0,0 1 0,0 0 0,0 0 0,0-1 0,0 1 0,0 0 0,0 0 0,0 0 0,1-1 0,-1 1 0,0-1 0,0 0 0,0-1 0,-1 1 0,0 0 0,0-1 0,0 1 0,1 0 0,0-1 0,-1-1 0,0 0 0,0 1 0,0-1 0</inkml:trace>
  <inkml:trace contextRef="#ctx0" brushRef="#br0" timeOffset="2547">359 740 24575,'1'-10'0,"2"-1"0,2 0 0,3-3 0,2-4 0,2-2 0,3-5 0,0 5 0,2-2 0,2-1 0,-1 3 0,3 0 0,-3 3 0,0 4 0,0 1 0,-3 2 0,0 2 0,1-1 0,3-1 0,11-4 0,3-1 0,10-4 0,10-2 0,1 1 0,10-1 0,-8 3 0,-5 2 0,1 0 0,-7 1 0,8-3 0,5-1 0,-1 3 0,8 1 0,-12 4 0,6 0 0,6 0 0,-4 1 0,9 0 0,-2 2 0,2 0 0,9 1 0,-4 0 0,3 1 0,2 0 0,-27 3 0,-1-1 0,31-1-564,15 0 564,-27 4 0,-10 1 0,10-1 0,-4 0 0,2 0 0,11 0 0,-11 1 0,12-1 0,5-2 0,-5-1 0,9 1 0,-22 0 0,-5 2 0,-2-1 0,-14 1 0,7 1 0,-5 0 0,-1 0 0,0 0 0,-8 0 0,6 0 0,2 2 564,-3 0-564,-3 0 0,-14-1 0,-9-1 0,-7 0 0,-6 0 0,-5-1 0,-6 0 0,-1-1 0,-3-1 0,4 2 0,0-2 0,-1 1 0,-1 0 0,1-1 0,0 1 0,1-1 0,2 1 0,0 0 0,1 0 0,1 1 0,0-1 0,0-1 0,0 1 0,0-1 0,0 1 0,-1 0 0,1-1 0,-2 1 0,0-1 0,-1 0 0,-2 0 0,0 0 0,-4-1 0,0 1 0,-3 0 0,0 1 0,1 1 0,4 0 0,4 0 0,12 7 0,10 5 0,5 2 0,1 0 0,-5-5 0,-2-1 0,-3-2 0,-1 0 0,-4-2 0,-2-1 0,0 0 0,-3-1 0,0 0 0,-3 0 0,-3 1 0,-1-1 0,-5 3 0,1-2 0,-4 2 0,-2 1 0,-1-1 0,-1 2 0,1-2 0,1 1 0,0-1 0,2-1 0,1 1 0,2-1 0,0 0 0,0 0 0,2-1 0,-1 0 0,3-1 0,0 1 0,0-1 0,2-1 0,-1 1 0,0-1 0,1 1 0,0 0 0,1-1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5-12T22:28:16.136"/>
    </inkml:context>
    <inkml:brush xml:id="br0">
      <inkml:brushProperty name="width" value="0.05" units="cm"/>
      <inkml:brushProperty name="height" value="0.05" units="cm"/>
      <inkml:brushProperty name="color" value="#CC0066"/>
    </inkml:brush>
  </inkml:definitions>
  <inkml:trace contextRef="#ctx0" brushRef="#br0">1 1 24575,'0'0'0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127C7-FC2D-784B-B169-8E7935E9F93F}">
  <sheetPr>
    <tabColor theme="5" tint="-0.249977111117893"/>
  </sheetPr>
  <dimension ref="A1"/>
  <sheetViews>
    <sheetView workbookViewId="0"/>
  </sheetViews>
  <sheetFormatPr baseColWidth="10" defaultRowHeight="16"/>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9C85B-66CF-FA41-A549-13B61A2F42E2}">
  <sheetPr codeName="Sheet1"/>
  <dimension ref="A1:L23"/>
  <sheetViews>
    <sheetView topLeftCell="G4" zoomScale="144" zoomScaleNormal="120" workbookViewId="0">
      <selection activeCell="I25" sqref="I25"/>
    </sheetView>
  </sheetViews>
  <sheetFormatPr baseColWidth="10" defaultRowHeight="16"/>
  <cols>
    <col min="1" max="1" width="3.83203125" style="39" customWidth="1"/>
    <col min="2" max="2" width="10.83203125" style="40"/>
    <col min="3" max="3" width="22.1640625" style="39" customWidth="1"/>
    <col min="4" max="4" width="28.1640625" style="39" customWidth="1"/>
    <col min="5" max="5" width="2" style="40" customWidth="1"/>
    <col min="6" max="6" width="17.1640625" style="39" bestFit="1" customWidth="1"/>
    <col min="7" max="7" width="65.6640625" style="42" customWidth="1"/>
    <col min="8" max="9" width="10.83203125" style="39"/>
    <col min="10" max="10" width="17.6640625" style="39" customWidth="1"/>
    <col min="11" max="11" width="10.83203125" style="39"/>
    <col min="12" max="12" width="16.33203125" style="39" customWidth="1"/>
    <col min="13" max="16384" width="10.83203125" style="39"/>
  </cols>
  <sheetData>
    <row r="1" spans="1:12">
      <c r="F1" s="40" t="s">
        <v>197</v>
      </c>
      <c r="G1" s="43" t="s">
        <v>196</v>
      </c>
    </row>
    <row r="2" spans="1:12" ht="30">
      <c r="B2" s="112" t="s">
        <v>744</v>
      </c>
      <c r="C2" s="112"/>
      <c r="D2" s="112"/>
      <c r="F2" s="39">
        <v>94</v>
      </c>
      <c r="G2" s="41" t="s">
        <v>115</v>
      </c>
    </row>
    <row r="3" spans="1:12">
      <c r="A3" s="39">
        <v>11</v>
      </c>
      <c r="B3" s="44">
        <v>45054</v>
      </c>
      <c r="C3" s="111" t="s">
        <v>58</v>
      </c>
      <c r="D3" s="111"/>
      <c r="G3" s="55" t="s">
        <v>200</v>
      </c>
    </row>
    <row r="4" spans="1:12" ht="30">
      <c r="A4" s="39">
        <v>12</v>
      </c>
      <c r="B4" s="44">
        <v>45058</v>
      </c>
      <c r="C4" s="100" t="s">
        <v>192</v>
      </c>
      <c r="D4" s="100" t="s">
        <v>746</v>
      </c>
      <c r="G4" s="55" t="s">
        <v>201</v>
      </c>
    </row>
    <row r="5" spans="1:12" ht="30">
      <c r="A5" s="39">
        <v>13</v>
      </c>
      <c r="B5" s="44">
        <v>45061</v>
      </c>
      <c r="C5" s="39" t="s">
        <v>192</v>
      </c>
      <c r="F5" s="40" t="s">
        <v>114</v>
      </c>
      <c r="G5" s="43" t="s">
        <v>195</v>
      </c>
    </row>
    <row r="6" spans="1:12" ht="30">
      <c r="B6" s="44">
        <v>45065</v>
      </c>
      <c r="F6" s="39">
        <v>32</v>
      </c>
      <c r="G6" s="41" t="s">
        <v>116</v>
      </c>
    </row>
    <row r="7" spans="1:12">
      <c r="B7" s="44">
        <v>45068</v>
      </c>
      <c r="G7" s="55" t="s">
        <v>198</v>
      </c>
    </row>
    <row r="8" spans="1:12" ht="30">
      <c r="B8" s="44">
        <v>45075</v>
      </c>
      <c r="G8" s="55" t="s">
        <v>199</v>
      </c>
    </row>
    <row r="9" spans="1:12">
      <c r="B9" s="44">
        <v>45079</v>
      </c>
      <c r="F9" s="42"/>
      <c r="J9" s="101"/>
    </row>
    <row r="10" spans="1:12">
      <c r="B10" s="44">
        <v>45082</v>
      </c>
      <c r="F10" s="42"/>
      <c r="J10" s="101"/>
      <c r="L10" s="101"/>
    </row>
    <row r="11" spans="1:12">
      <c r="B11" s="44">
        <v>45086</v>
      </c>
      <c r="F11" s="42"/>
      <c r="J11" s="101"/>
      <c r="L11" s="102"/>
    </row>
    <row r="12" spans="1:12">
      <c r="B12" s="44">
        <v>45089</v>
      </c>
      <c r="F12" s="42"/>
      <c r="J12" s="101"/>
      <c r="L12" s="102"/>
    </row>
    <row r="13" spans="1:12">
      <c r="B13" s="44">
        <f>+B12+4</f>
        <v>45093</v>
      </c>
      <c r="F13" s="42"/>
      <c r="J13" s="101"/>
      <c r="L13" s="102"/>
    </row>
    <row r="14" spans="1:12">
      <c r="B14" s="112" t="s">
        <v>745</v>
      </c>
      <c r="C14" s="112"/>
      <c r="D14" s="112"/>
      <c r="F14" s="42"/>
      <c r="J14" s="101"/>
      <c r="L14" s="102"/>
    </row>
    <row r="15" spans="1:12">
      <c r="B15" s="44">
        <v>45061</v>
      </c>
      <c r="C15" s="39" t="s">
        <v>747</v>
      </c>
      <c r="F15" s="42"/>
      <c r="J15" s="101"/>
      <c r="L15" s="102"/>
    </row>
    <row r="16" spans="1:12">
      <c r="B16" s="44">
        <v>45068</v>
      </c>
      <c r="C16" s="39" t="s">
        <v>749</v>
      </c>
      <c r="F16" s="42"/>
      <c r="J16" s="101"/>
      <c r="L16" s="102"/>
    </row>
    <row r="17" spans="2:12">
      <c r="B17" s="44">
        <v>45075</v>
      </c>
      <c r="C17" s="39" t="s">
        <v>748</v>
      </c>
      <c r="F17" s="42"/>
      <c r="J17" s="101"/>
      <c r="L17" s="102"/>
    </row>
    <row r="18" spans="2:12">
      <c r="F18" s="42"/>
      <c r="J18" s="101"/>
      <c r="L18" s="102"/>
    </row>
    <row r="19" spans="2:12">
      <c r="F19" s="42"/>
      <c r="J19" s="101"/>
      <c r="L19" s="102"/>
    </row>
    <row r="20" spans="2:12">
      <c r="F20" s="42"/>
      <c r="J20" s="101"/>
      <c r="L20" s="102"/>
    </row>
    <row r="21" spans="2:12">
      <c r="F21" s="42"/>
      <c r="J21" s="101"/>
      <c r="L21" s="102"/>
    </row>
    <row r="22" spans="2:12">
      <c r="F22" s="42"/>
      <c r="L22" s="102"/>
    </row>
    <row r="23" spans="2:12">
      <c r="F23" s="42"/>
      <c r="J23" s="102"/>
    </row>
  </sheetData>
  <mergeCells count="3">
    <mergeCell ref="C3:D3"/>
    <mergeCell ref="B2:D2"/>
    <mergeCell ref="B14:D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BD078-29D3-1D49-BF84-A305A87EF2B7}">
  <sheetPr codeName="Sheet2">
    <tabColor theme="5" tint="-0.249977111117893"/>
  </sheetPr>
  <dimension ref="K1:AR408"/>
  <sheetViews>
    <sheetView topLeftCell="A33" zoomScale="114" zoomScaleNormal="141" workbookViewId="0">
      <selection activeCell="N29" sqref="N29"/>
    </sheetView>
  </sheetViews>
  <sheetFormatPr baseColWidth="10" defaultRowHeight="16"/>
  <cols>
    <col min="1" max="10" width="10.83203125" style="45"/>
    <col min="11" max="11" width="15.1640625" style="45" bestFit="1" customWidth="1"/>
    <col min="12" max="13" width="10.83203125" style="45"/>
    <col min="14" max="14" width="13.33203125" style="45" bestFit="1" customWidth="1"/>
    <col min="15" max="15" width="10.83203125" style="45"/>
    <col min="16" max="16" width="16.33203125" style="45" customWidth="1"/>
    <col min="17" max="18" width="18.5" style="45" customWidth="1"/>
    <col min="19" max="19" width="16.5" style="45" bestFit="1" customWidth="1"/>
    <col min="20" max="20" width="10.83203125" style="47"/>
    <col min="21" max="31" width="10.83203125" style="45"/>
    <col min="45" max="16384" width="10.83203125" style="45"/>
  </cols>
  <sheetData>
    <row r="1" spans="11:20">
      <c r="T1" s="46"/>
    </row>
    <row r="5" spans="11:20">
      <c r="L5" s="45" t="s">
        <v>85</v>
      </c>
    </row>
    <row r="7" spans="11:20">
      <c r="K7" s="47"/>
      <c r="L7" s="48" t="s">
        <v>86</v>
      </c>
      <c r="M7" s="48" t="s">
        <v>87</v>
      </c>
      <c r="N7" s="45" t="s">
        <v>96</v>
      </c>
      <c r="O7" s="45" t="s">
        <v>97</v>
      </c>
      <c r="P7" s="45" t="s">
        <v>94</v>
      </c>
      <c r="Q7" s="45" t="s">
        <v>95</v>
      </c>
      <c r="R7" s="45" t="s">
        <v>101</v>
      </c>
      <c r="S7" s="45" t="s">
        <v>98</v>
      </c>
    </row>
    <row r="8" spans="11:20">
      <c r="K8" s="48">
        <v>40908</v>
      </c>
      <c r="L8" s="48">
        <v>1257.5999999999999</v>
      </c>
      <c r="M8" s="48">
        <v>17.91</v>
      </c>
    </row>
    <row r="9" spans="11:20">
      <c r="K9" s="48">
        <v>41274</v>
      </c>
      <c r="L9" s="48">
        <v>1426.19</v>
      </c>
      <c r="M9" s="48">
        <v>20.99</v>
      </c>
      <c r="N9" s="45">
        <f t="shared" ref="N9:O14" si="0">+(L9-L8)/L8</f>
        <v>0.13405693384223932</v>
      </c>
      <c r="O9" s="45">
        <f t="shared" si="0"/>
        <v>0.1719709659408151</v>
      </c>
      <c r="P9" s="45">
        <f t="shared" ref="P9:P14" si="1">+(N9-$L$16)</f>
        <v>8.7761184451686791E-3</v>
      </c>
      <c r="Q9" s="45">
        <f t="shared" ref="Q9:Q14" si="2">+(N9-$L$16)^2</f>
        <v>7.7020254963629912E-5</v>
      </c>
      <c r="R9" s="45">
        <f t="shared" ref="R9:R14" si="3">+(O9-$L$17)</f>
        <v>0.10166115953938772</v>
      </c>
      <c r="S9" s="45">
        <f t="shared" ref="S9:S14" si="4">+(O9-$L$17)^2</f>
        <v>1.0334991358892842E-2</v>
      </c>
      <c r="T9" s="47">
        <f t="shared" ref="T9:T14" si="5">+R9*P9</f>
        <v>8.9219037739085637E-4</v>
      </c>
    </row>
    <row r="10" spans="11:20">
      <c r="K10" s="48">
        <v>41639</v>
      </c>
      <c r="L10" s="48">
        <v>1848.36</v>
      </c>
      <c r="M10" s="48">
        <v>28.03</v>
      </c>
      <c r="N10" s="45">
        <f t="shared" si="0"/>
        <v>0.29601245275874871</v>
      </c>
      <c r="O10" s="45">
        <f t="shared" si="0"/>
        <v>0.33539780848022882</v>
      </c>
      <c r="P10" s="45">
        <f t="shared" si="1"/>
        <v>0.17073163736167807</v>
      </c>
      <c r="Q10" s="45">
        <f t="shared" si="2"/>
        <v>2.9149291996199547E-2</v>
      </c>
      <c r="R10" s="45">
        <f t="shared" si="3"/>
        <v>0.26508800207880145</v>
      </c>
      <c r="S10" s="45">
        <f t="shared" si="4"/>
        <v>7.0271648846130644E-2</v>
      </c>
      <c r="T10" s="47">
        <f t="shared" si="5"/>
        <v>4.5258908639849695E-2</v>
      </c>
    </row>
    <row r="11" spans="11:20">
      <c r="K11" s="48">
        <v>42004</v>
      </c>
      <c r="L11" s="48">
        <v>2058.9</v>
      </c>
      <c r="M11" s="48">
        <v>25.27</v>
      </c>
      <c r="N11" s="45">
        <f t="shared" si="0"/>
        <v>0.11390638187366109</v>
      </c>
      <c r="O11" s="45">
        <f t="shared" si="0"/>
        <v>-9.8465929361398558E-2</v>
      </c>
      <c r="P11" s="45">
        <f t="shared" si="1"/>
        <v>-1.1374433523409555E-2</v>
      </c>
      <c r="Q11" s="45">
        <f t="shared" si="2"/>
        <v>1.2937773797846311E-4</v>
      </c>
      <c r="R11" s="45">
        <f t="shared" si="3"/>
        <v>-0.16877573576282595</v>
      </c>
      <c r="S11" s="45">
        <f t="shared" si="4"/>
        <v>2.8485248982283246E-2</v>
      </c>
      <c r="T11" s="47">
        <f t="shared" si="5"/>
        <v>1.9197283867988003E-3</v>
      </c>
    </row>
    <row r="12" spans="11:20">
      <c r="K12" s="48">
        <v>42369</v>
      </c>
      <c r="L12" s="48">
        <v>2043.94</v>
      </c>
      <c r="M12" s="48">
        <v>31.15</v>
      </c>
      <c r="N12" s="45">
        <f t="shared" si="0"/>
        <v>-7.2660158336976229E-3</v>
      </c>
      <c r="O12" s="45">
        <f t="shared" si="0"/>
        <v>0.23268698060941825</v>
      </c>
      <c r="P12" s="45">
        <f t="shared" si="1"/>
        <v>-0.13254683123076827</v>
      </c>
      <c r="Q12" s="45">
        <f t="shared" si="2"/>
        <v>1.7568662469317767E-2</v>
      </c>
      <c r="R12" s="45">
        <f t="shared" si="3"/>
        <v>0.16237717420799086</v>
      </c>
      <c r="S12" s="45">
        <f t="shared" si="4"/>
        <v>2.6366346703772213E-2</v>
      </c>
      <c r="T12" s="47">
        <f t="shared" si="5"/>
        <v>-2.1522579905475622E-2</v>
      </c>
    </row>
    <row r="13" spans="11:20">
      <c r="K13" s="48">
        <v>42735</v>
      </c>
      <c r="L13" s="48">
        <v>2238.83</v>
      </c>
      <c r="M13" s="48">
        <v>31.6</v>
      </c>
      <c r="N13" s="45">
        <f t="shared" si="0"/>
        <v>9.5350157049619785E-2</v>
      </c>
      <c r="O13" s="45">
        <f t="shared" si="0"/>
        <v>1.4446227929374089E-2</v>
      </c>
      <c r="P13" s="45">
        <f t="shared" si="1"/>
        <v>-2.9930658347450859E-2</v>
      </c>
      <c r="Q13" s="45">
        <f t="shared" si="2"/>
        <v>8.958443091118298E-4</v>
      </c>
      <c r="R13" s="45">
        <f t="shared" si="3"/>
        <v>-5.5863578472053289E-2</v>
      </c>
      <c r="S13" s="45">
        <f t="shared" si="4"/>
        <v>3.1207393997032557E-3</v>
      </c>
      <c r="T13" s="47">
        <f t="shared" si="5"/>
        <v>1.672033681313038E-3</v>
      </c>
    </row>
    <row r="14" spans="11:20">
      <c r="K14" s="48">
        <v>43100</v>
      </c>
      <c r="L14" s="48">
        <v>2506.65</v>
      </c>
      <c r="M14" s="48">
        <v>24.2</v>
      </c>
      <c r="N14" s="45">
        <f t="shared" si="0"/>
        <v>0.11962498269185252</v>
      </c>
      <c r="O14" s="45">
        <f t="shared" si="0"/>
        <v>-0.23417721518987347</v>
      </c>
      <c r="P14" s="45">
        <f t="shared" si="1"/>
        <v>-5.6558327052181195E-3</v>
      </c>
      <c r="Q14" s="45">
        <f t="shared" si="2"/>
        <v>3.1988443589414915E-5</v>
      </c>
      <c r="R14" s="45">
        <f t="shared" si="3"/>
        <v>-0.30448702159130087</v>
      </c>
      <c r="S14" s="45">
        <f t="shared" si="4"/>
        <v>9.2712346317541314E-2</v>
      </c>
      <c r="T14" s="47">
        <f t="shared" si="5"/>
        <v>1.7221276550305352E-3</v>
      </c>
    </row>
    <row r="16" spans="11:20">
      <c r="K16" s="45" t="s">
        <v>88</v>
      </c>
      <c r="L16" s="45">
        <f>+AVERAGE(N9:N14)</f>
        <v>0.12528081539707064</v>
      </c>
      <c r="N16" s="45" t="s">
        <v>62</v>
      </c>
      <c r="O16" s="103">
        <f>+SUMPRODUCT(P9:P14,R9:R14) * (1/COUNT(N9:N14))</f>
        <v>4.99040147248455E-3</v>
      </c>
      <c r="P16" s="103">
        <f>+_xlfn.COVARIANCE.P(N9:N14, O9:O14)</f>
        <v>4.9904014724845508E-3</v>
      </c>
      <c r="T16" s="104">
        <f>+SUM(T9:T14)</f>
        <v>2.9942408834907303E-2</v>
      </c>
    </row>
    <row r="17" spans="11:21">
      <c r="K17" s="45" t="s">
        <v>89</v>
      </c>
      <c r="L17" s="45">
        <f>+AVERAGE(O9:O14)</f>
        <v>7.030980640142738E-2</v>
      </c>
      <c r="O17" s="103"/>
      <c r="P17" s="103"/>
      <c r="T17" s="105">
        <f>+T16/COUNT(N9:N14)</f>
        <v>4.9904014724845508E-3</v>
      </c>
    </row>
    <row r="18" spans="11:21">
      <c r="N18" s="45" t="s">
        <v>92</v>
      </c>
      <c r="O18" s="103">
        <f>+O16/(L22*L23)</f>
        <v>0.2846139479775498</v>
      </c>
      <c r="P18" s="103">
        <f>+CORREL(N9:N14,O9:O14)</f>
        <v>0.2846139479775498</v>
      </c>
    </row>
    <row r="19" spans="11:21">
      <c r="K19" s="45" t="s">
        <v>90</v>
      </c>
      <c r="L19" s="103">
        <f>+SUM(Q9:Q14)*(1/COUNT(Q9:Q14))</f>
        <v>7.9753642018601089E-3</v>
      </c>
    </row>
    <row r="20" spans="11:21">
      <c r="K20" s="45" t="s">
        <v>91</v>
      </c>
      <c r="L20" s="103">
        <f>+SUM(S9:S14)*(1/COUNT(S9:S14))</f>
        <v>3.8548553601387245E-2</v>
      </c>
    </row>
    <row r="22" spans="11:21">
      <c r="K22" s="45" t="s">
        <v>99</v>
      </c>
      <c r="L22" s="45">
        <f>+SQRT(L19)</f>
        <v>8.9304894613117983E-2</v>
      </c>
    </row>
    <row r="23" spans="11:21">
      <c r="K23" s="45" t="s">
        <v>100</v>
      </c>
      <c r="L23" s="45">
        <f>+SQRT(L20)</f>
        <v>0.19633785575223961</v>
      </c>
    </row>
    <row r="25" spans="11:21">
      <c r="K25" s="47" t="s">
        <v>102</v>
      </c>
      <c r="L25" s="54">
        <v>0.3</v>
      </c>
      <c r="M25" s="45" t="s">
        <v>86</v>
      </c>
    </row>
    <row r="26" spans="11:21">
      <c r="L26" s="54">
        <v>0.7</v>
      </c>
      <c r="M26" s="45" t="s">
        <v>105</v>
      </c>
    </row>
    <row r="27" spans="11:21">
      <c r="K27" s="45" t="s">
        <v>103</v>
      </c>
      <c r="L27" s="54">
        <f>+L25*L16+L26*L17</f>
        <v>8.6801109100120358E-2</v>
      </c>
    </row>
    <row r="28" spans="11:21">
      <c r="K28" s="45" t="s">
        <v>104</v>
      </c>
      <c r="L28" s="54">
        <f>+SQRT(L29)</f>
        <v>0.14731782872853738</v>
      </c>
    </row>
    <row r="29" spans="11:21">
      <c r="K29" s="45" t="s">
        <v>106</v>
      </c>
      <c r="L29" s="54">
        <f>+L25^2*L22^2+L26^2*L23^2+2*(L25*L26*L22*L23*O18)</f>
        <v>2.1702542661290673E-2</v>
      </c>
    </row>
    <row r="31" spans="11:21">
      <c r="K31" s="47" t="s">
        <v>110</v>
      </c>
      <c r="U31" s="45" t="s">
        <v>107</v>
      </c>
    </row>
    <row r="32" spans="11:21">
      <c r="L32" s="49" t="s">
        <v>109</v>
      </c>
      <c r="M32" s="49" t="s">
        <v>105</v>
      </c>
      <c r="N32" s="45" t="s">
        <v>108</v>
      </c>
      <c r="O32" s="45" t="s">
        <v>111</v>
      </c>
    </row>
    <row r="33" spans="11:21">
      <c r="K33" s="45">
        <v>1</v>
      </c>
      <c r="L33" s="49">
        <v>-1</v>
      </c>
      <c r="M33" s="49">
        <v>2</v>
      </c>
      <c r="N33" s="45">
        <f t="shared" ref="N33:N43" si="6">+L33^2*$L$22^2+M33^2*$L$23^2+2*(L33*M33*$L$22*$L$23*$O$18)</f>
        <v>0.1422079727174709</v>
      </c>
      <c r="O33" s="45">
        <f t="shared" ref="O33:O43" si="7">+SQRT(N33)</f>
        <v>0.37710472380689014</v>
      </c>
    </row>
    <row r="34" spans="11:21">
      <c r="K34" s="45">
        <v>2</v>
      </c>
      <c r="L34" s="49">
        <v>-0.7</v>
      </c>
      <c r="M34" s="49">
        <v>1.7</v>
      </c>
      <c r="N34" s="45">
        <f t="shared" si="6"/>
        <v>0.10343609286240737</v>
      </c>
      <c r="O34" s="45">
        <f t="shared" si="7"/>
        <v>0.32161482065105051</v>
      </c>
    </row>
    <row r="35" spans="11:21">
      <c r="K35" s="45">
        <v>3</v>
      </c>
      <c r="L35" s="49">
        <v>-0.4</v>
      </c>
      <c r="M35" s="49">
        <v>1.4</v>
      </c>
      <c r="N35" s="45">
        <f t="shared" si="6"/>
        <v>7.1241973681833923E-2</v>
      </c>
      <c r="O35" s="45">
        <f t="shared" si="7"/>
        <v>0.2669119212059175</v>
      </c>
    </row>
    <row r="36" spans="11:21">
      <c r="K36" s="45">
        <v>4</v>
      </c>
      <c r="L36" s="49">
        <v>-0.1</v>
      </c>
      <c r="M36" s="49">
        <v>1.1000000000000001</v>
      </c>
      <c r="N36" s="45">
        <f t="shared" si="6"/>
        <v>4.5625615175750575E-2</v>
      </c>
      <c r="O36" s="45">
        <f t="shared" si="7"/>
        <v>0.21360153364559575</v>
      </c>
    </row>
    <row r="37" spans="11:21">
      <c r="K37" s="45">
        <v>5</v>
      </c>
      <c r="L37" s="49">
        <v>0.2</v>
      </c>
      <c r="M37" s="49">
        <v>0.8</v>
      </c>
      <c r="N37" s="45">
        <f t="shared" si="6"/>
        <v>2.6587017344157304E-2</v>
      </c>
      <c r="O37" s="45">
        <f t="shared" si="7"/>
        <v>0.16305525856027245</v>
      </c>
      <c r="U37" s="45" t="s">
        <v>108</v>
      </c>
    </row>
    <row r="38" spans="11:21">
      <c r="K38" s="45">
        <v>6</v>
      </c>
      <c r="L38" s="49">
        <v>0.5</v>
      </c>
      <c r="M38" s="49">
        <v>0.5</v>
      </c>
      <c r="N38" s="45">
        <f t="shared" si="6"/>
        <v>1.4126180187054116E-2</v>
      </c>
      <c r="O38" s="45">
        <f t="shared" si="7"/>
        <v>0.1188536082205926</v>
      </c>
    </row>
    <row r="39" spans="11:21">
      <c r="K39" s="45">
        <v>7</v>
      </c>
      <c r="L39" s="49">
        <v>0.8</v>
      </c>
      <c r="M39" s="49">
        <v>0.2</v>
      </c>
      <c r="N39" s="45">
        <f t="shared" si="6"/>
        <v>8.2431037044410176E-3</v>
      </c>
      <c r="O39" s="45">
        <f t="shared" si="7"/>
        <v>9.0791539828560114E-2</v>
      </c>
    </row>
    <row r="40" spans="11:21">
      <c r="K40" s="45">
        <v>8</v>
      </c>
      <c r="L40" s="49">
        <v>1.1000000000000001</v>
      </c>
      <c r="M40" s="49">
        <v>-0.1</v>
      </c>
      <c r="N40" s="45">
        <f t="shared" si="6"/>
        <v>8.937787896318005E-3</v>
      </c>
      <c r="O40" s="45">
        <f t="shared" si="7"/>
        <v>9.4539874636673835E-2</v>
      </c>
    </row>
    <row r="41" spans="11:21">
      <c r="K41" s="45">
        <v>9</v>
      </c>
      <c r="L41" s="49">
        <v>1.4</v>
      </c>
      <c r="M41" s="49">
        <v>-0.4</v>
      </c>
      <c r="N41" s="45">
        <f t="shared" si="6"/>
        <v>1.6210232762685076E-2</v>
      </c>
      <c r="O41" s="45">
        <f t="shared" si="7"/>
        <v>0.12731941235603106</v>
      </c>
    </row>
    <row r="42" spans="11:21">
      <c r="K42" s="45">
        <v>11</v>
      </c>
      <c r="L42" s="49">
        <v>1.7</v>
      </c>
      <c r="M42" s="49">
        <v>-0.7</v>
      </c>
      <c r="N42" s="45">
        <f t="shared" si="6"/>
        <v>3.0060438303542235E-2</v>
      </c>
      <c r="O42" s="45">
        <f t="shared" si="7"/>
        <v>0.17337946332695298</v>
      </c>
      <c r="U42" s="45" t="s">
        <v>108</v>
      </c>
    </row>
    <row r="43" spans="11:21">
      <c r="K43" s="45">
        <v>10</v>
      </c>
      <c r="L43" s="49">
        <v>2</v>
      </c>
      <c r="M43" s="49">
        <v>-1</v>
      </c>
      <c r="N43" s="45">
        <f t="shared" si="6"/>
        <v>5.0488404518889488E-2</v>
      </c>
      <c r="O43" s="45">
        <f t="shared" si="7"/>
        <v>0.22469624945443456</v>
      </c>
    </row>
    <row r="44" spans="11:21">
      <c r="L44" s="49"/>
      <c r="M44" s="49"/>
    </row>
    <row r="45" spans="11:21">
      <c r="L45" s="49"/>
    </row>
    <row r="56" spans="11:21">
      <c r="K56" s="45" t="s">
        <v>113</v>
      </c>
    </row>
    <row r="57" spans="11:21">
      <c r="U57" s="45" t="s">
        <v>112</v>
      </c>
    </row>
    <row r="118" spans="20:20">
      <c r="T118" s="46" t="s">
        <v>295</v>
      </c>
    </row>
    <row r="228" ht="16" customHeight="1"/>
    <row r="330" spans="20:20">
      <c r="T330" s="47" t="s">
        <v>379</v>
      </c>
    </row>
    <row r="408" ht="16" customHeight="1"/>
  </sheetData>
  <phoneticPr fontId="1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E0279-163B-514C-BFAF-A35BB290B418}">
  <sheetPr>
    <tabColor theme="5" tint="-0.249977111117893"/>
  </sheetPr>
  <dimension ref="A3:P84"/>
  <sheetViews>
    <sheetView tabSelected="1" topLeftCell="A28" zoomScale="108" workbookViewId="0">
      <selection activeCell="O26" sqref="O26"/>
    </sheetView>
  </sheetViews>
  <sheetFormatPr baseColWidth="10" defaultRowHeight="16"/>
  <sheetData>
    <row r="3" spans="1:9">
      <c r="A3" t="s">
        <v>755</v>
      </c>
    </row>
    <row r="4" spans="1:9">
      <c r="A4" t="s">
        <v>262</v>
      </c>
      <c r="B4">
        <v>0.05</v>
      </c>
    </row>
    <row r="5" spans="1:9">
      <c r="A5" t="s">
        <v>751</v>
      </c>
      <c r="B5">
        <v>0.12</v>
      </c>
      <c r="C5" t="s">
        <v>752</v>
      </c>
    </row>
    <row r="7" spans="1:9">
      <c r="A7" t="s">
        <v>754</v>
      </c>
    </row>
    <row r="8" spans="1:9">
      <c r="A8" t="s">
        <v>753</v>
      </c>
      <c r="C8">
        <f>+B4+0.05*(B5-B4)</f>
        <v>5.3500000000000006E-2</v>
      </c>
    </row>
    <row r="9" spans="1:9">
      <c r="A9" t="s">
        <v>756</v>
      </c>
      <c r="C9">
        <f>+B4+0.15*(B5-B4)</f>
        <v>6.0499999999999998E-2</v>
      </c>
    </row>
    <row r="12" spans="1:9">
      <c r="A12" t="s">
        <v>757</v>
      </c>
    </row>
    <row r="13" spans="1:9">
      <c r="A13" t="s">
        <v>758</v>
      </c>
      <c r="B13">
        <v>0.5</v>
      </c>
      <c r="D13" s="59">
        <f>+B4+0.5*(B5-B4)</f>
        <v>8.4999999999999992E-2</v>
      </c>
    </row>
    <row r="14" spans="1:9">
      <c r="A14" t="s">
        <v>759</v>
      </c>
      <c r="B14">
        <v>100</v>
      </c>
      <c r="D14" s="59">
        <f>+(B15-B14)/B14</f>
        <v>7.0000000000000007E-2</v>
      </c>
    </row>
    <row r="15" spans="1:9">
      <c r="A15" t="s">
        <v>760</v>
      </c>
      <c r="B15">
        <f>102+5</f>
        <v>107</v>
      </c>
      <c r="I15" s="36"/>
    </row>
    <row r="16" spans="1:9">
      <c r="A16" t="s">
        <v>761</v>
      </c>
      <c r="B16">
        <f>+B15/(1+B4)</f>
        <v>101.9047619047619</v>
      </c>
    </row>
    <row r="21" spans="11:15">
      <c r="L21" t="s">
        <v>764</v>
      </c>
      <c r="M21" t="s">
        <v>529</v>
      </c>
    </row>
    <row r="22" spans="11:15">
      <c r="K22" t="s">
        <v>762</v>
      </c>
      <c r="L22">
        <v>0.08</v>
      </c>
      <c r="M22">
        <v>0.21</v>
      </c>
    </row>
    <row r="23" spans="11:15">
      <c r="K23" t="s">
        <v>763</v>
      </c>
      <c r="L23">
        <v>0.02</v>
      </c>
      <c r="M23">
        <v>0.35</v>
      </c>
    </row>
    <row r="25" spans="11:15">
      <c r="K25" t="s">
        <v>409</v>
      </c>
      <c r="L25">
        <v>-0.7</v>
      </c>
    </row>
    <row r="26" spans="11:15">
      <c r="K26" t="s">
        <v>734</v>
      </c>
      <c r="L26">
        <v>0.04</v>
      </c>
    </row>
    <row r="28" spans="11:15">
      <c r="L28" t="s">
        <v>575</v>
      </c>
      <c r="N28" s="108">
        <f>+(L22-L26)/M22</f>
        <v>0.19047619047619049</v>
      </c>
    </row>
    <row r="31" spans="11:15">
      <c r="K31" t="s">
        <v>767</v>
      </c>
    </row>
    <row r="32" spans="11:15">
      <c r="K32" t="s">
        <v>765</v>
      </c>
      <c r="L32" t="s">
        <v>766</v>
      </c>
      <c r="M32" t="s">
        <v>103</v>
      </c>
      <c r="N32" t="s">
        <v>515</v>
      </c>
      <c r="O32" t="s">
        <v>575</v>
      </c>
    </row>
    <row r="33" spans="11:15">
      <c r="K33">
        <v>-0.5</v>
      </c>
      <c r="L33">
        <f>1-K33</f>
        <v>1.5</v>
      </c>
      <c r="M33" s="78">
        <f>+K33*$L$22+L33*$L$23</f>
        <v>-1.0000000000000002E-2</v>
      </c>
      <c r="N33" s="78">
        <f>+SQRT($M$22^2*K33^2 + $M$23^2 * L33^2 + 2 * L33*K33*$M$22*$M$23*$L$25)</f>
        <v>0.60317907788649294</v>
      </c>
      <c r="O33">
        <f t="shared" ref="O33:O55" si="0">+(M33-$L$26)/N33</f>
        <v>-8.2894121883665656E-2</v>
      </c>
    </row>
    <row r="34" spans="11:15">
      <c r="K34">
        <f>+K33+0.1</f>
        <v>-0.4</v>
      </c>
      <c r="L34">
        <f t="shared" ref="L34:L55" si="1">1-K34</f>
        <v>1.4</v>
      </c>
      <c r="M34" s="78">
        <f t="shared" ref="M34:M53" si="2">+K34*$L$22+L34*$L$23</f>
        <v>-4.0000000000000036E-3</v>
      </c>
      <c r="N34" s="78">
        <f t="shared" ref="N34:N53" si="3">+SQRT($M$22^2*K34^2 + $M$23^2 * L34 ^2 + 2 * L34*K34*$M$22*$M$23*$L$25)</f>
        <v>0.55206883628764991</v>
      </c>
      <c r="O34">
        <f t="shared" si="0"/>
        <v>-7.9700206039295882E-2</v>
      </c>
    </row>
    <row r="35" spans="11:15">
      <c r="K35">
        <f t="shared" ref="K35:K52" si="4">+K34+0.1</f>
        <v>-0.30000000000000004</v>
      </c>
      <c r="L35">
        <f t="shared" si="1"/>
        <v>1.3</v>
      </c>
      <c r="M35" s="78">
        <f t="shared" si="2"/>
        <v>1.9999999999999983E-3</v>
      </c>
      <c r="N35" s="78">
        <f t="shared" si="3"/>
        <v>0.50112373721467229</v>
      </c>
      <c r="O35">
        <f t="shared" si="0"/>
        <v>-7.5829574969268509E-2</v>
      </c>
    </row>
    <row r="36" spans="11:15">
      <c r="K36">
        <f t="shared" si="4"/>
        <v>-0.20000000000000004</v>
      </c>
      <c r="L36">
        <f t="shared" si="1"/>
        <v>1.2</v>
      </c>
      <c r="M36" s="78">
        <f t="shared" si="2"/>
        <v>7.9999999999999967E-3</v>
      </c>
      <c r="N36" s="78">
        <f t="shared" si="3"/>
        <v>0.45039982238007148</v>
      </c>
      <c r="O36">
        <f t="shared" si="0"/>
        <v>-7.1047985389738208E-2</v>
      </c>
    </row>
    <row r="37" spans="11:15">
      <c r="K37">
        <f t="shared" si="4"/>
        <v>-0.10000000000000003</v>
      </c>
      <c r="L37">
        <f t="shared" si="1"/>
        <v>1.1000000000000001</v>
      </c>
      <c r="M37" s="78">
        <f t="shared" si="2"/>
        <v>1.3999999999999999E-2</v>
      </c>
      <c r="N37" s="78">
        <f t="shared" si="3"/>
        <v>0.39998124956052628</v>
      </c>
      <c r="O37">
        <f t="shared" si="0"/>
        <v>-6.5003047089250143E-2</v>
      </c>
    </row>
    <row r="38" spans="11:15">
      <c r="K38" s="108">
        <f t="shared" si="4"/>
        <v>0</v>
      </c>
      <c r="L38" s="108">
        <f t="shared" si="1"/>
        <v>1</v>
      </c>
      <c r="M38" s="109">
        <f t="shared" si="2"/>
        <v>0.02</v>
      </c>
      <c r="N38" s="109">
        <f t="shared" si="3"/>
        <v>0.35</v>
      </c>
      <c r="O38" s="108">
        <f t="shared" si="0"/>
        <v>-5.7142857142857148E-2</v>
      </c>
    </row>
    <row r="39" spans="11:15">
      <c r="K39">
        <f t="shared" si="4"/>
        <v>0.1</v>
      </c>
      <c r="L39">
        <f t="shared" si="1"/>
        <v>0.9</v>
      </c>
      <c r="M39" s="78">
        <f t="shared" si="2"/>
        <v>2.6000000000000002E-2</v>
      </c>
      <c r="N39" s="78">
        <f t="shared" si="3"/>
        <v>0.30067424232880341</v>
      </c>
      <c r="O39">
        <f t="shared" si="0"/>
        <v>-4.6562019717971879E-2</v>
      </c>
    </row>
    <row r="40" spans="11:15">
      <c r="K40">
        <f t="shared" si="4"/>
        <v>0.2</v>
      </c>
      <c r="L40">
        <f t="shared" si="1"/>
        <v>0.8</v>
      </c>
      <c r="M40" s="78">
        <f t="shared" si="2"/>
        <v>3.2000000000000001E-2</v>
      </c>
      <c r="N40" s="78">
        <f t="shared" si="3"/>
        <v>0.25238858928247926</v>
      </c>
      <c r="O40">
        <f t="shared" si="0"/>
        <v>-3.1697154070013091E-2</v>
      </c>
    </row>
    <row r="41" spans="11:15">
      <c r="K41">
        <f t="shared" si="4"/>
        <v>0.30000000000000004</v>
      </c>
      <c r="L41">
        <f t="shared" si="1"/>
        <v>0.7</v>
      </c>
      <c r="M41" s="78">
        <f t="shared" si="2"/>
        <v>3.8000000000000006E-2</v>
      </c>
      <c r="N41" s="78">
        <f t="shared" si="3"/>
        <v>0.20587617637793837</v>
      </c>
      <c r="O41">
        <f t="shared" si="0"/>
        <v>-9.7145771559720602E-3</v>
      </c>
    </row>
    <row r="42" spans="11:15">
      <c r="K42">
        <f t="shared" si="4"/>
        <v>0.4</v>
      </c>
      <c r="L42">
        <f t="shared" si="1"/>
        <v>0.6</v>
      </c>
      <c r="M42" s="78">
        <f t="shared" si="2"/>
        <v>4.3999999999999997E-2</v>
      </c>
      <c r="N42" s="78">
        <f t="shared" si="3"/>
        <v>0.16266530054071152</v>
      </c>
      <c r="O42">
        <f t="shared" si="0"/>
        <v>2.4590370452110561E-2</v>
      </c>
    </row>
    <row r="43" spans="11:15">
      <c r="K43">
        <f t="shared" si="4"/>
        <v>0.5</v>
      </c>
      <c r="L43">
        <f t="shared" si="1"/>
        <v>0.5</v>
      </c>
      <c r="M43" s="78">
        <f t="shared" si="2"/>
        <v>0.05</v>
      </c>
      <c r="N43" s="78">
        <f t="shared" si="3"/>
        <v>0.1261942946412396</v>
      </c>
      <c r="O43">
        <f t="shared" si="0"/>
        <v>7.9242885175032765E-2</v>
      </c>
    </row>
    <row r="44" spans="11:15">
      <c r="K44">
        <f t="shared" si="4"/>
        <v>0.6</v>
      </c>
      <c r="L44">
        <f t="shared" si="1"/>
        <v>0.4</v>
      </c>
      <c r="M44" s="78">
        <f t="shared" si="2"/>
        <v>5.6000000000000001E-2</v>
      </c>
      <c r="N44" s="78">
        <f t="shared" si="3"/>
        <v>0.10382677881933933</v>
      </c>
      <c r="O44">
        <f t="shared" si="0"/>
        <v>0.15410282570588385</v>
      </c>
    </row>
    <row r="45" spans="11:15">
      <c r="K45">
        <f t="shared" si="4"/>
        <v>0.7</v>
      </c>
      <c r="L45">
        <f t="shared" si="1"/>
        <v>0.30000000000000004</v>
      </c>
      <c r="M45" s="78">
        <f t="shared" si="2"/>
        <v>6.1999999999999993E-2</v>
      </c>
      <c r="N45" s="78">
        <f t="shared" si="3"/>
        <v>0.105</v>
      </c>
      <c r="O45">
        <f t="shared" si="0"/>
        <v>0.20952380952380945</v>
      </c>
    </row>
    <row r="46" spans="11:15">
      <c r="K46">
        <f t="shared" si="4"/>
        <v>0.79999999999999993</v>
      </c>
      <c r="L46">
        <f t="shared" si="1"/>
        <v>0.20000000000000007</v>
      </c>
      <c r="M46" s="78">
        <f t="shared" si="2"/>
        <v>6.8000000000000005E-2</v>
      </c>
      <c r="N46" s="78">
        <f t="shared" si="3"/>
        <v>0.12907362240210041</v>
      </c>
      <c r="O46">
        <f t="shared" si="0"/>
        <v>0.21693045781865622</v>
      </c>
    </row>
    <row r="47" spans="11:15">
      <c r="K47">
        <f t="shared" si="4"/>
        <v>0.89999999999999991</v>
      </c>
      <c r="L47">
        <f t="shared" si="1"/>
        <v>0.10000000000000009</v>
      </c>
      <c r="M47" s="78">
        <f t="shared" si="2"/>
        <v>7.3999999999999996E-2</v>
      </c>
      <c r="N47" s="78">
        <f t="shared" si="3"/>
        <v>0.16638810053606595</v>
      </c>
      <c r="O47">
        <f t="shared" si="0"/>
        <v>0.20434153578566891</v>
      </c>
    </row>
    <row r="48" spans="11:15">
      <c r="K48" s="108">
        <f t="shared" si="4"/>
        <v>0.99999999999999989</v>
      </c>
      <c r="L48" s="108">
        <f t="shared" si="1"/>
        <v>0</v>
      </c>
      <c r="M48" s="109">
        <f t="shared" si="2"/>
        <v>7.9999999999999988E-2</v>
      </c>
      <c r="N48" s="109">
        <f t="shared" si="3"/>
        <v>0.20999999999999996</v>
      </c>
      <c r="O48" s="108">
        <f t="shared" si="0"/>
        <v>0.19047619047619044</v>
      </c>
    </row>
    <row r="49" spans="2:16">
      <c r="B49" t="s">
        <v>736</v>
      </c>
      <c r="C49" s="110">
        <f>+M54</f>
        <v>6.6019417287831991E-2</v>
      </c>
      <c r="D49" t="s">
        <v>771</v>
      </c>
      <c r="E49">
        <f>+K54</f>
        <v>0.76699028813053305</v>
      </c>
      <c r="G49" s="78">
        <f>+E49*L22+(1-E49)*C50</f>
        <v>6.6019417287831991E-2</v>
      </c>
      <c r="K49">
        <f t="shared" si="4"/>
        <v>1.0999999999999999</v>
      </c>
      <c r="L49">
        <f t="shared" si="1"/>
        <v>-9.9999999999999867E-2</v>
      </c>
      <c r="M49" s="78">
        <f t="shared" si="2"/>
        <v>8.5999999999999993E-2</v>
      </c>
      <c r="N49" s="78">
        <f t="shared" si="3"/>
        <v>0.25671969149249135</v>
      </c>
      <c r="O49">
        <f t="shared" si="0"/>
        <v>0.17918376160616967</v>
      </c>
    </row>
    <row r="50" spans="2:16">
      <c r="B50" t="s">
        <v>770</v>
      </c>
      <c r="C50">
        <f>+L23</f>
        <v>0.02</v>
      </c>
      <c r="K50">
        <f t="shared" si="4"/>
        <v>1.2</v>
      </c>
      <c r="L50">
        <f t="shared" si="1"/>
        <v>-0.19999999999999996</v>
      </c>
      <c r="M50" s="78">
        <f t="shared" si="2"/>
        <v>9.1999999999999998E-2</v>
      </c>
      <c r="N50" s="78">
        <f t="shared" si="3"/>
        <v>0.30512292604784713</v>
      </c>
      <c r="O50">
        <f t="shared" si="0"/>
        <v>0.17042311658956016</v>
      </c>
    </row>
    <row r="51" spans="2:16">
      <c r="B51" t="s">
        <v>772</v>
      </c>
      <c r="C51" s="110">
        <f>+N54</f>
        <v>0.1191803225021436</v>
      </c>
      <c r="K51">
        <f>+K50+0.1</f>
        <v>1.3</v>
      </c>
      <c r="L51">
        <f t="shared" si="1"/>
        <v>-0.30000000000000004</v>
      </c>
      <c r="M51" s="78">
        <f t="shared" si="2"/>
        <v>9.8000000000000004E-2</v>
      </c>
      <c r="N51" s="78">
        <f t="shared" si="3"/>
        <v>0.35452080333881675</v>
      </c>
      <c r="O51">
        <f t="shared" si="0"/>
        <v>0.16360111861917792</v>
      </c>
    </row>
    <row r="52" spans="2:16">
      <c r="K52">
        <f t="shared" si="4"/>
        <v>1.4000000000000001</v>
      </c>
      <c r="L52">
        <f t="shared" si="1"/>
        <v>-0.40000000000000013</v>
      </c>
      <c r="M52" s="78">
        <f t="shared" si="2"/>
        <v>0.10400000000000001</v>
      </c>
      <c r="N52" s="78">
        <f t="shared" si="3"/>
        <v>0.40454913175039697</v>
      </c>
      <c r="O52">
        <f t="shared" si="0"/>
        <v>0.1582008091899389</v>
      </c>
    </row>
    <row r="53" spans="2:16">
      <c r="K53">
        <f>+K52+0.1</f>
        <v>1.5000000000000002</v>
      </c>
      <c r="L53">
        <f t="shared" si="1"/>
        <v>-0.50000000000000022</v>
      </c>
      <c r="M53" s="78">
        <f t="shared" si="2"/>
        <v>0.11000000000000001</v>
      </c>
      <c r="N53" s="78">
        <f t="shared" si="3"/>
        <v>0.45500000000000007</v>
      </c>
      <c r="O53">
        <f t="shared" si="0"/>
        <v>0.15384615384615383</v>
      </c>
    </row>
    <row r="54" spans="2:16">
      <c r="J54" t="s">
        <v>768</v>
      </c>
      <c r="K54">
        <v>0.76699028813053305</v>
      </c>
      <c r="L54">
        <f t="shared" si="1"/>
        <v>0.23300971186946695</v>
      </c>
      <c r="M54" s="78">
        <f>+K54*$L$22+L54*$L$23</f>
        <v>6.6019417287831991E-2</v>
      </c>
      <c r="N54" s="78">
        <f>+SQRT($M$22^2*K54^2 + $M$23^2 * L54 ^2 + 2 * L54*K54*$M$22*$M$23*$L$25)</f>
        <v>0.1191803225021436</v>
      </c>
      <c r="O54" s="108">
        <f t="shared" si="0"/>
        <v>0.21831974223231357</v>
      </c>
    </row>
    <row r="55" spans="2:16">
      <c r="J55" t="s">
        <v>769</v>
      </c>
      <c r="K55">
        <v>0.64545454564701377</v>
      </c>
      <c r="L55">
        <f t="shared" si="1"/>
        <v>0.35454545435298623</v>
      </c>
      <c r="M55" s="78">
        <f>+K55*$L$22+L55*$L$23</f>
        <v>5.8727272738820828E-2</v>
      </c>
      <c r="N55" s="78">
        <f>+SQRT($M$22^2*K55^2 + $M$23^2 * L55 ^2 + 2 * L55*K55*$M$22*$M$23*$L$25)</f>
        <v>0.10110975135060818</v>
      </c>
      <c r="O55">
        <f t="shared" si="0"/>
        <v>0.185217276164414</v>
      </c>
    </row>
    <row r="59" spans="2:16">
      <c r="K59" t="s">
        <v>337</v>
      </c>
    </row>
    <row r="60" spans="2:16">
      <c r="J60" t="s">
        <v>605</v>
      </c>
      <c r="K60" t="s">
        <v>765</v>
      </c>
      <c r="L60" t="s">
        <v>766</v>
      </c>
      <c r="M60" t="s">
        <v>103</v>
      </c>
      <c r="N60" t="s">
        <v>515</v>
      </c>
      <c r="O60" t="s">
        <v>575</v>
      </c>
      <c r="P60" t="s">
        <v>301</v>
      </c>
    </row>
    <row r="61" spans="2:16">
      <c r="B61" t="s">
        <v>773</v>
      </c>
      <c r="C61">
        <f>+K54*(L25*M22*M23)+(1-E49)*M23^2</f>
        <v>-1.0917960620306224E-2</v>
      </c>
      <c r="D61" t="s">
        <v>774</v>
      </c>
      <c r="J61">
        <f>+O54</f>
        <v>0.21831974223231357</v>
      </c>
      <c r="K61">
        <v>-0.5</v>
      </c>
      <c r="L61">
        <f>1-K61</f>
        <v>1.5</v>
      </c>
      <c r="M61" s="78">
        <f>+K61*$L$22+L61*$L$23</f>
        <v>-1.0000000000000002E-2</v>
      </c>
      <c r="N61" s="78">
        <v>0</v>
      </c>
      <c r="O61" t="e">
        <f>+(M61-$L$26)/N61</f>
        <v>#DIV/0!</v>
      </c>
      <c r="P61">
        <f>+$L$26+N61*$J$61</f>
        <v>0.04</v>
      </c>
    </row>
    <row r="62" spans="2:16">
      <c r="C62">
        <f>+C61/C51^2</f>
        <v>-0.76865668916797059</v>
      </c>
      <c r="K62">
        <f>+K61+0.1</f>
        <v>-0.4</v>
      </c>
      <c r="L62">
        <f t="shared" ref="L62:L81" si="5">1-K62</f>
        <v>1.4</v>
      </c>
      <c r="M62" s="78">
        <f t="shared" ref="M62:M81" si="6">+K62*$L$22+L62*$L$23</f>
        <v>-4.0000000000000036E-3</v>
      </c>
      <c r="N62" s="78">
        <f>+N61+0.03</f>
        <v>0.03</v>
      </c>
      <c r="O62">
        <f>+(M62-$L$26)/N62</f>
        <v>-1.4666666666666668</v>
      </c>
      <c r="P62">
        <f t="shared" ref="P62:P81" si="7">+$L$26+N62*$J$61</f>
        <v>4.6549592266969406E-2</v>
      </c>
    </row>
    <row r="63" spans="2:16">
      <c r="K63">
        <f t="shared" ref="K63:K78" si="8">+K62+0.1</f>
        <v>-0.30000000000000004</v>
      </c>
      <c r="L63">
        <f t="shared" si="5"/>
        <v>1.3</v>
      </c>
      <c r="M63" s="78">
        <f t="shared" si="6"/>
        <v>1.9999999999999983E-3</v>
      </c>
      <c r="N63" s="78">
        <f t="shared" ref="N63:N81" si="9">+N62+0.03</f>
        <v>0.06</v>
      </c>
      <c r="O63">
        <f t="shared" ref="O63:O81" si="10">+(M63-$L$26)/N63</f>
        <v>-0.63333333333333341</v>
      </c>
      <c r="P63">
        <f t="shared" si="7"/>
        <v>5.3099184533938817E-2</v>
      </c>
    </row>
    <row r="64" spans="2:16">
      <c r="K64">
        <f t="shared" si="8"/>
        <v>-0.20000000000000004</v>
      </c>
      <c r="L64">
        <f t="shared" si="5"/>
        <v>1.2</v>
      </c>
      <c r="M64" s="78">
        <f t="shared" si="6"/>
        <v>7.9999999999999967E-3</v>
      </c>
      <c r="N64" s="78">
        <f t="shared" si="9"/>
        <v>0.09</v>
      </c>
      <c r="O64">
        <f t="shared" si="10"/>
        <v>-0.35555555555555557</v>
      </c>
      <c r="P64">
        <f t="shared" si="7"/>
        <v>5.9648776800908222E-2</v>
      </c>
    </row>
    <row r="65" spans="5:16">
      <c r="K65">
        <f t="shared" si="8"/>
        <v>-0.10000000000000003</v>
      </c>
      <c r="L65">
        <f t="shared" si="5"/>
        <v>1.1000000000000001</v>
      </c>
      <c r="M65" s="78">
        <f t="shared" si="6"/>
        <v>1.3999999999999999E-2</v>
      </c>
      <c r="N65" s="78">
        <f t="shared" si="9"/>
        <v>0.12</v>
      </c>
      <c r="O65">
        <f t="shared" si="10"/>
        <v>-0.2166666666666667</v>
      </c>
      <c r="P65">
        <f t="shared" si="7"/>
        <v>6.6198369067877627E-2</v>
      </c>
    </row>
    <row r="66" spans="5:16">
      <c r="K66" s="108">
        <f t="shared" si="8"/>
        <v>0</v>
      </c>
      <c r="L66" s="108">
        <f t="shared" si="5"/>
        <v>1</v>
      </c>
      <c r="M66" s="78">
        <f t="shared" si="6"/>
        <v>0.02</v>
      </c>
      <c r="N66" s="78">
        <f t="shared" si="9"/>
        <v>0.15</v>
      </c>
      <c r="O66">
        <f t="shared" si="10"/>
        <v>-0.13333333333333333</v>
      </c>
      <c r="P66">
        <f t="shared" si="7"/>
        <v>7.2747961334847039E-2</v>
      </c>
    </row>
    <row r="67" spans="5:16">
      <c r="K67">
        <f t="shared" si="8"/>
        <v>0.1</v>
      </c>
      <c r="L67">
        <f t="shared" si="5"/>
        <v>0.9</v>
      </c>
      <c r="M67" s="78">
        <f t="shared" si="6"/>
        <v>2.6000000000000002E-2</v>
      </c>
      <c r="N67" s="78">
        <f t="shared" si="9"/>
        <v>0.18</v>
      </c>
      <c r="O67">
        <f t="shared" si="10"/>
        <v>-7.7777777777777779E-2</v>
      </c>
      <c r="P67">
        <f t="shared" si="7"/>
        <v>7.9297553601816451E-2</v>
      </c>
    </row>
    <row r="68" spans="5:16">
      <c r="K68">
        <f t="shared" si="8"/>
        <v>0.2</v>
      </c>
      <c r="L68">
        <f t="shared" si="5"/>
        <v>0.8</v>
      </c>
      <c r="M68" s="78">
        <f t="shared" si="6"/>
        <v>3.2000000000000001E-2</v>
      </c>
      <c r="N68" s="78">
        <f t="shared" si="9"/>
        <v>0.21</v>
      </c>
      <c r="O68">
        <f t="shared" si="10"/>
        <v>-3.8095238095238099E-2</v>
      </c>
      <c r="P68">
        <f t="shared" si="7"/>
        <v>8.5847145868785849E-2</v>
      </c>
    </row>
    <row r="69" spans="5:16">
      <c r="K69">
        <f t="shared" si="8"/>
        <v>0.30000000000000004</v>
      </c>
      <c r="L69">
        <f t="shared" si="5"/>
        <v>0.7</v>
      </c>
      <c r="M69" s="78">
        <f t="shared" si="6"/>
        <v>3.8000000000000006E-2</v>
      </c>
      <c r="N69" s="78">
        <f t="shared" si="9"/>
        <v>0.24</v>
      </c>
      <c r="O69">
        <f t="shared" si="10"/>
        <v>-8.3333333333333124E-3</v>
      </c>
      <c r="P69">
        <f t="shared" si="7"/>
        <v>9.2396738135755246E-2</v>
      </c>
    </row>
    <row r="70" spans="5:16">
      <c r="E70" t="s">
        <v>731</v>
      </c>
      <c r="F70">
        <f>+(0.02-0.04)/(G49-0.04)</f>
        <v>-0.76865672196867463</v>
      </c>
      <c r="K70">
        <f t="shared" si="8"/>
        <v>0.4</v>
      </c>
      <c r="L70">
        <f t="shared" si="5"/>
        <v>0.6</v>
      </c>
      <c r="M70" s="78">
        <f t="shared" si="6"/>
        <v>4.3999999999999997E-2</v>
      </c>
      <c r="N70" s="78">
        <f t="shared" si="9"/>
        <v>0.27</v>
      </c>
      <c r="O70">
        <f t="shared" si="10"/>
        <v>1.4814814814814802E-2</v>
      </c>
      <c r="P70">
        <f t="shared" si="7"/>
        <v>9.8946330402724658E-2</v>
      </c>
    </row>
    <row r="71" spans="5:16">
      <c r="K71">
        <f t="shared" si="8"/>
        <v>0.5</v>
      </c>
      <c r="L71">
        <f t="shared" si="5"/>
        <v>0.5</v>
      </c>
      <c r="M71" s="78">
        <f t="shared" si="6"/>
        <v>0.05</v>
      </c>
      <c r="N71" s="78">
        <f t="shared" si="9"/>
        <v>0.30000000000000004</v>
      </c>
      <c r="O71">
        <f t="shared" si="10"/>
        <v>3.3333333333333333E-2</v>
      </c>
      <c r="P71">
        <f t="shared" si="7"/>
        <v>0.10549592266969407</v>
      </c>
    </row>
    <row r="72" spans="5:16">
      <c r="K72">
        <f t="shared" si="8"/>
        <v>0.6</v>
      </c>
      <c r="L72">
        <f t="shared" si="5"/>
        <v>0.4</v>
      </c>
      <c r="M72" s="78">
        <f t="shared" si="6"/>
        <v>5.6000000000000001E-2</v>
      </c>
      <c r="N72" s="78">
        <f t="shared" si="9"/>
        <v>0.33000000000000007</v>
      </c>
      <c r="O72">
        <f t="shared" si="10"/>
        <v>4.8484848484848478E-2</v>
      </c>
      <c r="P72">
        <f t="shared" si="7"/>
        <v>0.11204551493666348</v>
      </c>
    </row>
    <row r="73" spans="5:16">
      <c r="K73">
        <f t="shared" si="8"/>
        <v>0.7</v>
      </c>
      <c r="L73">
        <f t="shared" si="5"/>
        <v>0.30000000000000004</v>
      </c>
      <c r="M73" s="78">
        <f t="shared" si="6"/>
        <v>6.1999999999999993E-2</v>
      </c>
      <c r="N73" s="78">
        <f t="shared" si="9"/>
        <v>0.3600000000000001</v>
      </c>
      <c r="O73">
        <f t="shared" si="10"/>
        <v>6.1111111111111074E-2</v>
      </c>
      <c r="P73">
        <f t="shared" si="7"/>
        <v>0.11859510720363289</v>
      </c>
    </row>
    <row r="74" spans="5:16">
      <c r="K74">
        <f t="shared" si="8"/>
        <v>0.79999999999999993</v>
      </c>
      <c r="L74">
        <f t="shared" si="5"/>
        <v>0.20000000000000007</v>
      </c>
      <c r="M74" s="78">
        <f t="shared" si="6"/>
        <v>6.8000000000000005E-2</v>
      </c>
      <c r="N74" s="78">
        <f t="shared" si="9"/>
        <v>0.39000000000000012</v>
      </c>
      <c r="O74">
        <f t="shared" si="10"/>
        <v>7.1794871794871776E-2</v>
      </c>
      <c r="P74">
        <f t="shared" si="7"/>
        <v>0.12514469947060233</v>
      </c>
    </row>
    <row r="75" spans="5:16">
      <c r="K75">
        <f t="shared" si="8"/>
        <v>0.89999999999999991</v>
      </c>
      <c r="L75">
        <f t="shared" si="5"/>
        <v>0.10000000000000009</v>
      </c>
      <c r="M75" s="78">
        <f t="shared" si="6"/>
        <v>7.3999999999999996E-2</v>
      </c>
      <c r="N75" s="78">
        <f t="shared" si="9"/>
        <v>0.42000000000000015</v>
      </c>
      <c r="O75">
        <f t="shared" si="10"/>
        <v>8.0952380952380915E-2</v>
      </c>
      <c r="P75">
        <f t="shared" si="7"/>
        <v>0.13169429173757174</v>
      </c>
    </row>
    <row r="76" spans="5:16">
      <c r="K76" s="108">
        <f t="shared" si="8"/>
        <v>0.99999999999999989</v>
      </c>
      <c r="L76" s="108">
        <f t="shared" si="5"/>
        <v>0</v>
      </c>
      <c r="M76" s="78">
        <f t="shared" si="6"/>
        <v>7.9999999999999988E-2</v>
      </c>
      <c r="N76" s="78">
        <f t="shared" si="9"/>
        <v>0.45000000000000018</v>
      </c>
      <c r="O76">
        <f t="shared" si="10"/>
        <v>8.8888888888888823E-2</v>
      </c>
      <c r="P76">
        <f t="shared" si="7"/>
        <v>0.13824388400454116</v>
      </c>
    </row>
    <row r="77" spans="5:16">
      <c r="K77">
        <f t="shared" si="8"/>
        <v>1.0999999999999999</v>
      </c>
      <c r="L77">
        <f t="shared" si="5"/>
        <v>-9.9999999999999867E-2</v>
      </c>
      <c r="M77" s="78">
        <f t="shared" si="6"/>
        <v>8.5999999999999993E-2</v>
      </c>
      <c r="N77" s="78">
        <f t="shared" si="9"/>
        <v>0.4800000000000002</v>
      </c>
      <c r="O77">
        <f t="shared" si="10"/>
        <v>9.583333333333327E-2</v>
      </c>
      <c r="P77">
        <f t="shared" si="7"/>
        <v>0.14479347627151057</v>
      </c>
    </row>
    <row r="78" spans="5:16">
      <c r="K78">
        <f t="shared" si="8"/>
        <v>1.2</v>
      </c>
      <c r="L78">
        <f t="shared" si="5"/>
        <v>-0.19999999999999996</v>
      </c>
      <c r="M78" s="78">
        <f t="shared" si="6"/>
        <v>9.1999999999999998E-2</v>
      </c>
      <c r="N78" s="78">
        <f t="shared" si="9"/>
        <v>0.51000000000000023</v>
      </c>
      <c r="O78">
        <f t="shared" si="10"/>
        <v>0.10196078431372543</v>
      </c>
      <c r="P78">
        <f t="shared" si="7"/>
        <v>0.15134306853847998</v>
      </c>
    </row>
    <row r="79" spans="5:16">
      <c r="K79">
        <f>+K78+0.1</f>
        <v>1.3</v>
      </c>
      <c r="L79">
        <f t="shared" si="5"/>
        <v>-0.30000000000000004</v>
      </c>
      <c r="M79" s="78">
        <f t="shared" si="6"/>
        <v>9.8000000000000004E-2</v>
      </c>
      <c r="N79" s="78">
        <f t="shared" si="9"/>
        <v>0.54000000000000026</v>
      </c>
      <c r="O79">
        <f t="shared" si="10"/>
        <v>0.10740740740740737</v>
      </c>
      <c r="P79">
        <f t="shared" si="7"/>
        <v>0.15789266080544939</v>
      </c>
    </row>
    <row r="80" spans="5:16">
      <c r="K80">
        <f>+K79+0.1</f>
        <v>1.4000000000000001</v>
      </c>
      <c r="L80">
        <f t="shared" si="5"/>
        <v>-0.40000000000000013</v>
      </c>
      <c r="M80" s="78">
        <f t="shared" si="6"/>
        <v>0.10400000000000001</v>
      </c>
      <c r="N80" s="78">
        <f t="shared" si="9"/>
        <v>0.57000000000000028</v>
      </c>
      <c r="O80">
        <f t="shared" si="10"/>
        <v>0.11228070175438591</v>
      </c>
      <c r="P80">
        <f t="shared" si="7"/>
        <v>0.1644422530724188</v>
      </c>
    </row>
    <row r="81" spans="11:16">
      <c r="K81">
        <f>+K80+0.1</f>
        <v>1.5000000000000002</v>
      </c>
      <c r="L81">
        <f t="shared" si="5"/>
        <v>-0.50000000000000022</v>
      </c>
      <c r="M81" s="78">
        <f t="shared" si="6"/>
        <v>0.11000000000000001</v>
      </c>
      <c r="N81" s="78">
        <f t="shared" si="9"/>
        <v>0.60000000000000031</v>
      </c>
      <c r="O81">
        <f t="shared" si="10"/>
        <v>0.11666666666666661</v>
      </c>
      <c r="P81">
        <f t="shared" si="7"/>
        <v>0.17099184533938822</v>
      </c>
    </row>
    <row r="82" spans="11:16">
      <c r="M82" s="78"/>
      <c r="N82" s="78"/>
    </row>
    <row r="83" spans="11:16">
      <c r="M83" s="78"/>
      <c r="N83" s="78"/>
    </row>
    <row r="84" spans="11:16">
      <c r="M84" s="78"/>
      <c r="N84" s="7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D6199-8FAB-BA4F-A840-987CFACF0D33}">
  <sheetPr codeName="Sheet3">
    <tabColor theme="5" tint="-0.249977111117893"/>
  </sheetPr>
  <dimension ref="A1:BE754"/>
  <sheetViews>
    <sheetView topLeftCell="V332" zoomScaleNormal="117" workbookViewId="0">
      <selection activeCell="AD366" sqref="AD366"/>
    </sheetView>
  </sheetViews>
  <sheetFormatPr baseColWidth="10" defaultRowHeight="16"/>
  <cols>
    <col min="1" max="1" width="10.83203125" style="62"/>
    <col min="2" max="2" width="19.33203125" style="63" customWidth="1"/>
    <col min="3" max="3" width="19.5" style="63" customWidth="1"/>
    <col min="4" max="5" width="11" style="63" bestFit="1" customWidth="1"/>
    <col min="6" max="6" width="12" style="63" bestFit="1" customWidth="1"/>
    <col min="7" max="9" width="10.83203125" style="63"/>
    <col min="10" max="12" width="11" style="63" bestFit="1" customWidth="1"/>
    <col min="13" max="13" width="10.83203125" style="59"/>
    <col min="14" max="14" width="10.83203125" style="58"/>
    <col min="15" max="15" width="10.83203125" style="59"/>
    <col min="16" max="16" width="19" style="59" customWidth="1"/>
    <col min="17" max="21" width="10.83203125" style="59"/>
    <col min="22" max="22" width="15.1640625" style="59" customWidth="1"/>
    <col min="23" max="23" width="11" style="59" bestFit="1" customWidth="1"/>
    <col min="24" max="24" width="12.83203125" style="59" customWidth="1"/>
    <col min="25" max="25" width="13.33203125" style="59" customWidth="1"/>
    <col min="26" max="26" width="14.6640625" style="59" customWidth="1"/>
    <col min="27" max="27" width="12" style="59" bestFit="1" customWidth="1"/>
    <col min="28" max="28" width="11" style="59" bestFit="1" customWidth="1"/>
    <col min="29" max="29" width="10.83203125" style="59"/>
    <col min="30" max="30" width="23" style="59" customWidth="1"/>
    <col min="31" max="31" width="17.33203125" style="59" customWidth="1"/>
    <col min="32" max="32" width="18" style="59" customWidth="1"/>
    <col min="33" max="33" width="25" style="59" customWidth="1"/>
    <col min="34" max="16384" width="10.83203125" style="59"/>
  </cols>
  <sheetData>
    <row r="1" spans="1:30" s="58" customFormat="1" ht="26">
      <c r="A1" s="60" t="s">
        <v>294</v>
      </c>
      <c r="B1" s="61" t="s">
        <v>117</v>
      </c>
      <c r="C1" s="62"/>
      <c r="D1" s="62"/>
      <c r="E1" s="62"/>
      <c r="F1" s="62"/>
      <c r="G1" s="62"/>
      <c r="H1" s="62"/>
      <c r="I1" s="62"/>
      <c r="J1" s="62"/>
      <c r="K1" s="62"/>
      <c r="L1" s="62"/>
    </row>
    <row r="2" spans="1:30">
      <c r="B2" s="63" t="s">
        <v>123</v>
      </c>
      <c r="C2" s="63" t="s">
        <v>118</v>
      </c>
    </row>
    <row r="3" spans="1:30">
      <c r="B3" s="63" t="s">
        <v>122</v>
      </c>
      <c r="X3" s="59" t="s">
        <v>498</v>
      </c>
    </row>
    <row r="4" spans="1:30">
      <c r="X4" s="59" t="s">
        <v>488</v>
      </c>
    </row>
    <row r="5" spans="1:30">
      <c r="C5" s="64"/>
      <c r="D5" s="64" t="s">
        <v>121</v>
      </c>
      <c r="E5" s="64" t="s">
        <v>120</v>
      </c>
      <c r="F5" s="64" t="s">
        <v>119</v>
      </c>
      <c r="Y5" s="59" t="s">
        <v>489</v>
      </c>
      <c r="Z5" s="65">
        <v>0.5</v>
      </c>
      <c r="AA5" s="65">
        <v>0.5</v>
      </c>
    </row>
    <row r="6" spans="1:30">
      <c r="C6" s="64" t="s">
        <v>9</v>
      </c>
      <c r="D6" s="64">
        <v>0.5</v>
      </c>
      <c r="E6" s="64">
        <v>0.3</v>
      </c>
      <c r="F6" s="64">
        <v>0.2</v>
      </c>
      <c r="Y6" s="59" t="s">
        <v>490</v>
      </c>
      <c r="Z6" s="59">
        <v>50000</v>
      </c>
      <c r="AA6" s="59">
        <v>150000</v>
      </c>
    </row>
    <row r="7" spans="1:30">
      <c r="C7" s="64" t="s">
        <v>84</v>
      </c>
      <c r="D7" s="64">
        <v>0.25</v>
      </c>
      <c r="E7" s="64">
        <v>0.1</v>
      </c>
      <c r="F7" s="64">
        <v>-0.25</v>
      </c>
    </row>
    <row r="8" spans="1:30">
      <c r="X8" s="59" t="s">
        <v>491</v>
      </c>
    </row>
    <row r="9" spans="1:30">
      <c r="B9" s="66" t="s">
        <v>124</v>
      </c>
      <c r="Y9" s="65">
        <v>0.05</v>
      </c>
    </row>
    <row r="11" spans="1:30">
      <c r="B11" s="67" t="s">
        <v>125</v>
      </c>
      <c r="C11" s="60" t="s">
        <v>126</v>
      </c>
      <c r="D11" s="62"/>
      <c r="E11" s="62"/>
      <c r="F11" s="62"/>
      <c r="G11" s="62"/>
      <c r="H11" s="62"/>
      <c r="I11" s="62"/>
      <c r="J11" s="62"/>
      <c r="X11" s="59" t="s">
        <v>492</v>
      </c>
    </row>
    <row r="12" spans="1:30">
      <c r="Y12" s="65">
        <v>0.1</v>
      </c>
    </row>
    <row r="15" spans="1:30">
      <c r="X15" s="68" t="s">
        <v>499</v>
      </c>
      <c r="AA15" s="68" t="s">
        <v>500</v>
      </c>
      <c r="AD15" s="68" t="s">
        <v>505</v>
      </c>
    </row>
    <row r="16" spans="1:30">
      <c r="X16" s="59" t="s">
        <v>103</v>
      </c>
      <c r="Y16" s="59">
        <f>+Z5*Z6+AA5*AA6</f>
        <v>100000</v>
      </c>
      <c r="AA16" s="59" t="s">
        <v>501</v>
      </c>
      <c r="AB16" s="58">
        <f>+(Y16-Y22)/Y22</f>
        <v>0.14999999999999983</v>
      </c>
      <c r="AD16" s="59" t="s">
        <v>506</v>
      </c>
    </row>
    <row r="17" spans="2:33">
      <c r="X17" s="59" t="s">
        <v>493</v>
      </c>
      <c r="Y17" s="59" t="s">
        <v>494</v>
      </c>
      <c r="AD17" s="59" t="s">
        <v>507</v>
      </c>
    </row>
    <row r="18" spans="2:33">
      <c r="Y18" s="59" t="s">
        <v>495</v>
      </c>
      <c r="AA18" s="68" t="s">
        <v>502</v>
      </c>
      <c r="AD18" s="59" t="s">
        <v>509</v>
      </c>
    </row>
    <row r="19" spans="2:33">
      <c r="X19" s="59" t="s">
        <v>496</v>
      </c>
      <c r="Y19" s="59">
        <f>0.1+0.05</f>
        <v>0.15000000000000002</v>
      </c>
      <c r="AA19" s="59" t="s">
        <v>503</v>
      </c>
      <c r="AD19" s="59" t="s">
        <v>510</v>
      </c>
    </row>
    <row r="20" spans="2:33">
      <c r="AB20" s="59">
        <v>0.15</v>
      </c>
      <c r="AD20" s="59" t="s">
        <v>508</v>
      </c>
    </row>
    <row r="21" spans="2:33">
      <c r="X21" s="59" t="s">
        <v>497</v>
      </c>
      <c r="AA21" s="59" t="s">
        <v>504</v>
      </c>
    </row>
    <row r="22" spans="2:33">
      <c r="Y22" s="58">
        <f>+Y16/(1+Y19)</f>
        <v>86956.521739130447</v>
      </c>
      <c r="AB22" s="59">
        <f>+AB20+Y9</f>
        <v>0.2</v>
      </c>
    </row>
    <row r="23" spans="2:33">
      <c r="B23" s="63" t="s">
        <v>127</v>
      </c>
      <c r="C23" s="62">
        <f>+D6*D7+E6*E7+F6*F7</f>
        <v>0.105</v>
      </c>
    </row>
    <row r="24" spans="2:33">
      <c r="AA24" s="58">
        <f>+Y16/(1+AB22)</f>
        <v>83333.333333333343</v>
      </c>
    </row>
    <row r="25" spans="2:33">
      <c r="B25" s="67" t="s">
        <v>128</v>
      </c>
      <c r="C25" s="60" t="s">
        <v>129</v>
      </c>
      <c r="D25" s="60" t="s">
        <v>130</v>
      </c>
      <c r="E25" s="62"/>
      <c r="F25" s="62"/>
      <c r="G25" s="62"/>
      <c r="H25" s="62"/>
      <c r="I25" s="62"/>
      <c r="J25" s="62"/>
    </row>
    <row r="26" spans="2:33">
      <c r="X26" s="59" t="s">
        <v>511</v>
      </c>
      <c r="Y26" s="59" t="s">
        <v>103</v>
      </c>
      <c r="Z26" s="59">
        <v>0.1</v>
      </c>
    </row>
    <row r="27" spans="2:33">
      <c r="Y27" s="59" t="s">
        <v>515</v>
      </c>
      <c r="Z27" s="59">
        <v>0.15</v>
      </c>
    </row>
    <row r="28" spans="2:33">
      <c r="Y28" s="59" t="s">
        <v>516</v>
      </c>
      <c r="Z28" s="59">
        <v>0.08</v>
      </c>
    </row>
    <row r="29" spans="2:33">
      <c r="Y29" s="59" t="s">
        <v>512</v>
      </c>
    </row>
    <row r="30" spans="2:33">
      <c r="Y30" s="59" t="s">
        <v>513</v>
      </c>
    </row>
    <row r="31" spans="2:33">
      <c r="B31" s="63" t="s">
        <v>149</v>
      </c>
      <c r="C31" s="62">
        <f>+D6*(D7-C23)^2+E6*(E7-C23)^2+F6*(F7-C23)^2</f>
        <v>3.5725000000000007E-2</v>
      </c>
      <c r="Y31" s="58" t="s">
        <v>514</v>
      </c>
      <c r="Z31" s="58">
        <f>-(Z28-Z26)/(0.5*(Z27^2))</f>
        <v>1.7777777777777781</v>
      </c>
    </row>
    <row r="32" spans="2:33">
      <c r="B32" s="63" t="s">
        <v>148</v>
      </c>
      <c r="C32" s="62">
        <f>+SQRT(C31)</f>
        <v>0.189010581714358</v>
      </c>
      <c r="AB32" s="59" t="s">
        <v>523</v>
      </c>
      <c r="AE32" s="59" t="s">
        <v>524</v>
      </c>
      <c r="AF32" s="59" t="s">
        <v>525</v>
      </c>
      <c r="AG32" s="59" t="s">
        <v>527</v>
      </c>
    </row>
    <row r="33" spans="2:32">
      <c r="Y33" s="59" t="s">
        <v>301</v>
      </c>
      <c r="Z33" s="59" t="s">
        <v>517</v>
      </c>
      <c r="AA33" s="59" t="s">
        <v>519</v>
      </c>
      <c r="AB33" s="59">
        <v>3</v>
      </c>
      <c r="AE33" s="59">
        <v>4</v>
      </c>
      <c r="AF33" s="59">
        <v>0</v>
      </c>
    </row>
    <row r="34" spans="2:32">
      <c r="B34" s="67" t="s">
        <v>131</v>
      </c>
      <c r="C34" s="60" t="s">
        <v>132</v>
      </c>
      <c r="D34" s="60"/>
      <c r="E34" s="62"/>
      <c r="F34" s="62"/>
      <c r="G34" s="62"/>
      <c r="H34" s="62"/>
      <c r="I34" s="62"/>
      <c r="J34" s="62"/>
      <c r="W34" s="59" t="s">
        <v>525</v>
      </c>
      <c r="X34" s="59" t="s">
        <v>526</v>
      </c>
      <c r="Y34" s="59" t="s">
        <v>103</v>
      </c>
      <c r="Z34" s="59" t="s">
        <v>515</v>
      </c>
      <c r="AA34" s="59" t="s">
        <v>518</v>
      </c>
      <c r="AB34" s="59">
        <v>0.05</v>
      </c>
      <c r="AC34" s="59" t="s">
        <v>520</v>
      </c>
      <c r="AE34" s="59">
        <v>0.04</v>
      </c>
      <c r="AF34" s="59">
        <v>0.05</v>
      </c>
    </row>
    <row r="35" spans="2:32">
      <c r="W35" s="59">
        <f>$AF$34+ Z35^2*0.5*$AF$33</f>
        <v>0.05</v>
      </c>
      <c r="X35" s="59">
        <f>$AE$34+ Z35^2*0.5*$AE$33</f>
        <v>0.04</v>
      </c>
      <c r="Y35" s="59">
        <f t="shared" ref="Y35:Y40" si="0">$AB$34+ Z35^2*0.5*$AB$33</f>
        <v>0.05</v>
      </c>
      <c r="Z35" s="59">
        <f>+Z36-0.01</f>
        <v>0</v>
      </c>
      <c r="AB35" s="59" t="s">
        <v>521</v>
      </c>
      <c r="AC35" s="59" t="s">
        <v>522</v>
      </c>
    </row>
    <row r="36" spans="2:32">
      <c r="B36" s="63" t="s">
        <v>133</v>
      </c>
      <c r="W36" s="59">
        <f t="shared" ref="W36:W61" si="1">$AF$34+ Z36^2*0.5*$AF$33</f>
        <v>0.05</v>
      </c>
      <c r="X36" s="59">
        <f t="shared" ref="X36:X61" si="2">$AE$34+ Z36^2*0.5*$AE$33</f>
        <v>4.02E-2</v>
      </c>
      <c r="Y36" s="59">
        <f t="shared" si="0"/>
        <v>5.015E-2</v>
      </c>
      <c r="Z36" s="59">
        <f>+Z37-0.01</f>
        <v>9.9999999999999967E-3</v>
      </c>
    </row>
    <row r="37" spans="2:32">
      <c r="B37" s="63" t="s">
        <v>134</v>
      </c>
      <c r="C37" s="63">
        <v>0.05</v>
      </c>
      <c r="D37" s="63" t="s">
        <v>137</v>
      </c>
      <c r="W37" s="59">
        <f t="shared" si="1"/>
        <v>0.05</v>
      </c>
      <c r="X37" s="59">
        <f t="shared" si="2"/>
        <v>4.0800000000000003E-2</v>
      </c>
      <c r="Y37" s="59">
        <f t="shared" si="0"/>
        <v>5.0600000000000006E-2</v>
      </c>
      <c r="Z37" s="59">
        <f>+Z38-0.01</f>
        <v>1.9999999999999997E-2</v>
      </c>
    </row>
    <row r="38" spans="2:32">
      <c r="W38" s="59">
        <f t="shared" si="1"/>
        <v>0.05</v>
      </c>
      <c r="X38" s="59">
        <f t="shared" si="2"/>
        <v>4.1800000000000004E-2</v>
      </c>
      <c r="Y38" s="59">
        <f t="shared" si="0"/>
        <v>5.135E-2</v>
      </c>
      <c r="Z38" s="59">
        <f>+Z39-0.01</f>
        <v>0.03</v>
      </c>
    </row>
    <row r="39" spans="2:32">
      <c r="B39" s="63" t="s">
        <v>135</v>
      </c>
      <c r="W39" s="59">
        <f t="shared" si="1"/>
        <v>0.05</v>
      </c>
      <c r="X39" s="59">
        <f t="shared" si="2"/>
        <v>4.3200000000000002E-2</v>
      </c>
      <c r="Y39" s="59">
        <f t="shared" si="0"/>
        <v>5.2400000000000002E-2</v>
      </c>
      <c r="Z39" s="59">
        <f>+Z40-0.01</f>
        <v>0.04</v>
      </c>
    </row>
    <row r="40" spans="2:32">
      <c r="B40" s="63" t="s">
        <v>136</v>
      </c>
      <c r="W40" s="59">
        <f t="shared" si="1"/>
        <v>0.05</v>
      </c>
      <c r="X40" s="59">
        <f t="shared" si="2"/>
        <v>4.4999999999999998E-2</v>
      </c>
      <c r="Y40" s="59">
        <f t="shared" si="0"/>
        <v>5.3750000000000006E-2</v>
      </c>
      <c r="Z40" s="59">
        <v>0.05</v>
      </c>
    </row>
    <row r="41" spans="2:32">
      <c r="W41" s="59">
        <f>$AF$34+ Z41^2*0.5*$AF$33</f>
        <v>0.05</v>
      </c>
      <c r="X41" s="59">
        <f t="shared" si="2"/>
        <v>4.7200000000000006E-2</v>
      </c>
      <c r="Y41" s="59">
        <f t="shared" ref="Y41:Y61" si="3">$AB$34+ Z41^2*0.5*$AB$33</f>
        <v>5.5400000000000005E-2</v>
      </c>
      <c r="Z41" s="59">
        <f>+Z40+0.01</f>
        <v>6.0000000000000005E-2</v>
      </c>
    </row>
    <row r="42" spans="2:32">
      <c r="B42" s="63" t="s">
        <v>147</v>
      </c>
      <c r="C42" s="62">
        <f>0.5*C37+0.5*C23</f>
        <v>7.7499999999999999E-2</v>
      </c>
      <c r="W42" s="59">
        <f t="shared" si="1"/>
        <v>0.05</v>
      </c>
      <c r="X42" s="59">
        <f t="shared" si="2"/>
        <v>4.9800000000000004E-2</v>
      </c>
      <c r="Y42" s="59">
        <f t="shared" si="3"/>
        <v>5.7350000000000005E-2</v>
      </c>
      <c r="Z42" s="59">
        <f t="shared" ref="Z42:Z61" si="4">+Z41+0.01</f>
        <v>7.0000000000000007E-2</v>
      </c>
    </row>
    <row r="43" spans="2:32">
      <c r="W43" s="59">
        <f t="shared" si="1"/>
        <v>0.05</v>
      </c>
      <c r="X43" s="59">
        <f t="shared" si="2"/>
        <v>5.28E-2</v>
      </c>
      <c r="Y43" s="59">
        <f t="shared" si="3"/>
        <v>5.96E-2</v>
      </c>
      <c r="Z43" s="59">
        <f t="shared" si="4"/>
        <v>0.08</v>
      </c>
    </row>
    <row r="44" spans="2:32">
      <c r="B44" s="67" t="s">
        <v>157</v>
      </c>
      <c r="C44" s="60" t="s">
        <v>159</v>
      </c>
      <c r="D44" s="60"/>
      <c r="E44" s="62"/>
      <c r="F44" s="62"/>
      <c r="G44" s="62"/>
      <c r="H44" s="62"/>
      <c r="I44" s="62"/>
      <c r="J44" s="62"/>
      <c r="W44" s="59">
        <f t="shared" si="1"/>
        <v>0.05</v>
      </c>
      <c r="X44" s="59">
        <f t="shared" si="2"/>
        <v>5.62E-2</v>
      </c>
      <c r="Y44" s="59">
        <f t="shared" si="3"/>
        <v>6.2150000000000004E-2</v>
      </c>
      <c r="Z44" s="59">
        <f t="shared" si="4"/>
        <v>0.09</v>
      </c>
    </row>
    <row r="45" spans="2:32">
      <c r="W45" s="59">
        <f t="shared" si="1"/>
        <v>0.05</v>
      </c>
      <c r="X45" s="59">
        <f t="shared" si="2"/>
        <v>0.06</v>
      </c>
      <c r="Y45" s="59">
        <f t="shared" si="3"/>
        <v>6.5000000000000002E-2</v>
      </c>
      <c r="Z45" s="59">
        <f t="shared" si="4"/>
        <v>9.9999999999999992E-2</v>
      </c>
    </row>
    <row r="46" spans="2:32">
      <c r="B46" s="63" t="s">
        <v>138</v>
      </c>
      <c r="W46" s="59">
        <f t="shared" si="1"/>
        <v>0.05</v>
      </c>
      <c r="X46" s="59">
        <f t="shared" si="2"/>
        <v>6.4199999999999993E-2</v>
      </c>
      <c r="Y46" s="59">
        <f t="shared" si="3"/>
        <v>6.8150000000000002E-2</v>
      </c>
      <c r="Z46" s="59">
        <f t="shared" si="4"/>
        <v>0.10999999999999999</v>
      </c>
    </row>
    <row r="47" spans="2:32">
      <c r="B47" s="63" t="s">
        <v>139</v>
      </c>
      <c r="W47" s="59">
        <f t="shared" si="1"/>
        <v>0.05</v>
      </c>
      <c r="X47" s="59">
        <f t="shared" si="2"/>
        <v>6.88E-2</v>
      </c>
      <c r="Y47" s="59">
        <f t="shared" si="3"/>
        <v>7.1599999999999997E-2</v>
      </c>
      <c r="Z47" s="59">
        <f t="shared" si="4"/>
        <v>0.11999999999999998</v>
      </c>
    </row>
    <row r="48" spans="2:32">
      <c r="W48" s="59">
        <f t="shared" si="1"/>
        <v>0.05</v>
      </c>
      <c r="X48" s="59">
        <f t="shared" si="2"/>
        <v>7.3799999999999991E-2</v>
      </c>
      <c r="Y48" s="59">
        <f t="shared" si="3"/>
        <v>7.535E-2</v>
      </c>
      <c r="Z48" s="59">
        <f t="shared" si="4"/>
        <v>0.12999999999999998</v>
      </c>
    </row>
    <row r="49" spans="2:26">
      <c r="B49" s="63" t="s">
        <v>140</v>
      </c>
      <c r="C49" s="62">
        <f>0.5*C32</f>
        <v>9.4505290857179E-2</v>
      </c>
      <c r="E49" s="63" t="s">
        <v>141</v>
      </c>
      <c r="W49" s="59">
        <f t="shared" si="1"/>
        <v>0.05</v>
      </c>
      <c r="X49" s="59">
        <f t="shared" si="2"/>
        <v>7.9199999999999993E-2</v>
      </c>
      <c r="Y49" s="59">
        <f t="shared" si="3"/>
        <v>7.9399999999999998E-2</v>
      </c>
      <c r="Z49" s="59">
        <f t="shared" si="4"/>
        <v>0.13999999999999999</v>
      </c>
    </row>
    <row r="50" spans="2:26">
      <c r="E50" s="63" t="s">
        <v>142</v>
      </c>
      <c r="W50" s="59">
        <f t="shared" si="1"/>
        <v>0.05</v>
      </c>
      <c r="X50" s="59">
        <f t="shared" si="2"/>
        <v>8.4999999999999992E-2</v>
      </c>
      <c r="Y50" s="59">
        <f t="shared" si="3"/>
        <v>8.3750000000000005E-2</v>
      </c>
      <c r="Z50" s="59">
        <f t="shared" si="4"/>
        <v>0.15</v>
      </c>
    </row>
    <row r="51" spans="2:26">
      <c r="E51" s="63" t="s">
        <v>143</v>
      </c>
      <c r="W51" s="59">
        <f t="shared" si="1"/>
        <v>0.05</v>
      </c>
      <c r="X51" s="59">
        <f t="shared" si="2"/>
        <v>9.1200000000000003E-2</v>
      </c>
      <c r="Y51" s="59">
        <f t="shared" si="3"/>
        <v>8.8400000000000006E-2</v>
      </c>
      <c r="Z51" s="59">
        <f t="shared" si="4"/>
        <v>0.16</v>
      </c>
    </row>
    <row r="52" spans="2:26">
      <c r="E52" s="63" t="s">
        <v>144</v>
      </c>
      <c r="W52" s="59">
        <f t="shared" si="1"/>
        <v>0.05</v>
      </c>
      <c r="X52" s="59">
        <f t="shared" si="2"/>
        <v>9.7800000000000012E-2</v>
      </c>
      <c r="Y52" s="59">
        <f t="shared" si="3"/>
        <v>9.3350000000000016E-2</v>
      </c>
      <c r="Z52" s="59">
        <f t="shared" si="4"/>
        <v>0.17</v>
      </c>
    </row>
    <row r="53" spans="2:26">
      <c r="W53" s="59">
        <f t="shared" si="1"/>
        <v>0.05</v>
      </c>
      <c r="X53" s="59">
        <f t="shared" si="2"/>
        <v>0.1048</v>
      </c>
      <c r="Y53" s="59">
        <f t="shared" si="3"/>
        <v>9.8600000000000007E-2</v>
      </c>
      <c r="Z53" s="59">
        <f t="shared" si="4"/>
        <v>0.18000000000000002</v>
      </c>
    </row>
    <row r="54" spans="2:26">
      <c r="B54" s="63" t="s">
        <v>145</v>
      </c>
      <c r="W54" s="59">
        <f t="shared" si="1"/>
        <v>0.05</v>
      </c>
      <c r="X54" s="59">
        <f t="shared" si="2"/>
        <v>0.11220000000000002</v>
      </c>
      <c r="Y54" s="59">
        <f t="shared" si="3"/>
        <v>0.10415000000000002</v>
      </c>
      <c r="Z54" s="59">
        <f t="shared" si="4"/>
        <v>0.19000000000000003</v>
      </c>
    </row>
    <row r="55" spans="2:26">
      <c r="B55" s="63" t="s">
        <v>151</v>
      </c>
      <c r="C55" s="63">
        <v>0.05</v>
      </c>
      <c r="W55" s="59">
        <f t="shared" si="1"/>
        <v>0.05</v>
      </c>
      <c r="X55" s="59">
        <f t="shared" si="2"/>
        <v>0.12000000000000002</v>
      </c>
      <c r="Y55" s="59">
        <f t="shared" si="3"/>
        <v>0.11000000000000003</v>
      </c>
      <c r="Z55" s="59">
        <f t="shared" si="4"/>
        <v>0.20000000000000004</v>
      </c>
    </row>
    <row r="56" spans="2:26">
      <c r="B56" s="63" t="s">
        <v>146</v>
      </c>
      <c r="C56" s="63">
        <f>+C23</f>
        <v>0.105</v>
      </c>
      <c r="W56" s="59">
        <f t="shared" si="1"/>
        <v>0.05</v>
      </c>
      <c r="X56" s="59">
        <f t="shared" si="2"/>
        <v>0.12820000000000004</v>
      </c>
      <c r="Y56" s="59">
        <f t="shared" si="3"/>
        <v>0.11615000000000003</v>
      </c>
      <c r="Z56" s="59">
        <f t="shared" si="4"/>
        <v>0.21000000000000005</v>
      </c>
    </row>
    <row r="57" spans="2:26">
      <c r="B57" s="63" t="s">
        <v>147</v>
      </c>
      <c r="C57" s="63">
        <f>+C42</f>
        <v>7.7499999999999999E-2</v>
      </c>
      <c r="W57" s="59">
        <f t="shared" si="1"/>
        <v>0.05</v>
      </c>
      <c r="X57" s="59">
        <f t="shared" si="2"/>
        <v>0.13680000000000006</v>
      </c>
      <c r="Y57" s="59">
        <f t="shared" si="3"/>
        <v>0.12260000000000004</v>
      </c>
      <c r="Z57" s="59">
        <f t="shared" si="4"/>
        <v>0.22000000000000006</v>
      </c>
    </row>
    <row r="58" spans="2:26">
      <c r="W58" s="59">
        <f t="shared" si="1"/>
        <v>0.05</v>
      </c>
      <c r="X58" s="59">
        <f t="shared" si="2"/>
        <v>0.14580000000000007</v>
      </c>
      <c r="Y58" s="59">
        <f t="shared" si="3"/>
        <v>0.12935000000000005</v>
      </c>
      <c r="Z58" s="59">
        <f t="shared" si="4"/>
        <v>0.23000000000000007</v>
      </c>
    </row>
    <row r="59" spans="2:26">
      <c r="C59" s="63" t="s">
        <v>152</v>
      </c>
      <c r="D59" s="63" t="s">
        <v>153</v>
      </c>
      <c r="W59" s="59">
        <f t="shared" si="1"/>
        <v>0.05</v>
      </c>
      <c r="X59" s="59">
        <f t="shared" si="2"/>
        <v>0.15520000000000006</v>
      </c>
      <c r="Y59" s="59">
        <f t="shared" si="3"/>
        <v>0.13640000000000005</v>
      </c>
      <c r="Z59" s="59">
        <f t="shared" si="4"/>
        <v>0.24000000000000007</v>
      </c>
    </row>
    <row r="60" spans="2:26">
      <c r="B60" s="63" t="s">
        <v>150</v>
      </c>
      <c r="C60" s="63">
        <f>+C57-C55</f>
        <v>2.7499999999999997E-2</v>
      </c>
      <c r="D60" s="63">
        <f>+C56-C55</f>
        <v>5.4999999999999993E-2</v>
      </c>
      <c r="W60" s="59">
        <f t="shared" si="1"/>
        <v>0.05</v>
      </c>
      <c r="X60" s="59">
        <f t="shared" si="2"/>
        <v>0.16500000000000006</v>
      </c>
      <c r="Y60" s="59">
        <f t="shared" si="3"/>
        <v>0.14375000000000004</v>
      </c>
      <c r="Z60" s="59">
        <f t="shared" si="4"/>
        <v>0.25000000000000006</v>
      </c>
    </row>
    <row r="61" spans="2:26">
      <c r="W61" s="59">
        <f t="shared" si="1"/>
        <v>0.05</v>
      </c>
      <c r="X61" s="59">
        <f t="shared" si="2"/>
        <v>0.17520000000000008</v>
      </c>
      <c r="Y61" s="59">
        <f t="shared" si="3"/>
        <v>0.15140000000000003</v>
      </c>
      <c r="Z61" s="59">
        <f t="shared" si="4"/>
        <v>0.26000000000000006</v>
      </c>
    </row>
    <row r="62" spans="2:26">
      <c r="B62" s="63" t="s">
        <v>154</v>
      </c>
    </row>
    <row r="63" spans="2:26">
      <c r="B63" s="63">
        <f>+C57-C56</f>
        <v>-2.7499999999999997E-2</v>
      </c>
      <c r="C63" s="63" t="s">
        <v>155</v>
      </c>
      <c r="V63" s="59" t="s">
        <v>422</v>
      </c>
    </row>
    <row r="64" spans="2:26">
      <c r="B64" s="63">
        <f>+C60-D60</f>
        <v>-2.7499999999999997E-2</v>
      </c>
      <c r="C64" s="63" t="s">
        <v>156</v>
      </c>
      <c r="V64" s="59" t="s">
        <v>528</v>
      </c>
      <c r="W64" s="59" t="s">
        <v>530</v>
      </c>
      <c r="X64" s="59" t="s">
        <v>529</v>
      </c>
      <c r="Y64" s="59" t="s">
        <v>531</v>
      </c>
    </row>
    <row r="65" spans="2:26">
      <c r="V65" s="59">
        <v>1</v>
      </c>
      <c r="W65" s="59">
        <v>0.12</v>
      </c>
      <c r="X65" s="59">
        <v>0.3</v>
      </c>
      <c r="Y65" s="59">
        <f>+W65-0.5*$W$70*X65^2</f>
        <v>-0.06</v>
      </c>
    </row>
    <row r="66" spans="2:26">
      <c r="V66" s="59">
        <v>2</v>
      </c>
      <c r="W66" s="59">
        <v>0.15</v>
      </c>
      <c r="X66" s="59">
        <v>0.5</v>
      </c>
      <c r="Y66" s="59">
        <f>+W66-0.5*$W$70*X66^2</f>
        <v>-0.35</v>
      </c>
    </row>
    <row r="67" spans="2:26">
      <c r="B67" s="67"/>
      <c r="C67" s="60" t="s">
        <v>158</v>
      </c>
      <c r="D67" s="60"/>
      <c r="E67" s="62"/>
      <c r="F67" s="62"/>
      <c r="G67" s="62"/>
      <c r="H67" s="62"/>
      <c r="I67" s="62"/>
      <c r="J67" s="62"/>
      <c r="V67" s="59">
        <v>3</v>
      </c>
      <c r="W67" s="59">
        <v>0.21</v>
      </c>
      <c r="X67" s="59">
        <v>0.16</v>
      </c>
      <c r="Y67" s="69">
        <f>+W67-0.5*$W$70*X67^2</f>
        <v>0.1588</v>
      </c>
    </row>
    <row r="68" spans="2:26">
      <c r="V68" s="59">
        <v>4</v>
      </c>
      <c r="W68" s="59">
        <v>0.24</v>
      </c>
      <c r="X68" s="59">
        <v>0.21</v>
      </c>
      <c r="Y68" s="59">
        <f>+W68-0.5*$W$70*X68^2</f>
        <v>0.15179999999999999</v>
      </c>
    </row>
    <row r="69" spans="2:26">
      <c r="B69" s="63" t="s">
        <v>225</v>
      </c>
      <c r="H69" s="63" t="s">
        <v>227</v>
      </c>
    </row>
    <row r="70" spans="2:26">
      <c r="C70" s="64"/>
      <c r="D70" s="64" t="s">
        <v>121</v>
      </c>
      <c r="E70" s="64" t="s">
        <v>120</v>
      </c>
      <c r="F70" s="64" t="s">
        <v>119</v>
      </c>
      <c r="I70" s="64"/>
      <c r="J70" s="64" t="s">
        <v>121</v>
      </c>
      <c r="K70" s="64" t="s">
        <v>120</v>
      </c>
      <c r="L70" s="64" t="s">
        <v>119</v>
      </c>
      <c r="V70" s="59" t="s">
        <v>519</v>
      </c>
      <c r="W70" s="59">
        <v>4</v>
      </c>
    </row>
    <row r="71" spans="2:26">
      <c r="C71" s="64" t="s">
        <v>9</v>
      </c>
      <c r="D71" s="64">
        <v>0.5</v>
      </c>
      <c r="E71" s="64">
        <v>0.3</v>
      </c>
      <c r="F71" s="64">
        <v>0.2</v>
      </c>
      <c r="I71" s="64" t="s">
        <v>9</v>
      </c>
      <c r="J71" s="64">
        <v>0.5</v>
      </c>
      <c r="K71" s="64">
        <v>0.3</v>
      </c>
      <c r="L71" s="64">
        <v>0.2</v>
      </c>
      <c r="V71" s="59" t="s">
        <v>471</v>
      </c>
    </row>
    <row r="72" spans="2:26">
      <c r="C72" s="64" t="s">
        <v>84</v>
      </c>
      <c r="D72" s="64">
        <v>0.01</v>
      </c>
      <c r="E72" s="64">
        <v>-0.05</v>
      </c>
      <c r="F72" s="64">
        <v>0.35</v>
      </c>
      <c r="I72" s="64" t="s">
        <v>84</v>
      </c>
      <c r="J72" s="64">
        <v>0.25</v>
      </c>
      <c r="K72" s="64">
        <v>0.1</v>
      </c>
      <c r="L72" s="64">
        <v>-0.25</v>
      </c>
      <c r="V72" s="59" t="s">
        <v>528</v>
      </c>
      <c r="W72" s="59" t="s">
        <v>530</v>
      </c>
      <c r="X72" s="59" t="s">
        <v>529</v>
      </c>
      <c r="Y72" s="59" t="s">
        <v>531</v>
      </c>
    </row>
    <row r="73" spans="2:26">
      <c r="C73" s="63" t="s">
        <v>224</v>
      </c>
      <c r="V73" s="59">
        <v>1</v>
      </c>
      <c r="W73" s="59">
        <v>0.12</v>
      </c>
      <c r="X73" s="59">
        <v>0.3</v>
      </c>
      <c r="Y73" s="59">
        <f>+W73-0.5*$W$78*X73^2</f>
        <v>0.12</v>
      </c>
    </row>
    <row r="74" spans="2:26">
      <c r="V74" s="59">
        <v>2</v>
      </c>
      <c r="W74" s="59">
        <v>0.15</v>
      </c>
      <c r="X74" s="59">
        <v>0.5</v>
      </c>
      <c r="Y74" s="59">
        <f>+W74-0.5*$W$78*X74^2</f>
        <v>0.15</v>
      </c>
    </row>
    <row r="75" spans="2:26">
      <c r="B75" s="63" t="s">
        <v>221</v>
      </c>
      <c r="C75" s="62">
        <f>+$D$71*$D$72+$E$71*$E$72+$F$71*$F$72</f>
        <v>0.06</v>
      </c>
      <c r="E75" s="63" t="s">
        <v>127</v>
      </c>
      <c r="F75" s="62">
        <v>0.105</v>
      </c>
      <c r="V75" s="59">
        <v>3</v>
      </c>
      <c r="W75" s="59">
        <v>0.21</v>
      </c>
      <c r="X75" s="59">
        <v>0.16</v>
      </c>
      <c r="Y75" s="59">
        <f>+W75-0.5*$W$78*X75^2</f>
        <v>0.21</v>
      </c>
    </row>
    <row r="76" spans="2:26">
      <c r="B76" s="63" t="s">
        <v>222</v>
      </c>
      <c r="C76" s="62">
        <f>+$D$71*($D$72-$C$75)^2+$E$71*($E$72-$C$75)^2+$F$71*($F$72-$C$75)^2</f>
        <v>2.1699999999999997E-2</v>
      </c>
      <c r="E76" s="63" t="s">
        <v>149</v>
      </c>
      <c r="F76" s="62">
        <v>3.5725000000000007E-2</v>
      </c>
      <c r="V76" s="59">
        <v>4</v>
      </c>
      <c r="W76" s="59">
        <v>0.24</v>
      </c>
      <c r="X76" s="59">
        <v>0.21</v>
      </c>
      <c r="Y76" s="69">
        <f>+W76-0.5*$W$78*X76^2</f>
        <v>0.24</v>
      </c>
      <c r="Z76" s="59" t="s">
        <v>532</v>
      </c>
    </row>
    <row r="77" spans="2:26">
      <c r="B77" s="63" t="s">
        <v>223</v>
      </c>
      <c r="C77" s="62">
        <f>+SQRT(C76)</f>
        <v>0.14730919862656233</v>
      </c>
      <c r="E77" s="63" t="s">
        <v>148</v>
      </c>
      <c r="F77" s="62">
        <v>0.189010581714358</v>
      </c>
      <c r="G77" s="63" t="s">
        <v>226</v>
      </c>
    </row>
    <row r="78" spans="2:26">
      <c r="V78" s="59" t="s">
        <v>519</v>
      </c>
      <c r="W78" s="59">
        <v>0</v>
      </c>
    </row>
    <row r="79" spans="2:26">
      <c r="V79" s="59" t="s">
        <v>536</v>
      </c>
      <c r="W79" s="59" t="s">
        <v>535</v>
      </c>
    </row>
    <row r="80" spans="2:26">
      <c r="C80" s="64"/>
      <c r="D80" s="64" t="s">
        <v>121</v>
      </c>
      <c r="E80" s="64" t="s">
        <v>120</v>
      </c>
      <c r="F80" s="64" t="s">
        <v>119</v>
      </c>
      <c r="V80" s="59" t="s">
        <v>537</v>
      </c>
      <c r="W80" s="59" t="s">
        <v>533</v>
      </c>
      <c r="Y80" s="59" t="s">
        <v>534</v>
      </c>
    </row>
    <row r="81" spans="2:27">
      <c r="C81" s="64" t="s">
        <v>9</v>
      </c>
      <c r="D81" s="63">
        <f>+D71</f>
        <v>0.5</v>
      </c>
      <c r="E81" s="63">
        <f>+E71</f>
        <v>0.3</v>
      </c>
      <c r="F81" s="63">
        <f>+F71</f>
        <v>0.2</v>
      </c>
      <c r="V81" s="59" t="s">
        <v>502</v>
      </c>
      <c r="W81" s="59" t="s">
        <v>538</v>
      </c>
    </row>
    <row r="82" spans="2:27">
      <c r="C82" s="64" t="s">
        <v>84</v>
      </c>
      <c r="D82" s="63">
        <f>+D72*0.5+0.5*J72</f>
        <v>0.13</v>
      </c>
      <c r="E82" s="63">
        <f>+E72*0.5+0.5*K72</f>
        <v>2.5000000000000001E-2</v>
      </c>
      <c r="F82" s="63">
        <f>+F72*0.5+0.5*L72</f>
        <v>4.9999999999999989E-2</v>
      </c>
    </row>
    <row r="85" spans="2:27">
      <c r="V85" s="68" t="s">
        <v>539</v>
      </c>
    </row>
    <row r="86" spans="2:27">
      <c r="B86" s="63" t="s">
        <v>240</v>
      </c>
      <c r="C86" s="62">
        <f>+D81*D82+E81*E82+F81*F82</f>
        <v>8.2500000000000004E-2</v>
      </c>
      <c r="D86" s="63" t="s">
        <v>229</v>
      </c>
      <c r="V86" s="59" t="s">
        <v>542</v>
      </c>
      <c r="W86" s="59">
        <v>8.5000000000000006E-2</v>
      </c>
      <c r="X86" s="59" t="s">
        <v>544</v>
      </c>
    </row>
    <row r="87" spans="2:27">
      <c r="B87" s="63" t="s">
        <v>241</v>
      </c>
      <c r="C87" s="62">
        <f>+D81*(D82-C86)^2+E81*(E82-C86)^2+F81*(F82-C86)^2</f>
        <v>2.33125E-3</v>
      </c>
      <c r="D87" s="63" t="s">
        <v>230</v>
      </c>
      <c r="V87" s="59" t="s">
        <v>541</v>
      </c>
      <c r="W87" s="59">
        <v>0.21</v>
      </c>
    </row>
    <row r="88" spans="2:27">
      <c r="B88" s="63" t="s">
        <v>242</v>
      </c>
      <c r="C88" s="62">
        <f>+SQRT(C87)</f>
        <v>4.8283019789569913E-2</v>
      </c>
      <c r="D88" s="63" t="s">
        <v>228</v>
      </c>
      <c r="V88" s="59" t="s">
        <v>543</v>
      </c>
      <c r="W88" s="59">
        <v>0.06</v>
      </c>
    </row>
    <row r="89" spans="2:27">
      <c r="V89" s="59" t="s">
        <v>540</v>
      </c>
      <c r="W89" s="59">
        <f>+W88+W86</f>
        <v>0.14500000000000002</v>
      </c>
    </row>
    <row r="90" spans="2:27">
      <c r="Z90" s="68" t="s">
        <v>550</v>
      </c>
      <c r="AA90" s="68" t="s">
        <v>551</v>
      </c>
    </row>
    <row r="91" spans="2:27">
      <c r="Z91" s="59" t="s">
        <v>548</v>
      </c>
      <c r="AA91" s="59" t="s">
        <v>552</v>
      </c>
    </row>
    <row r="92" spans="2:27">
      <c r="B92" s="70"/>
      <c r="C92" s="60" t="s">
        <v>231</v>
      </c>
      <c r="D92" s="63" t="s">
        <v>232</v>
      </c>
      <c r="V92" s="59" t="s">
        <v>545</v>
      </c>
      <c r="W92" s="59" t="s">
        <v>546</v>
      </c>
      <c r="X92" s="59" t="s">
        <v>103</v>
      </c>
      <c r="Y92" s="59" t="s">
        <v>547</v>
      </c>
      <c r="Z92" s="59" t="s">
        <v>549</v>
      </c>
    </row>
    <row r="93" spans="2:27">
      <c r="V93" s="78">
        <v>0</v>
      </c>
      <c r="W93" s="78">
        <v>1</v>
      </c>
      <c r="X93" s="78">
        <f t="shared" ref="X93:X98" si="5">+W93*$W$89+V93*$W$88</f>
        <v>0.14500000000000002</v>
      </c>
      <c r="Y93" s="78">
        <f t="shared" ref="Y93:Y98" si="6">+(W93*$W$87)^2</f>
        <v>4.4099999999999993E-2</v>
      </c>
      <c r="Z93" s="78">
        <f>+X93-(0.5*3*Y93)</f>
        <v>7.8850000000000031E-2</v>
      </c>
      <c r="AA93" s="78">
        <f t="shared" ref="AA93:AA98" si="7">+X93-0.5 * 5 *Y93</f>
        <v>3.4750000000000031E-2</v>
      </c>
    </row>
    <row r="94" spans="2:27">
      <c r="V94" s="78">
        <f>+V93+0.2</f>
        <v>0.2</v>
      </c>
      <c r="W94" s="78">
        <f>+W93-0.2</f>
        <v>0.8</v>
      </c>
      <c r="X94" s="78">
        <f t="shared" si="5"/>
        <v>0.12800000000000003</v>
      </c>
      <c r="Y94" s="78">
        <f t="shared" si="6"/>
        <v>2.8224000000000003E-2</v>
      </c>
      <c r="Z94" s="78">
        <f>+X94-0.5*3*Y94</f>
        <v>8.5664000000000018E-2</v>
      </c>
      <c r="AA94" s="78">
        <f t="shared" si="7"/>
        <v>5.7440000000000019E-2</v>
      </c>
    </row>
    <row r="95" spans="2:27">
      <c r="V95" s="78">
        <f>+V94+0.2</f>
        <v>0.4</v>
      </c>
      <c r="W95" s="78">
        <f>+W94-0.2</f>
        <v>0.60000000000000009</v>
      </c>
      <c r="X95" s="78">
        <f t="shared" si="5"/>
        <v>0.11100000000000002</v>
      </c>
      <c r="Y95" s="78">
        <f t="shared" si="6"/>
        <v>1.5876000000000001E-2</v>
      </c>
      <c r="Z95" s="79">
        <f>+X95-0.5*3*Y95</f>
        <v>8.7186000000000013E-2</v>
      </c>
      <c r="AA95" s="78">
        <f t="shared" si="7"/>
        <v>7.1310000000000012E-2</v>
      </c>
    </row>
    <row r="96" spans="2:27">
      <c r="C96" s="63" t="s">
        <v>234</v>
      </c>
      <c r="D96" s="63">
        <f>+D81*(D72-$C$75)*(J72-$F$75)</f>
        <v>-3.6250000000000002E-3</v>
      </c>
      <c r="E96" s="63">
        <f>+E81*(E72-$C$75)*(K72-$F$75)</f>
        <v>1.649999999999997E-4</v>
      </c>
      <c r="F96" s="63">
        <f>+F81*(F72-$C$75)*(L72-$F$75)</f>
        <v>-2.0589999999999997E-2</v>
      </c>
      <c r="G96" s="80">
        <f>+SUM(D96:F96)</f>
        <v>-2.4049999999999998E-2</v>
      </c>
      <c r="V96" s="78">
        <f>+V95+0.2</f>
        <v>0.60000000000000009</v>
      </c>
      <c r="W96" s="78">
        <f>+W95-0.2</f>
        <v>0.40000000000000008</v>
      </c>
      <c r="X96" s="78">
        <f t="shared" si="5"/>
        <v>9.4000000000000028E-2</v>
      </c>
      <c r="Y96" s="78">
        <f t="shared" si="6"/>
        <v>7.0560000000000032E-3</v>
      </c>
      <c r="Z96" s="78">
        <f>+X96-0.5*3*Y96</f>
        <v>8.3416000000000018E-2</v>
      </c>
      <c r="AA96" s="79">
        <f t="shared" si="7"/>
        <v>7.6360000000000011E-2</v>
      </c>
    </row>
    <row r="97" spans="2:27">
      <c r="V97" s="78">
        <f>+V96+0.2</f>
        <v>0.8</v>
      </c>
      <c r="W97" s="78">
        <f>+W96-0.2</f>
        <v>0.20000000000000007</v>
      </c>
      <c r="X97" s="78">
        <f t="shared" si="5"/>
        <v>7.7000000000000013E-2</v>
      </c>
      <c r="Y97" s="78">
        <f t="shared" si="6"/>
        <v>1.7640000000000008E-3</v>
      </c>
      <c r="Z97" s="78">
        <f>+X97-0.5*3*Y97</f>
        <v>7.4354000000000017E-2</v>
      </c>
      <c r="AA97" s="78">
        <f t="shared" si="7"/>
        <v>7.2590000000000016E-2</v>
      </c>
    </row>
    <row r="98" spans="2:27">
      <c r="C98" s="60" t="s">
        <v>233</v>
      </c>
      <c r="D98" s="63" t="s">
        <v>235</v>
      </c>
      <c r="V98" s="78">
        <f>+V97+0.2</f>
        <v>1</v>
      </c>
      <c r="W98" s="78">
        <f>+W97-0.2</f>
        <v>0</v>
      </c>
      <c r="X98" s="78">
        <f t="shared" si="5"/>
        <v>0.06</v>
      </c>
      <c r="Y98" s="78">
        <f t="shared" si="6"/>
        <v>0</v>
      </c>
      <c r="Z98" s="78">
        <f>+X98-0.5*3*Y98</f>
        <v>0.06</v>
      </c>
      <c r="AA98" s="78">
        <f t="shared" si="7"/>
        <v>0.06</v>
      </c>
    </row>
    <row r="99" spans="2:27">
      <c r="D99" s="63" t="s">
        <v>236</v>
      </c>
    </row>
    <row r="100" spans="2:27">
      <c r="D100" s="71" t="s">
        <v>237</v>
      </c>
    </row>
    <row r="101" spans="2:27">
      <c r="D101" s="63" t="s">
        <v>238</v>
      </c>
      <c r="V101" s="59" t="s">
        <v>553</v>
      </c>
      <c r="W101" s="59">
        <v>0.5</v>
      </c>
      <c r="X101" s="59" t="s">
        <v>10</v>
      </c>
    </row>
    <row r="102" spans="2:27">
      <c r="W102" s="59">
        <v>0.5</v>
      </c>
      <c r="X102" s="59" t="s">
        <v>554</v>
      </c>
    </row>
    <row r="104" spans="2:27">
      <c r="V104" s="59" t="s">
        <v>103</v>
      </c>
    </row>
    <row r="106" spans="2:27">
      <c r="C106" s="63" t="s">
        <v>243</v>
      </c>
      <c r="D106" s="81">
        <f>+G96/(C77*F77)</f>
        <v>-0.86377194667276347</v>
      </c>
    </row>
    <row r="107" spans="2:27">
      <c r="B107" s="67" t="s">
        <v>54</v>
      </c>
      <c r="C107" s="60" t="s">
        <v>239</v>
      </c>
      <c r="D107" s="60"/>
      <c r="E107" s="62"/>
      <c r="F107" s="62"/>
      <c r="G107" s="62"/>
      <c r="H107" s="62"/>
      <c r="I107" s="62"/>
      <c r="J107" s="62"/>
    </row>
    <row r="112" spans="2:27">
      <c r="C112" s="63" t="s">
        <v>244</v>
      </c>
      <c r="D112" s="80">
        <f>0.5*0.5*C76+0.5*0.5*F76+2*0.5*0.5*G96</f>
        <v>2.3312500000000017E-3</v>
      </c>
    </row>
    <row r="118" spans="1:39" s="58" customFormat="1" ht="26">
      <c r="A118" s="60" t="s">
        <v>295</v>
      </c>
      <c r="B118" s="61" t="s">
        <v>245</v>
      </c>
      <c r="C118" s="60"/>
      <c r="D118" s="60"/>
      <c r="E118" s="62"/>
      <c r="F118" s="62"/>
      <c r="G118" s="62"/>
      <c r="H118" s="62"/>
      <c r="I118" s="62"/>
      <c r="J118" s="62"/>
      <c r="K118" s="62"/>
      <c r="L118" s="62"/>
    </row>
    <row r="119" spans="1:39" s="58" customFormat="1">
      <c r="A119" s="62"/>
      <c r="B119" s="62" t="s">
        <v>247</v>
      </c>
      <c r="C119" s="62"/>
      <c r="D119" s="62"/>
      <c r="E119" s="62"/>
      <c r="F119" s="62"/>
      <c r="G119" s="62"/>
      <c r="H119" s="62"/>
      <c r="I119" s="62"/>
      <c r="J119" s="62"/>
      <c r="K119" s="62"/>
      <c r="L119" s="62"/>
    </row>
    <row r="120" spans="1:39">
      <c r="B120" s="72" t="s">
        <v>253</v>
      </c>
      <c r="AM120" s="83"/>
    </row>
    <row r="121" spans="1:39">
      <c r="B121" s="63" t="s">
        <v>246</v>
      </c>
      <c r="X121" s="68" t="s">
        <v>555</v>
      </c>
      <c r="AA121" s="59" t="s">
        <v>560</v>
      </c>
      <c r="AB121" s="78">
        <f>+Y127*Y122+Y128*Y124</f>
        <v>0.14000000000000001</v>
      </c>
      <c r="AG121" s="63"/>
      <c r="AM121" s="83"/>
    </row>
    <row r="122" spans="1:39">
      <c r="C122" s="63" t="s">
        <v>248</v>
      </c>
      <c r="X122" s="59" t="s">
        <v>573</v>
      </c>
      <c r="Y122" s="82">
        <v>0.17</v>
      </c>
      <c r="AA122" s="59" t="s">
        <v>561</v>
      </c>
      <c r="AB122" s="78">
        <f>+Y127*Y123</f>
        <v>0.189</v>
      </c>
      <c r="AM122" s="83"/>
    </row>
    <row r="123" spans="1:39">
      <c r="X123" s="59" t="s">
        <v>574</v>
      </c>
      <c r="Y123" s="82">
        <v>0.27</v>
      </c>
      <c r="AM123" s="83"/>
    </row>
    <row r="124" spans="1:39">
      <c r="B124" s="63" t="s">
        <v>251</v>
      </c>
      <c r="X124" s="59" t="s">
        <v>556</v>
      </c>
      <c r="Y124" s="82">
        <v>7.0000000000000007E-2</v>
      </c>
    </row>
    <row r="125" spans="1:39">
      <c r="C125" s="63" t="s">
        <v>249</v>
      </c>
      <c r="Y125" s="82"/>
    </row>
    <row r="126" spans="1:39">
      <c r="X126" s="59" t="s">
        <v>559</v>
      </c>
      <c r="Y126" s="82"/>
      <c r="AB126" s="68" t="s">
        <v>526</v>
      </c>
    </row>
    <row r="127" spans="1:39">
      <c r="B127" s="63" t="s">
        <v>250</v>
      </c>
      <c r="X127" s="59" t="s">
        <v>557</v>
      </c>
      <c r="Y127" s="82">
        <v>0.7</v>
      </c>
      <c r="AB127" s="59" t="s">
        <v>515</v>
      </c>
      <c r="AC127" s="59" t="s">
        <v>103</v>
      </c>
    </row>
    <row r="128" spans="1:39">
      <c r="C128" s="63" t="s">
        <v>252</v>
      </c>
      <c r="X128" s="59" t="s">
        <v>558</v>
      </c>
      <c r="Y128" s="82">
        <f>1-Y127</f>
        <v>0.30000000000000004</v>
      </c>
      <c r="AB128" s="84">
        <v>0</v>
      </c>
      <c r="AC128" s="84">
        <f t="shared" ref="AC128:AC133" si="8">+(AB128/$Y$123)*($Y$122-$Y$124)+$Y$124</f>
        <v>7.0000000000000007E-2</v>
      </c>
    </row>
    <row r="129" spans="2:57">
      <c r="B129" s="62"/>
      <c r="C129" s="62"/>
      <c r="D129" s="73" t="s">
        <v>254</v>
      </c>
      <c r="AB129" s="84">
        <f>+AB128+0.1</f>
        <v>0.1</v>
      </c>
      <c r="AC129" s="84">
        <f t="shared" si="8"/>
        <v>0.10703703703703704</v>
      </c>
    </row>
    <row r="130" spans="2:57">
      <c r="X130" s="68" t="s">
        <v>511</v>
      </c>
      <c r="AB130" s="84">
        <f>+AB129+0.1</f>
        <v>0.2</v>
      </c>
      <c r="AC130" s="84">
        <f t="shared" si="8"/>
        <v>0.14407407407407408</v>
      </c>
    </row>
    <row r="131" spans="2:57">
      <c r="B131" s="63" t="s">
        <v>255</v>
      </c>
      <c r="X131" s="59" t="s">
        <v>562</v>
      </c>
      <c r="Y131" s="78" t="s">
        <v>571</v>
      </c>
      <c r="Z131" s="78" t="s">
        <v>570</v>
      </c>
      <c r="AA131" s="78"/>
      <c r="AB131" s="84">
        <f>+AB130+0.1</f>
        <v>0.30000000000000004</v>
      </c>
      <c r="AC131" s="84">
        <f t="shared" si="8"/>
        <v>0.18111111111111111</v>
      </c>
    </row>
    <row r="132" spans="2:57">
      <c r="C132" s="63" t="s">
        <v>256</v>
      </c>
      <c r="X132" s="59" t="s">
        <v>563</v>
      </c>
      <c r="Y132" s="78">
        <v>0.27</v>
      </c>
      <c r="Z132" s="78">
        <f>+Y127*Y132</f>
        <v>0.189</v>
      </c>
      <c r="AB132" s="84">
        <f>+AB122</f>
        <v>0.189</v>
      </c>
      <c r="AC132" s="84">
        <f t="shared" si="8"/>
        <v>0.14000000000000001</v>
      </c>
    </row>
    <row r="133" spans="2:57">
      <c r="C133" s="63" t="s">
        <v>257</v>
      </c>
      <c r="X133" s="59" t="s">
        <v>564</v>
      </c>
      <c r="Y133" s="78">
        <v>0.33</v>
      </c>
      <c r="Z133" s="78">
        <f>+Y127*Y133</f>
        <v>0.23099999999999998</v>
      </c>
      <c r="AB133" s="59">
        <f>+Y123</f>
        <v>0.27</v>
      </c>
      <c r="AC133" s="84">
        <f t="shared" si="8"/>
        <v>0.17</v>
      </c>
    </row>
    <row r="134" spans="2:57">
      <c r="X134" s="59" t="s">
        <v>565</v>
      </c>
      <c r="Y134" s="78">
        <v>0.4</v>
      </c>
      <c r="Z134" s="78">
        <f>+Y127*Y134</f>
        <v>0.27999999999999997</v>
      </c>
      <c r="AC134" s="84"/>
    </row>
    <row r="135" spans="2:57">
      <c r="B135" s="74" t="s">
        <v>258</v>
      </c>
      <c r="Y135" s="78"/>
      <c r="Z135" s="78"/>
      <c r="AA135" s="78"/>
    </row>
    <row r="136" spans="2:57">
      <c r="B136" s="74" t="s">
        <v>259</v>
      </c>
      <c r="X136" s="68" t="s">
        <v>566</v>
      </c>
    </row>
    <row r="137" spans="2:57">
      <c r="X137" s="59" t="s">
        <v>567</v>
      </c>
    </row>
    <row r="138" spans="2:57">
      <c r="X138" s="59" t="s">
        <v>568</v>
      </c>
      <c r="Y138" s="78">
        <f>+(Y122-Y124)/Y123</f>
        <v>0.37037037037037035</v>
      </c>
    </row>
    <row r="139" spans="2:57">
      <c r="X139" s="59" t="s">
        <v>569</v>
      </c>
      <c r="Y139" s="78">
        <f>+(AB121-Y124)/AB122</f>
        <v>0.37037037037037041</v>
      </c>
    </row>
    <row r="140" spans="2:57">
      <c r="B140" s="60" t="s">
        <v>260</v>
      </c>
      <c r="C140" s="62"/>
    </row>
    <row r="141" spans="2:57">
      <c r="B141" s="63" t="s">
        <v>261</v>
      </c>
      <c r="C141" s="63">
        <v>300000</v>
      </c>
      <c r="X141" s="68" t="s">
        <v>578</v>
      </c>
    </row>
    <row r="142" spans="2:57">
      <c r="B142" s="63" t="s">
        <v>262</v>
      </c>
      <c r="C142" s="63">
        <v>90000</v>
      </c>
    </row>
    <row r="143" spans="2:57">
      <c r="B143" s="63" t="s">
        <v>263</v>
      </c>
      <c r="C143" s="63">
        <f>+C141-C142</f>
        <v>210000</v>
      </c>
      <c r="D143" s="62" t="s">
        <v>264</v>
      </c>
      <c r="E143" s="62">
        <v>0.54</v>
      </c>
      <c r="F143" s="63">
        <f>+E143*C143</f>
        <v>113400.00000000001</v>
      </c>
      <c r="BE143" s="59" t="s">
        <v>575</v>
      </c>
    </row>
    <row r="144" spans="2:57">
      <c r="D144" s="62" t="s">
        <v>265</v>
      </c>
      <c r="E144" s="62">
        <v>0.46</v>
      </c>
      <c r="F144" s="63">
        <f>+E144*C143</f>
        <v>96600</v>
      </c>
    </row>
    <row r="145" spans="2:35">
      <c r="B145" s="63" t="s">
        <v>269</v>
      </c>
    </row>
    <row r="146" spans="2:35">
      <c r="B146" s="63" t="s">
        <v>266</v>
      </c>
      <c r="C146" s="63">
        <f>+C143/C141</f>
        <v>0.7</v>
      </c>
      <c r="AA146" s="59">
        <f>+(0.15-Y124)/(Y123-Y124)</f>
        <v>0.39999999999999991</v>
      </c>
    </row>
    <row r="147" spans="2:35">
      <c r="B147" s="63" t="s">
        <v>267</v>
      </c>
      <c r="C147" s="63">
        <f>1-C146</f>
        <v>0.30000000000000004</v>
      </c>
      <c r="AI147" s="59" t="s">
        <v>575</v>
      </c>
    </row>
    <row r="148" spans="2:35">
      <c r="B148" s="63" t="s">
        <v>268</v>
      </c>
      <c r="C148" s="63">
        <f>+F143/C141</f>
        <v>0.37800000000000006</v>
      </c>
      <c r="D148" s="63">
        <f>+C148+C149</f>
        <v>0.70000000000000007</v>
      </c>
      <c r="AA148" s="59" t="s">
        <v>560</v>
      </c>
      <c r="AB148" s="78">
        <f>+Y149*Y122+Y150*Y151</f>
        <v>0.11000000000000001</v>
      </c>
      <c r="AI148" s="59" t="s">
        <v>576</v>
      </c>
    </row>
    <row r="149" spans="2:35">
      <c r="B149" s="63" t="s">
        <v>270</v>
      </c>
      <c r="C149" s="63">
        <f>+F144/C141</f>
        <v>0.32200000000000001</v>
      </c>
      <c r="X149" s="59" t="s">
        <v>557</v>
      </c>
      <c r="Y149" s="82">
        <v>0.4</v>
      </c>
      <c r="AA149" s="59" t="s">
        <v>561</v>
      </c>
      <c r="AB149" s="78">
        <f>+Y123*Y149</f>
        <v>0.10800000000000001</v>
      </c>
      <c r="AI149" s="59" t="s">
        <v>577</v>
      </c>
    </row>
    <row r="150" spans="2:35">
      <c r="X150" s="59" t="s">
        <v>558</v>
      </c>
      <c r="Y150" s="82">
        <f>1-Y149</f>
        <v>0.6</v>
      </c>
    </row>
    <row r="151" spans="2:35">
      <c r="B151" s="71"/>
      <c r="C151" s="63" t="s">
        <v>284</v>
      </c>
      <c r="X151" s="59" t="s">
        <v>556</v>
      </c>
      <c r="Y151" s="82">
        <v>7.0000000000000007E-2</v>
      </c>
    </row>
    <row r="152" spans="2:35">
      <c r="C152" s="63" t="s">
        <v>271</v>
      </c>
      <c r="X152" s="68"/>
    </row>
    <row r="153" spans="2:35">
      <c r="X153" s="59" t="s">
        <v>562</v>
      </c>
      <c r="Y153" s="78" t="s">
        <v>571</v>
      </c>
      <c r="Z153" s="78" t="s">
        <v>570</v>
      </c>
    </row>
    <row r="154" spans="2:35">
      <c r="B154" s="63" t="s">
        <v>272</v>
      </c>
      <c r="C154" s="63">
        <f>0.56*C141</f>
        <v>168000.00000000003</v>
      </c>
      <c r="D154" s="63" t="s">
        <v>283</v>
      </c>
      <c r="X154" s="59" t="s">
        <v>563</v>
      </c>
      <c r="Y154" s="78">
        <v>0.27</v>
      </c>
      <c r="Z154" s="78">
        <f>+Y149*Y154</f>
        <v>0.10800000000000001</v>
      </c>
    </row>
    <row r="155" spans="2:35">
      <c r="B155" s="63" t="s">
        <v>273</v>
      </c>
      <c r="C155" s="63">
        <f>+C143-C154</f>
        <v>41999.999999999971</v>
      </c>
      <c r="D155" s="63" t="s">
        <v>285</v>
      </c>
      <c r="F155" s="63" t="s">
        <v>286</v>
      </c>
      <c r="X155" s="59" t="s">
        <v>564</v>
      </c>
      <c r="Y155" s="78">
        <v>0.33</v>
      </c>
      <c r="Z155" s="78">
        <f>+Y149*Y155</f>
        <v>0.13200000000000001</v>
      </c>
    </row>
    <row r="156" spans="2:35">
      <c r="B156" s="63" t="s">
        <v>274</v>
      </c>
      <c r="X156" s="59" t="s">
        <v>565</v>
      </c>
      <c r="Y156" s="78">
        <v>0.4</v>
      </c>
      <c r="Z156" s="78">
        <f>+Y149*Y156</f>
        <v>0.16000000000000003</v>
      </c>
    </row>
    <row r="157" spans="2:35">
      <c r="B157" s="63" t="s">
        <v>275</v>
      </c>
      <c r="C157" s="63">
        <f>+C141*(1-0.56)</f>
        <v>131999.99999999997</v>
      </c>
      <c r="D157" s="63" t="s">
        <v>277</v>
      </c>
    </row>
    <row r="158" spans="2:35">
      <c r="B158" s="63" t="s">
        <v>276</v>
      </c>
      <c r="C158" s="63">
        <f>+C142+C155</f>
        <v>131999.99999999997</v>
      </c>
      <c r="D158" s="63" t="s">
        <v>278</v>
      </c>
      <c r="X158" s="68" t="s">
        <v>527</v>
      </c>
    </row>
    <row r="159" spans="2:35">
      <c r="X159" s="59" t="s">
        <v>579</v>
      </c>
    </row>
    <row r="160" spans="2:35">
      <c r="C160" s="63" t="s">
        <v>279</v>
      </c>
    </row>
    <row r="162" spans="2:26">
      <c r="C162" s="63" t="s">
        <v>280</v>
      </c>
      <c r="D162" s="63">
        <f>+C155*E143</f>
        <v>22679.999999999985</v>
      </c>
      <c r="E162" s="63" t="s">
        <v>282</v>
      </c>
      <c r="F162" s="63">
        <f>+C154*E143</f>
        <v>90720.000000000015</v>
      </c>
    </row>
    <row r="163" spans="2:26">
      <c r="C163" s="63" t="s">
        <v>281</v>
      </c>
      <c r="D163" s="63">
        <f>+C155*E144</f>
        <v>19319.999999999989</v>
      </c>
      <c r="E163" s="63" t="s">
        <v>282</v>
      </c>
      <c r="F163" s="63">
        <f>+C154*E144</f>
        <v>77280.000000000015</v>
      </c>
    </row>
    <row r="164" spans="2:26">
      <c r="C164" s="63" t="s">
        <v>287</v>
      </c>
    </row>
    <row r="165" spans="2:26">
      <c r="C165" s="62" t="s">
        <v>264</v>
      </c>
      <c r="D165" s="62">
        <v>0.54</v>
      </c>
    </row>
    <row r="166" spans="2:26">
      <c r="C166" s="62" t="s">
        <v>265</v>
      </c>
      <c r="D166" s="62">
        <v>0.46</v>
      </c>
    </row>
    <row r="167" spans="2:26">
      <c r="Z167" s="59">
        <f>0.2/0.27</f>
        <v>0.7407407407407407</v>
      </c>
    </row>
    <row r="168" spans="2:26">
      <c r="B168" s="63" t="s">
        <v>288</v>
      </c>
    </row>
    <row r="169" spans="2:26">
      <c r="B169" s="63" t="s">
        <v>289</v>
      </c>
      <c r="X169" s="68" t="s">
        <v>580</v>
      </c>
    </row>
    <row r="170" spans="2:26">
      <c r="B170" s="63" t="s">
        <v>290</v>
      </c>
      <c r="X170" s="59" t="s">
        <v>583</v>
      </c>
      <c r="Y170" s="59">
        <v>3.5</v>
      </c>
    </row>
    <row r="171" spans="2:26">
      <c r="B171" s="63" t="s">
        <v>291</v>
      </c>
      <c r="X171" s="59" t="s">
        <v>581</v>
      </c>
    </row>
    <row r="172" spans="2:26">
      <c r="B172" s="63" t="s">
        <v>292</v>
      </c>
      <c r="X172" s="59" t="s">
        <v>582</v>
      </c>
      <c r="Z172" s="78">
        <f>+Y122-Y170*0.5*Y123^2</f>
        <v>4.242499999999999E-2</v>
      </c>
    </row>
    <row r="173" spans="2:26">
      <c r="B173" s="63" t="s">
        <v>293</v>
      </c>
      <c r="Y173" s="59" t="s">
        <v>301</v>
      </c>
      <c r="Z173" s="82">
        <f>+(Y122-Y124)/0.1*Y170*Y123^2</f>
        <v>0.25515000000000004</v>
      </c>
    </row>
    <row r="177" spans="2:31">
      <c r="B177" s="60" t="s">
        <v>260</v>
      </c>
      <c r="C177" s="62" t="s">
        <v>324</v>
      </c>
      <c r="D177" s="62"/>
      <c r="E177" s="62"/>
      <c r="F177" s="62"/>
      <c r="X177" s="68" t="s">
        <v>584</v>
      </c>
    </row>
    <row r="178" spans="2:31">
      <c r="B178" s="63" t="s">
        <v>306</v>
      </c>
      <c r="C178" s="63" t="s">
        <v>307</v>
      </c>
      <c r="D178" s="63" t="s">
        <v>320</v>
      </c>
      <c r="X178" s="59" t="s">
        <v>540</v>
      </c>
      <c r="Y178" s="59">
        <v>0.13</v>
      </c>
      <c r="AB178" s="59" t="s">
        <v>586</v>
      </c>
      <c r="AC178" s="59" t="s">
        <v>586</v>
      </c>
    </row>
    <row r="179" spans="2:31">
      <c r="B179" s="63" t="s">
        <v>296</v>
      </c>
      <c r="C179" s="63">
        <v>0.15</v>
      </c>
      <c r="X179" s="59" t="s">
        <v>585</v>
      </c>
      <c r="Y179" s="59">
        <v>0.25</v>
      </c>
      <c r="AB179" s="59" t="s">
        <v>515</v>
      </c>
      <c r="AC179" s="59" t="s">
        <v>103</v>
      </c>
      <c r="AD179" s="59" t="s">
        <v>515</v>
      </c>
      <c r="AE179" s="59" t="s">
        <v>103</v>
      </c>
    </row>
    <row r="180" spans="2:31">
      <c r="B180" s="63" t="s">
        <v>297</v>
      </c>
      <c r="C180" s="63">
        <v>0.22</v>
      </c>
      <c r="X180" s="59" t="s">
        <v>587</v>
      </c>
      <c r="Y180" s="59">
        <v>7.0000000000000007E-2</v>
      </c>
      <c r="AB180" s="78">
        <v>0</v>
      </c>
      <c r="AC180" s="78">
        <v>7.0000000000000007E-2</v>
      </c>
      <c r="AD180" s="78">
        <v>0</v>
      </c>
      <c r="AE180" s="78">
        <f t="shared" ref="AE180:AE185" si="9">+AD180*(($Y$178-$Y$180)/$Y$179)+$Y$180</f>
        <v>7.0000000000000007E-2</v>
      </c>
    </row>
    <row r="181" spans="2:31">
      <c r="B181" s="63" t="s">
        <v>298</v>
      </c>
      <c r="C181" s="63">
        <v>7.0000000000000007E-2</v>
      </c>
      <c r="AB181" s="78">
        <v>0.1</v>
      </c>
      <c r="AC181" s="78">
        <v>0.10703703703703704</v>
      </c>
      <c r="AD181" s="78">
        <v>0.1</v>
      </c>
      <c r="AE181" s="78">
        <f t="shared" si="9"/>
        <v>9.4E-2</v>
      </c>
    </row>
    <row r="182" spans="2:31">
      <c r="B182" s="63" t="s">
        <v>299</v>
      </c>
      <c r="C182" s="63">
        <f>+C179-C181</f>
        <v>7.9999999999999988E-2</v>
      </c>
      <c r="AB182" s="78">
        <v>0.2</v>
      </c>
      <c r="AC182" s="78">
        <v>0.14407407407407408</v>
      </c>
      <c r="AD182" s="78">
        <v>0.2</v>
      </c>
      <c r="AE182" s="78">
        <f t="shared" si="9"/>
        <v>0.11800000000000001</v>
      </c>
    </row>
    <row r="183" spans="2:31">
      <c r="AB183" s="78">
        <v>0.30000000000000004</v>
      </c>
      <c r="AC183" s="78">
        <v>0.18111111111111111</v>
      </c>
      <c r="AD183" s="78">
        <v>0.30000000000000004</v>
      </c>
      <c r="AE183" s="78">
        <f t="shared" si="9"/>
        <v>0.14200000000000002</v>
      </c>
    </row>
    <row r="184" spans="2:31">
      <c r="B184" s="63" t="s">
        <v>300</v>
      </c>
      <c r="C184" s="63" t="s">
        <v>301</v>
      </c>
      <c r="AB184" s="78">
        <v>0.189</v>
      </c>
      <c r="AC184" s="78">
        <v>0.14000000000000001</v>
      </c>
      <c r="AD184" s="78">
        <v>0.189</v>
      </c>
      <c r="AE184" s="78">
        <f t="shared" si="9"/>
        <v>0.11536</v>
      </c>
    </row>
    <row r="185" spans="2:31">
      <c r="B185" s="63" t="s">
        <v>302</v>
      </c>
      <c r="C185" s="63" t="s">
        <v>303</v>
      </c>
      <c r="AB185" s="78">
        <v>0.27</v>
      </c>
      <c r="AC185" s="78">
        <v>0.17</v>
      </c>
      <c r="AD185" s="78">
        <v>0.27</v>
      </c>
      <c r="AE185" s="78">
        <f t="shared" si="9"/>
        <v>0.1348</v>
      </c>
    </row>
    <row r="187" spans="2:31">
      <c r="B187" s="63" t="s">
        <v>304</v>
      </c>
      <c r="C187" s="63" t="s">
        <v>305</v>
      </c>
      <c r="D187" s="63" t="s">
        <v>319</v>
      </c>
    </row>
    <row r="188" spans="2:31">
      <c r="B188" s="63" t="s">
        <v>308</v>
      </c>
      <c r="C188" s="63" t="s">
        <v>309</v>
      </c>
      <c r="D188" s="63" t="s">
        <v>321</v>
      </c>
    </row>
    <row r="189" spans="2:31">
      <c r="C189" s="63" t="s">
        <v>310</v>
      </c>
    </row>
    <row r="190" spans="2:31">
      <c r="C190" s="63" t="s">
        <v>311</v>
      </c>
      <c r="X190" s="68" t="s">
        <v>588</v>
      </c>
      <c r="Y190" s="59">
        <v>4</v>
      </c>
    </row>
    <row r="191" spans="2:31">
      <c r="C191" s="63" t="s">
        <v>312</v>
      </c>
    </row>
    <row r="192" spans="2:31">
      <c r="C192" s="63" t="s">
        <v>313</v>
      </c>
      <c r="D192" s="63" t="s">
        <v>314</v>
      </c>
    </row>
    <row r="194" spans="2:11">
      <c r="B194" s="63" t="s">
        <v>315</v>
      </c>
    </row>
    <row r="195" spans="2:11">
      <c r="B195" s="63" t="s">
        <v>316</v>
      </c>
    </row>
    <row r="196" spans="2:11">
      <c r="C196" s="63" t="s">
        <v>317</v>
      </c>
    </row>
    <row r="197" spans="2:11">
      <c r="C197" s="63" t="s">
        <v>318</v>
      </c>
    </row>
    <row r="199" spans="2:11">
      <c r="B199" s="63" t="s">
        <v>322</v>
      </c>
    </row>
    <row r="201" spans="2:11">
      <c r="B201" s="63" t="s">
        <v>323</v>
      </c>
    </row>
    <row r="202" spans="2:11">
      <c r="B202" s="63" t="s">
        <v>325</v>
      </c>
    </row>
    <row r="203" spans="2:11">
      <c r="K203" s="63" t="s">
        <v>337</v>
      </c>
    </row>
    <row r="204" spans="2:11">
      <c r="B204" s="63" t="s">
        <v>326</v>
      </c>
    </row>
    <row r="207" spans="2:11">
      <c r="B207" s="113" t="s">
        <v>327</v>
      </c>
      <c r="C207" s="113"/>
      <c r="D207" s="113"/>
      <c r="E207" s="113"/>
      <c r="F207" s="113"/>
    </row>
    <row r="208" spans="2:11">
      <c r="B208" s="113"/>
      <c r="C208" s="113"/>
      <c r="D208" s="113"/>
      <c r="E208" s="113"/>
      <c r="F208" s="113"/>
    </row>
    <row r="209" spans="2:7">
      <c r="B209" s="113"/>
      <c r="C209" s="113"/>
      <c r="D209" s="113"/>
      <c r="E209" s="113"/>
      <c r="F209" s="113"/>
    </row>
    <row r="210" spans="2:7">
      <c r="B210" s="113"/>
      <c r="C210" s="113"/>
      <c r="D210" s="113"/>
      <c r="E210" s="113"/>
      <c r="F210" s="113"/>
    </row>
    <row r="211" spans="2:7">
      <c r="B211" s="113"/>
      <c r="C211" s="113"/>
      <c r="D211" s="113"/>
      <c r="E211" s="113"/>
      <c r="F211" s="113"/>
    </row>
    <row r="212" spans="2:7">
      <c r="B212" s="113"/>
      <c r="C212" s="113"/>
      <c r="D212" s="113"/>
      <c r="E212" s="113"/>
      <c r="F212" s="113"/>
    </row>
    <row r="213" spans="2:7">
      <c r="B213" s="113"/>
      <c r="C213" s="113"/>
      <c r="D213" s="113"/>
      <c r="E213" s="113"/>
      <c r="F213" s="113"/>
    </row>
    <row r="214" spans="2:7">
      <c r="B214" s="113"/>
      <c r="C214" s="113"/>
      <c r="D214" s="113"/>
      <c r="E214" s="113"/>
      <c r="F214" s="113"/>
    </row>
    <row r="215" spans="2:7">
      <c r="B215" s="113"/>
      <c r="C215" s="113"/>
      <c r="D215" s="113"/>
      <c r="E215" s="113"/>
      <c r="F215" s="113"/>
    </row>
    <row r="216" spans="2:7">
      <c r="B216" s="113"/>
      <c r="C216" s="113"/>
      <c r="D216" s="113"/>
      <c r="E216" s="113"/>
      <c r="F216" s="113"/>
    </row>
    <row r="217" spans="2:7">
      <c r="B217" s="113"/>
      <c r="C217" s="113"/>
      <c r="D217" s="113"/>
      <c r="E217" s="113"/>
      <c r="F217" s="113"/>
    </row>
    <row r="218" spans="2:7">
      <c r="B218" s="113"/>
      <c r="C218" s="113"/>
      <c r="D218" s="113"/>
      <c r="E218" s="113"/>
      <c r="F218" s="113"/>
    </row>
    <row r="219" spans="2:7">
      <c r="B219" s="113"/>
      <c r="C219" s="113"/>
      <c r="D219" s="113"/>
      <c r="E219" s="113"/>
      <c r="F219" s="113"/>
    </row>
    <row r="220" spans="2:7">
      <c r="B220" s="113"/>
      <c r="C220" s="113"/>
      <c r="D220" s="113"/>
      <c r="E220" s="113"/>
      <c r="F220" s="113"/>
    </row>
    <row r="221" spans="2:7">
      <c r="B221" s="113"/>
      <c r="C221" s="113"/>
      <c r="D221" s="113"/>
      <c r="E221" s="113"/>
      <c r="F221" s="113"/>
    </row>
    <row r="223" spans="2:7">
      <c r="B223" s="63" t="s">
        <v>329</v>
      </c>
      <c r="C223" s="63" t="s">
        <v>330</v>
      </c>
      <c r="G223" s="63" t="s">
        <v>328</v>
      </c>
    </row>
    <row r="224" spans="2:7">
      <c r="C224" s="63" t="s">
        <v>368</v>
      </c>
      <c r="G224" s="63" t="s">
        <v>369</v>
      </c>
    </row>
    <row r="226" spans="2:32">
      <c r="B226" s="63" t="s">
        <v>331</v>
      </c>
    </row>
    <row r="228" spans="2:32">
      <c r="B228" s="75" t="s">
        <v>333</v>
      </c>
      <c r="C228" s="76"/>
      <c r="D228" s="76"/>
      <c r="E228" s="76"/>
      <c r="F228" s="76"/>
    </row>
    <row r="229" spans="2:32">
      <c r="B229" s="63" t="s">
        <v>332</v>
      </c>
    </row>
    <row r="230" spans="2:32">
      <c r="B230" s="70" t="s">
        <v>334</v>
      </c>
      <c r="E230" s="63" t="s">
        <v>335</v>
      </c>
    </row>
    <row r="232" spans="2:32">
      <c r="B232" s="63" t="s">
        <v>336</v>
      </c>
    </row>
    <row r="236" spans="2:32">
      <c r="B236" s="63" t="s">
        <v>338</v>
      </c>
    </row>
    <row r="237" spans="2:32">
      <c r="B237" s="63" t="s">
        <v>340</v>
      </c>
    </row>
    <row r="238" spans="2:32">
      <c r="B238" s="63" t="s">
        <v>339</v>
      </c>
      <c r="C238" s="63" t="s">
        <v>299</v>
      </c>
      <c r="D238" s="63">
        <v>0.04</v>
      </c>
      <c r="AE238" s="59" t="s">
        <v>583</v>
      </c>
      <c r="AF238" s="59">
        <v>3</v>
      </c>
    </row>
    <row r="239" spans="2:32">
      <c r="C239" s="63" t="s">
        <v>341</v>
      </c>
      <c r="D239" s="63" t="s">
        <v>342</v>
      </c>
      <c r="X239" s="59" t="s">
        <v>614</v>
      </c>
      <c r="AE239" s="59" t="s">
        <v>518</v>
      </c>
      <c r="AF239" s="59">
        <v>0.13</v>
      </c>
    </row>
    <row r="240" spans="2:32">
      <c r="Y240" s="59" t="s">
        <v>589</v>
      </c>
      <c r="Z240" s="59">
        <v>0.09</v>
      </c>
      <c r="AF240" s="59">
        <f>+AF239</f>
        <v>0.13</v>
      </c>
    </row>
    <row r="241" spans="2:33">
      <c r="Y241" s="59" t="s">
        <v>590</v>
      </c>
      <c r="Z241" s="59">
        <v>0.13</v>
      </c>
      <c r="AC241" s="59" t="s">
        <v>529</v>
      </c>
      <c r="AD241" s="59" t="s">
        <v>616</v>
      </c>
      <c r="AE241" s="59" t="s">
        <v>617</v>
      </c>
      <c r="AF241" s="59" t="s">
        <v>618</v>
      </c>
      <c r="AG241" s="59" t="s">
        <v>619</v>
      </c>
    </row>
    <row r="242" spans="2:33">
      <c r="B242" s="63" t="s">
        <v>343</v>
      </c>
      <c r="Y242" s="59" t="s">
        <v>591</v>
      </c>
      <c r="Z242" s="59">
        <v>0.25</v>
      </c>
      <c r="AC242" s="59">
        <v>0</v>
      </c>
      <c r="AD242" s="59">
        <f>+AC242*($Z$241-$Z$243)/$Z$242+$Z$243</f>
        <v>0.05</v>
      </c>
      <c r="AE242" s="59">
        <f>+AC242*(($Z$241-$Z$243)/$Z$242)+$Z$243</f>
        <v>0.05</v>
      </c>
      <c r="AF242" s="59">
        <f>+$AF$239+(AC242^2*0.5*$AF$238)</f>
        <v>0.13</v>
      </c>
      <c r="AG242" s="59">
        <f>+$AF$240+(AC242^2*0.5*AF$238)</f>
        <v>0.13</v>
      </c>
    </row>
    <row r="243" spans="2:33">
      <c r="C243" s="63" t="s">
        <v>344</v>
      </c>
      <c r="Y243" s="59" t="s">
        <v>615</v>
      </c>
      <c r="Z243" s="59">
        <v>0.05</v>
      </c>
      <c r="AC243" s="59">
        <f>+AC242+0.05</f>
        <v>0.05</v>
      </c>
      <c r="AD243" s="59">
        <f>+AC243*($Z$241-$Z$243)/$Z$242+$Z$243</f>
        <v>6.6000000000000003E-2</v>
      </c>
      <c r="AE243" s="59">
        <f t="shared" ref="AE243:AE250" si="10">+AC243*(($Z$241-$Z$243)/$Z$242)+$Z$243</f>
        <v>6.6000000000000003E-2</v>
      </c>
      <c r="AF243" s="59">
        <f t="shared" ref="AF243:AF250" si="11">+$AF$239+(AC243^2*0.5*$AF$238)</f>
        <v>0.13375000000000001</v>
      </c>
      <c r="AG243" s="59">
        <f t="shared" ref="AG243:AG250" si="12">+$AF$240+(AC243^2*0.5*AF$238)</f>
        <v>0.13375000000000001</v>
      </c>
    </row>
    <row r="244" spans="2:33">
      <c r="C244" s="63" t="s">
        <v>345</v>
      </c>
      <c r="AC244" s="59">
        <f t="shared" ref="AC244:AC250" si="13">+AC243+0.05</f>
        <v>0.1</v>
      </c>
      <c r="AD244" s="59">
        <f>+AC244*($Z$241-$Z$243)/$Z$242+$Z$243</f>
        <v>8.2000000000000003E-2</v>
      </c>
      <c r="AE244" s="59">
        <f t="shared" si="10"/>
        <v>8.2000000000000003E-2</v>
      </c>
      <c r="AF244" s="59">
        <f t="shared" si="11"/>
        <v>0.14500000000000002</v>
      </c>
      <c r="AG244" s="59">
        <f t="shared" si="12"/>
        <v>0.14500000000000002</v>
      </c>
    </row>
    <row r="245" spans="2:33">
      <c r="C245" s="63" t="s">
        <v>346</v>
      </c>
      <c r="AC245" s="59">
        <f t="shared" si="13"/>
        <v>0.15000000000000002</v>
      </c>
      <c r="AD245" s="59">
        <f>+AC245*($Z$241-$Z$243)/$Z$242+$Z$243</f>
        <v>9.8000000000000004E-2</v>
      </c>
      <c r="AE245" s="59">
        <f t="shared" si="10"/>
        <v>9.8000000000000004E-2</v>
      </c>
      <c r="AF245" s="59">
        <f t="shared" si="11"/>
        <v>0.16375000000000001</v>
      </c>
      <c r="AG245" s="59">
        <f t="shared" si="12"/>
        <v>0.16375000000000001</v>
      </c>
    </row>
    <row r="246" spans="2:33">
      <c r="C246" s="63" t="s">
        <v>347</v>
      </c>
      <c r="Y246" s="59" t="s">
        <v>592</v>
      </c>
      <c r="Z246" s="59">
        <v>0.11</v>
      </c>
      <c r="AC246" s="59">
        <f t="shared" si="13"/>
        <v>0.2</v>
      </c>
      <c r="AD246" s="59">
        <f>+AC246*($Z$241-$Z$243)/$Z$242+$Z$243</f>
        <v>0.114</v>
      </c>
      <c r="AE246" s="59">
        <f t="shared" si="10"/>
        <v>0.114</v>
      </c>
      <c r="AF246" s="59">
        <f t="shared" si="11"/>
        <v>0.19</v>
      </c>
      <c r="AG246" s="59">
        <f t="shared" si="12"/>
        <v>0.19</v>
      </c>
    </row>
    <row r="247" spans="2:33">
      <c r="C247" s="63" t="s">
        <v>348</v>
      </c>
      <c r="Y247" s="59" t="s">
        <v>593</v>
      </c>
      <c r="Z247" s="59">
        <v>0.15</v>
      </c>
      <c r="AC247" s="69">
        <f t="shared" si="13"/>
        <v>0.25</v>
      </c>
      <c r="AD247" s="59">
        <f>+AC247*($Z$241-$Z$240)/$Z$242+$Z$240</f>
        <v>0.13</v>
      </c>
      <c r="AE247" s="59">
        <f t="shared" si="10"/>
        <v>0.13</v>
      </c>
      <c r="AF247" s="59">
        <f t="shared" si="11"/>
        <v>0.22375</v>
      </c>
      <c r="AG247" s="59">
        <f t="shared" si="12"/>
        <v>0.22375</v>
      </c>
    </row>
    <row r="248" spans="2:33">
      <c r="C248" s="63" t="s">
        <v>349</v>
      </c>
      <c r="AC248" s="59">
        <f t="shared" si="13"/>
        <v>0.3</v>
      </c>
      <c r="AD248" s="59">
        <f>+AC248*($Z$241-$Z$240)/$Z$242+$Z$240</f>
        <v>0.13800000000000001</v>
      </c>
      <c r="AE248" s="59">
        <f t="shared" si="10"/>
        <v>0.14600000000000002</v>
      </c>
      <c r="AF248" s="59">
        <f t="shared" si="11"/>
        <v>0.26500000000000001</v>
      </c>
      <c r="AG248" s="59">
        <f t="shared" si="12"/>
        <v>0.26500000000000001</v>
      </c>
    </row>
    <row r="249" spans="2:33">
      <c r="AC249" s="59">
        <f t="shared" si="13"/>
        <v>0.35</v>
      </c>
      <c r="AD249" s="59">
        <f>+AC249*($Z$241-$Z$240)/$Z$242+$Z$240</f>
        <v>0.14600000000000002</v>
      </c>
      <c r="AE249" s="59">
        <f t="shared" si="10"/>
        <v>0.16199999999999998</v>
      </c>
      <c r="AF249" s="59">
        <f t="shared" si="11"/>
        <v>0.31374999999999997</v>
      </c>
      <c r="AG249" s="59">
        <f t="shared" si="12"/>
        <v>0.31374999999999997</v>
      </c>
    </row>
    <row r="250" spans="2:33">
      <c r="C250" s="63" t="s">
        <v>350</v>
      </c>
      <c r="D250" s="63">
        <v>1.4</v>
      </c>
      <c r="AC250" s="59">
        <f t="shared" si="13"/>
        <v>0.39999999999999997</v>
      </c>
      <c r="AD250" s="59">
        <f>+AC250*($Z$241-$Z$240)/$Z$242+$Z$240</f>
        <v>0.154</v>
      </c>
      <c r="AE250" s="59">
        <f t="shared" si="10"/>
        <v>0.17799999999999999</v>
      </c>
      <c r="AF250" s="59">
        <f t="shared" si="11"/>
        <v>0.37</v>
      </c>
      <c r="AG250" s="59">
        <f t="shared" si="12"/>
        <v>0.37</v>
      </c>
    </row>
    <row r="251" spans="2:33">
      <c r="C251" s="63" t="s">
        <v>303</v>
      </c>
      <c r="D251" s="63">
        <v>-0.4</v>
      </c>
      <c r="E251" s="63" t="s">
        <v>351</v>
      </c>
    </row>
    <row r="254" spans="2:33">
      <c r="C254" s="63" t="s">
        <v>352</v>
      </c>
    </row>
    <row r="257" spans="3:4">
      <c r="C257" s="63" t="s">
        <v>353</v>
      </c>
    </row>
    <row r="258" spans="3:4">
      <c r="C258" s="63" t="s">
        <v>354</v>
      </c>
    </row>
    <row r="259" spans="3:4">
      <c r="C259" s="63" t="s">
        <v>355</v>
      </c>
      <c r="D259" s="63" t="s">
        <v>356</v>
      </c>
    </row>
    <row r="261" spans="3:4">
      <c r="C261" s="63" t="s">
        <v>357</v>
      </c>
    </row>
    <row r="262" spans="3:4">
      <c r="C262" s="63" t="s">
        <v>358</v>
      </c>
    </row>
    <row r="264" spans="3:4">
      <c r="C264" s="63" t="s">
        <v>359</v>
      </c>
    </row>
    <row r="266" spans="3:4">
      <c r="C266" s="63" t="s">
        <v>360</v>
      </c>
    </row>
    <row r="267" spans="3:4">
      <c r="C267" s="63" t="s">
        <v>361</v>
      </c>
    </row>
    <row r="269" spans="3:4">
      <c r="C269" s="63" t="s">
        <v>362</v>
      </c>
    </row>
    <row r="270" spans="3:4">
      <c r="C270" s="63" t="s">
        <v>363</v>
      </c>
    </row>
    <row r="272" spans="3:4">
      <c r="C272" s="63" t="s">
        <v>364</v>
      </c>
    </row>
    <row r="273" spans="2:6">
      <c r="C273" s="63" t="s">
        <v>365</v>
      </c>
    </row>
    <row r="274" spans="2:6">
      <c r="C274" s="63" t="s">
        <v>366</v>
      </c>
    </row>
    <row r="276" spans="2:6">
      <c r="C276" s="63" t="s">
        <v>367</v>
      </c>
    </row>
    <row r="278" spans="2:6">
      <c r="B278" s="60" t="s">
        <v>370</v>
      </c>
      <c r="C278" s="62"/>
      <c r="D278" s="62"/>
      <c r="E278" s="62"/>
      <c r="F278" s="62"/>
    </row>
    <row r="314" spans="2:5">
      <c r="B314" s="60" t="s">
        <v>371</v>
      </c>
      <c r="C314" s="62"/>
      <c r="D314" s="62"/>
      <c r="E314" s="62"/>
    </row>
    <row r="316" spans="2:5">
      <c r="B316" s="63" t="s">
        <v>372</v>
      </c>
    </row>
    <row r="317" spans="2:5">
      <c r="C317" s="63" t="s">
        <v>373</v>
      </c>
      <c r="D317" s="63" t="s">
        <v>377</v>
      </c>
    </row>
    <row r="318" spans="2:5">
      <c r="C318" s="63" t="s">
        <v>374</v>
      </c>
    </row>
    <row r="321" spans="1:43">
      <c r="B321" s="63" t="s">
        <v>375</v>
      </c>
    </row>
    <row r="322" spans="1:43">
      <c r="B322" s="63" t="s">
        <v>376</v>
      </c>
    </row>
    <row r="324" spans="1:43">
      <c r="B324" s="63" t="s">
        <v>378</v>
      </c>
    </row>
    <row r="330" spans="1:43" s="58" customFormat="1" ht="26">
      <c r="A330" s="61" t="s">
        <v>422</v>
      </c>
      <c r="B330" s="61" t="s">
        <v>380</v>
      </c>
      <c r="C330" s="62"/>
      <c r="D330" s="62"/>
      <c r="E330" s="62"/>
      <c r="F330" s="62"/>
      <c r="G330" s="62"/>
      <c r="H330" s="62"/>
      <c r="I330" s="62"/>
      <c r="J330" s="62"/>
      <c r="K330" s="62"/>
      <c r="L330" s="62"/>
    </row>
    <row r="331" spans="1:43" s="58" customFormat="1">
      <c r="A331" s="62"/>
      <c r="B331" s="62"/>
      <c r="C331" s="62"/>
      <c r="D331" s="62"/>
      <c r="E331" s="62"/>
      <c r="F331" s="62"/>
      <c r="G331" s="62"/>
      <c r="H331" s="62"/>
      <c r="I331" s="62"/>
      <c r="J331" s="62"/>
      <c r="K331" s="62"/>
      <c r="L331" s="62"/>
    </row>
    <row r="332" spans="1:43" ht="26">
      <c r="W332" s="91" t="s">
        <v>555</v>
      </c>
      <c r="X332" s="59" t="s">
        <v>597</v>
      </c>
      <c r="Y332" s="59">
        <f>+Y333*Z336*Z335</f>
        <v>1.1040000000000001E-2</v>
      </c>
      <c r="AB332" s="59" t="s">
        <v>600</v>
      </c>
      <c r="AC332" s="59" t="s">
        <v>601</v>
      </c>
      <c r="AD332" s="59" t="s">
        <v>103</v>
      </c>
      <c r="AE332" s="59" t="s">
        <v>515</v>
      </c>
    </row>
    <row r="333" spans="1:43">
      <c r="B333" s="63" t="s">
        <v>381</v>
      </c>
      <c r="X333" s="59" t="s">
        <v>596</v>
      </c>
      <c r="Y333" s="59">
        <v>0.15</v>
      </c>
      <c r="AB333" s="59">
        <f t="shared" ref="AB333:AB338" si="14">+AB334-0.1</f>
        <v>-0.6</v>
      </c>
      <c r="AC333" s="85">
        <f t="shared" ref="AC333:AC338" si="15">1-AB333</f>
        <v>1.6</v>
      </c>
      <c r="AD333" s="78">
        <f t="shared" ref="AD333:AD355" si="16">+AB333*$Y$335+AC333*$Y$336</f>
        <v>7.6000000000000012E-2</v>
      </c>
      <c r="AE333" s="78">
        <f t="shared" ref="AE333:AE355" si="17">+SQRT(AB333^2*$Z$335^2+AC333^2*$Z$336^2+2*AB333*AC333*$Z$335*$Z$336*$Y$332)</f>
        <v>0.41319234687975531</v>
      </c>
      <c r="AN333" s="85"/>
      <c r="AO333" s="85"/>
      <c r="AP333" s="78"/>
      <c r="AQ333" s="78"/>
    </row>
    <row r="334" spans="1:43">
      <c r="C334" s="63" t="s">
        <v>382</v>
      </c>
      <c r="Y334" s="59" t="s">
        <v>391</v>
      </c>
      <c r="Z334" s="59" t="s">
        <v>529</v>
      </c>
      <c r="AB334" s="59">
        <f t="shared" si="14"/>
        <v>-0.5</v>
      </c>
      <c r="AC334" s="85">
        <f t="shared" si="15"/>
        <v>1.5</v>
      </c>
      <c r="AD334" s="78">
        <f t="shared" si="16"/>
        <v>8.5000000000000006E-2</v>
      </c>
      <c r="AE334" s="78">
        <f t="shared" si="17"/>
        <v>0.37869008965115525</v>
      </c>
      <c r="AN334" s="85"/>
      <c r="AO334" s="85"/>
      <c r="AP334" s="78"/>
      <c r="AQ334" s="78"/>
    </row>
    <row r="335" spans="1:43">
      <c r="C335" s="63" t="s">
        <v>383</v>
      </c>
      <c r="X335" s="59" t="s">
        <v>594</v>
      </c>
      <c r="Y335" s="59">
        <v>0.22</v>
      </c>
      <c r="Z335" s="59">
        <v>0.32</v>
      </c>
      <c r="AB335" s="59">
        <f t="shared" si="14"/>
        <v>-0.4</v>
      </c>
      <c r="AC335" s="85">
        <f t="shared" si="15"/>
        <v>1.4</v>
      </c>
      <c r="AD335" s="78">
        <f t="shared" si="16"/>
        <v>9.3999999999999986E-2</v>
      </c>
      <c r="AE335" s="78">
        <f t="shared" si="17"/>
        <v>0.34519262842650622</v>
      </c>
      <c r="AN335" s="85"/>
      <c r="AO335" s="85"/>
      <c r="AP335" s="78"/>
      <c r="AQ335" s="78"/>
    </row>
    <row r="336" spans="1:43">
      <c r="X336" s="59" t="s">
        <v>595</v>
      </c>
      <c r="Y336" s="59">
        <v>0.13</v>
      </c>
      <c r="Z336" s="59">
        <v>0.23</v>
      </c>
      <c r="AB336" s="59">
        <f t="shared" si="14"/>
        <v>-0.30000000000000004</v>
      </c>
      <c r="AC336" s="85">
        <f t="shared" si="15"/>
        <v>1.3</v>
      </c>
      <c r="AD336" s="78">
        <f t="shared" si="16"/>
        <v>0.10299999999999999</v>
      </c>
      <c r="AE336" s="78">
        <f t="shared" si="17"/>
        <v>0.31302270793027143</v>
      </c>
      <c r="AN336" s="85"/>
      <c r="AO336" s="85"/>
      <c r="AP336" s="78"/>
      <c r="AQ336" s="78"/>
    </row>
    <row r="337" spans="2:43">
      <c r="B337" s="63" t="s">
        <v>384</v>
      </c>
      <c r="C337" s="63" t="s">
        <v>385</v>
      </c>
      <c r="AB337" s="59">
        <f t="shared" si="14"/>
        <v>-0.2</v>
      </c>
      <c r="AC337" s="85">
        <f t="shared" si="15"/>
        <v>1.2</v>
      </c>
      <c r="AD337" s="78">
        <f t="shared" si="16"/>
        <v>0.11199999999999999</v>
      </c>
      <c r="AE337" s="78">
        <f t="shared" si="17"/>
        <v>0.28263400163462288</v>
      </c>
      <c r="AN337" s="85"/>
      <c r="AO337" s="85"/>
      <c r="AP337" s="78"/>
      <c r="AQ337" s="78"/>
    </row>
    <row r="338" spans="2:43">
      <c r="X338" s="59" t="s">
        <v>103</v>
      </c>
      <c r="Y338" s="59" t="s">
        <v>599</v>
      </c>
      <c r="AB338" s="59">
        <f t="shared" si="14"/>
        <v>-0.1</v>
      </c>
      <c r="AC338" s="85">
        <f t="shared" si="15"/>
        <v>1.1000000000000001</v>
      </c>
      <c r="AD338" s="78">
        <f t="shared" si="16"/>
        <v>0.12100000000000001</v>
      </c>
      <c r="AE338" s="78">
        <f t="shared" si="17"/>
        <v>0.25466495699251596</v>
      </c>
      <c r="AN338" s="85"/>
      <c r="AO338" s="85"/>
      <c r="AP338" s="78"/>
      <c r="AQ338" s="78"/>
    </row>
    <row r="339" spans="2:43">
      <c r="B339" s="63" t="s">
        <v>386</v>
      </c>
      <c r="X339" s="59" t="s">
        <v>547</v>
      </c>
      <c r="AB339" s="85">
        <v>0</v>
      </c>
      <c r="AC339" s="85">
        <f t="shared" ref="AC339:AC355" si="18">1-AB339</f>
        <v>1</v>
      </c>
      <c r="AD339" s="78">
        <f t="shared" si="16"/>
        <v>0.13</v>
      </c>
      <c r="AE339" s="78">
        <f t="shared" si="17"/>
        <v>0.23</v>
      </c>
      <c r="AN339" s="85"/>
      <c r="AO339" s="85"/>
      <c r="AP339" s="78"/>
      <c r="AQ339" s="78"/>
    </row>
    <row r="340" spans="2:43">
      <c r="C340" s="63" t="s">
        <v>387</v>
      </c>
      <c r="X340" s="59" t="s">
        <v>602</v>
      </c>
      <c r="AB340" s="85">
        <f>+AB339+0.1</f>
        <v>0.1</v>
      </c>
      <c r="AC340" s="85">
        <f t="shared" si="18"/>
        <v>0.9</v>
      </c>
      <c r="AD340" s="78">
        <f t="shared" si="16"/>
        <v>0.13900000000000001</v>
      </c>
      <c r="AE340" s="78">
        <f t="shared" si="17"/>
        <v>0.20980766887795116</v>
      </c>
      <c r="AN340" s="85"/>
      <c r="AO340" s="85"/>
      <c r="AP340" s="78"/>
      <c r="AQ340" s="78"/>
    </row>
    <row r="341" spans="2:43">
      <c r="AB341" s="85">
        <f t="shared" ref="AB341:AB348" si="19">+AB340+0.1</f>
        <v>0.2</v>
      </c>
      <c r="AC341" s="85">
        <f t="shared" si="18"/>
        <v>0.8</v>
      </c>
      <c r="AD341" s="78">
        <f t="shared" si="16"/>
        <v>0.14800000000000002</v>
      </c>
      <c r="AE341" s="78">
        <f t="shared" si="17"/>
        <v>0.19547893513112868</v>
      </c>
      <c r="AN341" s="85"/>
      <c r="AO341" s="85"/>
      <c r="AP341" s="78"/>
      <c r="AQ341" s="78"/>
    </row>
    <row r="342" spans="2:43">
      <c r="AB342" s="85">
        <f t="shared" si="19"/>
        <v>0.30000000000000004</v>
      </c>
      <c r="AC342" s="85">
        <f t="shared" si="18"/>
        <v>0.7</v>
      </c>
      <c r="AD342" s="78">
        <f t="shared" si="16"/>
        <v>0.15700000000000003</v>
      </c>
      <c r="AE342" s="78">
        <f t="shared" si="17"/>
        <v>0.18835675851957104</v>
      </c>
      <c r="AN342" s="85"/>
      <c r="AO342" s="85"/>
      <c r="AP342" s="78"/>
      <c r="AQ342" s="78"/>
    </row>
    <row r="343" spans="2:43">
      <c r="AB343" s="85">
        <f t="shared" si="19"/>
        <v>0.4</v>
      </c>
      <c r="AC343" s="85">
        <f t="shared" si="18"/>
        <v>0.6</v>
      </c>
      <c r="AD343" s="78">
        <f t="shared" si="16"/>
        <v>0.16600000000000001</v>
      </c>
      <c r="AE343" s="78">
        <f t="shared" si="17"/>
        <v>0.18925649558205393</v>
      </c>
      <c r="AM343" s="78"/>
      <c r="AN343" s="78"/>
      <c r="AO343" s="78"/>
      <c r="AP343" s="78"/>
      <c r="AQ343" s="78"/>
    </row>
    <row r="344" spans="2:43">
      <c r="AB344" s="85">
        <f t="shared" si="19"/>
        <v>0.5</v>
      </c>
      <c r="AC344" s="85">
        <f t="shared" si="18"/>
        <v>0.5</v>
      </c>
      <c r="AD344" s="78">
        <f t="shared" si="16"/>
        <v>0.17499999999999999</v>
      </c>
      <c r="AE344" s="78">
        <f t="shared" si="17"/>
        <v>0.19806885671402255</v>
      </c>
      <c r="AM344" s="78"/>
      <c r="AN344" s="78"/>
      <c r="AO344" s="78"/>
      <c r="AP344" s="78"/>
      <c r="AQ344" s="78"/>
    </row>
    <row r="345" spans="2:43">
      <c r="AB345" s="85">
        <f t="shared" si="19"/>
        <v>0.6</v>
      </c>
      <c r="AC345" s="85">
        <f t="shared" si="18"/>
        <v>0.4</v>
      </c>
      <c r="AD345" s="78">
        <f t="shared" si="16"/>
        <v>0.184</v>
      </c>
      <c r="AE345" s="78">
        <f t="shared" si="17"/>
        <v>0.21381772873174013</v>
      </c>
      <c r="AM345" s="78"/>
      <c r="AN345" s="78"/>
      <c r="AO345" s="78"/>
      <c r="AP345" s="78"/>
      <c r="AQ345" s="78"/>
    </row>
    <row r="346" spans="2:43">
      <c r="AB346" s="85">
        <f t="shared" si="19"/>
        <v>0.7</v>
      </c>
      <c r="AC346" s="85">
        <f t="shared" si="18"/>
        <v>0.30000000000000004</v>
      </c>
      <c r="AD346" s="78">
        <f t="shared" si="16"/>
        <v>0.193</v>
      </c>
      <c r="AE346" s="78">
        <f t="shared" si="17"/>
        <v>0.2351133098741966</v>
      </c>
    </row>
    <row r="347" spans="2:43">
      <c r="AB347" s="85">
        <f t="shared" si="19"/>
        <v>0.79999999999999993</v>
      </c>
      <c r="AC347" s="85">
        <f t="shared" si="18"/>
        <v>0.20000000000000007</v>
      </c>
      <c r="AD347" s="78">
        <f t="shared" si="16"/>
        <v>0.20200000000000001</v>
      </c>
      <c r="AE347" s="78">
        <f t="shared" si="17"/>
        <v>0.26059933629999904</v>
      </c>
    </row>
    <row r="348" spans="2:43">
      <c r="AB348" s="85">
        <f t="shared" si="19"/>
        <v>0.89999999999999991</v>
      </c>
      <c r="AC348" s="85">
        <f t="shared" si="18"/>
        <v>0.10000000000000009</v>
      </c>
      <c r="AD348" s="78">
        <f t="shared" si="16"/>
        <v>0.21099999999999999</v>
      </c>
      <c r="AE348" s="78">
        <f t="shared" si="17"/>
        <v>0.28916994643288918</v>
      </c>
    </row>
    <row r="349" spans="2:43" ht="26">
      <c r="X349" s="91" t="s">
        <v>511</v>
      </c>
      <c r="Y349" s="59" t="s">
        <v>603</v>
      </c>
      <c r="Z349" s="59">
        <v>0.09</v>
      </c>
      <c r="AB349" s="85">
        <f>+AB347+0.1</f>
        <v>0.89999999999999991</v>
      </c>
      <c r="AC349" s="85">
        <f t="shared" si="18"/>
        <v>0.10000000000000009</v>
      </c>
      <c r="AD349" s="78">
        <f t="shared" si="16"/>
        <v>0.21099999999999999</v>
      </c>
      <c r="AE349" s="78">
        <f t="shared" si="17"/>
        <v>0.28916994643288918</v>
      </c>
    </row>
    <row r="350" spans="2:43">
      <c r="AB350" s="85">
        <f>+AB349+0.1</f>
        <v>0.99999999999999989</v>
      </c>
      <c r="AC350" s="85">
        <f t="shared" si="18"/>
        <v>0</v>
      </c>
      <c r="AD350" s="78">
        <f t="shared" si="16"/>
        <v>0.21999999999999997</v>
      </c>
      <c r="AE350" s="78">
        <f t="shared" si="17"/>
        <v>0.31999999999999995</v>
      </c>
    </row>
    <row r="351" spans="2:43">
      <c r="AA351" s="59" t="s">
        <v>606</v>
      </c>
      <c r="AB351" s="106">
        <v>0.33894573497288194</v>
      </c>
      <c r="AC351" s="106">
        <f t="shared" si="18"/>
        <v>0.66105426502711806</v>
      </c>
      <c r="AD351" s="107">
        <f t="shared" si="16"/>
        <v>0.16050511614755938</v>
      </c>
      <c r="AE351" s="78">
        <f t="shared" si="17"/>
        <v>0.18773699406730446</v>
      </c>
    </row>
    <row r="352" spans="2:43">
      <c r="AA352" s="59" t="s">
        <v>608</v>
      </c>
      <c r="AB352" s="88">
        <v>0.63171036555058813</v>
      </c>
      <c r="AC352" s="88">
        <f t="shared" si="18"/>
        <v>0.36828963444941187</v>
      </c>
      <c r="AD352" s="89">
        <f t="shared" si="16"/>
        <v>0.18685393289955293</v>
      </c>
      <c r="AE352" s="78">
        <f t="shared" si="17"/>
        <v>0.22003824470334687</v>
      </c>
    </row>
    <row r="353" spans="2:31">
      <c r="AA353" s="59" t="s">
        <v>607</v>
      </c>
      <c r="AB353" s="86">
        <v>0</v>
      </c>
      <c r="AC353" s="86">
        <f t="shared" si="18"/>
        <v>1</v>
      </c>
      <c r="AD353" s="79">
        <f t="shared" si="16"/>
        <v>0.13</v>
      </c>
      <c r="AE353" s="78">
        <f t="shared" si="17"/>
        <v>0.23</v>
      </c>
    </row>
    <row r="354" spans="2:31">
      <c r="Z354" s="68" t="s">
        <v>621</v>
      </c>
      <c r="AA354" s="59" t="s">
        <v>622</v>
      </c>
      <c r="AB354" s="92">
        <v>0.2222222222222773</v>
      </c>
      <c r="AC354" s="92">
        <f t="shared" si="18"/>
        <v>0.77777777777772272</v>
      </c>
      <c r="AD354" s="93">
        <f t="shared" si="16"/>
        <v>0.15000000000000496</v>
      </c>
      <c r="AE354" s="78">
        <f t="shared" si="17"/>
        <v>0.19323277180324114</v>
      </c>
    </row>
    <row r="355" spans="2:31">
      <c r="Z355" s="59" t="s">
        <v>584</v>
      </c>
      <c r="AA355" s="59" t="s">
        <v>623</v>
      </c>
      <c r="AB355" s="94">
        <v>1.778</v>
      </c>
      <c r="AC355" s="94">
        <f t="shared" si="18"/>
        <v>-0.77800000000000002</v>
      </c>
      <c r="AD355" s="95">
        <f t="shared" si="16"/>
        <v>0.29002</v>
      </c>
      <c r="AE355" s="78">
        <f t="shared" si="17"/>
        <v>0.59454776676984333</v>
      </c>
    </row>
    <row r="357" spans="2:31">
      <c r="AC357" s="59" t="s">
        <v>605</v>
      </c>
      <c r="AD357" s="59" t="s">
        <v>604</v>
      </c>
      <c r="AE357" s="59" t="s">
        <v>572</v>
      </c>
    </row>
    <row r="358" spans="2:31">
      <c r="AC358" s="59">
        <f>+($AD$352-$Z$349)/$AE$352</f>
        <v>0.44016863082202068</v>
      </c>
      <c r="AD358" s="59">
        <v>0</v>
      </c>
      <c r="AE358" s="59">
        <f t="shared" ref="AE358:AE374" si="20">+AD358*$AC$358+$Z$349</f>
        <v>0.09</v>
      </c>
    </row>
    <row r="359" spans="2:31">
      <c r="AD359" s="59">
        <f t="shared" ref="AD359:AD369" si="21">+AD358+0.03</f>
        <v>0.03</v>
      </c>
      <c r="AE359" s="59">
        <f t="shared" si="20"/>
        <v>0.10320505892466061</v>
      </c>
    </row>
    <row r="360" spans="2:31">
      <c r="B360" s="60" t="s">
        <v>388</v>
      </c>
      <c r="C360" s="62"/>
      <c r="D360" s="62"/>
      <c r="E360" s="62"/>
      <c r="AD360" s="59">
        <f t="shared" si="21"/>
        <v>0.06</v>
      </c>
      <c r="AE360" s="59">
        <f t="shared" si="20"/>
        <v>0.11641011784932123</v>
      </c>
    </row>
    <row r="361" spans="2:31">
      <c r="AD361" s="59">
        <f t="shared" si="21"/>
        <v>0.09</v>
      </c>
      <c r="AE361" s="59">
        <f t="shared" si="20"/>
        <v>0.12961517677398185</v>
      </c>
    </row>
    <row r="362" spans="2:31">
      <c r="B362" s="63" t="s">
        <v>389</v>
      </c>
      <c r="C362" s="63" t="s">
        <v>390</v>
      </c>
      <c r="AD362" s="59">
        <f t="shared" si="21"/>
        <v>0.12</v>
      </c>
      <c r="AE362" s="59">
        <f t="shared" si="20"/>
        <v>0.14282023569864247</v>
      </c>
    </row>
    <row r="363" spans="2:31">
      <c r="B363" s="63" t="s">
        <v>391</v>
      </c>
      <c r="C363" s="63" t="s">
        <v>392</v>
      </c>
      <c r="AD363" s="59">
        <f t="shared" si="21"/>
        <v>0.15</v>
      </c>
      <c r="AE363" s="59">
        <f t="shared" si="20"/>
        <v>0.15602529462330311</v>
      </c>
    </row>
    <row r="364" spans="2:31">
      <c r="AD364" s="59">
        <f t="shared" si="21"/>
        <v>0.18</v>
      </c>
      <c r="AE364" s="59">
        <f t="shared" si="20"/>
        <v>0.16923035354796373</v>
      </c>
    </row>
    <row r="365" spans="2:31">
      <c r="E365" s="63" t="s">
        <v>393</v>
      </c>
      <c r="AD365" s="59">
        <f t="shared" si="21"/>
        <v>0.21</v>
      </c>
      <c r="AE365" s="59">
        <f t="shared" si="20"/>
        <v>0.18243541247262435</v>
      </c>
    </row>
    <row r="366" spans="2:31">
      <c r="AD366" s="59">
        <f t="shared" si="21"/>
        <v>0.24</v>
      </c>
      <c r="AE366" s="59">
        <f t="shared" si="20"/>
        <v>0.19564047139728497</v>
      </c>
    </row>
    <row r="367" spans="2:31">
      <c r="AD367" s="59">
        <f t="shared" si="21"/>
        <v>0.27</v>
      </c>
      <c r="AE367" s="59">
        <f t="shared" si="20"/>
        <v>0.20884553032194558</v>
      </c>
    </row>
    <row r="368" spans="2:31">
      <c r="AD368" s="59">
        <f t="shared" si="21"/>
        <v>0.30000000000000004</v>
      </c>
      <c r="AE368" s="59">
        <f t="shared" si="20"/>
        <v>0.22205058924660623</v>
      </c>
    </row>
    <row r="369" spans="28:39">
      <c r="AD369" s="59">
        <f t="shared" si="21"/>
        <v>0.33000000000000007</v>
      </c>
      <c r="AE369" s="59">
        <f t="shared" si="20"/>
        <v>0.23525564817126685</v>
      </c>
    </row>
    <row r="370" spans="28:39">
      <c r="AD370" s="59">
        <f>+AD369+0.03</f>
        <v>0.3600000000000001</v>
      </c>
      <c r="AE370" s="59">
        <f t="shared" si="20"/>
        <v>0.24846070709592749</v>
      </c>
    </row>
    <row r="371" spans="28:39">
      <c r="AD371" s="59">
        <f>+AD370+0.03</f>
        <v>0.39000000000000012</v>
      </c>
      <c r="AE371" s="59">
        <f t="shared" si="20"/>
        <v>0.26166576602058811</v>
      </c>
    </row>
    <row r="372" spans="28:39">
      <c r="AD372" s="59">
        <f>+AD371+0.03</f>
        <v>0.42000000000000015</v>
      </c>
      <c r="AE372" s="59">
        <f t="shared" si="20"/>
        <v>0.27487082494524873</v>
      </c>
    </row>
    <row r="373" spans="28:39">
      <c r="AB373" s="68" t="s">
        <v>620</v>
      </c>
      <c r="AD373" s="90">
        <v>0.13631139476691925</v>
      </c>
      <c r="AE373" s="90">
        <f t="shared" si="20"/>
        <v>0.1499999999999948</v>
      </c>
      <c r="AF373" s="59" t="s">
        <v>609</v>
      </c>
      <c r="AG373" s="59">
        <f>+AD373/AE352</f>
        <v>0.61948955714808929</v>
      </c>
      <c r="AH373" s="59" t="s">
        <v>610</v>
      </c>
      <c r="AI373" s="59">
        <f>1-AG373</f>
        <v>0.38051044285191071</v>
      </c>
      <c r="AJ373" s="59" t="s">
        <v>611</v>
      </c>
      <c r="AK373" s="59">
        <f>+AI373*AB352</f>
        <v>0.24037239094979668</v>
      </c>
      <c r="AL373" s="59" t="s">
        <v>612</v>
      </c>
      <c r="AM373" s="59">
        <f>+AI373-AK373</f>
        <v>0.14013805190211404</v>
      </c>
    </row>
    <row r="374" spans="28:39">
      <c r="AB374" s="59" t="s">
        <v>584</v>
      </c>
      <c r="AD374" s="90">
        <v>0.45437165666825702</v>
      </c>
      <c r="AE374" s="90">
        <f t="shared" si="20"/>
        <v>0.29000014999999996</v>
      </c>
      <c r="AF374" s="59" t="s">
        <v>609</v>
      </c>
      <c r="AG374" s="59">
        <f>+AD374/AE352</f>
        <v>2.0649667392177022</v>
      </c>
      <c r="AH374" s="59" t="s">
        <v>610</v>
      </c>
      <c r="AI374" s="59">
        <f>1-AG374</f>
        <v>-1.0649667392177022</v>
      </c>
      <c r="AJ374" s="59" t="s">
        <v>611</v>
      </c>
      <c r="AK374" s="59">
        <f>+AI374*AB352</f>
        <v>-0.67275052813043257</v>
      </c>
      <c r="AL374" s="59" t="s">
        <v>612</v>
      </c>
      <c r="AM374" s="59">
        <f>+AI374-AK374</f>
        <v>-0.39221621108726967</v>
      </c>
    </row>
    <row r="375" spans="28:39">
      <c r="AC375" s="59" t="s">
        <v>605</v>
      </c>
      <c r="AD375" s="59" t="s">
        <v>604</v>
      </c>
      <c r="AE375" s="59" t="s">
        <v>572</v>
      </c>
    </row>
    <row r="376" spans="28:39">
      <c r="AC376" s="59">
        <f>+($AD$353-$Z$349)/$AE$353</f>
        <v>0.17391304347826089</v>
      </c>
      <c r="AD376" s="59">
        <v>0</v>
      </c>
      <c r="AE376" s="59">
        <f t="shared" ref="AE376:AE391" si="22">+AD376*$AC$376+$Z$349</f>
        <v>0.09</v>
      </c>
    </row>
    <row r="377" spans="28:39">
      <c r="AD377" s="59">
        <f t="shared" ref="AD377:AD391" si="23">+AD376+0.03</f>
        <v>0.03</v>
      </c>
      <c r="AE377" s="59">
        <f t="shared" si="22"/>
        <v>9.5217391304347823E-2</v>
      </c>
    </row>
    <row r="378" spans="28:39">
      <c r="AD378" s="59">
        <f t="shared" si="23"/>
        <v>0.06</v>
      </c>
      <c r="AE378" s="59">
        <f t="shared" si="22"/>
        <v>0.10043478260869565</v>
      </c>
    </row>
    <row r="379" spans="28:39">
      <c r="AD379" s="59">
        <f t="shared" si="23"/>
        <v>0.09</v>
      </c>
      <c r="AE379" s="59">
        <f t="shared" si="22"/>
        <v>0.10565217391304348</v>
      </c>
    </row>
    <row r="380" spans="28:39">
      <c r="AD380" s="59">
        <f t="shared" si="23"/>
        <v>0.12</v>
      </c>
      <c r="AE380" s="59">
        <f t="shared" si="22"/>
        <v>0.1108695652173913</v>
      </c>
    </row>
    <row r="381" spans="28:39">
      <c r="AD381" s="59">
        <f t="shared" si="23"/>
        <v>0.15</v>
      </c>
      <c r="AE381" s="59">
        <f t="shared" si="22"/>
        <v>0.11608695652173913</v>
      </c>
    </row>
    <row r="382" spans="28:39">
      <c r="AD382" s="59">
        <f t="shared" si="23"/>
        <v>0.18</v>
      </c>
      <c r="AE382" s="59">
        <f t="shared" si="22"/>
        <v>0.12130434782608696</v>
      </c>
    </row>
    <row r="383" spans="28:39">
      <c r="AD383" s="59">
        <f t="shared" si="23"/>
        <v>0.21</v>
      </c>
      <c r="AE383" s="59">
        <f t="shared" si="22"/>
        <v>0.1265217391304348</v>
      </c>
    </row>
    <row r="384" spans="28:39">
      <c r="AD384" s="59">
        <f t="shared" si="23"/>
        <v>0.24</v>
      </c>
      <c r="AE384" s="59">
        <f t="shared" si="22"/>
        <v>0.13173913043478261</v>
      </c>
    </row>
    <row r="385" spans="2:31">
      <c r="AD385" s="59">
        <f t="shared" si="23"/>
        <v>0.27</v>
      </c>
      <c r="AE385" s="59">
        <f t="shared" si="22"/>
        <v>0.13695652173913045</v>
      </c>
    </row>
    <row r="386" spans="2:31">
      <c r="AD386" s="59">
        <f t="shared" si="23"/>
        <v>0.30000000000000004</v>
      </c>
      <c r="AE386" s="59">
        <f t="shared" si="22"/>
        <v>0.14217391304347826</v>
      </c>
    </row>
    <row r="387" spans="2:31">
      <c r="AD387" s="59">
        <f t="shared" si="23"/>
        <v>0.33000000000000007</v>
      </c>
      <c r="AE387" s="59">
        <f t="shared" si="22"/>
        <v>0.1473913043478261</v>
      </c>
    </row>
    <row r="388" spans="2:31">
      <c r="AD388" s="59">
        <f t="shared" si="23"/>
        <v>0.3600000000000001</v>
      </c>
      <c r="AE388" s="59">
        <f t="shared" si="22"/>
        <v>0.15260869565217394</v>
      </c>
    </row>
    <row r="389" spans="2:31">
      <c r="AD389" s="59">
        <f t="shared" si="23"/>
        <v>0.39000000000000012</v>
      </c>
      <c r="AE389" s="59">
        <f t="shared" si="22"/>
        <v>0.15782608695652178</v>
      </c>
    </row>
    <row r="390" spans="2:31">
      <c r="AD390" s="59">
        <f t="shared" si="23"/>
        <v>0.42000000000000015</v>
      </c>
      <c r="AE390" s="59">
        <f t="shared" si="22"/>
        <v>0.1630434782608696</v>
      </c>
    </row>
    <row r="391" spans="2:31">
      <c r="B391" s="63" t="s">
        <v>598</v>
      </c>
      <c r="AD391" s="59">
        <f t="shared" si="23"/>
        <v>0.45000000000000018</v>
      </c>
      <c r="AE391" s="59">
        <f t="shared" si="22"/>
        <v>0.16826086956521744</v>
      </c>
    </row>
    <row r="397" spans="2:31">
      <c r="B397" s="63" t="s">
        <v>394</v>
      </c>
      <c r="C397" s="63" t="s">
        <v>395</v>
      </c>
    </row>
    <row r="405" spans="2:11">
      <c r="B405" s="63" t="s">
        <v>396</v>
      </c>
    </row>
    <row r="406" spans="2:11">
      <c r="B406" s="63" t="s">
        <v>398</v>
      </c>
    </row>
    <row r="408" spans="2:11">
      <c r="B408" s="114" t="s">
        <v>397</v>
      </c>
      <c r="C408" s="114"/>
      <c r="D408" s="114"/>
      <c r="E408" s="114"/>
      <c r="F408" s="114"/>
      <c r="G408" s="114"/>
      <c r="H408" s="114"/>
      <c r="I408" s="114"/>
      <c r="J408" s="114"/>
      <c r="K408" s="114"/>
    </row>
    <row r="409" spans="2:11">
      <c r="B409" s="114"/>
      <c r="C409" s="114"/>
      <c r="D409" s="114"/>
      <c r="E409" s="114"/>
      <c r="F409" s="114"/>
      <c r="G409" s="114"/>
      <c r="H409" s="114"/>
      <c r="I409" s="114"/>
      <c r="J409" s="114"/>
      <c r="K409" s="114"/>
    </row>
    <row r="410" spans="2:11">
      <c r="B410" s="114"/>
      <c r="C410" s="114"/>
      <c r="D410" s="114"/>
      <c r="E410" s="114"/>
      <c r="F410" s="114"/>
      <c r="G410" s="114"/>
      <c r="H410" s="114"/>
      <c r="I410" s="114"/>
      <c r="J410" s="114"/>
      <c r="K410" s="114"/>
    </row>
    <row r="411" spans="2:11">
      <c r="B411" s="114"/>
      <c r="C411" s="114"/>
      <c r="D411" s="114"/>
      <c r="E411" s="114"/>
      <c r="F411" s="114"/>
      <c r="G411" s="114"/>
      <c r="H411" s="114"/>
      <c r="I411" s="114"/>
      <c r="J411" s="114"/>
      <c r="K411" s="114"/>
    </row>
    <row r="412" spans="2:11">
      <c r="B412" s="114"/>
      <c r="C412" s="114"/>
      <c r="D412" s="114"/>
      <c r="E412" s="114"/>
      <c r="F412" s="114"/>
      <c r="G412" s="114"/>
      <c r="H412" s="114"/>
      <c r="I412" s="114"/>
      <c r="J412" s="114"/>
      <c r="K412" s="114"/>
    </row>
    <row r="414" spans="2:11">
      <c r="B414" s="63" t="s">
        <v>399</v>
      </c>
    </row>
    <row r="417" spans="2:5">
      <c r="B417" s="63" t="s">
        <v>400</v>
      </c>
    </row>
    <row r="423" spans="2:5">
      <c r="B423" s="63" t="s">
        <v>401</v>
      </c>
    </row>
    <row r="431" spans="2:5">
      <c r="B431" s="62" t="s">
        <v>402</v>
      </c>
      <c r="C431" s="62"/>
      <c r="D431" s="62"/>
      <c r="E431" s="62"/>
    </row>
    <row r="436" spans="25:31">
      <c r="Y436" s="59" t="s">
        <v>625</v>
      </c>
      <c r="Z436" s="78">
        <v>0.18</v>
      </c>
      <c r="AB436" s="59" t="s">
        <v>628</v>
      </c>
      <c r="AC436" s="59">
        <v>-1</v>
      </c>
    </row>
    <row r="437" spans="25:31">
      <c r="Y437" s="59" t="s">
        <v>624</v>
      </c>
      <c r="Z437" s="78">
        <v>0.22</v>
      </c>
    </row>
    <row r="438" spans="25:31">
      <c r="Z438" s="78"/>
    </row>
    <row r="439" spans="25:31">
      <c r="Z439" s="78"/>
      <c r="AB439" s="59" t="s">
        <v>600</v>
      </c>
      <c r="AC439" s="59" t="s">
        <v>629</v>
      </c>
      <c r="AD439" s="59" t="s">
        <v>529</v>
      </c>
      <c r="AE439" s="59" t="s">
        <v>391</v>
      </c>
    </row>
    <row r="440" spans="25:31">
      <c r="Y440" s="59" t="s">
        <v>626</v>
      </c>
      <c r="Z440" s="78">
        <v>0.1</v>
      </c>
      <c r="AB440" s="78">
        <f t="shared" ref="AB440:AB445" si="24">+AB441-0.1</f>
        <v>-0.6</v>
      </c>
      <c r="AC440" s="78">
        <f>1-AB440</f>
        <v>1.6</v>
      </c>
      <c r="AD440" s="78">
        <f>+SQRT(AB440^2*$Z$437^2+AC440^2*$Z$441^2+2*AB440*AC440*$Z$437*$Z$441*$AC$436)</f>
        <v>0.61199999999999999</v>
      </c>
      <c r="AE440" s="78">
        <f>+AC440*$Z$440+AB440*$Z$436</f>
        <v>5.2000000000000032E-2</v>
      </c>
    </row>
    <row r="441" spans="25:31">
      <c r="Y441" s="59" t="s">
        <v>627</v>
      </c>
      <c r="Z441" s="78">
        <v>0.3</v>
      </c>
      <c r="AB441" s="78">
        <f t="shared" si="24"/>
        <v>-0.5</v>
      </c>
      <c r="AC441" s="78">
        <f t="shared" ref="AC441:AC470" si="25">1-AB441</f>
        <v>1.5</v>
      </c>
      <c r="AD441" s="78">
        <f t="shared" ref="AD441:AD468" si="26">+SQRT(AB441^2*$Z$437^2+AC441^2*$Z$441^2+2*AB441*AC441*$Z$437*$Z$441*$AC$436)</f>
        <v>0.55999999999999994</v>
      </c>
      <c r="AE441" s="78">
        <f t="shared" ref="AE441:AE468" si="27">+AC441*$Z$440+AB441*$Z$436</f>
        <v>6.0000000000000026E-2</v>
      </c>
    </row>
    <row r="442" spans="25:31">
      <c r="AB442" s="78">
        <f t="shared" si="24"/>
        <v>-0.4</v>
      </c>
      <c r="AC442" s="78">
        <f t="shared" si="25"/>
        <v>1.4</v>
      </c>
      <c r="AD442" s="78">
        <f t="shared" si="26"/>
        <v>0.50800000000000001</v>
      </c>
      <c r="AE442" s="78">
        <f t="shared" si="27"/>
        <v>6.7999999999999991E-2</v>
      </c>
    </row>
    <row r="443" spans="25:31">
      <c r="AB443" s="78">
        <f t="shared" si="24"/>
        <v>-0.30000000000000004</v>
      </c>
      <c r="AC443" s="78">
        <f t="shared" si="25"/>
        <v>1.3</v>
      </c>
      <c r="AD443" s="78">
        <f t="shared" si="26"/>
        <v>0.45600000000000002</v>
      </c>
      <c r="AE443" s="78">
        <f t="shared" si="27"/>
        <v>7.5999999999999998E-2</v>
      </c>
    </row>
    <row r="444" spans="25:31">
      <c r="AB444" s="78">
        <f t="shared" si="24"/>
        <v>-0.2</v>
      </c>
      <c r="AC444" s="78">
        <f t="shared" si="25"/>
        <v>1.2</v>
      </c>
      <c r="AD444" s="78">
        <f t="shared" si="26"/>
        <v>0.40399999999999997</v>
      </c>
      <c r="AE444" s="78">
        <f t="shared" si="27"/>
        <v>8.3999999999999991E-2</v>
      </c>
    </row>
    <row r="445" spans="25:31">
      <c r="AB445" s="78">
        <f t="shared" si="24"/>
        <v>-0.1</v>
      </c>
      <c r="AC445" s="78">
        <f t="shared" si="25"/>
        <v>1.1000000000000001</v>
      </c>
      <c r="AD445" s="78">
        <f t="shared" si="26"/>
        <v>0.35200000000000004</v>
      </c>
      <c r="AE445" s="78">
        <f t="shared" si="27"/>
        <v>9.2000000000000012E-2</v>
      </c>
    </row>
    <row r="446" spans="25:31">
      <c r="AB446" s="78">
        <v>0</v>
      </c>
      <c r="AC446" s="78">
        <f t="shared" si="25"/>
        <v>1</v>
      </c>
      <c r="AD446" s="78">
        <f t="shared" si="26"/>
        <v>0.3</v>
      </c>
      <c r="AE446" s="78">
        <f t="shared" si="27"/>
        <v>0.1</v>
      </c>
    </row>
    <row r="447" spans="25:31">
      <c r="AB447" s="78">
        <f>+AB446+0.1</f>
        <v>0.1</v>
      </c>
      <c r="AC447" s="78">
        <f t="shared" si="25"/>
        <v>0.9</v>
      </c>
      <c r="AD447" s="78">
        <f t="shared" si="26"/>
        <v>0.248</v>
      </c>
      <c r="AE447" s="78">
        <f t="shared" si="27"/>
        <v>0.10800000000000001</v>
      </c>
    </row>
    <row r="448" spans="25:31">
      <c r="AB448" s="78">
        <f t="shared" ref="AB448:AB461" si="28">+AB447+0.05</f>
        <v>0.15000000000000002</v>
      </c>
      <c r="AC448" s="78">
        <f t="shared" si="25"/>
        <v>0.85</v>
      </c>
      <c r="AD448" s="78">
        <f t="shared" si="26"/>
        <v>0.22199999999999998</v>
      </c>
      <c r="AE448" s="78">
        <f t="shared" si="27"/>
        <v>0.11200000000000002</v>
      </c>
    </row>
    <row r="449" spans="28:31">
      <c r="AB449" s="78">
        <f t="shared" si="28"/>
        <v>0.2</v>
      </c>
      <c r="AC449" s="78">
        <f t="shared" si="25"/>
        <v>0.8</v>
      </c>
      <c r="AD449" s="78">
        <f t="shared" si="26"/>
        <v>0.19600000000000001</v>
      </c>
      <c r="AE449" s="78">
        <f t="shared" si="27"/>
        <v>0.11600000000000002</v>
      </c>
    </row>
    <row r="450" spans="28:31">
      <c r="AB450" s="78">
        <f t="shared" si="28"/>
        <v>0.25</v>
      </c>
      <c r="AC450" s="78">
        <f t="shared" si="25"/>
        <v>0.75</v>
      </c>
      <c r="AD450" s="78">
        <f t="shared" si="26"/>
        <v>0.16999999999999998</v>
      </c>
      <c r="AE450" s="78">
        <f t="shared" si="27"/>
        <v>0.12000000000000001</v>
      </c>
    </row>
    <row r="451" spans="28:31">
      <c r="AB451" s="78">
        <f t="shared" si="28"/>
        <v>0.3</v>
      </c>
      <c r="AC451" s="78">
        <f t="shared" si="25"/>
        <v>0.7</v>
      </c>
      <c r="AD451" s="78">
        <f t="shared" si="26"/>
        <v>0.14399999999999999</v>
      </c>
      <c r="AE451" s="78">
        <f t="shared" si="27"/>
        <v>0.124</v>
      </c>
    </row>
    <row r="452" spans="28:31">
      <c r="AB452" s="78">
        <f t="shared" si="28"/>
        <v>0.35</v>
      </c>
      <c r="AC452" s="78">
        <f t="shared" si="25"/>
        <v>0.65</v>
      </c>
      <c r="AD452" s="78">
        <f t="shared" si="26"/>
        <v>0.11800000000000001</v>
      </c>
      <c r="AE452" s="78">
        <f t="shared" si="27"/>
        <v>0.128</v>
      </c>
    </row>
    <row r="453" spans="28:31">
      <c r="AB453" s="78">
        <f t="shared" si="28"/>
        <v>0.39999999999999997</v>
      </c>
      <c r="AC453" s="78">
        <f t="shared" si="25"/>
        <v>0.60000000000000009</v>
      </c>
      <c r="AD453" s="78">
        <f t="shared" si="26"/>
        <v>9.200000000000004E-2</v>
      </c>
      <c r="AE453" s="78">
        <f t="shared" si="27"/>
        <v>0.13200000000000001</v>
      </c>
    </row>
    <row r="454" spans="28:31">
      <c r="AB454" s="78">
        <f t="shared" si="28"/>
        <v>0.44999999999999996</v>
      </c>
      <c r="AC454" s="78">
        <f t="shared" si="25"/>
        <v>0.55000000000000004</v>
      </c>
      <c r="AD454" s="78">
        <f t="shared" si="26"/>
        <v>6.6000000000000045E-2</v>
      </c>
      <c r="AE454" s="78">
        <f t="shared" si="27"/>
        <v>0.13600000000000001</v>
      </c>
    </row>
    <row r="455" spans="28:31">
      <c r="AB455" s="78">
        <f t="shared" si="28"/>
        <v>0.49999999999999994</v>
      </c>
      <c r="AC455" s="78">
        <f t="shared" si="25"/>
        <v>0.5</v>
      </c>
      <c r="AD455" s="78">
        <f t="shared" si="26"/>
        <v>3.9999999999999966E-2</v>
      </c>
      <c r="AE455" s="78">
        <f t="shared" si="27"/>
        <v>0.13999999999999999</v>
      </c>
    </row>
    <row r="456" spans="28:31">
      <c r="AB456" s="78">
        <f t="shared" si="28"/>
        <v>0.54999999999999993</v>
      </c>
      <c r="AC456" s="78">
        <f t="shared" si="25"/>
        <v>0.45000000000000007</v>
      </c>
      <c r="AD456" s="78">
        <f t="shared" si="26"/>
        <v>1.4000000000000061E-2</v>
      </c>
      <c r="AE456" s="78">
        <f t="shared" si="27"/>
        <v>0.14400000000000002</v>
      </c>
    </row>
    <row r="457" spans="28:31">
      <c r="AB457" s="78">
        <f t="shared" si="28"/>
        <v>0.6</v>
      </c>
      <c r="AC457" s="78">
        <f t="shared" si="25"/>
        <v>0.4</v>
      </c>
      <c r="AD457" s="78">
        <f t="shared" si="26"/>
        <v>1.2000000000000219E-2</v>
      </c>
      <c r="AE457" s="78">
        <f t="shared" si="27"/>
        <v>0.14800000000000002</v>
      </c>
    </row>
    <row r="458" spans="28:31">
      <c r="AB458" s="78">
        <f t="shared" si="28"/>
        <v>0.65</v>
      </c>
      <c r="AC458" s="78">
        <f t="shared" si="25"/>
        <v>0.35</v>
      </c>
      <c r="AD458" s="78">
        <f t="shared" si="26"/>
        <v>3.8000000000000055E-2</v>
      </c>
      <c r="AE458" s="78">
        <f t="shared" si="27"/>
        <v>0.152</v>
      </c>
    </row>
    <row r="459" spans="28:31">
      <c r="AB459" s="78">
        <f t="shared" si="28"/>
        <v>0.70000000000000007</v>
      </c>
      <c r="AC459" s="78">
        <f t="shared" si="25"/>
        <v>0.29999999999999993</v>
      </c>
      <c r="AD459" s="78">
        <f t="shared" si="26"/>
        <v>6.4000000000000015E-2</v>
      </c>
      <c r="AE459" s="78">
        <f t="shared" si="27"/>
        <v>0.156</v>
      </c>
    </row>
    <row r="460" spans="28:31">
      <c r="AB460" s="78">
        <f t="shared" si="28"/>
        <v>0.75000000000000011</v>
      </c>
      <c r="AC460" s="78">
        <f t="shared" si="25"/>
        <v>0.24999999999999989</v>
      </c>
      <c r="AD460" s="78">
        <f t="shared" si="26"/>
        <v>9.000000000000008E-2</v>
      </c>
      <c r="AE460" s="78">
        <f t="shared" si="27"/>
        <v>0.16</v>
      </c>
    </row>
    <row r="461" spans="28:31">
      <c r="AB461" s="78">
        <f t="shared" si="28"/>
        <v>0.80000000000000016</v>
      </c>
      <c r="AC461" s="78">
        <f t="shared" si="25"/>
        <v>0.19999999999999984</v>
      </c>
      <c r="AD461" s="78">
        <f t="shared" si="26"/>
        <v>0.11600000000000006</v>
      </c>
      <c r="AE461" s="78">
        <f t="shared" si="27"/>
        <v>0.16400000000000001</v>
      </c>
    </row>
    <row r="462" spans="28:31">
      <c r="AB462" s="78">
        <v>1</v>
      </c>
      <c r="AC462" s="78">
        <f t="shared" si="25"/>
        <v>0</v>
      </c>
      <c r="AD462" s="78">
        <f t="shared" si="26"/>
        <v>0.22</v>
      </c>
      <c r="AE462" s="78">
        <f t="shared" si="27"/>
        <v>0.18</v>
      </c>
    </row>
    <row r="463" spans="28:31">
      <c r="AB463" s="78">
        <f t="shared" ref="AB463:AB468" si="29">+AB462+0.1</f>
        <v>1.1000000000000001</v>
      </c>
      <c r="AC463" s="78">
        <f t="shared" si="25"/>
        <v>-0.10000000000000009</v>
      </c>
      <c r="AD463" s="78">
        <f t="shared" si="26"/>
        <v>0.27200000000000002</v>
      </c>
      <c r="AE463" s="78">
        <f t="shared" si="27"/>
        <v>0.188</v>
      </c>
    </row>
    <row r="464" spans="28:31">
      <c r="AB464" s="78">
        <f t="shared" si="29"/>
        <v>1.2000000000000002</v>
      </c>
      <c r="AC464" s="78">
        <f t="shared" si="25"/>
        <v>-0.20000000000000018</v>
      </c>
      <c r="AD464" s="78">
        <f t="shared" si="26"/>
        <v>0.32400000000000012</v>
      </c>
      <c r="AE464" s="78">
        <f t="shared" si="27"/>
        <v>0.19600000000000001</v>
      </c>
    </row>
    <row r="465" spans="2:31">
      <c r="AB465" s="78">
        <f t="shared" si="29"/>
        <v>1.3000000000000003</v>
      </c>
      <c r="AC465" s="78">
        <f t="shared" si="25"/>
        <v>-0.30000000000000027</v>
      </c>
      <c r="AD465" s="78">
        <f t="shared" si="26"/>
        <v>0.37600000000000011</v>
      </c>
      <c r="AE465" s="78">
        <f t="shared" si="27"/>
        <v>0.20400000000000001</v>
      </c>
    </row>
    <row r="466" spans="2:31">
      <c r="AB466" s="78">
        <f t="shared" si="29"/>
        <v>1.4000000000000004</v>
      </c>
      <c r="AC466" s="78">
        <f t="shared" si="25"/>
        <v>-0.40000000000000036</v>
      </c>
      <c r="AD466" s="78">
        <f t="shared" si="26"/>
        <v>0.42800000000000016</v>
      </c>
      <c r="AE466" s="78">
        <f t="shared" si="27"/>
        <v>0.21200000000000002</v>
      </c>
    </row>
    <row r="467" spans="2:31">
      <c r="AB467" s="78">
        <f t="shared" si="29"/>
        <v>1.5000000000000004</v>
      </c>
      <c r="AC467" s="78">
        <f t="shared" si="25"/>
        <v>-0.50000000000000044</v>
      </c>
      <c r="AD467" s="78">
        <f t="shared" si="26"/>
        <v>0.4800000000000002</v>
      </c>
      <c r="AE467" s="78">
        <f t="shared" si="27"/>
        <v>0.22000000000000003</v>
      </c>
    </row>
    <row r="468" spans="2:31">
      <c r="AB468" s="78">
        <f t="shared" si="29"/>
        <v>1.6000000000000005</v>
      </c>
      <c r="AC468" s="78">
        <f t="shared" si="25"/>
        <v>-0.60000000000000053</v>
      </c>
      <c r="AD468" s="78">
        <f t="shared" si="26"/>
        <v>0.53200000000000025</v>
      </c>
      <c r="AE468" s="78">
        <f t="shared" si="27"/>
        <v>0.22800000000000004</v>
      </c>
    </row>
    <row r="469" spans="2:31">
      <c r="B469" s="63" t="s">
        <v>403</v>
      </c>
      <c r="AB469" s="78">
        <v>0.57692305345319705</v>
      </c>
      <c r="AC469" s="78">
        <f t="shared" si="25"/>
        <v>0.42307694654680295</v>
      </c>
      <c r="AD469" s="78">
        <f>+SQRT(AB469^2*$Z$437^2+AC469^2*$Z$441^2+2*AB469*AC469*$Z$437*$Z$441*$AC$436)</f>
        <v>1.2071320225313046E-8</v>
      </c>
      <c r="AE469" s="78">
        <f>+AC469*$Z$440+AB469*$Z$436</f>
        <v>0.14615384427625577</v>
      </c>
    </row>
    <row r="470" spans="2:31">
      <c r="AB470" s="78">
        <v>0.99999999999997791</v>
      </c>
      <c r="AC470" s="78">
        <f t="shared" si="25"/>
        <v>2.2093438190040615E-14</v>
      </c>
      <c r="AD470" s="78">
        <f>+SQRT(AB470^2*$Z$437^2+AC470^2*$Z$441^2+2*AB470*AC470*$Z$437*$Z$441*$AC$436)</f>
        <v>0.21999999999998851</v>
      </c>
      <c r="AE470" s="78">
        <f>+AC470*$Z$440+AB470*$Z$436</f>
        <v>0.17999999999999824</v>
      </c>
    </row>
    <row r="500" spans="9:10">
      <c r="J500" s="63" t="s">
        <v>411</v>
      </c>
    </row>
    <row r="507" spans="9:10">
      <c r="I507" s="63" t="s">
        <v>412</v>
      </c>
    </row>
    <row r="508" spans="9:10">
      <c r="I508" s="63" t="s">
        <v>413</v>
      </c>
    </row>
    <row r="509" spans="9:10">
      <c r="I509" s="63" t="s">
        <v>414</v>
      </c>
    </row>
    <row r="513" spans="2:11">
      <c r="I513" s="63" t="s">
        <v>415</v>
      </c>
    </row>
    <row r="514" spans="2:11">
      <c r="I514" s="63" t="s">
        <v>416</v>
      </c>
    </row>
    <row r="515" spans="2:11">
      <c r="I515" s="63" t="s">
        <v>417</v>
      </c>
    </row>
    <row r="519" spans="2:11">
      <c r="I519" s="63" t="s">
        <v>418</v>
      </c>
    </row>
    <row r="520" spans="2:11">
      <c r="I520" s="63" t="s">
        <v>419</v>
      </c>
    </row>
    <row r="521" spans="2:11">
      <c r="I521" s="63" t="s">
        <v>420</v>
      </c>
    </row>
    <row r="523" spans="2:11">
      <c r="I523" s="63" t="s">
        <v>423</v>
      </c>
    </row>
    <row r="528" spans="2:11">
      <c r="B528" s="77" t="s">
        <v>425</v>
      </c>
      <c r="C528" s="62"/>
      <c r="D528" s="62"/>
      <c r="E528" s="62"/>
      <c r="F528" s="62"/>
      <c r="G528" s="62"/>
      <c r="H528" s="62"/>
      <c r="I528" s="62"/>
      <c r="J528" s="62"/>
      <c r="K528" s="62"/>
    </row>
    <row r="530" spans="8:8">
      <c r="H530" s="63" t="s">
        <v>424</v>
      </c>
    </row>
    <row r="532" spans="8:8">
      <c r="H532" s="63" t="s">
        <v>426</v>
      </c>
    </row>
    <row r="533" spans="8:8">
      <c r="H533" s="63" t="s">
        <v>427</v>
      </c>
    </row>
    <row r="534" spans="8:8">
      <c r="H534" s="63" t="s">
        <v>428</v>
      </c>
    </row>
    <row r="559" spans="2:11">
      <c r="B559" s="77" t="s">
        <v>429</v>
      </c>
      <c r="C559" s="62"/>
      <c r="D559" s="62"/>
      <c r="E559" s="62"/>
      <c r="F559" s="62"/>
      <c r="G559" s="62"/>
      <c r="H559" s="62"/>
      <c r="I559" s="62"/>
      <c r="J559" s="62"/>
      <c r="K559" s="62"/>
    </row>
    <row r="570" spans="6:6">
      <c r="F570" s="63" t="s">
        <v>430</v>
      </c>
    </row>
    <row r="571" spans="6:6">
      <c r="F571" s="63" t="s">
        <v>431</v>
      </c>
    </row>
    <row r="572" spans="6:6">
      <c r="F572" s="63" t="s">
        <v>432</v>
      </c>
    </row>
    <row r="586" spans="16:17">
      <c r="P586" s="87"/>
    </row>
    <row r="587" spans="16:17">
      <c r="P587" s="87"/>
    </row>
    <row r="588" spans="16:17">
      <c r="P588" s="87"/>
      <c r="Q588" s="51"/>
    </row>
    <row r="589" spans="16:17">
      <c r="Q589" s="51"/>
    </row>
    <row r="590" spans="16:17">
      <c r="Q590" s="51"/>
    </row>
    <row r="603" spans="2:11">
      <c r="B603" s="77" t="s">
        <v>82</v>
      </c>
      <c r="C603" s="62"/>
      <c r="D603" s="62"/>
      <c r="E603" s="62"/>
      <c r="F603" s="62"/>
      <c r="G603" s="62"/>
      <c r="H603" s="62"/>
      <c r="I603" s="62"/>
      <c r="J603" s="62"/>
      <c r="K603" s="62"/>
    </row>
    <row r="604" spans="2:11">
      <c r="B604" s="63" t="s">
        <v>433</v>
      </c>
    </row>
    <row r="606" spans="2:11">
      <c r="B606" s="63" t="s">
        <v>435</v>
      </c>
    </row>
    <row r="607" spans="2:11">
      <c r="B607" s="63" t="s">
        <v>434</v>
      </c>
    </row>
    <row r="608" spans="2:11">
      <c r="B608" s="63" t="s">
        <v>436</v>
      </c>
    </row>
    <row r="611" spans="2:6">
      <c r="B611" s="63" t="s">
        <v>437</v>
      </c>
    </row>
    <row r="612" spans="2:6">
      <c r="B612" s="63" t="s">
        <v>438</v>
      </c>
    </row>
    <row r="613" spans="2:6">
      <c r="B613" s="63" t="s">
        <v>439</v>
      </c>
    </row>
    <row r="620" spans="2:6">
      <c r="F620" s="63" t="s">
        <v>440</v>
      </c>
    </row>
    <row r="621" spans="2:6">
      <c r="F621" s="63" t="s">
        <v>441</v>
      </c>
    </row>
    <row r="631" spans="2:2">
      <c r="B631" s="63" t="s">
        <v>442</v>
      </c>
    </row>
    <row r="632" spans="2:2">
      <c r="B632" s="63" t="s">
        <v>443</v>
      </c>
    </row>
    <row r="648" spans="2:2">
      <c r="B648" s="63" t="s">
        <v>444</v>
      </c>
    </row>
    <row r="669" spans="2:2">
      <c r="B669" s="63" t="s">
        <v>445</v>
      </c>
    </row>
    <row r="671" spans="2:2">
      <c r="B671" s="63" t="s">
        <v>446</v>
      </c>
    </row>
    <row r="672" spans="2:2">
      <c r="B672" s="63" t="s">
        <v>447</v>
      </c>
    </row>
    <row r="673" spans="2:2">
      <c r="B673" s="63" t="s">
        <v>448</v>
      </c>
    </row>
    <row r="675" spans="2:2">
      <c r="B675" s="63" t="s">
        <v>449</v>
      </c>
    </row>
    <row r="676" spans="2:2">
      <c r="B676" s="63" t="s">
        <v>450</v>
      </c>
    </row>
    <row r="677" spans="2:2">
      <c r="B677" s="63" t="s">
        <v>451</v>
      </c>
    </row>
    <row r="678" spans="2:2">
      <c r="B678" s="63" t="s">
        <v>452</v>
      </c>
    </row>
    <row r="679" spans="2:2">
      <c r="B679" s="63" t="s">
        <v>453</v>
      </c>
    </row>
    <row r="680" spans="2:2">
      <c r="B680" s="63" t="s">
        <v>454</v>
      </c>
    </row>
    <row r="681" spans="2:2">
      <c r="B681" s="63" t="s">
        <v>455</v>
      </c>
    </row>
    <row r="688" spans="2:2">
      <c r="B688" s="63" t="s">
        <v>456</v>
      </c>
    </row>
    <row r="690" spans="2:2">
      <c r="B690" s="63" t="s">
        <v>457</v>
      </c>
    </row>
    <row r="691" spans="2:2">
      <c r="B691" s="63" t="s">
        <v>458</v>
      </c>
    </row>
    <row r="692" spans="2:2">
      <c r="B692" s="63" t="s">
        <v>459</v>
      </c>
    </row>
    <row r="693" spans="2:2">
      <c r="B693" s="63" t="s">
        <v>460</v>
      </c>
    </row>
    <row r="694" spans="2:2">
      <c r="B694" s="63" t="s">
        <v>461</v>
      </c>
    </row>
    <row r="695" spans="2:2">
      <c r="B695" s="63" t="s">
        <v>462</v>
      </c>
    </row>
    <row r="726" spans="2:12">
      <c r="B726" s="62" t="s">
        <v>463</v>
      </c>
      <c r="C726" s="62"/>
      <c r="D726" s="62"/>
      <c r="E726" s="62"/>
      <c r="F726" s="62"/>
      <c r="G726" s="62"/>
      <c r="H726" s="62"/>
      <c r="I726" s="62"/>
      <c r="J726" s="62"/>
      <c r="K726" s="62"/>
      <c r="L726" s="62"/>
    </row>
    <row r="729" spans="2:12">
      <c r="B729" s="63" t="s">
        <v>464</v>
      </c>
    </row>
    <row r="744" spans="2:12">
      <c r="B744" s="63" t="s">
        <v>465</v>
      </c>
    </row>
    <row r="745" spans="2:12">
      <c r="C745" s="63" t="s">
        <v>466</v>
      </c>
    </row>
    <row r="746" spans="2:12">
      <c r="C746" s="63" t="s">
        <v>467</v>
      </c>
    </row>
    <row r="747" spans="2:12">
      <c r="C747" s="63" t="s">
        <v>468</v>
      </c>
    </row>
    <row r="752" spans="2:12">
      <c r="B752" s="62" t="s">
        <v>469</v>
      </c>
      <c r="C752" s="62"/>
      <c r="D752" s="62"/>
      <c r="E752" s="62"/>
      <c r="F752" s="62"/>
      <c r="G752" s="62"/>
      <c r="H752" s="62"/>
      <c r="I752" s="62"/>
      <c r="J752" s="62"/>
      <c r="K752" s="62"/>
      <c r="L752" s="62"/>
    </row>
    <row r="754" spans="2:2">
      <c r="B754" s="63" t="s">
        <v>470</v>
      </c>
    </row>
  </sheetData>
  <mergeCells count="2">
    <mergeCell ref="B207:F221"/>
    <mergeCell ref="B408:K412"/>
  </mergeCell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7F094-0D19-1644-859D-923F4BF2F10A}">
  <sheetPr codeName="Sheet4">
    <tabColor theme="5" tint="-0.249977111117893"/>
  </sheetPr>
  <dimension ref="A1:N705"/>
  <sheetViews>
    <sheetView topLeftCell="A212" zoomScale="139" workbookViewId="0">
      <selection activeCell="B202" sqref="B202"/>
    </sheetView>
  </sheetViews>
  <sheetFormatPr baseColWidth="10" defaultRowHeight="16"/>
  <cols>
    <col min="1" max="1" width="10.83203125" style="47"/>
    <col min="2" max="2" width="19.33203125" style="45" customWidth="1"/>
    <col min="3" max="3" width="19.5" style="45" customWidth="1"/>
    <col min="4" max="4" width="10.83203125" style="45"/>
    <col min="5" max="5" width="13.33203125" style="45" customWidth="1"/>
    <col min="6" max="6" width="11.5" style="45" bestFit="1" customWidth="1"/>
    <col min="7" max="13" width="10.83203125" style="45"/>
    <col min="14" max="14" width="10.83203125" style="56"/>
  </cols>
  <sheetData>
    <row r="1" spans="1:13" s="56" customFormat="1" ht="26">
      <c r="A1" s="57" t="s">
        <v>471</v>
      </c>
      <c r="B1" s="57" t="s">
        <v>421</v>
      </c>
      <c r="C1" s="47"/>
      <c r="D1" s="47"/>
      <c r="E1" s="47"/>
      <c r="F1" s="47"/>
      <c r="G1" s="47"/>
      <c r="H1" s="47"/>
      <c r="I1" s="47"/>
      <c r="J1" s="47"/>
      <c r="K1" s="47"/>
      <c r="L1" s="47"/>
    </row>
    <row r="2" spans="1:13" s="56" customFormat="1">
      <c r="A2" s="47"/>
      <c r="B2" s="47" t="s">
        <v>472</v>
      </c>
      <c r="C2" s="47"/>
      <c r="D2" s="47"/>
      <c r="E2" s="47"/>
      <c r="F2" s="47"/>
      <c r="G2" s="47"/>
      <c r="H2" s="47"/>
      <c r="I2" s="47"/>
      <c r="J2" s="47"/>
      <c r="K2" s="47"/>
      <c r="L2" s="47"/>
    </row>
    <row r="3" spans="1:13">
      <c r="M3"/>
    </row>
    <row r="4" spans="1:13">
      <c r="B4" s="45" t="s">
        <v>473</v>
      </c>
      <c r="C4" s="45" t="s">
        <v>474</v>
      </c>
    </row>
    <row r="5" spans="1:13">
      <c r="C5" s="45" t="s">
        <v>475</v>
      </c>
    </row>
    <row r="7" spans="1:13">
      <c r="B7" s="45" t="s">
        <v>476</v>
      </c>
    </row>
    <row r="8" spans="1:13">
      <c r="C8" s="45" t="s">
        <v>485</v>
      </c>
      <c r="D8" s="45" t="s">
        <v>477</v>
      </c>
    </row>
    <row r="9" spans="1:13">
      <c r="C9" s="45" t="s">
        <v>478</v>
      </c>
    </row>
    <row r="11" spans="1:13">
      <c r="B11" s="45" t="s">
        <v>481</v>
      </c>
    </row>
    <row r="13" spans="1:13">
      <c r="B13" s="45" t="s">
        <v>482</v>
      </c>
    </row>
    <row r="15" spans="1:13">
      <c r="B15" s="45" t="s">
        <v>483</v>
      </c>
    </row>
    <row r="17" spans="2:3">
      <c r="B17" s="45" t="s">
        <v>484</v>
      </c>
    </row>
    <row r="19" spans="2:3">
      <c r="B19" s="45" t="s">
        <v>479</v>
      </c>
    </row>
    <row r="20" spans="2:3">
      <c r="C20" s="45" t="s">
        <v>480</v>
      </c>
    </row>
    <row r="21" spans="2:3">
      <c r="C21" s="45" t="s">
        <v>486</v>
      </c>
    </row>
    <row r="22" spans="2:3">
      <c r="C22" s="50" t="s">
        <v>487</v>
      </c>
    </row>
    <row r="26" spans="2:3">
      <c r="B26" s="45" t="s">
        <v>636</v>
      </c>
    </row>
    <row r="27" spans="2:3">
      <c r="B27" s="45" t="s">
        <v>630</v>
      </c>
    </row>
    <row r="28" spans="2:3">
      <c r="B28" s="45" t="s">
        <v>635</v>
      </c>
    </row>
    <row r="29" spans="2:3">
      <c r="B29" s="45" t="s">
        <v>631</v>
      </c>
    </row>
    <row r="30" spans="2:3">
      <c r="B30" s="45" t="s">
        <v>632</v>
      </c>
    </row>
    <row r="31" spans="2:3">
      <c r="B31" s="45" t="s">
        <v>634</v>
      </c>
    </row>
    <row r="34" spans="2:9">
      <c r="I34" s="45" t="s">
        <v>633</v>
      </c>
    </row>
    <row r="37" spans="2:9">
      <c r="B37" s="45" t="s">
        <v>637</v>
      </c>
    </row>
    <row r="38" spans="2:9">
      <c r="B38" s="50" t="s">
        <v>638</v>
      </c>
      <c r="C38" s="45" t="s">
        <v>639</v>
      </c>
    </row>
    <row r="51" spans="2:6">
      <c r="B51" s="46" t="s">
        <v>641</v>
      </c>
      <c r="C51" s="47"/>
      <c r="D51" s="47"/>
      <c r="E51" s="47"/>
      <c r="F51" s="47"/>
    </row>
    <row r="54" spans="2:6">
      <c r="B54" s="45" t="s">
        <v>642</v>
      </c>
    </row>
    <row r="55" spans="2:6">
      <c r="B55" s="45" t="s">
        <v>643</v>
      </c>
    </row>
    <row r="57" spans="2:6">
      <c r="B57" s="45" t="s">
        <v>644</v>
      </c>
    </row>
    <row r="58" spans="2:6">
      <c r="B58" s="45" t="s">
        <v>645</v>
      </c>
    </row>
    <row r="59" spans="2:6">
      <c r="B59" s="45" t="s">
        <v>646</v>
      </c>
    </row>
    <row r="60" spans="2:6">
      <c r="B60" s="45" t="s">
        <v>647</v>
      </c>
    </row>
    <row r="61" spans="2:6">
      <c r="C61" s="45" t="s">
        <v>648</v>
      </c>
    </row>
    <row r="66" spans="2:13">
      <c r="B66" s="46" t="s">
        <v>640</v>
      </c>
      <c r="C66" s="47"/>
      <c r="D66" s="47"/>
      <c r="E66" s="47"/>
      <c r="F66" s="47"/>
      <c r="G66" s="47"/>
      <c r="H66" s="47"/>
      <c r="I66" s="47"/>
      <c r="J66" s="47"/>
      <c r="K66" s="47"/>
      <c r="L66" s="47"/>
      <c r="M66" s="47"/>
    </row>
    <row r="67" spans="2:13">
      <c r="B67" s="47"/>
      <c r="C67" s="47"/>
      <c r="D67" s="47"/>
      <c r="E67" s="47"/>
      <c r="F67" s="47"/>
      <c r="G67" s="47"/>
      <c r="H67" s="47"/>
      <c r="I67" s="47"/>
      <c r="J67" s="47"/>
      <c r="K67" s="47"/>
      <c r="L67" s="47"/>
      <c r="M67" s="47"/>
    </row>
    <row r="69" spans="2:13">
      <c r="B69" s="45" t="s">
        <v>649</v>
      </c>
    </row>
    <row r="70" spans="2:13">
      <c r="B70" s="45" t="s">
        <v>650</v>
      </c>
    </row>
    <row r="71" spans="2:13">
      <c r="B71" s="45" t="s">
        <v>651</v>
      </c>
    </row>
    <row r="72" spans="2:13">
      <c r="B72" s="45" t="s">
        <v>652</v>
      </c>
    </row>
    <row r="73" spans="2:13">
      <c r="B73" s="45" t="s">
        <v>653</v>
      </c>
    </row>
    <row r="74" spans="2:13">
      <c r="B74" s="45" t="s">
        <v>654</v>
      </c>
    </row>
    <row r="75" spans="2:13">
      <c r="B75" s="47" t="s">
        <v>655</v>
      </c>
    </row>
    <row r="77" spans="2:13">
      <c r="L77" s="45" t="s">
        <v>656</v>
      </c>
    </row>
    <row r="98" spans="3:3">
      <c r="C98" s="45" t="s">
        <v>657</v>
      </c>
    </row>
    <row r="104" spans="3:3">
      <c r="C104" s="45" t="s">
        <v>658</v>
      </c>
    </row>
    <row r="113" spans="2:3">
      <c r="B113" s="45" t="s">
        <v>659</v>
      </c>
    </row>
    <row r="114" spans="2:3">
      <c r="B114" s="45" t="s">
        <v>660</v>
      </c>
    </row>
    <row r="118" spans="2:3">
      <c r="B118" s="45" t="s">
        <v>661</v>
      </c>
    </row>
    <row r="119" spans="2:3">
      <c r="C119" s="45" t="s">
        <v>662</v>
      </c>
    </row>
    <row r="121" spans="2:3">
      <c r="B121" s="45" t="s">
        <v>663</v>
      </c>
    </row>
    <row r="125" spans="2:3">
      <c r="B125" s="45" t="s">
        <v>750</v>
      </c>
    </row>
    <row r="130" spans="2:10">
      <c r="B130" s="45" t="s">
        <v>664</v>
      </c>
      <c r="D130" s="45" t="s">
        <v>665</v>
      </c>
    </row>
    <row r="131" spans="2:10">
      <c r="B131" s="45" t="s">
        <v>666</v>
      </c>
      <c r="I131" s="45" t="s">
        <v>667</v>
      </c>
    </row>
    <row r="132" spans="2:10">
      <c r="I132" s="45" t="s">
        <v>668</v>
      </c>
    </row>
    <row r="135" spans="2:10" ht="19">
      <c r="B135" s="96" t="s">
        <v>670</v>
      </c>
    </row>
    <row r="136" spans="2:10">
      <c r="B136" s="45" t="s">
        <v>669</v>
      </c>
    </row>
    <row r="138" spans="2:10">
      <c r="B138" s="45" t="s">
        <v>671</v>
      </c>
    </row>
    <row r="139" spans="2:10">
      <c r="B139" s="45" t="s">
        <v>672</v>
      </c>
    </row>
    <row r="140" spans="2:10">
      <c r="B140" s="45" t="s">
        <v>673</v>
      </c>
    </row>
    <row r="141" spans="2:10">
      <c r="B141" s="45" t="s">
        <v>674</v>
      </c>
    </row>
    <row r="142" spans="2:10">
      <c r="B142" s="45" t="s">
        <v>675</v>
      </c>
    </row>
    <row r="143" spans="2:10">
      <c r="J143" s="45" t="s">
        <v>679</v>
      </c>
    </row>
    <row r="149" spans="2:8">
      <c r="B149" s="45" t="s">
        <v>676</v>
      </c>
    </row>
    <row r="153" spans="2:8">
      <c r="H153" s="45" t="s">
        <v>680</v>
      </c>
    </row>
    <row r="154" spans="2:8">
      <c r="H154" s="45" t="s">
        <v>677</v>
      </c>
    </row>
    <row r="155" spans="2:8">
      <c r="H155" s="45" t="s">
        <v>678</v>
      </c>
    </row>
    <row r="159" spans="2:8">
      <c r="G159" s="45" t="s">
        <v>681</v>
      </c>
    </row>
    <row r="163" spans="2:5">
      <c r="B163" s="45" t="s">
        <v>682</v>
      </c>
    </row>
    <row r="164" spans="2:5">
      <c r="B164" s="45" t="s">
        <v>683</v>
      </c>
    </row>
    <row r="165" spans="2:5">
      <c r="B165" s="45" t="s">
        <v>684</v>
      </c>
    </row>
    <row r="166" spans="2:5">
      <c r="B166" s="45" t="s">
        <v>685</v>
      </c>
      <c r="C166" s="45" t="s">
        <v>686</v>
      </c>
      <c r="E166" s="45" t="s">
        <v>687</v>
      </c>
    </row>
    <row r="167" spans="2:5">
      <c r="E167" s="45" t="s">
        <v>688</v>
      </c>
    </row>
    <row r="169" spans="2:5">
      <c r="B169" s="45" t="s">
        <v>689</v>
      </c>
    </row>
    <row r="170" spans="2:5">
      <c r="B170" s="45" t="s">
        <v>690</v>
      </c>
      <c r="C170" s="45" t="s">
        <v>691</v>
      </c>
    </row>
    <row r="171" spans="2:5">
      <c r="C171" s="45" t="s">
        <v>692</v>
      </c>
    </row>
    <row r="172" spans="2:5">
      <c r="C172" s="45" t="s">
        <v>693</v>
      </c>
    </row>
    <row r="173" spans="2:5">
      <c r="C173" s="45" t="s">
        <v>694</v>
      </c>
    </row>
    <row r="174" spans="2:5">
      <c r="C174" s="45" t="s">
        <v>695</v>
      </c>
    </row>
    <row r="176" spans="2:5">
      <c r="B176" s="45" t="s">
        <v>696</v>
      </c>
    </row>
    <row r="177" spans="2:7">
      <c r="B177" s="45" t="s">
        <v>697</v>
      </c>
    </row>
    <row r="180" spans="2:7">
      <c r="B180" s="45" t="s">
        <v>698</v>
      </c>
    </row>
    <row r="181" spans="2:7">
      <c r="B181" s="45" t="s">
        <v>699</v>
      </c>
    </row>
    <row r="183" spans="2:7">
      <c r="B183" s="45" t="s">
        <v>700</v>
      </c>
    </row>
    <row r="184" spans="2:7">
      <c r="B184" s="45" t="s">
        <v>701</v>
      </c>
    </row>
    <row r="186" spans="2:7">
      <c r="G186" s="45" t="s">
        <v>702</v>
      </c>
    </row>
    <row r="191" spans="2:7">
      <c r="G191" s="45" t="s">
        <v>703</v>
      </c>
    </row>
    <row r="193" spans="2:8">
      <c r="G193" s="45" t="s">
        <v>704</v>
      </c>
    </row>
    <row r="200" spans="2:8">
      <c r="G200" s="45" t="s">
        <v>705</v>
      </c>
    </row>
    <row r="202" spans="2:8">
      <c r="B202" s="46" t="s">
        <v>613</v>
      </c>
      <c r="C202" s="47"/>
      <c r="D202" s="47"/>
      <c r="E202" s="47"/>
      <c r="F202" s="47"/>
      <c r="G202" s="47"/>
      <c r="H202" s="47"/>
    </row>
    <row r="203" spans="2:8">
      <c r="B203" s="45" t="s">
        <v>706</v>
      </c>
    </row>
    <row r="204" spans="2:8">
      <c r="B204" s="45" t="s">
        <v>707</v>
      </c>
    </row>
    <row r="205" spans="2:8">
      <c r="B205" s="45" t="s">
        <v>708</v>
      </c>
    </row>
    <row r="206" spans="2:8">
      <c r="B206" s="45" t="s">
        <v>709</v>
      </c>
    </row>
    <row r="207" spans="2:8">
      <c r="B207" s="45" t="s">
        <v>710</v>
      </c>
    </row>
    <row r="208" spans="2:8">
      <c r="B208" s="45" t="s">
        <v>711</v>
      </c>
    </row>
    <row r="213" spans="2:2">
      <c r="B213" s="45" t="s">
        <v>712</v>
      </c>
    </row>
    <row r="214" spans="2:2">
      <c r="B214" s="45" t="s">
        <v>713</v>
      </c>
    </row>
    <row r="217" spans="2:2">
      <c r="B217" s="45" t="s">
        <v>714</v>
      </c>
    </row>
    <row r="218" spans="2:2">
      <c r="B218" s="45" t="s">
        <v>715</v>
      </c>
    </row>
    <row r="219" spans="2:2">
      <c r="B219" s="45" t="s">
        <v>716</v>
      </c>
    </row>
    <row r="220" spans="2:2">
      <c r="B220" s="45" t="s">
        <v>717</v>
      </c>
    </row>
    <row r="221" spans="2:2">
      <c r="B221" s="45" t="s">
        <v>718</v>
      </c>
    </row>
    <row r="222" spans="2:2">
      <c r="B222" s="45" t="s">
        <v>719</v>
      </c>
    </row>
    <row r="223" spans="2:2">
      <c r="B223" s="45" t="s">
        <v>720</v>
      </c>
    </row>
    <row r="225" spans="2:2">
      <c r="B225" s="47" t="s">
        <v>655</v>
      </c>
    </row>
    <row r="226" spans="2:2">
      <c r="B226" s="45" t="s">
        <v>721</v>
      </c>
    </row>
    <row r="227" spans="2:2">
      <c r="B227" s="45" t="s">
        <v>722</v>
      </c>
    </row>
    <row r="228" spans="2:2">
      <c r="B228" s="45" t="s">
        <v>723</v>
      </c>
    </row>
    <row r="229" spans="2:2">
      <c r="B229" s="45" t="s">
        <v>724</v>
      </c>
    </row>
    <row r="230" spans="2:2">
      <c r="B230" s="45" t="s">
        <v>725</v>
      </c>
    </row>
    <row r="235" spans="2:2">
      <c r="B235" s="47" t="s">
        <v>655</v>
      </c>
    </row>
    <row r="236" spans="2:2">
      <c r="B236" s="45" t="s">
        <v>726</v>
      </c>
    </row>
    <row r="237" spans="2:2">
      <c r="B237" s="45" t="s">
        <v>727</v>
      </c>
    </row>
    <row r="238" spans="2:2">
      <c r="B238" s="45" t="s">
        <v>728</v>
      </c>
    </row>
    <row r="274" spans="1:13" s="56" customFormat="1" ht="26">
      <c r="A274" s="57"/>
      <c r="B274" s="45"/>
      <c r="C274" s="45"/>
      <c r="D274" s="45"/>
      <c r="E274" s="45"/>
      <c r="F274" s="45"/>
      <c r="G274" s="45"/>
      <c r="H274" s="45"/>
      <c r="I274" s="45"/>
      <c r="J274" s="45"/>
      <c r="K274" s="45"/>
      <c r="L274" s="45"/>
      <c r="M274" s="45"/>
    </row>
    <row r="275" spans="1:13" s="56" customFormat="1">
      <c r="A275" s="47"/>
      <c r="B275" s="45"/>
      <c r="C275" s="45"/>
      <c r="D275" s="45"/>
      <c r="E275" s="45"/>
      <c r="F275" s="45"/>
      <c r="G275" s="45"/>
      <c r="H275" s="45"/>
      <c r="I275" s="45"/>
      <c r="J275" s="45"/>
      <c r="K275" s="45"/>
      <c r="L275" s="45"/>
      <c r="M275" s="45"/>
    </row>
    <row r="704" spans="1:13" s="56" customFormat="1" ht="26">
      <c r="A704" s="57"/>
      <c r="B704" s="45"/>
      <c r="C704" s="45"/>
      <c r="D704" s="45"/>
      <c r="E704" s="45"/>
      <c r="F704" s="45"/>
      <c r="G704" s="45"/>
      <c r="H704" s="45"/>
      <c r="I704" s="45"/>
      <c r="J704" s="45"/>
      <c r="K704" s="45"/>
      <c r="L704" s="45"/>
      <c r="M704" s="45"/>
    </row>
    <row r="705" spans="1:13" s="56" customFormat="1">
      <c r="A705" s="47"/>
      <c r="B705" s="45"/>
      <c r="C705" s="45"/>
      <c r="D705" s="45"/>
      <c r="E705" s="45"/>
      <c r="F705" s="45"/>
      <c r="G705" s="45"/>
      <c r="H705" s="45"/>
      <c r="I705" s="45"/>
      <c r="J705" s="45"/>
      <c r="K705" s="45"/>
      <c r="L705" s="45"/>
      <c r="M705" s="45"/>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C10B8-9018-D241-9A25-CF243FD55432}">
  <sheetPr codeName="Sheet5">
    <tabColor theme="5" tint="-0.249977111117893"/>
  </sheetPr>
  <dimension ref="K2:Y22"/>
  <sheetViews>
    <sheetView workbookViewId="0">
      <selection activeCell="K47" sqref="K47"/>
    </sheetView>
  </sheetViews>
  <sheetFormatPr baseColWidth="10" defaultRowHeight="16"/>
  <cols>
    <col min="24" max="25" width="12.83203125" bestFit="1" customWidth="1"/>
  </cols>
  <sheetData>
    <row r="2" spans="11:25">
      <c r="N2" s="45"/>
      <c r="O2" s="45"/>
    </row>
    <row r="3" spans="11:25">
      <c r="K3" s="47"/>
      <c r="L3" s="48" t="s">
        <v>86</v>
      </c>
      <c r="M3" s="48" t="s">
        <v>87</v>
      </c>
      <c r="N3" s="45" t="s">
        <v>96</v>
      </c>
      <c r="O3" s="45" t="s">
        <v>97</v>
      </c>
      <c r="Q3">
        <f>+_xlfn.COVARIANCE.P(N5:N10, O5:O10)</f>
        <v>4.9904014724845508E-3</v>
      </c>
    </row>
    <row r="4" spans="11:25">
      <c r="K4" s="48">
        <v>40908</v>
      </c>
      <c r="L4" s="48">
        <v>1257.5999999999999</v>
      </c>
      <c r="M4" s="48">
        <v>17.91</v>
      </c>
      <c r="N4" s="45"/>
      <c r="O4" s="45"/>
    </row>
    <row r="5" spans="11:25">
      <c r="K5" s="48">
        <v>41274</v>
      </c>
      <c r="L5" s="48">
        <v>1426.19</v>
      </c>
      <c r="M5" s="48">
        <v>20.99</v>
      </c>
      <c r="N5" s="45">
        <f>+(L5-L4)/L4</f>
        <v>0.13405693384223932</v>
      </c>
      <c r="O5" s="45">
        <f>+(M5-M4)/M4</f>
        <v>0.1719709659408151</v>
      </c>
    </row>
    <row r="6" spans="11:25" ht="17" thickBot="1">
      <c r="K6" s="48">
        <v>41639</v>
      </c>
      <c r="L6" s="48">
        <v>1848.36</v>
      </c>
      <c r="M6" s="48">
        <v>28.03</v>
      </c>
      <c r="N6" s="45">
        <f t="shared" ref="N6:O10" si="0">+(L6-L5)/L5</f>
        <v>0.29601245275874871</v>
      </c>
      <c r="O6" s="45">
        <f t="shared" si="0"/>
        <v>0.33539780848022882</v>
      </c>
    </row>
    <row r="7" spans="11:25">
      <c r="K7" s="48">
        <v>42004</v>
      </c>
      <c r="L7" s="48">
        <v>2058.9</v>
      </c>
      <c r="M7" s="48">
        <v>25.27</v>
      </c>
      <c r="N7" s="45">
        <f t="shared" si="0"/>
        <v>0.11390638187366109</v>
      </c>
      <c r="O7" s="45">
        <f t="shared" si="0"/>
        <v>-9.8465929361398558E-2</v>
      </c>
      <c r="W7" s="53"/>
      <c r="X7" s="53" t="s">
        <v>406</v>
      </c>
      <c r="Y7" s="53" t="s">
        <v>407</v>
      </c>
    </row>
    <row r="8" spans="11:25">
      <c r="K8" s="48">
        <v>42369</v>
      </c>
      <c r="L8" s="48">
        <v>2043.94</v>
      </c>
      <c r="M8" s="48">
        <v>31.15</v>
      </c>
      <c r="N8" s="45">
        <f t="shared" si="0"/>
        <v>-7.2660158336976229E-3</v>
      </c>
      <c r="O8" s="45">
        <f t="shared" si="0"/>
        <v>0.23268698060941825</v>
      </c>
      <c r="W8" t="s">
        <v>406</v>
      </c>
      <c r="X8">
        <f>VARP(P_tut!$N$5:$N$10)</f>
        <v>7.9753642018601054E-3</v>
      </c>
      <c r="Y8">
        <f>+X9</f>
        <v>4.9904014724845508E-3</v>
      </c>
    </row>
    <row r="9" spans="11:25" ht="17" thickBot="1">
      <c r="K9" s="48">
        <v>42735</v>
      </c>
      <c r="L9" s="48">
        <v>2238.83</v>
      </c>
      <c r="M9" s="48">
        <v>31.6</v>
      </c>
      <c r="N9" s="45">
        <f t="shared" si="0"/>
        <v>9.5350157049619785E-2</v>
      </c>
      <c r="O9" s="45">
        <f t="shared" si="0"/>
        <v>1.4446227929374089E-2</v>
      </c>
      <c r="W9" s="52" t="s">
        <v>407</v>
      </c>
      <c r="X9" s="52">
        <v>4.9904014724845508E-3</v>
      </c>
      <c r="Y9" s="52">
        <f>VARP(P_tut!$O$5:$O$10)</f>
        <v>3.8548553601387252E-2</v>
      </c>
    </row>
    <row r="10" spans="11:25">
      <c r="K10" s="48">
        <v>43100</v>
      </c>
      <c r="L10" s="48">
        <v>2506.65</v>
      </c>
      <c r="M10" s="48">
        <v>24.2</v>
      </c>
      <c r="N10" s="45">
        <f t="shared" si="0"/>
        <v>0.11962498269185252</v>
      </c>
      <c r="O10" s="45">
        <f t="shared" si="0"/>
        <v>-0.23417721518987347</v>
      </c>
      <c r="R10" t="s">
        <v>409</v>
      </c>
    </row>
    <row r="11" spans="11:25">
      <c r="K11" s="45"/>
      <c r="L11" s="45"/>
      <c r="M11" s="45"/>
      <c r="N11" s="51">
        <f>+AVERAGE(N5:N10)</f>
        <v>0.12528081539707064</v>
      </c>
      <c r="O11" s="51">
        <f>+AVERAGE(O5:O10)</f>
        <v>7.030980640142738E-2</v>
      </c>
      <c r="P11" t="s">
        <v>404</v>
      </c>
      <c r="Q11" t="s">
        <v>408</v>
      </c>
      <c r="R11">
        <f>+Q3/(O12*N12)</f>
        <v>0.28461394797754991</v>
      </c>
    </row>
    <row r="12" spans="11:25">
      <c r="M12" s="51"/>
      <c r="N12" s="51">
        <f>+SQRT(X8)</f>
        <v>8.9304894613117955E-2</v>
      </c>
      <c r="O12" s="54">
        <f>+SQRT(Y9)</f>
        <v>0.19633785575223961</v>
      </c>
      <c r="P12" t="s">
        <v>405</v>
      </c>
      <c r="R12">
        <f>+CORREL(N5:N10,O5:O10)</f>
        <v>0.2846139479775498</v>
      </c>
      <c r="X12" t="s">
        <v>406</v>
      </c>
      <c r="Y12" t="s">
        <v>407</v>
      </c>
    </row>
    <row r="13" spans="11:25">
      <c r="K13" s="45"/>
      <c r="L13" s="49"/>
      <c r="M13" s="49"/>
      <c r="W13" t="s">
        <v>406</v>
      </c>
      <c r="X13">
        <v>7.9753642018601054E-3</v>
      </c>
      <c r="Y13">
        <f>+R11*(SQRT(X13)*SQRT(Y14))</f>
        <v>4.99040147248455E-3</v>
      </c>
    </row>
    <row r="14" spans="11:25">
      <c r="K14" s="45"/>
      <c r="L14" s="49"/>
      <c r="M14" s="49"/>
      <c r="W14" t="s">
        <v>407</v>
      </c>
      <c r="X14">
        <f>+R11*(SQRT(Y14)*SQRT(X13))</f>
        <v>4.99040147248455E-3</v>
      </c>
      <c r="Y14">
        <v>3.8548553601387252E-2</v>
      </c>
    </row>
    <row r="15" spans="11:25">
      <c r="K15" s="45"/>
      <c r="L15" s="49"/>
      <c r="M15" s="49"/>
    </row>
    <row r="16" spans="11:25">
      <c r="K16" s="45"/>
      <c r="L16" s="49"/>
      <c r="M16" s="49"/>
    </row>
    <row r="20" spans="16:20">
      <c r="Q20" t="s">
        <v>410</v>
      </c>
    </row>
    <row r="21" spans="16:20">
      <c r="P21" t="s">
        <v>86</v>
      </c>
      <c r="Q21">
        <v>0.3</v>
      </c>
      <c r="S21" t="s">
        <v>408</v>
      </c>
      <c r="T21">
        <f t="array" ref="T21">+MMULT(Q21:Q22, N11:O11)</f>
        <v>3.7584244619121195E-2</v>
      </c>
    </row>
    <row r="22" spans="16:20">
      <c r="P22" t="s">
        <v>105</v>
      </c>
      <c r="Q22">
        <v>0.7</v>
      </c>
    </row>
  </sheetData>
  <phoneticPr fontId="19"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718A0-8AF7-C74E-A5FF-FFC2EB2B9A33}">
  <sheetPr codeName="Sheet6">
    <tabColor theme="5" tint="-0.249977111117893"/>
  </sheetPr>
  <dimension ref="A14:U62"/>
  <sheetViews>
    <sheetView zoomScale="109" zoomScaleNormal="160" workbookViewId="0">
      <selection activeCell="R27" sqref="R27"/>
    </sheetView>
  </sheetViews>
  <sheetFormatPr baseColWidth="10" defaultRowHeight="16"/>
  <cols>
    <col min="11" max="11" width="16" customWidth="1"/>
    <col min="12" max="12" width="13.1640625" customWidth="1"/>
  </cols>
  <sheetData>
    <row r="14" spans="1:8">
      <c r="A14" t="s">
        <v>729</v>
      </c>
      <c r="D14" t="s">
        <v>732</v>
      </c>
    </row>
    <row r="15" spans="1:8">
      <c r="A15" t="s">
        <v>730</v>
      </c>
      <c r="B15">
        <v>0.12</v>
      </c>
      <c r="D15" t="s">
        <v>730</v>
      </c>
      <c r="E15">
        <v>0.13</v>
      </c>
      <c r="G15" t="s">
        <v>733</v>
      </c>
      <c r="H15">
        <v>0.11</v>
      </c>
    </row>
    <row r="16" spans="1:8">
      <c r="A16" t="s">
        <v>731</v>
      </c>
      <c r="B16">
        <v>1</v>
      </c>
      <c r="D16" t="s">
        <v>731</v>
      </c>
      <c r="E16">
        <v>1.5</v>
      </c>
      <c r="G16" t="s">
        <v>734</v>
      </c>
      <c r="H16">
        <v>0.05</v>
      </c>
    </row>
    <row r="18" spans="1:20">
      <c r="A18">
        <f>+B15-(H16+B16*(H15-H16) )</f>
        <v>9.999999999999995E-3</v>
      </c>
      <c r="D18">
        <f>+E15-(H16+E16*(H15-H16) )</f>
        <v>-1.0000000000000009E-2</v>
      </c>
    </row>
    <row r="24" spans="1:20" ht="17" thickBot="1"/>
    <row r="25" spans="1:20">
      <c r="Q25" s="53"/>
      <c r="R25" s="53" t="s">
        <v>406</v>
      </c>
      <c r="S25" s="53" t="s">
        <v>407</v>
      </c>
      <c r="T25" s="53" t="s">
        <v>741</v>
      </c>
    </row>
    <row r="26" spans="1:20">
      <c r="Q26" t="s">
        <v>406</v>
      </c>
      <c r="R26">
        <f>VARP(P_tut2!$P$38:$P$48)</f>
        <v>1.375874822159448E-2</v>
      </c>
      <c r="S26">
        <v>2.8845343075029714E-2</v>
      </c>
      <c r="T26">
        <v>1.5894835205363972E-2</v>
      </c>
    </row>
    <row r="27" spans="1:20">
      <c r="Q27" t="s">
        <v>407</v>
      </c>
      <c r="R27">
        <v>2.8845343075029714E-2</v>
      </c>
      <c r="S27">
        <f>VARP(P_tut2!$Q$38:$Q$48)</f>
        <v>0.3944674082756835</v>
      </c>
      <c r="T27">
        <v>0.25230209772177253</v>
      </c>
    </row>
    <row r="28" spans="1:20" ht="17" thickBot="1">
      <c r="Q28" s="52" t="s">
        <v>741</v>
      </c>
      <c r="R28" s="52">
        <v>1.5894835205363972E-2</v>
      </c>
      <c r="S28" s="52">
        <v>0.25230209772177253</v>
      </c>
      <c r="T28" s="52">
        <f>VARP(P_tut2!$R$38:$R$48)</f>
        <v>0.31035132935212717</v>
      </c>
    </row>
    <row r="30" spans="1:20">
      <c r="A30" t="s">
        <v>735</v>
      </c>
      <c r="B30">
        <v>0.08</v>
      </c>
    </row>
    <row r="31" spans="1:20">
      <c r="A31" t="s">
        <v>736</v>
      </c>
      <c r="B31">
        <v>0.16</v>
      </c>
      <c r="D31">
        <f>+B30+B32*(B31-B30)</f>
        <v>0.184</v>
      </c>
    </row>
    <row r="32" spans="1:20">
      <c r="A32" t="s">
        <v>731</v>
      </c>
      <c r="B32">
        <v>1.3</v>
      </c>
    </row>
    <row r="35" spans="11:21">
      <c r="M35" t="s">
        <v>738</v>
      </c>
      <c r="N35" t="s">
        <v>739</v>
      </c>
      <c r="O35" t="s">
        <v>740</v>
      </c>
    </row>
    <row r="36" spans="11:21">
      <c r="L36" s="97" t="s">
        <v>737</v>
      </c>
      <c r="T36" t="s">
        <v>738</v>
      </c>
      <c r="U36">
        <f>+AVERAGE(P38:P48)</f>
        <v>0.14430826876944736</v>
      </c>
    </row>
    <row r="37" spans="11:21">
      <c r="K37" s="98"/>
      <c r="L37" s="98">
        <v>39082</v>
      </c>
      <c r="M37" s="97">
        <v>36.93</v>
      </c>
      <c r="N37" s="97">
        <v>39.46</v>
      </c>
      <c r="O37" s="97">
        <v>12.12</v>
      </c>
      <c r="T37" t="s">
        <v>739</v>
      </c>
      <c r="U37">
        <f>+AVERAGE(Q38:Q48)</f>
        <v>0.49892936104312663</v>
      </c>
    </row>
    <row r="38" spans="11:21">
      <c r="K38" s="97"/>
      <c r="L38" s="98">
        <v>39447</v>
      </c>
      <c r="M38" s="97">
        <v>36.03</v>
      </c>
      <c r="N38" s="97">
        <v>92.64</v>
      </c>
      <c r="O38" s="97">
        <v>28.3</v>
      </c>
      <c r="P38">
        <f>+M38/M37-1</f>
        <v>-2.4370430544272903E-2</v>
      </c>
      <c r="Q38">
        <f t="shared" ref="Q38:R48" si="0">+N38/N37-1</f>
        <v>1.3476938672072984</v>
      </c>
      <c r="R38">
        <f t="shared" si="0"/>
        <v>1.334983498349835</v>
      </c>
      <c r="T38" t="s">
        <v>740</v>
      </c>
      <c r="U38">
        <f>+AVERAGE(R38:R48)</f>
        <v>0.3892675511798504</v>
      </c>
    </row>
    <row r="39" spans="11:21">
      <c r="K39" s="97"/>
      <c r="L39" s="98">
        <v>39813</v>
      </c>
      <c r="M39" s="97">
        <v>32.79</v>
      </c>
      <c r="N39" s="97">
        <v>51.28</v>
      </c>
      <c r="O39" s="97">
        <v>12.19</v>
      </c>
      <c r="P39">
        <f t="shared" ref="P39:P48" si="1">+M39/M38-1</f>
        <v>-8.9925062447960058E-2</v>
      </c>
      <c r="Q39">
        <f t="shared" si="0"/>
        <v>-0.44645941278065626</v>
      </c>
      <c r="R39">
        <f t="shared" si="0"/>
        <v>-0.56925795053003536</v>
      </c>
    </row>
    <row r="40" spans="11:21">
      <c r="K40" s="97"/>
      <c r="L40" s="98">
        <v>40178</v>
      </c>
      <c r="M40" s="97">
        <v>41.5</v>
      </c>
      <c r="N40" s="97">
        <v>134.52000000000001</v>
      </c>
      <c r="O40" s="97">
        <v>30.1</v>
      </c>
      <c r="P40">
        <f t="shared" si="1"/>
        <v>0.26562976517230874</v>
      </c>
      <c r="Q40">
        <f t="shared" si="0"/>
        <v>1.6232449297971918</v>
      </c>
      <c r="R40">
        <f t="shared" si="0"/>
        <v>1.4692370795734209</v>
      </c>
    </row>
    <row r="41" spans="11:21">
      <c r="L41" s="98">
        <v>40543</v>
      </c>
      <c r="M41" s="97">
        <v>48.49</v>
      </c>
      <c r="N41" s="97">
        <v>180</v>
      </c>
      <c r="O41" s="97">
        <v>46.08</v>
      </c>
      <c r="P41">
        <f t="shared" si="1"/>
        <v>0.16843373493975911</v>
      </c>
      <c r="Q41">
        <f t="shared" si="0"/>
        <v>0.33809099018733257</v>
      </c>
      <c r="R41">
        <f t="shared" si="0"/>
        <v>0.53089700996677736</v>
      </c>
    </row>
    <row r="42" spans="11:21">
      <c r="L42" s="98">
        <v>40908</v>
      </c>
      <c r="M42" s="97">
        <v>53.23</v>
      </c>
      <c r="N42" s="97">
        <v>173.1</v>
      </c>
      <c r="O42" s="97">
        <v>57.86</v>
      </c>
      <c r="P42">
        <f t="shared" si="1"/>
        <v>9.7752113837904719E-2</v>
      </c>
      <c r="Q42">
        <f t="shared" si="0"/>
        <v>-3.833333333333333E-2</v>
      </c>
      <c r="R42">
        <f t="shared" si="0"/>
        <v>0.25564236111111116</v>
      </c>
    </row>
    <row r="43" spans="11:21">
      <c r="K43" s="98"/>
      <c r="L43" s="98">
        <v>41274</v>
      </c>
      <c r="M43" s="97">
        <v>66.5</v>
      </c>
      <c r="N43" s="97">
        <v>250.87</v>
      </c>
      <c r="O43" s="97">
        <v>76.02</v>
      </c>
      <c r="P43">
        <f t="shared" si="1"/>
        <v>0.24929551005072326</v>
      </c>
      <c r="Q43">
        <f t="shared" si="0"/>
        <v>0.44927787406123643</v>
      </c>
      <c r="R43">
        <f t="shared" si="0"/>
        <v>0.31386104389906655</v>
      </c>
    </row>
    <row r="44" spans="11:21">
      <c r="K44" s="97"/>
      <c r="L44" s="98">
        <v>41639</v>
      </c>
      <c r="M44" s="97">
        <v>82.22</v>
      </c>
      <c r="N44" s="97">
        <v>398.79</v>
      </c>
      <c r="O44" s="97">
        <v>80.150000000000006</v>
      </c>
      <c r="P44">
        <f t="shared" si="1"/>
        <v>0.23639097744360904</v>
      </c>
      <c r="Q44">
        <f t="shared" si="0"/>
        <v>0.58962809423207241</v>
      </c>
      <c r="R44">
        <f t="shared" si="0"/>
        <v>5.4327808471454908E-2</v>
      </c>
    </row>
    <row r="45" spans="11:21">
      <c r="K45" s="97"/>
      <c r="L45" s="98">
        <v>42004</v>
      </c>
      <c r="M45" s="97">
        <v>89.31</v>
      </c>
      <c r="N45" s="97">
        <v>310.35000000000002</v>
      </c>
      <c r="O45" s="97">
        <v>110.38</v>
      </c>
      <c r="P45">
        <f t="shared" si="1"/>
        <v>8.6232060325954762E-2</v>
      </c>
      <c r="Q45">
        <f t="shared" si="0"/>
        <v>-0.22177085684194686</v>
      </c>
      <c r="R45">
        <f t="shared" si="0"/>
        <v>0.37716781035558311</v>
      </c>
    </row>
    <row r="46" spans="11:21">
      <c r="K46" s="97"/>
      <c r="L46" s="98">
        <v>42369</v>
      </c>
      <c r="M46" s="97">
        <v>104.5</v>
      </c>
      <c r="N46" s="97">
        <v>675.89</v>
      </c>
      <c r="O46" s="97">
        <v>105.26</v>
      </c>
      <c r="P46">
        <f t="shared" si="1"/>
        <v>0.17008173776732716</v>
      </c>
      <c r="Q46">
        <f t="shared" si="0"/>
        <v>1.1778314805864345</v>
      </c>
      <c r="R46">
        <f t="shared" si="0"/>
        <v>-4.6385214712810208E-2</v>
      </c>
    </row>
    <row r="47" spans="11:21">
      <c r="K47" s="98"/>
      <c r="L47" s="98">
        <v>42735</v>
      </c>
      <c r="M47" s="97">
        <v>117.13</v>
      </c>
      <c r="N47" s="97">
        <v>749.87</v>
      </c>
      <c r="O47" s="97">
        <v>115.82</v>
      </c>
      <c r="P47">
        <f t="shared" si="1"/>
        <v>0.12086124401913878</v>
      </c>
      <c r="Q47">
        <f t="shared" si="0"/>
        <v>0.1094556806580953</v>
      </c>
      <c r="R47">
        <f t="shared" si="0"/>
        <v>0.10032300969029051</v>
      </c>
    </row>
    <row r="48" spans="11:21">
      <c r="K48" s="97"/>
      <c r="L48" s="98">
        <v>43100</v>
      </c>
      <c r="M48" s="97">
        <v>153.09</v>
      </c>
      <c r="N48" s="99">
        <v>1169.47</v>
      </c>
      <c r="O48" s="97">
        <v>169.23</v>
      </c>
      <c r="P48">
        <f t="shared" si="1"/>
        <v>0.3070093058994281</v>
      </c>
      <c r="Q48">
        <f t="shared" si="0"/>
        <v>0.55956365770066818</v>
      </c>
      <c r="R48">
        <f t="shared" si="0"/>
        <v>0.46114660680366093</v>
      </c>
    </row>
    <row r="49" spans="11:11">
      <c r="K49" s="97"/>
    </row>
    <row r="50" spans="11:11">
      <c r="K50" s="97"/>
    </row>
    <row r="51" spans="11:11">
      <c r="K51" s="98"/>
    </row>
    <row r="52" spans="11:11">
      <c r="K52" s="97"/>
    </row>
    <row r="53" spans="11:11">
      <c r="K53" s="97"/>
    </row>
    <row r="54" spans="11:11">
      <c r="K54" s="97"/>
    </row>
    <row r="55" spans="11:11">
      <c r="K55" s="98"/>
    </row>
    <row r="56" spans="11:11">
      <c r="K56" s="97"/>
    </row>
    <row r="57" spans="11:11">
      <c r="K57" s="97"/>
    </row>
    <row r="58" spans="11:11">
      <c r="K58" s="97"/>
    </row>
    <row r="59" spans="11:11">
      <c r="K59" s="98"/>
    </row>
    <row r="60" spans="11:11">
      <c r="K60" s="97"/>
    </row>
    <row r="61" spans="11:11">
      <c r="K61" s="99"/>
    </row>
    <row r="62" spans="11:11">
      <c r="K62" s="9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62B97-B1ED-7F4B-BFEE-C692AFA0309D}">
  <sheetPr>
    <tabColor theme="5" tint="-0.249977111117893"/>
  </sheetPr>
  <dimension ref="A5:C6"/>
  <sheetViews>
    <sheetView zoomScale="224" workbookViewId="0">
      <selection activeCell="B7" sqref="B7"/>
    </sheetView>
  </sheetViews>
  <sheetFormatPr baseColWidth="10" defaultRowHeight="16"/>
  <cols>
    <col min="1" max="2" width="14.5" customWidth="1"/>
  </cols>
  <sheetData>
    <row r="5" spans="1:3">
      <c r="A5" t="s">
        <v>742</v>
      </c>
      <c r="B5" t="s">
        <v>743</v>
      </c>
      <c r="C5" t="s">
        <v>262</v>
      </c>
    </row>
    <row r="6" spans="1:3">
      <c r="A6">
        <v>0.06</v>
      </c>
      <c r="B6">
        <f>+A6+C6</f>
        <v>0.09</v>
      </c>
      <c r="C6">
        <v>0.03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1A7C4-46D9-A04D-8277-3FDE5BE9F46F}">
  <sheetPr codeName="Sheet7">
    <tabColor theme="5" tint="-0.249977111117893"/>
  </sheetPr>
  <dimension ref="A2:K214"/>
  <sheetViews>
    <sheetView topLeftCell="A202" zoomScale="150" workbookViewId="0">
      <selection activeCell="D234" sqref="D234"/>
    </sheetView>
  </sheetViews>
  <sheetFormatPr baseColWidth="10" defaultRowHeight="16"/>
  <cols>
    <col min="1" max="1" width="10.83203125" style="1"/>
    <col min="2" max="2" width="16.83203125" style="1" customWidth="1"/>
    <col min="3" max="3" width="14.1640625" style="1" customWidth="1"/>
    <col min="4" max="4" width="21" style="1" customWidth="1"/>
    <col min="5" max="5" width="14.83203125" style="1" customWidth="1"/>
    <col min="6" max="6" width="23" style="1" customWidth="1"/>
    <col min="7" max="7" width="24.1640625" style="1" customWidth="1"/>
    <col min="8" max="8" width="10.5" style="1" customWidth="1"/>
    <col min="9" max="9" width="11.5" style="1"/>
    <col min="10" max="10" width="11.5" style="1" customWidth="1"/>
    <col min="11" max="11" width="10.83203125" style="1"/>
  </cols>
  <sheetData>
    <row r="2" spans="1:11" ht="19">
      <c r="B2" s="2" t="s">
        <v>0</v>
      </c>
    </row>
    <row r="4" spans="1:11">
      <c r="B4" s="3" t="s">
        <v>1</v>
      </c>
    </row>
    <row r="5" spans="1:11">
      <c r="B5" s="3" t="s">
        <v>2</v>
      </c>
    </row>
    <row r="7" spans="1:11">
      <c r="B7" s="3" t="s">
        <v>3</v>
      </c>
    </row>
    <row r="8" spans="1:11">
      <c r="B8" s="4"/>
      <c r="C8" s="5"/>
    </row>
    <row r="9" spans="1:11" ht="18" thickBot="1">
      <c r="B9" s="4"/>
      <c r="D9" s="115" t="s">
        <v>4</v>
      </c>
      <c r="E9" s="115"/>
      <c r="F9" s="6" t="s">
        <v>5</v>
      </c>
    </row>
    <row r="10" spans="1:11">
      <c r="B10" s="4"/>
      <c r="D10" s="7"/>
      <c r="E10" s="7"/>
      <c r="F10" s="7"/>
    </row>
    <row r="11" spans="1:11" ht="34">
      <c r="A11" s="8"/>
      <c r="B11" s="9"/>
      <c r="C11" s="9"/>
      <c r="D11" s="10" t="s">
        <v>6</v>
      </c>
      <c r="E11" s="10" t="s">
        <v>7</v>
      </c>
      <c r="F11" s="10" t="s">
        <v>8</v>
      </c>
      <c r="G11" s="8"/>
      <c r="H11" s="8"/>
      <c r="I11" s="8"/>
      <c r="J11" s="8"/>
      <c r="K11" s="8"/>
    </row>
    <row r="12" spans="1:11">
      <c r="B12" s="4"/>
      <c r="C12" s="11" t="s">
        <v>9</v>
      </c>
      <c r="D12" s="1">
        <v>0.5</v>
      </c>
      <c r="E12" s="1">
        <v>0.3</v>
      </c>
      <c r="F12" s="1">
        <v>0.2</v>
      </c>
    </row>
    <row r="13" spans="1:11">
      <c r="B13" s="1" t="s">
        <v>10</v>
      </c>
      <c r="C13" s="11" t="s">
        <v>11</v>
      </c>
      <c r="D13" s="12">
        <v>0.25</v>
      </c>
      <c r="E13" s="12">
        <v>0.1</v>
      </c>
      <c r="F13" s="12">
        <v>-0.25</v>
      </c>
    </row>
    <row r="17" spans="2:4">
      <c r="B17" s="11" t="s">
        <v>12</v>
      </c>
    </row>
    <row r="23" spans="2:4">
      <c r="D23" s="13">
        <f>$D$12*$D$13+$E$12*$E$13+$F$12*$F$13</f>
        <v>0.105</v>
      </c>
    </row>
    <row r="28" spans="2:4">
      <c r="B28" s="11" t="s">
        <v>13</v>
      </c>
    </row>
    <row r="33" spans="2:11">
      <c r="D33" s="13">
        <f>$D$12*($D$13-$D$23)^2+$E$12*($E$13-$D$23)^2+$F$12*($F$13-$D$23)^2</f>
        <v>3.5725000000000007E-2</v>
      </c>
      <c r="G33" s="1" t="s">
        <v>14</v>
      </c>
      <c r="K33" s="13">
        <f>$D$12*($D$13-$D$23)+$E$12*($E$13-$D$23)+$F$12*($F$13-$D$23)</f>
        <v>0</v>
      </c>
    </row>
    <row r="36" spans="2:11">
      <c r="C36" s="1" t="s">
        <v>15</v>
      </c>
    </row>
    <row r="41" spans="2:11">
      <c r="D41" s="14">
        <f>($D$33)^(1/2)</f>
        <v>0.189010581714358</v>
      </c>
    </row>
    <row r="45" spans="2:11">
      <c r="B45" s="11" t="s">
        <v>16</v>
      </c>
    </row>
    <row r="49" spans="2:9">
      <c r="C49" s="1" t="s">
        <v>17</v>
      </c>
    </row>
    <row r="50" spans="2:9">
      <c r="C50" s="15">
        <v>0.5</v>
      </c>
      <c r="D50" s="1" t="s">
        <v>18</v>
      </c>
    </row>
    <row r="51" spans="2:9">
      <c r="C51" s="15">
        <v>0.5</v>
      </c>
      <c r="D51" s="1" t="s">
        <v>19</v>
      </c>
      <c r="H51" s="16">
        <v>0.05</v>
      </c>
    </row>
    <row r="52" spans="2:9">
      <c r="C52" s="15"/>
    </row>
    <row r="56" spans="2:9">
      <c r="D56" s="1">
        <f>$C$50*$D$23+$C$51*$H$51</f>
        <v>7.7499999999999999E-2</v>
      </c>
    </row>
    <row r="58" spans="2:9">
      <c r="B58" s="17"/>
    </row>
    <row r="59" spans="2:9" ht="18" thickBot="1">
      <c r="B59" s="17"/>
      <c r="D59" s="115" t="s">
        <v>4</v>
      </c>
      <c r="E59" s="115"/>
      <c r="F59" s="6" t="s">
        <v>5</v>
      </c>
    </row>
    <row r="60" spans="2:9">
      <c r="B60" s="17"/>
      <c r="D60" s="7"/>
      <c r="E60" s="7"/>
      <c r="F60" s="7"/>
    </row>
    <row r="61" spans="2:9" ht="34">
      <c r="B61" s="9"/>
      <c r="C61" s="9"/>
      <c r="D61" s="10" t="s">
        <v>6</v>
      </c>
      <c r="E61" s="10" t="s">
        <v>7</v>
      </c>
      <c r="F61" s="10" t="s">
        <v>8</v>
      </c>
      <c r="H61" s="10" t="s">
        <v>20</v>
      </c>
      <c r="I61" s="10" t="s">
        <v>21</v>
      </c>
    </row>
    <row r="62" spans="2:9">
      <c r="C62" s="11" t="s">
        <v>9</v>
      </c>
      <c r="D62" s="1">
        <v>0.5</v>
      </c>
      <c r="E62" s="1">
        <v>0.3</v>
      </c>
      <c r="F62" s="1">
        <v>0.2</v>
      </c>
    </row>
    <row r="63" spans="2:9">
      <c r="B63" s="18" t="s">
        <v>10</v>
      </c>
      <c r="C63" s="11" t="s">
        <v>11</v>
      </c>
      <c r="D63" s="12">
        <v>0.25</v>
      </c>
      <c r="E63" s="12">
        <v>0.1</v>
      </c>
      <c r="F63" s="12">
        <v>-0.25</v>
      </c>
      <c r="H63" s="19">
        <f>$D$146*D63+$E$146*E63+$F$146*F63</f>
        <v>0.105</v>
      </c>
      <c r="I63" s="19">
        <f>($D$146*(D63-H63)^2+$E$146*(E63-H63)^2+$F$146*(F63-H63)^2)^(1/2)</f>
        <v>0.189010581714358</v>
      </c>
    </row>
    <row r="64" spans="2:9">
      <c r="B64" s="18" t="s">
        <v>22</v>
      </c>
      <c r="C64" s="11" t="s">
        <v>11</v>
      </c>
      <c r="D64" s="12">
        <v>0.05</v>
      </c>
      <c r="E64" s="12">
        <v>0.05</v>
      </c>
      <c r="F64" s="12">
        <v>0.05</v>
      </c>
      <c r="H64" s="19">
        <f>$D$146*D64+$E$146*E64+$F$146*F64</f>
        <v>0.05</v>
      </c>
      <c r="I64" s="19">
        <f>($D$146*(D64-H64)^2+$E$146*(E64-H64)^2+$F$146*(F64-H64)^2)^(1/2)</f>
        <v>0</v>
      </c>
    </row>
    <row r="65" spans="2:9">
      <c r="B65" s="18" t="s">
        <v>23</v>
      </c>
      <c r="C65" s="11" t="s">
        <v>11</v>
      </c>
      <c r="D65" s="15">
        <f>0.5*D63+0.5*D64</f>
        <v>0.15</v>
      </c>
      <c r="E65" s="15">
        <f>0.5*E63+0.5*E64</f>
        <v>7.5000000000000011E-2</v>
      </c>
      <c r="F65" s="15">
        <f>0.5*F63+0.5*F64</f>
        <v>-0.1</v>
      </c>
      <c r="H65" s="19">
        <f>$D$146*D65+$E$146*E65+$F$146*F65</f>
        <v>7.7499999999999999E-2</v>
      </c>
      <c r="I65" s="19">
        <f>($D$146*(D65-H65)^2+$E$146*(E65-H65)^2+$F$146*(F65-H65)^2)^(1/2)</f>
        <v>9.4505290857179E-2</v>
      </c>
    </row>
    <row r="66" spans="2:9">
      <c r="C66" s="11"/>
      <c r="D66" s="15"/>
      <c r="E66" s="15"/>
      <c r="F66" s="15"/>
      <c r="H66" s="19"/>
      <c r="I66" s="19"/>
    </row>
    <row r="68" spans="2:9">
      <c r="B68" s="11" t="s">
        <v>24</v>
      </c>
    </row>
    <row r="73" spans="2:9">
      <c r="D73" s="20">
        <f>C50*D41</f>
        <v>9.4505290857179E-2</v>
      </c>
    </row>
    <row r="74" spans="2:9">
      <c r="D74" s="20"/>
    </row>
    <row r="75" spans="2:9">
      <c r="D75" s="20">
        <f>($D$62*(D65-$D$56)^2+E62*(E65-$D$56)^2+F62*(F65-D56)^2)^(1/2)</f>
        <v>9.4505290857179E-2</v>
      </c>
    </row>
    <row r="76" spans="2:9">
      <c r="D76" s="20"/>
    </row>
    <row r="79" spans="2:9">
      <c r="C79" s="1" t="s">
        <v>25</v>
      </c>
    </row>
    <row r="80" spans="2:9">
      <c r="C80" s="1" t="s">
        <v>26</v>
      </c>
    </row>
    <row r="81" spans="2:9">
      <c r="C81" s="1" t="s">
        <v>27</v>
      </c>
    </row>
    <row r="84" spans="2:9">
      <c r="B84" s="4"/>
    </row>
    <row r="85" spans="2:9" ht="18" thickBot="1">
      <c r="B85" s="4"/>
      <c r="D85" s="115" t="s">
        <v>4</v>
      </c>
      <c r="E85" s="115"/>
      <c r="F85" s="6" t="s">
        <v>5</v>
      </c>
    </row>
    <row r="86" spans="2:9">
      <c r="B86" s="4"/>
      <c r="D86" s="7"/>
      <c r="E86" s="7"/>
      <c r="F86" s="7"/>
    </row>
    <row r="87" spans="2:9" ht="34">
      <c r="B87" s="4"/>
      <c r="C87" s="9"/>
      <c r="D87" s="10" t="s">
        <v>6</v>
      </c>
      <c r="E87" s="10" t="s">
        <v>7</v>
      </c>
      <c r="F87" s="10" t="s">
        <v>8</v>
      </c>
      <c r="H87" s="10" t="s">
        <v>20</v>
      </c>
      <c r="I87" s="10" t="s">
        <v>21</v>
      </c>
    </row>
    <row r="88" spans="2:9">
      <c r="B88" s="4"/>
      <c r="C88" s="11" t="s">
        <v>9</v>
      </c>
      <c r="D88" s="1">
        <v>0.5</v>
      </c>
      <c r="E88" s="1">
        <v>0.3</v>
      </c>
      <c r="F88" s="1">
        <v>0.2</v>
      </c>
    </row>
    <row r="89" spans="2:9">
      <c r="B89" s="1" t="s">
        <v>10</v>
      </c>
      <c r="C89" s="11" t="s">
        <v>11</v>
      </c>
      <c r="D89" s="12">
        <v>0.25</v>
      </c>
      <c r="E89" s="12">
        <v>0.1</v>
      </c>
      <c r="F89" s="12">
        <v>-0.25</v>
      </c>
      <c r="H89" s="19">
        <f>$D$88*D89+$E$88*E89+$F$88*F89</f>
        <v>0.105</v>
      </c>
      <c r="I89" s="19">
        <f>($D$88*(D89-H89)^2+$E$88*(E89-H89)^2+$F$88*(F89-H89)^2)^(1/2)</f>
        <v>0.189010581714358</v>
      </c>
    </row>
    <row r="90" spans="2:9">
      <c r="B90" s="1" t="s">
        <v>22</v>
      </c>
      <c r="C90" s="11" t="s">
        <v>11</v>
      </c>
      <c r="D90" s="12">
        <v>0.05</v>
      </c>
      <c r="E90" s="12">
        <v>0.05</v>
      </c>
      <c r="F90" s="12">
        <v>0.05</v>
      </c>
      <c r="H90" s="19">
        <f>$D$88*D90+$E$88*E90+$F$88*F90</f>
        <v>0.05</v>
      </c>
      <c r="I90" s="19">
        <f>($D$88*(D90-H90)^2+$E$88*(E90-H90)^2+$F$88*(F90-H90)^2)^(1/2)</f>
        <v>0</v>
      </c>
    </row>
    <row r="91" spans="2:9">
      <c r="B91" s="1" t="s">
        <v>23</v>
      </c>
      <c r="C91" s="11" t="s">
        <v>11</v>
      </c>
      <c r="D91" s="15">
        <f>0.5*D89+0.5*D90</f>
        <v>0.15</v>
      </c>
      <c r="E91" s="15">
        <f>0.5*E89+0.5*E90</f>
        <v>7.5000000000000011E-2</v>
      </c>
      <c r="F91" s="15">
        <f>0.5*F89+0.5*F90</f>
        <v>-0.1</v>
      </c>
      <c r="H91" s="19">
        <f>$D$88*D91+$E$88*E91+$F$88*F91</f>
        <v>7.7499999999999999E-2</v>
      </c>
      <c r="I91" s="19">
        <f>($D$88*(D91-H91)^2+$E$88*(E91-H91)^2+$F$88*(F91-H91)^2)^(1/2)</f>
        <v>9.4505290857179E-2</v>
      </c>
    </row>
    <row r="92" spans="2:9">
      <c r="B92" s="1" t="s">
        <v>28</v>
      </c>
      <c r="C92" s="11" t="s">
        <v>11</v>
      </c>
      <c r="D92" s="12">
        <v>0.01</v>
      </c>
      <c r="E92" s="12">
        <v>-0.05</v>
      </c>
      <c r="F92" s="12">
        <v>0.35</v>
      </c>
      <c r="H92" s="19">
        <f>$D$88*D92+$E$88*E92+$F$88*F92</f>
        <v>0.06</v>
      </c>
      <c r="I92" s="19">
        <f>($D$88*(D92-H92)^2+$E$88*(E92-H92)^2+$F$88*(F92-H92)^2)^(1/2)</f>
        <v>0.14730919862656233</v>
      </c>
    </row>
    <row r="95" spans="2:9">
      <c r="C95" s="1" t="s">
        <v>29</v>
      </c>
    </row>
    <row r="96" spans="2:9">
      <c r="C96" s="1" t="s">
        <v>30</v>
      </c>
    </row>
    <row r="98" spans="2:9">
      <c r="C98" s="1" t="s">
        <v>31</v>
      </c>
    </row>
    <row r="99" spans="2:9">
      <c r="C99" s="15">
        <v>0.5</v>
      </c>
      <c r="D99" s="1" t="s">
        <v>18</v>
      </c>
    </row>
    <row r="100" spans="2:9">
      <c r="C100" s="15">
        <v>0.5</v>
      </c>
      <c r="D100" s="1" t="s">
        <v>32</v>
      </c>
    </row>
    <row r="103" spans="2:9">
      <c r="B103" s="17"/>
    </row>
    <row r="104" spans="2:9" ht="18" thickBot="1">
      <c r="B104" s="17"/>
      <c r="D104" s="115" t="s">
        <v>4</v>
      </c>
      <c r="E104" s="115"/>
      <c r="F104" s="6" t="s">
        <v>5</v>
      </c>
    </row>
    <row r="105" spans="2:9">
      <c r="B105" s="17"/>
      <c r="D105" s="7"/>
      <c r="E105" s="7"/>
      <c r="F105" s="7"/>
    </row>
    <row r="106" spans="2:9" ht="34">
      <c r="B106" s="17"/>
      <c r="C106" s="9"/>
      <c r="D106" s="10" t="s">
        <v>6</v>
      </c>
      <c r="E106" s="10" t="s">
        <v>7</v>
      </c>
      <c r="F106" s="10" t="s">
        <v>8</v>
      </c>
      <c r="H106" s="10" t="s">
        <v>20</v>
      </c>
      <c r="I106" s="10" t="s">
        <v>21</v>
      </c>
    </row>
    <row r="107" spans="2:9">
      <c r="B107" s="4"/>
      <c r="C107" s="11" t="s">
        <v>9</v>
      </c>
      <c r="D107" s="1">
        <v>0.5</v>
      </c>
      <c r="E107" s="1">
        <v>0.3</v>
      </c>
      <c r="F107" s="1">
        <v>0.2</v>
      </c>
    </row>
    <row r="108" spans="2:9">
      <c r="B108" s="1" t="s">
        <v>10</v>
      </c>
      <c r="C108" s="11" t="s">
        <v>11</v>
      </c>
      <c r="D108" s="12">
        <v>0.25</v>
      </c>
      <c r="E108" s="12">
        <v>0.1</v>
      </c>
      <c r="F108" s="12">
        <v>-0.25</v>
      </c>
      <c r="H108" s="19">
        <f>$D$107*D108+$E$107*E108+$F$107*F108</f>
        <v>0.105</v>
      </c>
      <c r="I108" s="19">
        <f>($D$107*(D108-H108)^2+$E$107*(E108-H108)^2+$F$107*(F108-H108)^2)^(1/2)</f>
        <v>0.189010581714358</v>
      </c>
    </row>
    <row r="109" spans="2:9">
      <c r="B109" s="1" t="s">
        <v>22</v>
      </c>
      <c r="C109" s="11" t="s">
        <v>11</v>
      </c>
      <c r="D109" s="12">
        <v>0.05</v>
      </c>
      <c r="E109" s="12">
        <v>0.05</v>
      </c>
      <c r="F109" s="12">
        <v>0.05</v>
      </c>
      <c r="H109" s="19">
        <f>$D$107*D109+$E$107*E109+$F$107*F109</f>
        <v>0.05</v>
      </c>
      <c r="I109" s="19">
        <f>($D$107*(D109-H109)^2+$E$107*(E109-H109)^2+$F$107*(F109-H109)^2)^(1/2)</f>
        <v>0</v>
      </c>
    </row>
    <row r="110" spans="2:9">
      <c r="B110" s="1" t="s">
        <v>23</v>
      </c>
      <c r="C110" s="11" t="s">
        <v>11</v>
      </c>
      <c r="D110" s="15">
        <f>0.5*D108+0.5*D109</f>
        <v>0.15</v>
      </c>
      <c r="E110" s="15">
        <f>0.5*E108+0.5*E109</f>
        <v>7.5000000000000011E-2</v>
      </c>
      <c r="F110" s="15">
        <f>0.5*F108+0.5*F109</f>
        <v>-0.1</v>
      </c>
      <c r="H110" s="19">
        <f>$D$107*D110+$E$107*E110+$F$107*F110</f>
        <v>7.7499999999999999E-2</v>
      </c>
      <c r="I110" s="19">
        <f>($D$107*(D110-H110)^2+$E$107*(E110-H110)^2+$F$107*(F110-H110)^2)^(1/2)</f>
        <v>9.4505290857179E-2</v>
      </c>
    </row>
    <row r="111" spans="2:9">
      <c r="B111" s="1" t="s">
        <v>28</v>
      </c>
      <c r="C111" s="11" t="s">
        <v>11</v>
      </c>
      <c r="D111" s="12">
        <v>0.01</v>
      </c>
      <c r="E111" s="12">
        <v>-0.05</v>
      </c>
      <c r="F111" s="12">
        <v>0.35</v>
      </c>
      <c r="H111" s="19">
        <f>$D$107*D111+$E$107*E111+$F$107*F111</f>
        <v>0.06</v>
      </c>
      <c r="I111" s="19">
        <f>($D$107*(D111-H111)^2+$E$107*(E111-H111)^2+$F$107*(F111-H111)^2)^(1/2)</f>
        <v>0.14730919862656233</v>
      </c>
    </row>
    <row r="112" spans="2:9">
      <c r="B112" s="1" t="s">
        <v>33</v>
      </c>
      <c r="C112" s="11" t="s">
        <v>11</v>
      </c>
      <c r="D112" s="12">
        <f>$C$99*D13+$C$100*D92</f>
        <v>0.13</v>
      </c>
      <c r="E112" s="12">
        <f>$C$99*E13+$C$100*E92</f>
        <v>2.5000000000000001E-2</v>
      </c>
      <c r="F112" s="12">
        <f>$C$99*F13+$C$100*F92</f>
        <v>4.9999999999999989E-2</v>
      </c>
      <c r="H112" s="19">
        <f>$D$107*D112+$E$107*E112+$F$107*F112</f>
        <v>8.2500000000000004E-2</v>
      </c>
      <c r="I112" s="19">
        <f>($D$107*(D112-H112)^2+$E$107*(E112-H112)^2+$F$107*(F112-H112)^2)^(1/2)</f>
        <v>4.8283019789569913E-2</v>
      </c>
    </row>
    <row r="115" spans="2:7">
      <c r="B115" s="1" t="s">
        <v>34</v>
      </c>
    </row>
    <row r="118" spans="2:7" ht="18" thickBot="1">
      <c r="D118" s="6" t="s">
        <v>35</v>
      </c>
      <c r="E118" s="6" t="s">
        <v>21</v>
      </c>
    </row>
    <row r="119" spans="2:7">
      <c r="B119" s="21" t="s">
        <v>36</v>
      </c>
      <c r="C119" s="21"/>
      <c r="D119" s="19">
        <f>$D$23</f>
        <v>0.105</v>
      </c>
      <c r="E119" s="19">
        <f>$D$41</f>
        <v>0.189010581714358</v>
      </c>
    </row>
    <row r="120" spans="2:7">
      <c r="B120" s="21" t="s">
        <v>37</v>
      </c>
      <c r="C120" s="21"/>
      <c r="D120" s="19">
        <f>$D$56</f>
        <v>7.7499999999999999E-2</v>
      </c>
      <c r="E120" s="19">
        <f>$D$73</f>
        <v>9.4505290857179E-2</v>
      </c>
    </row>
    <row r="121" spans="2:7">
      <c r="B121" s="21" t="s">
        <v>38</v>
      </c>
      <c r="C121" s="21"/>
      <c r="D121" s="19">
        <f>D107*D112+E107*E112+F107*F112</f>
        <v>8.2500000000000004E-2</v>
      </c>
      <c r="E121" s="19">
        <f>(D107*(D112-D121)^2+E107*(E112-D121)^2+F107*(F112-D121)^2)^(1/2)</f>
        <v>4.8283019789569913E-2</v>
      </c>
      <c r="G121" s="22" t="s">
        <v>39</v>
      </c>
    </row>
    <row r="124" spans="2:7">
      <c r="B124" s="1" t="s">
        <v>40</v>
      </c>
    </row>
    <row r="125" spans="2:7">
      <c r="B125" s="1" t="s">
        <v>41</v>
      </c>
    </row>
    <row r="127" spans="2:7">
      <c r="B127" s="1" t="s">
        <v>42</v>
      </c>
    </row>
    <row r="130" spans="2:6">
      <c r="B130" s="1" t="s">
        <v>43</v>
      </c>
    </row>
    <row r="132" spans="2:6">
      <c r="B132" s="1" t="s">
        <v>44</v>
      </c>
    </row>
    <row r="135" spans="2:6">
      <c r="E135" s="1" t="s">
        <v>45</v>
      </c>
    </row>
    <row r="137" spans="2:6">
      <c r="E137" s="1" t="s">
        <v>46</v>
      </c>
    </row>
    <row r="139" spans="2:6">
      <c r="E139" s="1" t="s">
        <v>47</v>
      </c>
    </row>
    <row r="141" spans="2:6">
      <c r="B141" s="1" t="s">
        <v>48</v>
      </c>
    </row>
    <row r="143" spans="2:6" ht="18" thickBot="1">
      <c r="D143" s="115" t="s">
        <v>4</v>
      </c>
      <c r="E143" s="115"/>
      <c r="F143" s="6" t="s">
        <v>5</v>
      </c>
    </row>
    <row r="144" spans="2:6">
      <c r="D144" s="7"/>
      <c r="E144" s="7"/>
      <c r="F144" s="7"/>
    </row>
    <row r="145" spans="2:9" ht="34">
      <c r="C145" s="9"/>
      <c r="D145" s="10" t="s">
        <v>6</v>
      </c>
      <c r="E145" s="10" t="s">
        <v>7</v>
      </c>
      <c r="F145" s="10" t="s">
        <v>8</v>
      </c>
      <c r="H145" s="10" t="s">
        <v>20</v>
      </c>
      <c r="I145" s="10" t="s">
        <v>21</v>
      </c>
    </row>
    <row r="146" spans="2:9">
      <c r="C146" s="11" t="s">
        <v>9</v>
      </c>
      <c r="D146" s="1">
        <v>0.5</v>
      </c>
      <c r="E146" s="1">
        <v>0.3</v>
      </c>
      <c r="F146" s="1">
        <v>0.2</v>
      </c>
    </row>
    <row r="147" spans="2:9">
      <c r="B147" s="1" t="s">
        <v>10</v>
      </c>
      <c r="C147" s="11" t="s">
        <v>11</v>
      </c>
      <c r="D147" s="12">
        <v>0.25</v>
      </c>
      <c r="E147" s="12">
        <v>0.1</v>
      </c>
      <c r="F147" s="12">
        <v>-0.25</v>
      </c>
      <c r="H147" s="19">
        <f>$D$146*D147+$E$146*E147+$F$146*F147</f>
        <v>0.105</v>
      </c>
      <c r="I147" s="19">
        <f>($D$146*(D147-H147)^2+$E$146*(E147-H147)^2+$F$146*(F147-H147)^2)^(1/2)</f>
        <v>0.189010581714358</v>
      </c>
    </row>
    <row r="148" spans="2:9">
      <c r="B148" s="1" t="s">
        <v>22</v>
      </c>
      <c r="C148" s="11" t="s">
        <v>11</v>
      </c>
      <c r="D148" s="12">
        <v>0.05</v>
      </c>
      <c r="E148" s="12">
        <v>0.05</v>
      </c>
      <c r="F148" s="12">
        <v>0.05</v>
      </c>
      <c r="H148" s="19">
        <f>$D$146*D148+$E$146*E148+$F$146*F148</f>
        <v>0.05</v>
      </c>
      <c r="I148" s="19">
        <f>($D$146*(D148-H148)^2+$E$146*(E148-H148)^2+$F$146*(F148-H148)^2)^(1/2)</f>
        <v>0</v>
      </c>
    </row>
    <row r="149" spans="2:9">
      <c r="B149" s="1" t="s">
        <v>23</v>
      </c>
      <c r="C149" s="11" t="s">
        <v>11</v>
      </c>
      <c r="D149" s="15">
        <f>0.5*D147+0.5*D148</f>
        <v>0.15</v>
      </c>
      <c r="E149" s="15">
        <f>0.5*E147+0.5*E148</f>
        <v>7.5000000000000011E-2</v>
      </c>
      <c r="F149" s="15">
        <f>0.5*F147+0.5*F148</f>
        <v>-0.1</v>
      </c>
      <c r="H149" s="19">
        <f>$D$146*D149+$E$146*E149+$F$146*F149</f>
        <v>7.7499999999999999E-2</v>
      </c>
      <c r="I149" s="19">
        <f>($D$146*(D149-H149)^2+$E$146*(E149-H149)^2+$F$146*(F149-H149)^2)^(1/2)</f>
        <v>9.4505290857179E-2</v>
      </c>
    </row>
    <row r="150" spans="2:9">
      <c r="B150" s="1" t="s">
        <v>28</v>
      </c>
      <c r="C150" s="11" t="s">
        <v>11</v>
      </c>
      <c r="D150" s="12">
        <v>0.01</v>
      </c>
      <c r="E150" s="12">
        <v>-0.05</v>
      </c>
      <c r="F150" s="12">
        <v>0.35</v>
      </c>
      <c r="H150" s="19">
        <f>$D$146*D150+$E$146*E150+$F$146*F150</f>
        <v>0.06</v>
      </c>
      <c r="I150" s="19">
        <f>($D$146*(D150-H150)^2+$E$146*(E150-H150)^2+$F$146*(F150-H150)^2)^(1/2)</f>
        <v>0.14730919862656233</v>
      </c>
    </row>
    <row r="151" spans="2:9">
      <c r="B151" s="1" t="s">
        <v>33</v>
      </c>
      <c r="C151" s="11" t="s">
        <v>11</v>
      </c>
      <c r="D151" s="15">
        <f>0.5*D147+0.5*D150</f>
        <v>0.13</v>
      </c>
      <c r="E151" s="15">
        <f>0.5*E147+0.5*E150</f>
        <v>2.5000000000000001E-2</v>
      </c>
      <c r="F151" s="15">
        <f>0.5*F147+0.5*F150</f>
        <v>4.9999999999999989E-2</v>
      </c>
      <c r="H151" s="19">
        <f>$D$146*D151+$E$146*E151+$F$146*F151</f>
        <v>8.2500000000000004E-2</v>
      </c>
      <c r="I151" s="19">
        <f>($D$146*(D151-H151)^2+$E$146*(E151-H151)^2+$F$146*(F151-H151)^2)^(1/2)</f>
        <v>4.8283019789569913E-2</v>
      </c>
    </row>
    <row r="152" spans="2:9">
      <c r="C152" s="11"/>
    </row>
    <row r="163" spans="2:4">
      <c r="D163" s="1">
        <f>D146*(D147-H147)*(D150-H150)+E146*(E147-H147)*(E150-H150)+F146*(F147-H147)*(F150-H150)</f>
        <v>-2.4049999999999998E-2</v>
      </c>
    </row>
    <row r="166" spans="2:4">
      <c r="B166" s="1" t="s">
        <v>49</v>
      </c>
    </row>
    <row r="192" spans="2:2">
      <c r="B192" s="1" t="s">
        <v>50</v>
      </c>
    </row>
    <row r="198" spans="3:3">
      <c r="C198" s="1" t="s">
        <v>51</v>
      </c>
    </row>
    <row r="200" spans="3:3">
      <c r="C200" s="1" t="s">
        <v>52</v>
      </c>
    </row>
    <row r="202" spans="3:3">
      <c r="C202" s="1" t="s">
        <v>53</v>
      </c>
    </row>
    <row r="212" spans="2:6">
      <c r="B212" s="11" t="s">
        <v>54</v>
      </c>
      <c r="F212" s="1" t="s">
        <v>55</v>
      </c>
    </row>
    <row r="213" spans="2:6">
      <c r="F213" s="1" t="s">
        <v>56</v>
      </c>
    </row>
    <row r="214" spans="2:6">
      <c r="F214" s="1" t="s">
        <v>57</v>
      </c>
    </row>
  </sheetData>
  <mergeCells count="5">
    <mergeCell ref="D9:E9"/>
    <mergeCell ref="D59:E59"/>
    <mergeCell ref="D85:E85"/>
    <mergeCell ref="D104:E104"/>
    <mergeCell ref="D143:E14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9799F-0EC2-FD49-9E9A-7BF79242B0EC}">
  <sheetPr codeName="Sheet8">
    <tabColor theme="5" tint="-0.249977111117893"/>
  </sheetPr>
  <dimension ref="A1:K202"/>
  <sheetViews>
    <sheetView topLeftCell="A48" zoomScale="125" workbookViewId="0">
      <selection activeCell="B121" sqref="B121"/>
    </sheetView>
  </sheetViews>
  <sheetFormatPr baseColWidth="10" defaultRowHeight="16"/>
  <cols>
    <col min="1" max="1" width="18.5" bestFit="1" customWidth="1"/>
  </cols>
  <sheetData>
    <row r="1" spans="1:2" ht="26">
      <c r="A1" s="23" t="s">
        <v>58</v>
      </c>
    </row>
    <row r="3" spans="1:2">
      <c r="A3" t="s">
        <v>59</v>
      </c>
      <c r="B3" t="s">
        <v>60</v>
      </c>
    </row>
    <row r="4" spans="1:2">
      <c r="B4" t="s">
        <v>61</v>
      </c>
    </row>
    <row r="8" spans="1:2">
      <c r="A8" t="s">
        <v>62</v>
      </c>
    </row>
    <row r="9" spans="1:2">
      <c r="B9" t="s">
        <v>72</v>
      </c>
    </row>
    <row r="34" spans="1:3">
      <c r="A34" t="s">
        <v>63</v>
      </c>
    </row>
    <row r="35" spans="1:3">
      <c r="A35" t="s">
        <v>64</v>
      </c>
      <c r="C35" t="s">
        <v>65</v>
      </c>
    </row>
    <row r="37" spans="1:3">
      <c r="A37" t="s">
        <v>66</v>
      </c>
    </row>
    <row r="40" spans="1:3">
      <c r="A40" t="s">
        <v>67</v>
      </c>
    </row>
    <row r="41" spans="1:3">
      <c r="B41" t="s">
        <v>68</v>
      </c>
    </row>
    <row r="42" spans="1:3">
      <c r="B42" t="s">
        <v>69</v>
      </c>
    </row>
    <row r="43" spans="1:3">
      <c r="B43" t="s">
        <v>70</v>
      </c>
      <c r="C43" t="s">
        <v>71</v>
      </c>
    </row>
    <row r="47" spans="1:3">
      <c r="A47" t="s">
        <v>73</v>
      </c>
    </row>
    <row r="48" spans="1:3">
      <c r="A48" t="s">
        <v>74</v>
      </c>
    </row>
    <row r="77" spans="1:11" ht="21">
      <c r="A77" s="35" t="s">
        <v>75</v>
      </c>
      <c r="B77" s="35"/>
      <c r="C77" s="35"/>
      <c r="D77" s="35"/>
      <c r="E77" s="35"/>
      <c r="F77" s="35"/>
      <c r="G77" s="35"/>
      <c r="H77" s="35"/>
      <c r="I77" s="25"/>
      <c r="J77" s="26">
        <f>SUM(G87:G110)/24</f>
        <v>0.29549447399339895</v>
      </c>
      <c r="K77" s="35"/>
    </row>
    <row r="78" spans="1:11" ht="19">
      <c r="A78" s="1"/>
      <c r="B78" s="24"/>
      <c r="C78" s="24"/>
      <c r="D78" s="24"/>
      <c r="E78" s="24"/>
      <c r="F78" s="24"/>
      <c r="G78" s="24"/>
      <c r="H78" s="24"/>
      <c r="I78" s="25"/>
      <c r="J78" s="26">
        <f>SUM(H87:H110)/24</f>
        <v>0.33056852944470944</v>
      </c>
      <c r="K78" s="24"/>
    </row>
    <row r="79" spans="1:11">
      <c r="A79" s="1"/>
      <c r="B79" s="1"/>
      <c r="C79" s="1"/>
      <c r="D79" s="1"/>
      <c r="E79" s="1"/>
      <c r="F79" s="1"/>
      <c r="G79" s="1"/>
      <c r="H79" s="1"/>
      <c r="I79" s="25"/>
      <c r="J79" s="27">
        <f>(SUM(I87:I110)/24)^(1/2)</f>
        <v>0.66777944480646234</v>
      </c>
      <c r="K79" s="1" t="s">
        <v>93</v>
      </c>
    </row>
    <row r="80" spans="1:11">
      <c r="A80" s="1"/>
      <c r="B80" s="1"/>
      <c r="C80" s="1"/>
      <c r="D80" s="1"/>
      <c r="E80" s="1"/>
      <c r="F80" s="1"/>
      <c r="G80" s="1"/>
      <c r="H80" s="1"/>
      <c r="I80" s="25"/>
      <c r="J80" s="27">
        <f>(SUM(J87:J110)/24)^(1/2)</f>
        <v>0.92190356152321506</v>
      </c>
      <c r="K80" s="1"/>
    </row>
    <row r="81" spans="1:11">
      <c r="A81" s="1"/>
      <c r="B81" s="1"/>
      <c r="C81" s="1"/>
      <c r="D81" s="1"/>
      <c r="E81" s="1"/>
      <c r="F81" s="1"/>
      <c r="G81" s="1"/>
      <c r="H81" s="1"/>
      <c r="I81" s="25"/>
      <c r="J81" s="28">
        <f>SUM(K87:K110)/24</f>
        <v>0.1238419730712218</v>
      </c>
      <c r="K81" s="1" t="s">
        <v>62</v>
      </c>
    </row>
    <row r="82" spans="1:11">
      <c r="A82" s="1"/>
      <c r="B82" s="1"/>
      <c r="C82" s="1"/>
      <c r="D82" s="1"/>
      <c r="E82" s="1"/>
      <c r="F82" s="1"/>
      <c r="G82" s="1"/>
      <c r="H82" s="1"/>
      <c r="I82" s="25"/>
      <c r="J82" s="28">
        <f>J81/(J79*J80)</f>
        <v>0.20116356482532588</v>
      </c>
      <c r="K82" s="1" t="s">
        <v>92</v>
      </c>
    </row>
    <row r="83" spans="1:11">
      <c r="A83" s="1"/>
      <c r="B83" s="1"/>
      <c r="C83" s="1"/>
      <c r="D83" s="1"/>
      <c r="E83" s="1"/>
      <c r="F83" s="1"/>
      <c r="G83" s="1"/>
      <c r="H83" s="1"/>
      <c r="I83" s="1"/>
      <c r="J83" s="29"/>
      <c r="K83" s="1"/>
    </row>
    <row r="84" spans="1:11">
      <c r="A84" s="1" t="s">
        <v>76</v>
      </c>
      <c r="B84" s="1"/>
      <c r="C84" s="1"/>
      <c r="D84" s="1"/>
      <c r="E84" s="1"/>
      <c r="F84" s="1"/>
      <c r="G84" s="1"/>
      <c r="H84" s="1"/>
      <c r="I84" s="1"/>
      <c r="J84" s="19"/>
      <c r="K84" s="19"/>
    </row>
    <row r="85" spans="1:11">
      <c r="A85" s="1" t="s">
        <v>77</v>
      </c>
      <c r="B85" s="30"/>
      <c r="C85" s="31" t="s">
        <v>78</v>
      </c>
      <c r="D85" s="32" t="s">
        <v>79</v>
      </c>
      <c r="E85" s="1" t="s">
        <v>79</v>
      </c>
      <c r="F85" s="1"/>
      <c r="G85" s="1"/>
      <c r="H85" s="1"/>
      <c r="I85" s="1"/>
      <c r="J85" s="1"/>
      <c r="K85" s="1"/>
    </row>
    <row r="86" spans="1:11">
      <c r="A86" s="1" t="s">
        <v>80</v>
      </c>
      <c r="B86" s="30"/>
      <c r="C86" s="33">
        <v>35430</v>
      </c>
      <c r="D86" s="32">
        <v>7.8233102935596062</v>
      </c>
      <c r="E86" s="32">
        <v>0.28402318393615994</v>
      </c>
      <c r="F86" s="1"/>
      <c r="G86" s="1"/>
      <c r="H86" s="1"/>
      <c r="I86" s="1"/>
      <c r="J86" s="1"/>
      <c r="K86" s="1"/>
    </row>
    <row r="87" spans="1:11">
      <c r="A87" s="1"/>
      <c r="B87" s="30"/>
      <c r="C87" s="33">
        <v>35795</v>
      </c>
      <c r="D87" s="32">
        <v>10.738007359418052</v>
      </c>
      <c r="E87" s="32">
        <v>0.24566887268200485</v>
      </c>
      <c r="F87" s="1"/>
      <c r="G87" s="15">
        <f>(D87-D86)/D86</f>
        <v>0.37256569872447931</v>
      </c>
      <c r="H87" s="15">
        <f t="shared" ref="H87:H110" si="0">(E87-E86)/E86</f>
        <v>-0.13503936799319879</v>
      </c>
      <c r="I87" s="32">
        <f>(G87-$I$4)^2</f>
        <v>0.13880519986605949</v>
      </c>
      <c r="J87" s="32">
        <f>(H87-$I$5)^2</f>
        <v>1.8235630908002565E-2</v>
      </c>
      <c r="K87" s="34">
        <f>(G87-$J$77)*(H87-$J$78)</f>
        <v>-3.5884970900002838E-2</v>
      </c>
    </row>
    <row r="88" spans="1:11">
      <c r="A88" s="1"/>
      <c r="B88" s="30"/>
      <c r="C88" s="33">
        <v>36160</v>
      </c>
      <c r="D88" s="32">
        <v>9.1846109674648186</v>
      </c>
      <c r="E88" s="32">
        <v>0.15883120431749262</v>
      </c>
      <c r="F88" s="1"/>
      <c r="G88" s="15">
        <f t="shared" ref="G88:G110" si="1">(D88-D87)/D87</f>
        <v>-0.14466337561137788</v>
      </c>
      <c r="H88" s="15">
        <f t="shared" si="0"/>
        <v>-0.35347444475359069</v>
      </c>
      <c r="I88" s="32">
        <f t="shared" ref="I88:I110" si="2">(G88-$I$4)^2</f>
        <v>2.0927492243278598E-2</v>
      </c>
      <c r="J88" s="32">
        <f t="shared" ref="J88:J110" si="3">(H88-$I$5)^2</f>
        <v>0.12494418309385924</v>
      </c>
      <c r="K88" s="34">
        <f t="shared" ref="K88:K110" si="4">(G88-$J$77)*(H88-$J$78)</f>
        <v>0.30108688456037958</v>
      </c>
    </row>
    <row r="89" spans="1:11">
      <c r="A89" s="1"/>
      <c r="B89" s="30"/>
      <c r="C89" s="33">
        <v>36525</v>
      </c>
      <c r="D89" s="32">
        <v>12.287109026333203</v>
      </c>
      <c r="E89" s="32">
        <v>0.18332365132666506</v>
      </c>
      <c r="F89" s="1"/>
      <c r="G89" s="15">
        <f t="shared" si="1"/>
        <v>0.33779308343690806</v>
      </c>
      <c r="H89" s="15">
        <f t="shared" si="0"/>
        <v>0.15420425170493407</v>
      </c>
      <c r="I89" s="32">
        <f t="shared" si="2"/>
        <v>0.11410416721781393</v>
      </c>
      <c r="J89" s="32">
        <f t="shared" si="3"/>
        <v>2.3778951243878663E-2</v>
      </c>
      <c r="K89" s="34">
        <f t="shared" si="4"/>
        <v>-7.4599637039013253E-3</v>
      </c>
    </row>
    <row r="90" spans="1:11">
      <c r="A90" s="1"/>
      <c r="B90" s="30"/>
      <c r="C90" s="33">
        <v>36891</v>
      </c>
      <c r="D90" s="32">
        <v>10.156656946912738</v>
      </c>
      <c r="E90" s="32">
        <v>0.16971197677574856</v>
      </c>
      <c r="F90" s="1"/>
      <c r="G90" s="15">
        <f t="shared" si="1"/>
        <v>-0.17338920610654399</v>
      </c>
      <c r="H90" s="15">
        <f t="shared" si="0"/>
        <v>-7.4249418732456982E-2</v>
      </c>
      <c r="I90" s="32">
        <f t="shared" si="2"/>
        <v>3.006381679425759E-2</v>
      </c>
      <c r="J90" s="32">
        <f t="shared" si="3"/>
        <v>5.5129761821077336E-3</v>
      </c>
      <c r="K90" s="34">
        <f t="shared" si="4"/>
        <v>0.1898125293118178</v>
      </c>
    </row>
    <row r="91" spans="1:11">
      <c r="A91" s="1"/>
      <c r="B91" s="30"/>
      <c r="C91" s="33">
        <v>37256</v>
      </c>
      <c r="D91" s="32">
        <v>9.9610997138264317</v>
      </c>
      <c r="E91" s="32">
        <v>0.22062459181587968</v>
      </c>
      <c r="F91" s="1"/>
      <c r="G91" s="15">
        <f t="shared" si="1"/>
        <v>-1.92540945419791E-2</v>
      </c>
      <c r="H91" s="15">
        <f t="shared" si="0"/>
        <v>0.29999423733897845</v>
      </c>
      <c r="I91" s="32">
        <f t="shared" si="2"/>
        <v>3.7072015663146935E-4</v>
      </c>
      <c r="J91" s="32">
        <f t="shared" si="3"/>
        <v>8.9996542436595328E-2</v>
      </c>
      <c r="K91" s="34">
        <f t="shared" si="4"/>
        <v>9.6232146742613357E-3</v>
      </c>
    </row>
    <row r="92" spans="1:11">
      <c r="A92" s="1"/>
      <c r="B92" s="30"/>
      <c r="C92" s="33">
        <v>37621</v>
      </c>
      <c r="D92" s="32">
        <v>20.526438819642514</v>
      </c>
      <c r="E92" s="32">
        <v>1.1151651713004411</v>
      </c>
      <c r="F92" s="1"/>
      <c r="G92" s="15">
        <f t="shared" si="1"/>
        <v>1.0606599079769217</v>
      </c>
      <c r="H92" s="15">
        <f t="shared" si="0"/>
        <v>4.0545823660088285</v>
      </c>
      <c r="I92" s="32">
        <f t="shared" si="2"/>
        <v>1.124999440389612</v>
      </c>
      <c r="J92" s="32">
        <f t="shared" si="3"/>
        <v>16.439638162749748</v>
      </c>
      <c r="K92" s="34">
        <f t="shared" si="4"/>
        <v>2.8494866634152278</v>
      </c>
    </row>
    <row r="93" spans="1:11">
      <c r="A93" s="1"/>
      <c r="B93" s="30"/>
      <c r="C93" s="33">
        <v>37986</v>
      </c>
      <c r="D93" s="32">
        <v>57.819598666072501</v>
      </c>
      <c r="E93" s="32">
        <v>1.2729959085985909</v>
      </c>
      <c r="F93" s="1"/>
      <c r="G93" s="15">
        <f t="shared" si="1"/>
        <v>1.8168353592218234</v>
      </c>
      <c r="H93" s="15">
        <f t="shared" si="0"/>
        <v>0.14153126492831256</v>
      </c>
      <c r="I93" s="32">
        <f t="shared" si="2"/>
        <v>3.3008907225186919</v>
      </c>
      <c r="J93" s="32">
        <f t="shared" si="3"/>
        <v>2.0031098952208195E-2</v>
      </c>
      <c r="K93" s="34">
        <f t="shared" si="4"/>
        <v>-0.28759011934053508</v>
      </c>
    </row>
    <row r="94" spans="1:11">
      <c r="A94" s="1"/>
      <c r="B94" s="30"/>
      <c r="C94" s="33">
        <v>38352</v>
      </c>
      <c r="D94" s="32">
        <v>71.622806547896303</v>
      </c>
      <c r="E94" s="32">
        <v>1.2424373477006792</v>
      </c>
      <c r="F94" s="1"/>
      <c r="G94" s="15">
        <f t="shared" si="1"/>
        <v>0.23872887740957766</v>
      </c>
      <c r="H94" s="15">
        <f t="shared" si="0"/>
        <v>-2.4005231039236338E-2</v>
      </c>
      <c r="I94" s="32">
        <f t="shared" si="2"/>
        <v>5.6991476909237157E-2</v>
      </c>
      <c r="J94" s="32">
        <f t="shared" si="3"/>
        <v>5.7625111724711573E-4</v>
      </c>
      <c r="K94" s="34">
        <f t="shared" si="4"/>
        <v>2.0127591046840143E-2</v>
      </c>
    </row>
    <row r="95" spans="1:11">
      <c r="A95" s="1"/>
      <c r="B95" s="30"/>
      <c r="C95" s="33">
        <v>38717</v>
      </c>
      <c r="D95" s="32">
        <v>95.703923133111573</v>
      </c>
      <c r="E95" s="32">
        <v>1.326202821715194</v>
      </c>
      <c r="F95" s="1"/>
      <c r="G95" s="15">
        <f t="shared" si="1"/>
        <v>0.33622134828117228</v>
      </c>
      <c r="H95" s="15">
        <f t="shared" si="0"/>
        <v>6.7420280120792972E-2</v>
      </c>
      <c r="I95" s="32">
        <f t="shared" si="2"/>
        <v>0.11304479504000935</v>
      </c>
      <c r="J95" s="32">
        <f t="shared" si="3"/>
        <v>4.5454941715661924E-3</v>
      </c>
      <c r="K95" s="34">
        <f t="shared" si="4"/>
        <v>-1.0717205669262778E-2</v>
      </c>
    </row>
    <row r="96" spans="1:11">
      <c r="A96" s="1"/>
      <c r="B96" s="30"/>
      <c r="C96" s="33">
        <v>39082</v>
      </c>
      <c r="D96" s="32">
        <v>86.192974250317903</v>
      </c>
      <c r="E96" s="32">
        <v>1.423292525304215</v>
      </c>
      <c r="F96" s="1"/>
      <c r="G96" s="15">
        <f t="shared" si="1"/>
        <v>-9.9378881987577355E-2</v>
      </c>
      <c r="H96" s="15">
        <f t="shared" si="0"/>
        <v>7.320878978635692E-2</v>
      </c>
      <c r="I96" s="32">
        <f t="shared" si="2"/>
        <v>9.8761621851008261E-3</v>
      </c>
      <c r="J96" s="32">
        <f t="shared" si="3"/>
        <v>5.3595269019829977E-3</v>
      </c>
      <c r="K96" s="34">
        <f t="shared" si="4"/>
        <v>0.10162450409328401</v>
      </c>
    </row>
    <row r="97" spans="1:11">
      <c r="A97" s="1"/>
      <c r="B97" s="30"/>
      <c r="C97" s="33">
        <v>39447</v>
      </c>
      <c r="D97" s="32">
        <v>80.927334514658583</v>
      </c>
      <c r="E97" s="32">
        <v>2.8746323419184878</v>
      </c>
      <c r="F97" s="1"/>
      <c r="G97" s="15">
        <f t="shared" si="1"/>
        <v>-6.1091287096870305E-2</v>
      </c>
      <c r="H97" s="15">
        <f t="shared" si="0"/>
        <v>1.019705921875802</v>
      </c>
      <c r="I97" s="32">
        <f t="shared" si="2"/>
        <v>3.7321453591522323E-3</v>
      </c>
      <c r="J97" s="32">
        <f t="shared" si="3"/>
        <v>1.0398001671085793</v>
      </c>
      <c r="K97" s="34">
        <f t="shared" si="4"/>
        <v>-0.24573658157580472</v>
      </c>
    </row>
    <row r="98" spans="1:11">
      <c r="A98" s="1"/>
      <c r="B98" s="30"/>
      <c r="C98" s="33">
        <v>39813</v>
      </c>
      <c r="D98" s="32">
        <v>117.88969490061376</v>
      </c>
      <c r="E98" s="32">
        <v>2.3692562434948279</v>
      </c>
      <c r="F98" s="1"/>
      <c r="G98" s="15">
        <f t="shared" si="1"/>
        <v>0.45673517616300696</v>
      </c>
      <c r="H98" s="15">
        <f t="shared" si="0"/>
        <v>-0.1758054729483699</v>
      </c>
      <c r="I98" s="32">
        <f t="shared" si="2"/>
        <v>0.20860702114465302</v>
      </c>
      <c r="J98" s="32">
        <f t="shared" si="3"/>
        <v>3.090756431860002E-2</v>
      </c>
      <c r="K98" s="34">
        <f t="shared" si="4"/>
        <v>-8.1648099706294885E-2</v>
      </c>
    </row>
    <row r="99" spans="1:11">
      <c r="A99" s="1"/>
      <c r="B99" s="30"/>
      <c r="C99" s="33">
        <v>40178</v>
      </c>
      <c r="D99" s="32">
        <v>132.15210980088605</v>
      </c>
      <c r="E99" s="32">
        <v>3.5483165443411409</v>
      </c>
      <c r="F99" s="1"/>
      <c r="G99" s="15">
        <f t="shared" si="1"/>
        <v>0.12098101460264307</v>
      </c>
      <c r="H99" s="15">
        <f t="shared" si="0"/>
        <v>0.4976499709913656</v>
      </c>
      <c r="I99" s="32">
        <f t="shared" si="2"/>
        <v>1.4636405894284936E-2</v>
      </c>
      <c r="J99" s="32">
        <f t="shared" si="3"/>
        <v>0.24765549362770703</v>
      </c>
      <c r="K99" s="34">
        <f t="shared" si="4"/>
        <v>-2.9157960364301332E-2</v>
      </c>
    </row>
    <row r="100" spans="1:11">
      <c r="A100" s="1"/>
      <c r="B100" s="30"/>
      <c r="C100" s="33">
        <v>40543</v>
      </c>
      <c r="D100" s="32">
        <v>174.90941947176773</v>
      </c>
      <c r="E100" s="32">
        <v>6.8358372966890313</v>
      </c>
      <c r="F100" s="1"/>
      <c r="G100" s="15">
        <f t="shared" si="1"/>
        <v>0.32354617520147227</v>
      </c>
      <c r="H100" s="15">
        <f t="shared" si="0"/>
        <v>0.92650154270786023</v>
      </c>
      <c r="I100" s="32">
        <f t="shared" si="2"/>
        <v>0.10468212748750179</v>
      </c>
      <c r="J100" s="32">
        <f t="shared" si="3"/>
        <v>0.85840510864004493</v>
      </c>
      <c r="K100" s="34">
        <f t="shared" si="4"/>
        <v>1.6716934828084704E-2</v>
      </c>
    </row>
    <row r="101" spans="1:11">
      <c r="A101" s="1"/>
      <c r="B101" s="30"/>
      <c r="C101" s="33">
        <v>40908</v>
      </c>
      <c r="D101" s="32">
        <v>158.59994477387605</v>
      </c>
      <c r="E101" s="32">
        <v>6.3108526259791109</v>
      </c>
      <c r="F101" s="1"/>
      <c r="G101" s="15">
        <f t="shared" si="1"/>
        <v>-9.3245262302892803E-2</v>
      </c>
      <c r="H101" s="15">
        <f t="shared" si="0"/>
        <v>-7.6798883285914235E-2</v>
      </c>
      <c r="I101" s="32">
        <f t="shared" si="2"/>
        <v>8.6946789419352823E-3</v>
      </c>
      <c r="J101" s="32">
        <f t="shared" si="3"/>
        <v>5.8980684739634772E-3</v>
      </c>
      <c r="K101" s="34">
        <f t="shared" si="4"/>
        <v>0.15835990060060529</v>
      </c>
    </row>
    <row r="102" spans="1:11">
      <c r="A102" s="1"/>
      <c r="B102" s="30"/>
      <c r="C102" s="33">
        <v>41274</v>
      </c>
      <c r="D102" s="32">
        <v>94.724680949133756</v>
      </c>
      <c r="E102" s="32">
        <v>4.5294589777928786</v>
      </c>
      <c r="F102" s="1"/>
      <c r="G102" s="15">
        <f t="shared" si="1"/>
        <v>-0.40274455275386434</v>
      </c>
      <c r="H102" s="15">
        <f t="shared" si="0"/>
        <v>-0.28227463922275542</v>
      </c>
      <c r="I102" s="32">
        <f t="shared" si="2"/>
        <v>0.16220317477291021</v>
      </c>
      <c r="J102" s="32">
        <f t="shared" si="3"/>
        <v>7.967897194833673E-2</v>
      </c>
      <c r="K102" s="34">
        <f t="shared" si="4"/>
        <v>0.42791101763907963</v>
      </c>
    </row>
    <row r="103" spans="1:11">
      <c r="A103" s="1"/>
      <c r="B103" s="30"/>
      <c r="C103" s="33">
        <v>41639</v>
      </c>
      <c r="D103" s="32">
        <v>282.90427033169158</v>
      </c>
      <c r="E103" s="32">
        <v>5.1991045184787001</v>
      </c>
      <c r="F103" s="1"/>
      <c r="G103" s="15">
        <f t="shared" si="1"/>
        <v>1.9865951249137324</v>
      </c>
      <c r="H103" s="15">
        <f t="shared" si="0"/>
        <v>0.14784227961197419</v>
      </c>
      <c r="I103" s="32">
        <f t="shared" si="2"/>
        <v>3.9465601903310077</v>
      </c>
      <c r="J103" s="32">
        <f t="shared" si="3"/>
        <v>2.1857339640865159E-2</v>
      </c>
      <c r="K103" s="34">
        <f t="shared" si="4"/>
        <v>-0.30900848003237003</v>
      </c>
    </row>
    <row r="104" spans="1:11">
      <c r="A104" s="1"/>
      <c r="B104" s="30"/>
      <c r="C104" s="33">
        <v>42004</v>
      </c>
      <c r="D104" s="32">
        <v>304.14917103492689</v>
      </c>
      <c r="E104" s="32">
        <v>6.3510988198706535</v>
      </c>
      <c r="F104" s="1"/>
      <c r="G104" s="15">
        <f t="shared" si="1"/>
        <v>7.509572293951837E-2</v>
      </c>
      <c r="H104" s="15">
        <f t="shared" si="0"/>
        <v>0.22157552272656295</v>
      </c>
      <c r="I104" s="32">
        <f t="shared" si="2"/>
        <v>5.6393676038089058E-3</v>
      </c>
      <c r="J104" s="32">
        <f t="shared" si="3"/>
        <v>4.9095712271549616E-2</v>
      </c>
      <c r="K104" s="34">
        <f t="shared" si="4"/>
        <v>2.4021922554286701E-2</v>
      </c>
    </row>
    <row r="105" spans="1:11">
      <c r="A105" s="1"/>
      <c r="B105" s="30"/>
      <c r="C105" s="33">
        <v>42369</v>
      </c>
      <c r="D105" s="32">
        <v>213.18795679922232</v>
      </c>
      <c r="E105" s="32">
        <v>12.54623205</v>
      </c>
      <c r="F105" s="1"/>
      <c r="G105" s="15">
        <f t="shared" si="1"/>
        <v>-0.29906776969403304</v>
      </c>
      <c r="H105" s="15">
        <f t="shared" si="0"/>
        <v>0.97544273925429448</v>
      </c>
      <c r="I105" s="32">
        <f t="shared" si="2"/>
        <v>8.9441530869763183E-2</v>
      </c>
      <c r="J105" s="32">
        <f t="shared" si="3"/>
        <v>0.95148853756392149</v>
      </c>
      <c r="K105" s="34">
        <f t="shared" si="4"/>
        <v>-0.38341785708054665</v>
      </c>
    </row>
    <row r="106" spans="1:11">
      <c r="A106" s="1"/>
      <c r="B106" s="30"/>
      <c r="C106" s="33">
        <v>42735</v>
      </c>
      <c r="D106" s="32">
        <v>252.96730888156057</v>
      </c>
      <c r="E106" s="32">
        <v>16.850000000000001</v>
      </c>
      <c r="F106" s="1"/>
      <c r="G106" s="15">
        <f t="shared" si="1"/>
        <v>0.18659286706238257</v>
      </c>
      <c r="H106" s="15">
        <f t="shared" si="0"/>
        <v>0.34303270757693349</v>
      </c>
      <c r="I106" s="32">
        <f t="shared" si="2"/>
        <v>3.4816898038559974E-2</v>
      </c>
      <c r="J106" s="32">
        <f t="shared" si="3"/>
        <v>0.11767143846756196</v>
      </c>
      <c r="K106" s="34">
        <f t="shared" si="4"/>
        <v>-1.3573690276736342E-3</v>
      </c>
    </row>
    <row r="107" spans="1:11">
      <c r="A107" s="1"/>
      <c r="B107" s="30"/>
      <c r="C107" s="33">
        <v>43100</v>
      </c>
      <c r="D107" s="32">
        <v>415.97526684041998</v>
      </c>
      <c r="E107" s="32">
        <v>17.3</v>
      </c>
      <c r="F107" s="1"/>
      <c r="G107" s="15">
        <f t="shared" si="1"/>
        <v>0.64438349239497905</v>
      </c>
      <c r="H107" s="15">
        <f t="shared" si="0"/>
        <v>2.6706231454005889E-2</v>
      </c>
      <c r="I107" s="32">
        <f t="shared" si="2"/>
        <v>0.41523008527115002</v>
      </c>
      <c r="J107" s="32">
        <f t="shared" si="3"/>
        <v>7.1322279847493353E-4</v>
      </c>
      <c r="K107" s="34">
        <f t="shared" si="4"/>
        <v>-0.10601421887522498</v>
      </c>
    </row>
    <row r="108" spans="1:11">
      <c r="A108" s="1"/>
      <c r="B108" s="30"/>
      <c r="C108" s="33">
        <v>43465</v>
      </c>
      <c r="D108" s="32">
        <v>498.34420514999999</v>
      </c>
      <c r="E108" s="32">
        <v>12.2</v>
      </c>
      <c r="F108" s="1"/>
      <c r="G108" s="15">
        <f t="shared" si="1"/>
        <v>0.19801402841861532</v>
      </c>
      <c r="H108" s="15">
        <f t="shared" si="0"/>
        <v>-0.29479768786127175</v>
      </c>
      <c r="I108" s="32">
        <f t="shared" si="2"/>
        <v>3.9209555450568194E-2</v>
      </c>
      <c r="J108" s="32">
        <f t="shared" si="3"/>
        <v>8.6905676768351814E-2</v>
      </c>
      <c r="K108" s="34">
        <f t="shared" si="4"/>
        <v>6.0960977510404017E-2</v>
      </c>
    </row>
    <row r="109" spans="1:11">
      <c r="A109" s="1"/>
      <c r="B109" s="30"/>
      <c r="C109" s="33">
        <v>43830</v>
      </c>
      <c r="D109" s="32">
        <v>857.2</v>
      </c>
      <c r="E109" s="32">
        <v>17.3</v>
      </c>
      <c r="F109" s="1"/>
      <c r="G109" s="15">
        <f t="shared" si="1"/>
        <v>0.72009625303455793</v>
      </c>
      <c r="H109" s="15">
        <f t="shared" si="0"/>
        <v>0.41803278688524603</v>
      </c>
      <c r="I109" s="32">
        <f t="shared" si="2"/>
        <v>0.51853861363441012</v>
      </c>
      <c r="J109" s="32">
        <f t="shared" si="3"/>
        <v>0.17475141091104554</v>
      </c>
      <c r="K109" s="34">
        <f t="shared" si="4"/>
        <v>3.7137479311765767E-2</v>
      </c>
    </row>
    <row r="110" spans="1:11">
      <c r="A110" s="1"/>
      <c r="B110" s="30"/>
      <c r="C110" s="30">
        <v>44196</v>
      </c>
      <c r="D110" s="32">
        <v>437.05</v>
      </c>
      <c r="E110" s="32">
        <v>17</v>
      </c>
      <c r="F110" s="1"/>
      <c r="G110" s="15">
        <f t="shared" si="1"/>
        <v>-0.490142323845077</v>
      </c>
      <c r="H110" s="15">
        <f t="shared" si="0"/>
        <v>-1.7341040462427786E-2</v>
      </c>
      <c r="I110" s="32">
        <f t="shared" si="2"/>
        <v>0.24023949762425234</v>
      </c>
      <c r="J110" s="32">
        <f t="shared" si="3"/>
        <v>3.0071168431955767E-4</v>
      </c>
      <c r="K110" s="34">
        <f t="shared" si="4"/>
        <v>0.27333056043920467</v>
      </c>
    </row>
    <row r="121" spans="2:3">
      <c r="B121" t="s">
        <v>81</v>
      </c>
      <c r="C121" s="36"/>
    </row>
    <row r="200" spans="1:2" ht="31">
      <c r="A200" s="37" t="s">
        <v>82</v>
      </c>
    </row>
    <row r="202" spans="1:2">
      <c r="B202" t="s">
        <v>83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D2E0D-1981-7149-84EB-E09E7BB8B178}">
  <sheetPr codeName="Sheet9">
    <tabColor theme="5" tint="-0.249977111117893"/>
  </sheetPr>
  <dimension ref="A1:N230"/>
  <sheetViews>
    <sheetView topLeftCell="A215" zoomScale="140" zoomScaleNormal="140" workbookViewId="0">
      <selection activeCell="F258" sqref="F258"/>
    </sheetView>
  </sheetViews>
  <sheetFormatPr baseColWidth="10" defaultRowHeight="16"/>
  <sheetData>
    <row r="1" spans="1:6">
      <c r="A1" s="38" t="s">
        <v>160</v>
      </c>
    </row>
    <row r="3" spans="1:6">
      <c r="A3" t="s">
        <v>161</v>
      </c>
    </row>
    <row r="8" spans="1:6">
      <c r="F8" t="s">
        <v>164</v>
      </c>
    </row>
    <row r="9" spans="1:6">
      <c r="F9" t="s">
        <v>165</v>
      </c>
    </row>
    <row r="11" spans="1:6">
      <c r="F11" t="s">
        <v>162</v>
      </c>
    </row>
    <row r="12" spans="1:6">
      <c r="F12" t="s">
        <v>163</v>
      </c>
    </row>
    <row r="13" spans="1:6">
      <c r="F13" t="s">
        <v>166</v>
      </c>
    </row>
    <row r="15" spans="1:6">
      <c r="F15" t="s">
        <v>167</v>
      </c>
    </row>
    <row r="19" spans="1:14">
      <c r="A19" s="38" t="s">
        <v>168</v>
      </c>
    </row>
    <row r="23" spans="1:14">
      <c r="F23" t="s">
        <v>169</v>
      </c>
    </row>
    <row r="24" spans="1:14">
      <c r="F24" t="s">
        <v>170</v>
      </c>
      <c r="N24" t="s">
        <v>171</v>
      </c>
    </row>
    <row r="28" spans="1:14">
      <c r="F28" t="s">
        <v>172</v>
      </c>
    </row>
    <row r="29" spans="1:14">
      <c r="F29" t="s">
        <v>173</v>
      </c>
    </row>
    <row r="31" spans="1:14">
      <c r="F31" t="s">
        <v>174</v>
      </c>
    </row>
    <row r="32" spans="1:14">
      <c r="F32" t="s">
        <v>175</v>
      </c>
    </row>
    <row r="34" spans="1:6">
      <c r="F34" t="s">
        <v>176</v>
      </c>
    </row>
    <row r="39" spans="1:6">
      <c r="A39" s="38" t="s">
        <v>177</v>
      </c>
    </row>
    <row r="41" spans="1:6">
      <c r="F41" t="s">
        <v>178</v>
      </c>
    </row>
    <row r="75" spans="6:6">
      <c r="F75" t="s">
        <v>184</v>
      </c>
    </row>
    <row r="77" spans="6:6">
      <c r="F77" t="s">
        <v>179</v>
      </c>
    </row>
    <row r="78" spans="6:6">
      <c r="F78" t="s">
        <v>180</v>
      </c>
    </row>
    <row r="79" spans="6:6">
      <c r="F79" t="s">
        <v>181</v>
      </c>
    </row>
    <row r="86" spans="1:6">
      <c r="F86" t="s">
        <v>182</v>
      </c>
    </row>
    <row r="87" spans="1:6">
      <c r="F87" t="s">
        <v>183</v>
      </c>
    </row>
    <row r="94" spans="1:6">
      <c r="A94" s="38" t="s">
        <v>186</v>
      </c>
    </row>
    <row r="96" spans="1:6">
      <c r="F96" t="s">
        <v>185</v>
      </c>
    </row>
    <row r="111" spans="1:1">
      <c r="A111" t="s">
        <v>187</v>
      </c>
    </row>
    <row r="112" spans="1:1">
      <c r="A112" t="s">
        <v>188</v>
      </c>
    </row>
    <row r="114" spans="5:5">
      <c r="E114" t="s">
        <v>189</v>
      </c>
    </row>
    <row r="125" spans="5:5">
      <c r="E125" t="s">
        <v>190</v>
      </c>
    </row>
    <row r="126" spans="5:5">
      <c r="E126" t="s">
        <v>191</v>
      </c>
    </row>
    <row r="133" spans="1:5">
      <c r="E133" t="s">
        <v>193</v>
      </c>
    </row>
    <row r="134" spans="1:5">
      <c r="E134" t="s">
        <v>194</v>
      </c>
    </row>
    <row r="135" spans="1:5" ht="20" customHeight="1"/>
    <row r="140" spans="1:5">
      <c r="A140" s="38" t="s">
        <v>202</v>
      </c>
    </row>
    <row r="148" spans="1:6">
      <c r="F148" t="s">
        <v>203</v>
      </c>
    </row>
    <row r="149" spans="1:6">
      <c r="F149" t="s">
        <v>204</v>
      </c>
    </row>
    <row r="150" spans="1:6">
      <c r="F150" t="s">
        <v>205</v>
      </c>
    </row>
    <row r="153" spans="1:6">
      <c r="F153" t="s">
        <v>206</v>
      </c>
    </row>
    <row r="154" spans="1:6">
      <c r="F154" t="s">
        <v>207</v>
      </c>
    </row>
    <row r="159" spans="1:6">
      <c r="A159" s="38" t="s">
        <v>208</v>
      </c>
    </row>
    <row r="161" spans="1:6">
      <c r="F161" t="s">
        <v>209</v>
      </c>
    </row>
    <row r="162" spans="1:6">
      <c r="F162" t="s">
        <v>210</v>
      </c>
    </row>
    <row r="164" spans="1:6">
      <c r="F164" t="s">
        <v>211</v>
      </c>
    </row>
    <row r="175" spans="1:6">
      <c r="A175" s="38" t="s">
        <v>212</v>
      </c>
    </row>
    <row r="179" spans="6:6">
      <c r="F179" t="s">
        <v>213</v>
      </c>
    </row>
    <row r="208" spans="6:6">
      <c r="F208" t="s">
        <v>214</v>
      </c>
    </row>
    <row r="209" spans="1:6">
      <c r="F209" t="s">
        <v>215</v>
      </c>
    </row>
    <row r="212" spans="1:6">
      <c r="A212" s="38" t="s">
        <v>216</v>
      </c>
    </row>
    <row r="215" spans="1:6">
      <c r="F215" t="s">
        <v>217</v>
      </c>
    </row>
    <row r="219" spans="1:6">
      <c r="F219" t="s">
        <v>219</v>
      </c>
    </row>
    <row r="221" spans="1:6">
      <c r="F221" t="s">
        <v>218</v>
      </c>
    </row>
    <row r="230" spans="6:6">
      <c r="F230" t="s">
        <v>220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E4A73-5F72-B24C-9773-12ADDE824A94}">
  <sheetPr codeName="Sheet10">
    <tabColor theme="5" tint="-0.249977111117893"/>
  </sheetPr>
  <dimension ref="A1"/>
  <sheetViews>
    <sheetView zoomScale="125" workbookViewId="0">
      <selection activeCell="K51" sqref="K51"/>
    </sheetView>
  </sheetViews>
  <sheetFormatPr baseColWidth="10" defaultRowHeight="16"/>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839EE-C9E7-A549-AA82-26CEB52676BA}">
  <sheetPr codeName="Sheet11">
    <tabColor theme="5" tint="-0.249977111117893"/>
  </sheetPr>
  <dimension ref="A1"/>
  <sheetViews>
    <sheetView zoomScale="213" workbookViewId="0">
      <selection activeCell="B17" sqref="B17"/>
    </sheetView>
  </sheetViews>
  <sheetFormatPr baseColWidth="10" defaultRowHeight="16"/>
  <sheetData>
    <row r="1" spans="1:1">
      <c r="A1" t="s">
        <v>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Sheet2</vt:lpstr>
      <vt:lpstr>NOTAS</vt:lpstr>
      <vt:lpstr>P_guia</vt:lpstr>
      <vt:lpstr>extra</vt:lpstr>
      <vt:lpstr>BODIE</vt:lpstr>
      <vt:lpstr>BODIE_CAPM</vt:lpstr>
      <vt:lpstr>P_tut</vt:lpstr>
      <vt:lpstr>P_tut2</vt:lpstr>
      <vt:lpstr>P_tut3</vt:lpstr>
      <vt:lpstr>P_01_C10</vt:lpstr>
      <vt:lpstr>P_02_C11</vt:lpstr>
      <vt:lpstr>P_03_C12</vt:lpstr>
      <vt:lpstr>P_04_C13</vt:lpstr>
      <vt:lpstr>P_05_C14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López</dc:creator>
  <cp:lastModifiedBy>Federico López</cp:lastModifiedBy>
  <dcterms:created xsi:type="dcterms:W3CDTF">2023-05-08T21:12:59Z</dcterms:created>
  <dcterms:modified xsi:type="dcterms:W3CDTF">2023-07-18T21:20:45Z</dcterms:modified>
</cp:coreProperties>
</file>