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5_Cuatrimestre/MercadoCapitales/"/>
    </mc:Choice>
  </mc:AlternateContent>
  <xr:revisionPtr revIDLastSave="0" documentId="8_{8B9FC0DD-D963-5045-87BE-35AA8554EF89}" xr6:coauthVersionLast="47" xr6:coauthVersionMax="47" xr10:uidLastSave="{00000000-0000-0000-0000-000000000000}"/>
  <bookViews>
    <workbookView xWindow="0" yWindow="940" windowWidth="35460" windowHeight="19640" activeTab="1" xr2:uid="{7BC4FABF-68DE-AD42-9E63-A76B47B573D6}"/>
  </bookViews>
  <sheets>
    <sheet name="P_guia (2)" sheetId="1" r:id="rId1"/>
    <sheet name="BODIE" sheetId="2" r:id="rId2"/>
  </sheets>
  <definedNames>
    <definedName name="solver_adj" localSheetId="1" hidden="1">BODIE!$J$38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BODIE!$M$38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2" l="1"/>
  <c r="K13" i="2"/>
  <c r="M13" i="2" s="1"/>
  <c r="J14" i="2"/>
  <c r="K14" i="2" s="1"/>
  <c r="K9" i="2"/>
  <c r="O65" i="1"/>
  <c r="O66" i="1" s="1"/>
  <c r="O57" i="1"/>
  <c r="O58" i="1" s="1"/>
  <c r="M33" i="1"/>
  <c r="M34" i="1" s="1"/>
  <c r="N32" i="1"/>
  <c r="O8" i="1"/>
  <c r="P8" i="1"/>
  <c r="O9" i="1"/>
  <c r="P9" i="1"/>
  <c r="O10" i="1"/>
  <c r="P10" i="1"/>
  <c r="O11" i="1"/>
  <c r="P11" i="1"/>
  <c r="O12" i="1"/>
  <c r="P12" i="1"/>
  <c r="O13" i="1"/>
  <c r="P13" i="1"/>
  <c r="M14" i="2" l="1"/>
  <c r="L14" i="2"/>
  <c r="T18" i="1"/>
  <c r="J15" i="2"/>
  <c r="O60" i="1"/>
  <c r="L13" i="2"/>
  <c r="L38" i="2"/>
  <c r="M38" i="2"/>
  <c r="M35" i="1"/>
  <c r="N34" i="1"/>
  <c r="U21" i="1"/>
  <c r="N33" i="1"/>
  <c r="O15" i="1"/>
  <c r="P15" i="1"/>
  <c r="T13" i="1" l="1"/>
  <c r="O32" i="1"/>
  <c r="O33" i="1"/>
  <c r="Q9" i="1"/>
  <c r="J16" i="2"/>
  <c r="K15" i="2"/>
  <c r="T11" i="1"/>
  <c r="O34" i="1"/>
  <c r="Q12" i="1"/>
  <c r="T12" i="1"/>
  <c r="Q8" i="1"/>
  <c r="S13" i="1"/>
  <c r="Q11" i="1"/>
  <c r="Q13" i="1"/>
  <c r="Q10" i="1"/>
  <c r="T9" i="1"/>
  <c r="M36" i="1"/>
  <c r="N35" i="1"/>
  <c r="O35" i="1" s="1"/>
  <c r="S10" i="1"/>
  <c r="S12" i="1"/>
  <c r="U12" i="1" s="1"/>
  <c r="Q23" i="1"/>
  <c r="T8" i="1"/>
  <c r="S9" i="1"/>
  <c r="S8" i="1"/>
  <c r="S11" i="1"/>
  <c r="T10" i="1"/>
  <c r="R13" i="1"/>
  <c r="R11" i="1"/>
  <c r="R9" i="1"/>
  <c r="R8" i="1"/>
  <c r="R12" i="1"/>
  <c r="Q15" i="1"/>
  <c r="R10" i="1"/>
  <c r="M15" i="2" l="1"/>
  <c r="L15" i="2"/>
  <c r="U11" i="1"/>
  <c r="J17" i="2"/>
  <c r="K16" i="2"/>
  <c r="Q24" i="1"/>
  <c r="U13" i="1"/>
  <c r="M37" i="1"/>
  <c r="N36" i="1"/>
  <c r="P36" i="1" s="1"/>
  <c r="U10" i="1"/>
  <c r="T15" i="1"/>
  <c r="U9" i="1"/>
  <c r="Q18" i="1"/>
  <c r="P32" i="1" s="1"/>
  <c r="U8" i="1"/>
  <c r="U15" i="1" s="1"/>
  <c r="U18" i="1" s="1"/>
  <c r="R15" i="1"/>
  <c r="R18" i="1" s="1"/>
  <c r="O36" i="1" l="1"/>
  <c r="P33" i="1"/>
  <c r="L16" i="2"/>
  <c r="M16" i="2"/>
  <c r="J18" i="2"/>
  <c r="K17" i="2"/>
  <c r="P37" i="1"/>
  <c r="O37" i="1"/>
  <c r="P34" i="1"/>
  <c r="P35" i="1"/>
  <c r="T21" i="1"/>
  <c r="Q25" i="1"/>
  <c r="M38" i="1"/>
  <c r="N37" i="1"/>
  <c r="M17" i="2" l="1"/>
  <c r="L17" i="2"/>
  <c r="J19" i="2"/>
  <c r="K18" i="2"/>
  <c r="M39" i="1"/>
  <c r="N38" i="1"/>
  <c r="O38" i="1" s="1"/>
  <c r="P38" i="1" l="1"/>
  <c r="L18" i="2"/>
  <c r="M18" i="2"/>
  <c r="J20" i="2"/>
  <c r="K19" i="2"/>
  <c r="M40" i="1"/>
  <c r="N39" i="1"/>
  <c r="P39" i="1" s="1"/>
  <c r="L19" i="2" l="1"/>
  <c r="M19" i="2"/>
  <c r="J21" i="2"/>
  <c r="K20" i="2"/>
  <c r="O39" i="1"/>
  <c r="M41" i="1"/>
  <c r="N40" i="1"/>
  <c r="P40" i="1" s="1"/>
  <c r="L20" i="2" l="1"/>
  <c r="M20" i="2"/>
  <c r="J22" i="2"/>
  <c r="K21" i="2"/>
  <c r="O40" i="1"/>
  <c r="M42" i="1"/>
  <c r="N41" i="1"/>
  <c r="O41" i="1" s="1"/>
  <c r="N42" i="1" l="1"/>
  <c r="P42" i="1"/>
  <c r="O42" i="1"/>
  <c r="L21" i="2"/>
  <c r="M21" i="2"/>
  <c r="P41" i="1"/>
  <c r="J23" i="2"/>
  <c r="K22" i="2"/>
  <c r="J24" i="2" l="1"/>
  <c r="K23" i="2"/>
  <c r="M22" i="2"/>
  <c r="L22" i="2"/>
  <c r="M23" i="2" l="1"/>
  <c r="L23" i="2"/>
  <c r="J25" i="2"/>
  <c r="K24" i="2"/>
  <c r="M24" i="2" l="1"/>
  <c r="L24" i="2"/>
  <c r="J26" i="2"/>
  <c r="K25" i="2"/>
  <c r="M25" i="2" l="1"/>
  <c r="L25" i="2"/>
  <c r="J27" i="2"/>
  <c r="K26" i="2"/>
  <c r="L26" i="2" l="1"/>
  <c r="M26" i="2"/>
  <c r="J28" i="2"/>
  <c r="K27" i="2"/>
  <c r="M27" i="2" l="1"/>
  <c r="L27" i="2"/>
  <c r="J29" i="2"/>
  <c r="K28" i="2"/>
  <c r="L28" i="2" l="1"/>
  <c r="M28" i="2"/>
  <c r="J30" i="2"/>
  <c r="K29" i="2"/>
  <c r="L29" i="2" l="1"/>
  <c r="M29" i="2"/>
  <c r="J31" i="2"/>
  <c r="K30" i="2"/>
  <c r="L30" i="2" l="1"/>
  <c r="M30" i="2"/>
  <c r="J32" i="2"/>
  <c r="K31" i="2"/>
  <c r="L31" i="2" l="1"/>
  <c r="M31" i="2"/>
  <c r="J33" i="2"/>
  <c r="K32" i="2"/>
  <c r="M32" i="2" l="1"/>
  <c r="L32" i="2"/>
  <c r="J34" i="2"/>
  <c r="K33" i="2"/>
  <c r="M33" i="2" l="1"/>
  <c r="L33" i="2"/>
  <c r="K34" i="2"/>
  <c r="J35" i="2"/>
  <c r="J36" i="2" l="1"/>
  <c r="K35" i="2"/>
  <c r="M34" i="2"/>
  <c r="L34" i="2"/>
  <c r="M35" i="2" l="1"/>
  <c r="L35" i="2"/>
  <c r="J37" i="2"/>
  <c r="K37" i="2" s="1"/>
  <c r="K36" i="2"/>
  <c r="L36" i="2" l="1"/>
  <c r="M36" i="2"/>
  <c r="M37" i="2"/>
  <c r="L37" i="2"/>
</calcChain>
</file>

<file path=xl/sharedStrings.xml><?xml version="1.0" encoding="utf-8"?>
<sst xmlns="http://schemas.openxmlformats.org/spreadsheetml/2006/main" count="36" uniqueCount="31">
  <si>
    <t>SD(Rgen)</t>
  </si>
  <si>
    <t>SD(Rspx)</t>
  </si>
  <si>
    <t>VAR(Rgen)</t>
  </si>
  <si>
    <t>VAR(Rspx)</t>
  </si>
  <si>
    <t>E(Rgen)</t>
  </si>
  <si>
    <t>E(Rspx)</t>
  </si>
  <si>
    <t>GE.N</t>
  </si>
  <si>
    <t>SPX</t>
  </si>
  <si>
    <t>SD</t>
  </si>
  <si>
    <t>COV</t>
  </si>
  <si>
    <t>CORREL</t>
  </si>
  <si>
    <t>P</t>
  </si>
  <si>
    <t>SP</t>
  </si>
  <si>
    <t>GE</t>
  </si>
  <si>
    <t>E</t>
  </si>
  <si>
    <t>VAR</t>
  </si>
  <si>
    <t xml:space="preserve">wp = </t>
  </si>
  <si>
    <t>wf =</t>
  </si>
  <si>
    <t>E(r)</t>
  </si>
  <si>
    <t>risk free</t>
  </si>
  <si>
    <t>stocks</t>
  </si>
  <si>
    <t>E(R)</t>
  </si>
  <si>
    <t>bonds</t>
  </si>
  <si>
    <t>CORREL(s,b)</t>
  </si>
  <si>
    <t>COV(s,b)</t>
  </si>
  <si>
    <t>Portfolio con los dos activos</t>
  </si>
  <si>
    <t>s</t>
  </si>
  <si>
    <t>1-s = b</t>
  </si>
  <si>
    <t>E(P)</t>
  </si>
  <si>
    <t>SD(P)</t>
  </si>
  <si>
    <t>1 ) MINIMA 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</si>
</sst>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5" formatCode="0.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2" borderId="0" xfId="1" applyNumberFormat="1" applyFont="1" applyFill="1"/>
    <xf numFmtId="164" fontId="2" fillId="0" borderId="0" xfId="1" applyNumberFormat="1" applyFont="1"/>
    <xf numFmtId="164" fontId="1" fillId="0" borderId="0" xfId="1" applyNumberFormat="1" applyFont="1"/>
    <xf numFmtId="164" fontId="3" fillId="2" borderId="0" xfId="1" applyNumberFormat="1" applyFont="1" applyFill="1"/>
    <xf numFmtId="14" fontId="3" fillId="2" borderId="0" xfId="1" applyNumberFormat="1" applyFont="1" applyFill="1"/>
    <xf numFmtId="2" fontId="3" fillId="2" borderId="0" xfId="1" applyNumberFormat="1" applyFont="1" applyFill="1"/>
    <xf numFmtId="2" fontId="0" fillId="0" borderId="0" xfId="1" applyNumberFormat="1" applyFont="1"/>
    <xf numFmtId="165" fontId="0" fillId="0" borderId="0" xfId="0" applyNumberFormat="1"/>
    <xf numFmtId="10" fontId="0" fillId="0" borderId="0" xfId="2" applyNumberFormat="1" applyFont="1"/>
    <xf numFmtId="10" fontId="2" fillId="3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'P_guia (2)'!$P$32:$P$42</c:f>
              <c:numCache>
                <c:formatCode>0.000000</c:formatCode>
                <c:ptCount val="11"/>
                <c:pt idx="0">
                  <c:v>0.1422079727174709</c:v>
                </c:pt>
                <c:pt idx="1">
                  <c:v>0.10343609286240737</c:v>
                </c:pt>
                <c:pt idx="2">
                  <c:v>7.1241973681833923E-2</c:v>
                </c:pt>
                <c:pt idx="3">
                  <c:v>4.5625615175750575E-2</c:v>
                </c:pt>
                <c:pt idx="4">
                  <c:v>2.6587017344157304E-2</c:v>
                </c:pt>
                <c:pt idx="5">
                  <c:v>1.4126180187054116E-2</c:v>
                </c:pt>
                <c:pt idx="6">
                  <c:v>8.2431037044410158E-3</c:v>
                </c:pt>
                <c:pt idx="7">
                  <c:v>8.937787896318005E-3</c:v>
                </c:pt>
                <c:pt idx="8">
                  <c:v>1.6210232762685087E-2</c:v>
                </c:pt>
                <c:pt idx="9">
                  <c:v>3.0060438303542245E-2</c:v>
                </c:pt>
                <c:pt idx="10">
                  <c:v>5.0488404518889488E-2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5-A240-AC74-CEE2FC80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206991"/>
        <c:axId val="1524119647"/>
      </c:lineChart>
      <c:catAx>
        <c:axId val="160020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524119647"/>
        <c:crosses val="autoZero"/>
        <c:auto val="1"/>
        <c:lblAlgn val="ctr"/>
        <c:lblOffset val="100"/>
        <c:noMultiLvlLbl val="0"/>
      </c:catAx>
      <c:valAx>
        <c:axId val="15241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160020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BODIE!$M$12</c:f>
              <c:strCache>
                <c:ptCount val="1"/>
                <c:pt idx="0">
                  <c:v>SD(P)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BODIE!$M$13:$M$38</c:f>
              <c:numCache>
                <c:formatCode>0.00%</c:formatCode>
                <c:ptCount val="26"/>
                <c:pt idx="0">
                  <c:v>0.38870451502394471</c:v>
                </c:pt>
                <c:pt idx="1">
                  <c:v>0.35786170513202442</c:v>
                </c:pt>
                <c:pt idx="2">
                  <c:v>0.32818165701330715</c:v>
                </c:pt>
                <c:pt idx="3">
                  <c:v>0.30000966651093097</c:v>
                </c:pt>
                <c:pt idx="4">
                  <c:v>0.27381161407069643</c:v>
                </c:pt>
                <c:pt idx="5">
                  <c:v>0.25020831321121212</c:v>
                </c:pt>
                <c:pt idx="6">
                  <c:v>0.23</c:v>
                </c:pt>
                <c:pt idx="7">
                  <c:v>0.2141499474667225</c:v>
                </c:pt>
                <c:pt idx="8">
                  <c:v>0.20367817752523223</c:v>
                </c:pt>
                <c:pt idx="9">
                  <c:v>0.1994336982558364</c:v>
                </c:pt>
                <c:pt idx="10">
                  <c:v>0.20180981145623222</c:v>
                </c:pt>
                <c:pt idx="11">
                  <c:v>0.21058252539087852</c:v>
                </c:pt>
                <c:pt idx="12">
                  <c:v>0.22500488883577618</c:v>
                </c:pt>
                <c:pt idx="13">
                  <c:v>0.24407744672541951</c:v>
                </c:pt>
                <c:pt idx="14">
                  <c:v>0.26680479755806491</c:v>
                </c:pt>
                <c:pt idx="15">
                  <c:v>0.29233576585837046</c:v>
                </c:pt>
                <c:pt idx="16">
                  <c:v>0.31999999999999995</c:v>
                </c:pt>
                <c:pt idx="17">
                  <c:v>0.34929099616222575</c:v>
                </c:pt>
                <c:pt idx="18">
                  <c:v>0.37983259470456193</c:v>
                </c:pt>
                <c:pt idx="19">
                  <c:v>0.41134632610490152</c:v>
                </c:pt>
                <c:pt idx="20">
                  <c:v>0.44362506692025422</c:v>
                </c:pt>
                <c:pt idx="21">
                  <c:v>0.47651337861596299</c:v>
                </c:pt>
                <c:pt idx="22">
                  <c:v>0.50989332217631567</c:v>
                </c:pt>
                <c:pt idx="23">
                  <c:v>0.5436743510595291</c:v>
                </c:pt>
                <c:pt idx="24">
                  <c:v>0.57778611959790127</c:v>
                </c:pt>
                <c:pt idx="25">
                  <c:v>0.19936617777826718</c:v>
                </c:pt>
              </c:numCache>
            </c:numRef>
          </c:xVal>
          <c:yVal>
            <c:numRef>
              <c:f>BODIE!$L$13:$L$38</c:f>
              <c:numCache>
                <c:formatCode>0.00%</c:formatCode>
                <c:ptCount val="26"/>
                <c:pt idx="0">
                  <c:v>7.6000000000000012E-2</c:v>
                </c:pt>
                <c:pt idx="1">
                  <c:v>8.5000000000000006E-2</c:v>
                </c:pt>
                <c:pt idx="2">
                  <c:v>9.3999999999999986E-2</c:v>
                </c:pt>
                <c:pt idx="3">
                  <c:v>0.10299999999999999</c:v>
                </c:pt>
                <c:pt idx="4">
                  <c:v>0.11199999999999999</c:v>
                </c:pt>
                <c:pt idx="5">
                  <c:v>0.12100000000000001</c:v>
                </c:pt>
                <c:pt idx="6">
                  <c:v>0.13</c:v>
                </c:pt>
                <c:pt idx="7">
                  <c:v>0.13900000000000001</c:v>
                </c:pt>
                <c:pt idx="8">
                  <c:v>0.14800000000000002</c:v>
                </c:pt>
                <c:pt idx="9">
                  <c:v>0.15700000000000003</c:v>
                </c:pt>
                <c:pt idx="10">
                  <c:v>0.16600000000000001</c:v>
                </c:pt>
                <c:pt idx="11">
                  <c:v>0.17499999999999999</c:v>
                </c:pt>
                <c:pt idx="12">
                  <c:v>0.184</c:v>
                </c:pt>
                <c:pt idx="13">
                  <c:v>0.193</c:v>
                </c:pt>
                <c:pt idx="14">
                  <c:v>0.20200000000000001</c:v>
                </c:pt>
                <c:pt idx="15">
                  <c:v>0.21099999999999999</c:v>
                </c:pt>
                <c:pt idx="16">
                  <c:v>0.21999999999999997</c:v>
                </c:pt>
                <c:pt idx="17">
                  <c:v>0.22899999999999998</c:v>
                </c:pt>
                <c:pt idx="18">
                  <c:v>0.23800000000000002</c:v>
                </c:pt>
                <c:pt idx="19">
                  <c:v>0.24700000000000003</c:v>
                </c:pt>
                <c:pt idx="20">
                  <c:v>0.25600000000000001</c:v>
                </c:pt>
                <c:pt idx="21">
                  <c:v>0.26500000000000001</c:v>
                </c:pt>
                <c:pt idx="22">
                  <c:v>0.27400000000000002</c:v>
                </c:pt>
                <c:pt idx="23">
                  <c:v>0.28300000000000003</c:v>
                </c:pt>
                <c:pt idx="24">
                  <c:v>0.29200000000000004</c:v>
                </c:pt>
                <c:pt idx="25">
                  <c:v>0.15827953760743907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2-3642-A09A-2CCD8C9D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832671"/>
        <c:axId val="2101835023"/>
      </c:scatterChart>
      <c:valAx>
        <c:axId val="210183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01835023"/>
        <c:crosses val="autoZero"/>
        <c:crossBetween val="midCat"/>
      </c:valAx>
      <c:valAx>
        <c:axId val="21018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R"/>
          </a:p>
        </c:txPr>
        <c:crossAx val="210183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5.e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4.emf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7.emf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16427" cy="8997997"/>
    <xdr:pic>
      <xdr:nvPicPr>
        <xdr:cNvPr id="2" name="Picture 1">
          <a:extLst>
            <a:ext uri="{FF2B5EF4-FFF2-40B4-BE49-F238E27FC236}">
              <a16:creationId xmlns:a16="http://schemas.microsoft.com/office/drawing/2014/main" id="{C62180C3-3F11-8A4A-8C62-71946B1A4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16427" cy="8997997"/>
        </a:xfrm>
        <a:prstGeom prst="rect">
          <a:avLst/>
        </a:prstGeom>
      </xdr:spPr>
    </xdr:pic>
    <xdr:clientData/>
  </xdr:oneCellAnchor>
  <xdr:oneCellAnchor>
    <xdr:from>
      <xdr:col>31</xdr:col>
      <xdr:colOff>87340</xdr:colOff>
      <xdr:row>0</xdr:row>
      <xdr:rowOff>20320</xdr:rowOff>
    </xdr:from>
    <xdr:ext cx="2996036" cy="1222252"/>
    <xdr:pic>
      <xdr:nvPicPr>
        <xdr:cNvPr id="3" name="Picture 2">
          <a:extLst>
            <a:ext uri="{FF2B5EF4-FFF2-40B4-BE49-F238E27FC236}">
              <a16:creationId xmlns:a16="http://schemas.microsoft.com/office/drawing/2014/main" id="{1B72B9EA-FF18-914C-B171-055B89D48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22840" y="20320"/>
          <a:ext cx="2996036" cy="1222252"/>
        </a:xfrm>
        <a:prstGeom prst="rect">
          <a:avLst/>
        </a:prstGeom>
      </xdr:spPr>
    </xdr:pic>
    <xdr:clientData/>
  </xdr:oneCellAnchor>
  <xdr:oneCellAnchor>
    <xdr:from>
      <xdr:col>31</xdr:col>
      <xdr:colOff>71120</xdr:colOff>
      <xdr:row>6</xdr:row>
      <xdr:rowOff>14535</xdr:rowOff>
    </xdr:from>
    <xdr:ext cx="3410467" cy="1381478"/>
    <xdr:pic>
      <xdr:nvPicPr>
        <xdr:cNvPr id="4" name="Picture 3">
          <a:extLst>
            <a:ext uri="{FF2B5EF4-FFF2-40B4-BE49-F238E27FC236}">
              <a16:creationId xmlns:a16="http://schemas.microsoft.com/office/drawing/2014/main" id="{BF56B9FE-C199-214C-AF2C-833262A67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06620" y="1233735"/>
          <a:ext cx="3410467" cy="1381478"/>
        </a:xfrm>
        <a:prstGeom prst="rect">
          <a:avLst/>
        </a:prstGeom>
      </xdr:spPr>
    </xdr:pic>
    <xdr:clientData/>
  </xdr:oneCellAnchor>
  <xdr:oneCellAnchor>
    <xdr:from>
      <xdr:col>31</xdr:col>
      <xdr:colOff>91440</xdr:colOff>
      <xdr:row>13</xdr:row>
      <xdr:rowOff>14535</xdr:rowOff>
    </xdr:from>
    <xdr:ext cx="3431634" cy="730542"/>
    <xdr:pic>
      <xdr:nvPicPr>
        <xdr:cNvPr id="5" name="Picture 4">
          <a:extLst>
            <a:ext uri="{FF2B5EF4-FFF2-40B4-BE49-F238E27FC236}">
              <a16:creationId xmlns:a16="http://schemas.microsoft.com/office/drawing/2014/main" id="{557D66A9-B436-AF46-85D7-F18E4EFB7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6940" y="2656135"/>
          <a:ext cx="3431634" cy="730542"/>
        </a:xfrm>
        <a:prstGeom prst="rect">
          <a:avLst/>
        </a:prstGeom>
      </xdr:spPr>
    </xdr:pic>
    <xdr:clientData/>
  </xdr:oneCellAnchor>
  <xdr:oneCellAnchor>
    <xdr:from>
      <xdr:col>31</xdr:col>
      <xdr:colOff>172720</xdr:colOff>
      <xdr:row>26</xdr:row>
      <xdr:rowOff>121920</xdr:rowOff>
    </xdr:from>
    <xdr:ext cx="3613667" cy="1372541"/>
    <xdr:pic>
      <xdr:nvPicPr>
        <xdr:cNvPr id="6" name="Picture 5">
          <a:extLst>
            <a:ext uri="{FF2B5EF4-FFF2-40B4-BE49-F238E27FC236}">
              <a16:creationId xmlns:a16="http://schemas.microsoft.com/office/drawing/2014/main" id="{C519A8D5-AF45-8240-AA7D-5F0622F9C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508220" y="5405120"/>
          <a:ext cx="3613667" cy="1372541"/>
        </a:xfrm>
        <a:prstGeom prst="rect">
          <a:avLst/>
        </a:prstGeom>
      </xdr:spPr>
    </xdr:pic>
    <xdr:clientData/>
  </xdr:oneCellAnchor>
  <xdr:oneCellAnchor>
    <xdr:from>
      <xdr:col>31</xdr:col>
      <xdr:colOff>193040</xdr:colOff>
      <xdr:row>33</xdr:row>
      <xdr:rowOff>182880</xdr:rowOff>
    </xdr:from>
    <xdr:ext cx="4659959" cy="971315"/>
    <xdr:pic>
      <xdr:nvPicPr>
        <xdr:cNvPr id="7" name="Picture 6">
          <a:extLst>
            <a:ext uri="{FF2B5EF4-FFF2-40B4-BE49-F238E27FC236}">
              <a16:creationId xmlns:a16="http://schemas.microsoft.com/office/drawing/2014/main" id="{6F816861-E596-C14E-A9C3-085428AB6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528540" y="6888480"/>
          <a:ext cx="4659959" cy="971315"/>
        </a:xfrm>
        <a:prstGeom prst="rect">
          <a:avLst/>
        </a:prstGeom>
      </xdr:spPr>
    </xdr:pic>
    <xdr:clientData/>
  </xdr:oneCellAnchor>
  <xdr:oneCellAnchor>
    <xdr:from>
      <xdr:col>31</xdr:col>
      <xdr:colOff>132080</xdr:colOff>
      <xdr:row>38</xdr:row>
      <xdr:rowOff>193040</xdr:rowOff>
    </xdr:from>
    <xdr:ext cx="3816867" cy="1076677"/>
    <xdr:pic>
      <xdr:nvPicPr>
        <xdr:cNvPr id="8" name="Picture 7">
          <a:extLst>
            <a:ext uri="{FF2B5EF4-FFF2-40B4-BE49-F238E27FC236}">
              <a16:creationId xmlns:a16="http://schemas.microsoft.com/office/drawing/2014/main" id="{378C676A-5D27-3B46-B6D9-BF52CBCB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467580" y="7914640"/>
          <a:ext cx="3816867" cy="107667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</xdr:row>
      <xdr:rowOff>0</xdr:rowOff>
    </xdr:from>
    <xdr:ext cx="7819544" cy="6813341"/>
    <xdr:pic>
      <xdr:nvPicPr>
        <xdr:cNvPr id="9" name="Picture 8">
          <a:extLst>
            <a:ext uri="{FF2B5EF4-FFF2-40B4-BE49-F238E27FC236}">
              <a16:creationId xmlns:a16="http://schemas.microsoft.com/office/drawing/2014/main" id="{7C630D90-BF40-D045-9CA0-61C4576CE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550400"/>
          <a:ext cx="7819544" cy="6813341"/>
        </a:xfrm>
        <a:prstGeom prst="rect">
          <a:avLst/>
        </a:prstGeom>
      </xdr:spPr>
    </xdr:pic>
    <xdr:clientData/>
  </xdr:oneCellAnchor>
  <xdr:oneCellAnchor>
    <xdr:from>
      <xdr:col>31</xdr:col>
      <xdr:colOff>86591</xdr:colOff>
      <xdr:row>53</xdr:row>
      <xdr:rowOff>14432</xdr:rowOff>
    </xdr:from>
    <xdr:ext cx="7819544" cy="3750512"/>
    <xdr:pic>
      <xdr:nvPicPr>
        <xdr:cNvPr id="10" name="Picture 9">
          <a:extLst>
            <a:ext uri="{FF2B5EF4-FFF2-40B4-BE49-F238E27FC236}">
              <a16:creationId xmlns:a16="http://schemas.microsoft.com/office/drawing/2014/main" id="{1DB6337C-1665-BB41-9FC7-2156D46DA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22091" y="10784032"/>
          <a:ext cx="7819544" cy="3750512"/>
        </a:xfrm>
        <a:prstGeom prst="rect">
          <a:avLst/>
        </a:prstGeom>
      </xdr:spPr>
    </xdr:pic>
    <xdr:clientData/>
  </xdr:oneCellAnchor>
  <xdr:oneCellAnchor>
    <xdr:from>
      <xdr:col>31</xdr:col>
      <xdr:colOff>0</xdr:colOff>
      <xdr:row>74</xdr:row>
      <xdr:rowOff>0</xdr:rowOff>
    </xdr:from>
    <xdr:ext cx="7819544" cy="5097327"/>
    <xdr:pic>
      <xdr:nvPicPr>
        <xdr:cNvPr id="11" name="Picture 10">
          <a:extLst>
            <a:ext uri="{FF2B5EF4-FFF2-40B4-BE49-F238E27FC236}">
              <a16:creationId xmlns:a16="http://schemas.microsoft.com/office/drawing/2014/main" id="{457EB799-3E8D-D146-B6FD-42D122B41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335500" y="15036800"/>
          <a:ext cx="7819544" cy="509732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81</xdr:row>
      <xdr:rowOff>0</xdr:rowOff>
    </xdr:from>
    <xdr:ext cx="7761817" cy="3736184"/>
    <xdr:pic>
      <xdr:nvPicPr>
        <xdr:cNvPr id="12" name="Picture 11">
          <a:extLst>
            <a:ext uri="{FF2B5EF4-FFF2-40B4-BE49-F238E27FC236}">
              <a16:creationId xmlns:a16="http://schemas.microsoft.com/office/drawing/2014/main" id="{40F393F3-DB85-1D45-800B-8F9682A7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59200"/>
          <a:ext cx="7761817" cy="373618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102</xdr:row>
      <xdr:rowOff>0</xdr:rowOff>
    </xdr:from>
    <xdr:ext cx="7761817" cy="6327822"/>
    <xdr:pic>
      <xdr:nvPicPr>
        <xdr:cNvPr id="13" name="Picture 12">
          <a:extLst>
            <a:ext uri="{FF2B5EF4-FFF2-40B4-BE49-F238E27FC236}">
              <a16:creationId xmlns:a16="http://schemas.microsoft.com/office/drawing/2014/main" id="{BB46760A-BD57-5644-9E29-14E902B16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0726400"/>
          <a:ext cx="7761817" cy="6327822"/>
        </a:xfrm>
        <a:prstGeom prst="rect">
          <a:avLst/>
        </a:prstGeom>
      </xdr:spPr>
    </xdr:pic>
    <xdr:clientData/>
  </xdr:oneCellAnchor>
  <xdr:twoCellAnchor>
    <xdr:from>
      <xdr:col>16</xdr:col>
      <xdr:colOff>950147</xdr:colOff>
      <xdr:row>28</xdr:row>
      <xdr:rowOff>77141</xdr:rowOff>
    </xdr:from>
    <xdr:to>
      <xdr:col>21</xdr:col>
      <xdr:colOff>103480</xdr:colOff>
      <xdr:row>41</xdr:row>
      <xdr:rowOff>129823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B93104-0A9E-F80C-3960-62EC7DD8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51</xdr:row>
      <xdr:rowOff>206962</xdr:rowOff>
    </xdr:from>
    <xdr:to>
      <xdr:col>12</xdr:col>
      <xdr:colOff>649111</xdr:colOff>
      <xdr:row>53</xdr:row>
      <xdr:rowOff>109069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BF3BE9-2C03-EA88-9AFB-E39DE6875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8519" y="10762073"/>
          <a:ext cx="2351851" cy="316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827851</xdr:colOff>
      <xdr:row>54</xdr:row>
      <xdr:rowOff>0</xdr:rowOff>
    </xdr:from>
    <xdr:to>
      <xdr:col>12</xdr:col>
      <xdr:colOff>555036</xdr:colOff>
      <xdr:row>61</xdr:row>
      <xdr:rowOff>138717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CDE2CA8-AC7C-F181-45DF-7A1288D3C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8518" y="11176000"/>
          <a:ext cx="2257777" cy="1587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64</xdr:row>
      <xdr:rowOff>0</xdr:rowOff>
    </xdr:from>
    <xdr:to>
      <xdr:col>12</xdr:col>
      <xdr:colOff>547687</xdr:colOff>
      <xdr:row>67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C1FC7E1-A10D-1AF9-BDAA-D911F0610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8519" y="13245630"/>
          <a:ext cx="2250427" cy="620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7</xdr:col>
      <xdr:colOff>279401</xdr:colOff>
      <xdr:row>37</xdr:row>
      <xdr:rowOff>5191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6FCCF-7AD7-8249-8383-3A9829CE7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03200"/>
          <a:ext cx="6057900" cy="7320391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635000</xdr:colOff>
      <xdr:row>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9F20EB-52FC-BF9B-9695-D86735FA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500" y="1422400"/>
          <a:ext cx="14605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419100</xdr:colOff>
      <xdr:row>6</xdr:row>
      <xdr:rowOff>184150</xdr:rowOff>
    </xdr:from>
    <xdr:to>
      <xdr:col>26</xdr:col>
      <xdr:colOff>0</xdr:colOff>
      <xdr:row>34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7E66B8-76E9-3A24-C9E6-191F4A187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E483-BC46-2647-A073-3DB69EF6F78E}">
  <sheetPr>
    <tabColor theme="5" tint="-0.249977111117893"/>
  </sheetPr>
  <dimension ref="K6:BB408"/>
  <sheetViews>
    <sheetView topLeftCell="A35" zoomScale="135" zoomScaleNormal="141" workbookViewId="0">
      <selection activeCell="O66" sqref="O66"/>
    </sheetView>
  </sheetViews>
  <sheetFormatPr baseColWidth="10" defaultRowHeight="16" x14ac:dyDescent="0.2"/>
  <cols>
    <col min="1" max="11" width="10.83203125" style="1"/>
    <col min="12" max="12" width="11.5" style="1" bestFit="1" customWidth="1"/>
    <col min="13" max="13" width="13.33203125" style="1" bestFit="1" customWidth="1"/>
    <col min="14" max="15" width="11.33203125" style="1" bestFit="1" customWidth="1"/>
    <col min="16" max="16" width="16.33203125" style="1" customWidth="1"/>
    <col min="17" max="18" width="18.5" style="1" customWidth="1"/>
    <col min="19" max="19" width="16.5" style="1" bestFit="1" customWidth="1"/>
    <col min="20" max="29" width="16.5" style="1" customWidth="1"/>
    <col min="30" max="41" width="10.83203125" style="1"/>
    <col min="42" max="54" width="10.83203125" style="2"/>
    <col min="55" max="16384" width="10.83203125" style="1"/>
  </cols>
  <sheetData>
    <row r="6" spans="12:21" x14ac:dyDescent="0.2">
      <c r="L6" s="3"/>
      <c r="M6" s="6" t="s">
        <v>7</v>
      </c>
      <c r="N6" s="6" t="s">
        <v>6</v>
      </c>
      <c r="O6" s="1" t="s">
        <v>5</v>
      </c>
      <c r="P6" s="1" t="s">
        <v>4</v>
      </c>
      <c r="Q6" s="1" t="s">
        <v>3</v>
      </c>
      <c r="R6" s="5" t="s">
        <v>2</v>
      </c>
    </row>
    <row r="7" spans="12:21" x14ac:dyDescent="0.2">
      <c r="L7" s="7">
        <v>40908</v>
      </c>
      <c r="M7" s="6">
        <v>1257.5999999999999</v>
      </c>
      <c r="N7" s="6">
        <v>17.91</v>
      </c>
    </row>
    <row r="8" spans="12:21" x14ac:dyDescent="0.2">
      <c r="L8" s="7">
        <v>41274</v>
      </c>
      <c r="M8" s="6">
        <v>1426.19</v>
      </c>
      <c r="N8" s="6">
        <v>20.99</v>
      </c>
      <c r="O8" s="1">
        <f t="shared" ref="O8:P13" si="0">+(M8-M7)/M7</f>
        <v>0.13405693384223932</v>
      </c>
      <c r="P8" s="1">
        <f t="shared" si="0"/>
        <v>0.1719709659408151</v>
      </c>
      <c r="Q8" s="1">
        <f t="shared" ref="Q8:R13" si="1">+(O8-O$15)^2</f>
        <v>7.7020254963629912E-5</v>
      </c>
      <c r="R8" s="1">
        <f t="shared" si="1"/>
        <v>1.0334991358892842E-2</v>
      </c>
      <c r="S8" s="1">
        <f>+O8-$O$15</f>
        <v>8.7761184451686791E-3</v>
      </c>
      <c r="T8" s="1">
        <f>+P8-$O$15</f>
        <v>4.6690150543744452E-2</v>
      </c>
      <c r="U8" s="1">
        <f t="shared" ref="U8:U13" si="2">+T8*S8</f>
        <v>4.0975829139465811E-4</v>
      </c>
    </row>
    <row r="9" spans="12:21" x14ac:dyDescent="0.2">
      <c r="L9" s="7">
        <v>41639</v>
      </c>
      <c r="M9" s="6">
        <v>1848.36</v>
      </c>
      <c r="N9" s="6">
        <v>28.03</v>
      </c>
      <c r="O9" s="1">
        <f t="shared" si="0"/>
        <v>0.29601245275874871</v>
      </c>
      <c r="P9" s="1">
        <f t="shared" si="0"/>
        <v>0.33539780848022882</v>
      </c>
      <c r="Q9" s="1">
        <f t="shared" si="1"/>
        <v>2.9149291996199547E-2</v>
      </c>
      <c r="R9" s="1">
        <f t="shared" si="1"/>
        <v>7.0271648846130644E-2</v>
      </c>
      <c r="S9" s="1">
        <f t="shared" ref="S9:T13" si="3">+O9-$O$15</f>
        <v>0.17073163736167807</v>
      </c>
      <c r="T9" s="1">
        <f t="shared" si="3"/>
        <v>0.21011699308315818</v>
      </c>
      <c r="U9" s="1">
        <f t="shared" si="2"/>
        <v>3.5873618266599981E-2</v>
      </c>
    </row>
    <row r="10" spans="12:21" x14ac:dyDescent="0.2">
      <c r="L10" s="7">
        <v>42004</v>
      </c>
      <c r="M10" s="6">
        <v>2058.9</v>
      </c>
      <c r="N10" s="6">
        <v>25.27</v>
      </c>
      <c r="O10" s="1">
        <f t="shared" si="0"/>
        <v>0.11390638187366109</v>
      </c>
      <c r="P10" s="1">
        <f t="shared" si="0"/>
        <v>-9.8465929361398558E-2</v>
      </c>
      <c r="Q10" s="1">
        <f t="shared" si="1"/>
        <v>1.2937773797846311E-4</v>
      </c>
      <c r="R10" s="1">
        <f t="shared" si="1"/>
        <v>2.8485248982283246E-2</v>
      </c>
      <c r="S10" s="1">
        <f t="shared" si="3"/>
        <v>-1.1374433523409555E-2</v>
      </c>
      <c r="T10" s="1">
        <f t="shared" si="3"/>
        <v>-0.2237467447584692</v>
      </c>
      <c r="U10" s="1">
        <f t="shared" si="2"/>
        <v>2.5449924743344934E-3</v>
      </c>
    </row>
    <row r="11" spans="12:21" x14ac:dyDescent="0.2">
      <c r="L11" s="7">
        <v>42369</v>
      </c>
      <c r="M11" s="6">
        <v>2043.94</v>
      </c>
      <c r="N11" s="6">
        <v>31.15</v>
      </c>
      <c r="O11" s="1">
        <f t="shared" si="0"/>
        <v>-7.2660158336976229E-3</v>
      </c>
      <c r="P11" s="1">
        <f t="shared" si="0"/>
        <v>0.23268698060941825</v>
      </c>
      <c r="Q11" s="1">
        <f t="shared" si="1"/>
        <v>1.7568662469317767E-2</v>
      </c>
      <c r="R11" s="1">
        <f t="shared" si="1"/>
        <v>2.6366346703772213E-2</v>
      </c>
      <c r="S11" s="1">
        <f t="shared" si="3"/>
        <v>-0.13254683123076827</v>
      </c>
      <c r="T11" s="1">
        <f t="shared" si="3"/>
        <v>0.10740616521234761</v>
      </c>
      <c r="U11" s="1">
        <f t="shared" si="2"/>
        <v>-1.4236346853545053E-2</v>
      </c>
    </row>
    <row r="12" spans="12:21" x14ac:dyDescent="0.2">
      <c r="L12" s="7">
        <v>42735</v>
      </c>
      <c r="M12" s="6">
        <v>2238.83</v>
      </c>
      <c r="N12" s="6">
        <v>31.6</v>
      </c>
      <c r="O12" s="1">
        <f t="shared" si="0"/>
        <v>9.5350157049619785E-2</v>
      </c>
      <c r="P12" s="1">
        <f t="shared" si="0"/>
        <v>1.4446227929374089E-2</v>
      </c>
      <c r="Q12" s="1">
        <f t="shared" si="1"/>
        <v>8.958443091118298E-4</v>
      </c>
      <c r="R12" s="1">
        <f t="shared" si="1"/>
        <v>3.1207393997032557E-3</v>
      </c>
      <c r="S12" s="1">
        <f t="shared" si="3"/>
        <v>-2.9930658347450859E-2</v>
      </c>
      <c r="T12" s="1">
        <f t="shared" si="3"/>
        <v>-0.11083458746769656</v>
      </c>
      <c r="U12" s="1">
        <f t="shared" si="2"/>
        <v>3.3173521705762844E-3</v>
      </c>
    </row>
    <row r="13" spans="12:21" x14ac:dyDescent="0.2">
      <c r="L13" s="7">
        <v>43100</v>
      </c>
      <c r="M13" s="6">
        <v>2506.65</v>
      </c>
      <c r="N13" s="6">
        <v>24.2</v>
      </c>
      <c r="O13" s="1">
        <f t="shared" si="0"/>
        <v>0.11962498269185252</v>
      </c>
      <c r="P13" s="1">
        <f t="shared" si="0"/>
        <v>-0.23417721518987347</v>
      </c>
      <c r="Q13" s="1">
        <f t="shared" si="1"/>
        <v>3.1988443589414915E-5</v>
      </c>
      <c r="R13" s="1">
        <f t="shared" si="1"/>
        <v>9.2712346317541314E-2</v>
      </c>
      <c r="S13" s="1">
        <f t="shared" si="3"/>
        <v>-5.6558327052181195E-3</v>
      </c>
      <c r="T13" s="1">
        <f t="shared" si="3"/>
        <v>-0.35945803058694414</v>
      </c>
      <c r="U13" s="1">
        <f t="shared" si="2"/>
        <v>2.0330344855469338E-3</v>
      </c>
    </row>
    <row r="15" spans="12:21" x14ac:dyDescent="0.2">
      <c r="O15" s="4">
        <f>+AVERAGE(O8:O13)</f>
        <v>0.12528081539707064</v>
      </c>
      <c r="P15" s="4">
        <f>+AVERAGE(P8:P13)</f>
        <v>7.030980640142738E-2</v>
      </c>
      <c r="Q15" s="4">
        <f>+SUM(Q8:Q13)/(COUNT(Q8:Q13))</f>
        <v>7.9753642018601089E-3</v>
      </c>
      <c r="R15" s="4">
        <f>+SUM(R8:R13)/(COUNT(R8:R13))</f>
        <v>3.8548553601387252E-2</v>
      </c>
      <c r="T15" s="1">
        <f>+SUMPRODUCT(S8:S13, T8:T13)</f>
        <v>2.99424088349073E-2</v>
      </c>
      <c r="U15" s="1">
        <f>+SUM(U8:U13)</f>
        <v>2.99424088349073E-2</v>
      </c>
    </row>
    <row r="17" spans="12:21" x14ac:dyDescent="0.2">
      <c r="Q17" s="1" t="s">
        <v>1</v>
      </c>
      <c r="R17" s="5" t="s">
        <v>0</v>
      </c>
      <c r="U17" s="1" t="s">
        <v>9</v>
      </c>
    </row>
    <row r="18" spans="12:21" x14ac:dyDescent="0.2">
      <c r="Q18" s="4">
        <f>+SQRT(Q15)</f>
        <v>8.9304894613117983E-2</v>
      </c>
      <c r="R18" s="4">
        <f>+SQRT(R15)</f>
        <v>0.19633785575223961</v>
      </c>
      <c r="T18" s="1">
        <f>+_xlfn.COVARIANCE.P(O8:O13, P8:P13)</f>
        <v>4.9904014724845508E-3</v>
      </c>
      <c r="U18" s="4">
        <f>+U15/COUNT(O8:O13)</f>
        <v>4.99040147248455E-3</v>
      </c>
    </row>
    <row r="20" spans="12:21" x14ac:dyDescent="0.2">
      <c r="U20" s="1" t="s">
        <v>10</v>
      </c>
    </row>
    <row r="21" spans="12:21" x14ac:dyDescent="0.2">
      <c r="T21" s="1">
        <f>+U18/(R18*Q18)</f>
        <v>0.2846139479775498</v>
      </c>
      <c r="U21" s="4">
        <f>+CORREL(O8:O13,P8:P13)</f>
        <v>0.2846139479775498</v>
      </c>
    </row>
    <row r="23" spans="12:21" x14ac:dyDescent="0.2">
      <c r="L23" s="1" t="s">
        <v>11</v>
      </c>
      <c r="M23" s="1">
        <v>0.3</v>
      </c>
      <c r="N23" s="1" t="s">
        <v>12</v>
      </c>
      <c r="P23" s="1" t="s">
        <v>14</v>
      </c>
      <c r="Q23" s="1">
        <f>+M23*O15+M24*P15</f>
        <v>8.6801109100120358E-2</v>
      </c>
    </row>
    <row r="24" spans="12:21" x14ac:dyDescent="0.2">
      <c r="M24" s="1">
        <v>0.7</v>
      </c>
      <c r="N24" s="1" t="s">
        <v>13</v>
      </c>
      <c r="P24" s="1" t="s">
        <v>15</v>
      </c>
      <c r="Q24" s="1">
        <f>+M23^2*Q15+M24^2*R15+2*M23*M24*Q18*R18*U21</f>
        <v>2.1702542661290673E-2</v>
      </c>
    </row>
    <row r="25" spans="12:21" x14ac:dyDescent="0.2">
      <c r="P25" s="1" t="s">
        <v>8</v>
      </c>
      <c r="Q25" s="1">
        <f>+SQRT(Q24)</f>
        <v>0.14731782872853738</v>
      </c>
    </row>
    <row r="31" spans="12:21" x14ac:dyDescent="0.2">
      <c r="L31" s="3"/>
      <c r="M31" s="6" t="s">
        <v>7</v>
      </c>
      <c r="N31" s="6" t="s">
        <v>6</v>
      </c>
    </row>
    <row r="32" spans="12:21" x14ac:dyDescent="0.2">
      <c r="L32" s="8">
        <v>1</v>
      </c>
      <c r="M32" s="6">
        <v>-1</v>
      </c>
      <c r="N32" s="6">
        <f>1-M32</f>
        <v>2</v>
      </c>
      <c r="O32" s="1">
        <f>+M32*$O$15+N32*$P$15</f>
        <v>1.5338797405784116E-2</v>
      </c>
      <c r="P32" s="1">
        <f>+M32^2*$Q$15+N32^2*$R$15+2*M32*N32*$Q$18*$R$18*$U$21</f>
        <v>0.1422079727174709</v>
      </c>
    </row>
    <row r="33" spans="12:16" x14ac:dyDescent="0.2">
      <c r="L33" s="8">
        <v>2</v>
      </c>
      <c r="M33" s="6">
        <f>+M32+0.3</f>
        <v>-0.7</v>
      </c>
      <c r="N33" s="6">
        <f t="shared" ref="N33:N42" si="4">1-M33</f>
        <v>1.7</v>
      </c>
      <c r="O33" s="1">
        <f t="shared" ref="O33:O42" si="5">+M33*$O$15+N33*$P$15</f>
        <v>3.1830100104477094E-2</v>
      </c>
      <c r="P33" s="1">
        <f t="shared" ref="P33:P42" si="6">+M33^2*$Q$15+N33^2*$R$15+2*M33*N33*$Q$18*$R$18*$U$21</f>
        <v>0.10343609286240737</v>
      </c>
    </row>
    <row r="34" spans="12:16" x14ac:dyDescent="0.2">
      <c r="L34" s="8">
        <v>3</v>
      </c>
      <c r="M34" s="6">
        <f t="shared" ref="M34:M42" si="7">+M33+0.3</f>
        <v>-0.39999999999999997</v>
      </c>
      <c r="N34" s="6">
        <f t="shared" si="4"/>
        <v>1.4</v>
      </c>
      <c r="O34" s="1">
        <f t="shared" si="5"/>
        <v>4.8321402803170072E-2</v>
      </c>
      <c r="P34" s="1">
        <f t="shared" si="6"/>
        <v>7.1241973681833923E-2</v>
      </c>
    </row>
    <row r="35" spans="12:16" x14ac:dyDescent="0.2">
      <c r="L35" s="8">
        <v>4</v>
      </c>
      <c r="M35" s="6">
        <f t="shared" si="7"/>
        <v>-9.9999999999999978E-2</v>
      </c>
      <c r="N35" s="6">
        <f t="shared" si="4"/>
        <v>1.1000000000000001</v>
      </c>
      <c r="O35" s="1">
        <f t="shared" si="5"/>
        <v>6.4812705501863063E-2</v>
      </c>
      <c r="P35" s="1">
        <f t="shared" si="6"/>
        <v>4.5625615175750575E-2</v>
      </c>
    </row>
    <row r="36" spans="12:16" x14ac:dyDescent="0.2">
      <c r="L36" s="8">
        <v>5</v>
      </c>
      <c r="M36" s="6">
        <f t="shared" si="7"/>
        <v>0.2</v>
      </c>
      <c r="N36" s="6">
        <f t="shared" si="4"/>
        <v>0.8</v>
      </c>
      <c r="O36" s="1">
        <f t="shared" si="5"/>
        <v>8.1304008200556041E-2</v>
      </c>
      <c r="P36" s="1">
        <f t="shared" si="6"/>
        <v>2.6587017344157304E-2</v>
      </c>
    </row>
    <row r="37" spans="12:16" x14ac:dyDescent="0.2">
      <c r="L37" s="8">
        <v>6</v>
      </c>
      <c r="M37" s="6">
        <f t="shared" si="7"/>
        <v>0.5</v>
      </c>
      <c r="N37" s="6">
        <f t="shared" si="4"/>
        <v>0.5</v>
      </c>
      <c r="O37" s="1">
        <f t="shared" si="5"/>
        <v>9.7795310899249005E-2</v>
      </c>
      <c r="P37" s="1">
        <f t="shared" si="6"/>
        <v>1.4126180187054116E-2</v>
      </c>
    </row>
    <row r="38" spans="12:16" x14ac:dyDescent="0.2">
      <c r="L38" s="8">
        <v>7</v>
      </c>
      <c r="M38" s="6">
        <f t="shared" si="7"/>
        <v>0.8</v>
      </c>
      <c r="N38" s="6">
        <f t="shared" si="4"/>
        <v>0.19999999999999996</v>
      </c>
      <c r="O38" s="1">
        <f t="shared" si="5"/>
        <v>0.114286613597942</v>
      </c>
      <c r="P38" s="1">
        <f t="shared" si="6"/>
        <v>8.2431037044410158E-3</v>
      </c>
    </row>
    <row r="39" spans="12:16" x14ac:dyDescent="0.2">
      <c r="L39" s="8">
        <v>8</v>
      </c>
      <c r="M39" s="6">
        <f t="shared" si="7"/>
        <v>1.1000000000000001</v>
      </c>
      <c r="N39" s="6">
        <f t="shared" si="4"/>
        <v>-0.10000000000000009</v>
      </c>
      <c r="O39" s="1">
        <f t="shared" si="5"/>
        <v>0.13077791629663499</v>
      </c>
      <c r="P39" s="1">
        <f t="shared" si="6"/>
        <v>8.937787896318005E-3</v>
      </c>
    </row>
    <row r="40" spans="12:16" x14ac:dyDescent="0.2">
      <c r="L40" s="8">
        <v>9</v>
      </c>
      <c r="M40" s="6">
        <f t="shared" si="7"/>
        <v>1.4000000000000001</v>
      </c>
      <c r="N40" s="6">
        <f t="shared" si="4"/>
        <v>-0.40000000000000013</v>
      </c>
      <c r="O40" s="1">
        <f t="shared" si="5"/>
        <v>0.14726921899532797</v>
      </c>
      <c r="P40" s="1">
        <f t="shared" si="6"/>
        <v>1.6210232762685087E-2</v>
      </c>
    </row>
    <row r="41" spans="12:16" x14ac:dyDescent="0.2">
      <c r="L41" s="8">
        <v>10</v>
      </c>
      <c r="M41" s="6">
        <f t="shared" si="7"/>
        <v>1.7000000000000002</v>
      </c>
      <c r="N41" s="6">
        <f t="shared" si="4"/>
        <v>-0.70000000000000018</v>
      </c>
      <c r="O41" s="1">
        <f t="shared" si="5"/>
        <v>0.16376052169402094</v>
      </c>
      <c r="P41" s="1">
        <f t="shared" si="6"/>
        <v>3.0060438303542245E-2</v>
      </c>
    </row>
    <row r="42" spans="12:16" x14ac:dyDescent="0.2">
      <c r="L42" s="8">
        <v>11</v>
      </c>
      <c r="M42" s="6">
        <f t="shared" si="7"/>
        <v>2</v>
      </c>
      <c r="N42" s="6">
        <f t="shared" si="4"/>
        <v>-1</v>
      </c>
      <c r="O42" s="1">
        <f t="shared" si="5"/>
        <v>0.18025182439271392</v>
      </c>
      <c r="P42" s="1">
        <f t="shared" si="6"/>
        <v>5.0488404518889488E-2</v>
      </c>
    </row>
    <row r="43" spans="12:16" x14ac:dyDescent="0.2">
      <c r="L43" s="8"/>
      <c r="M43" s="6"/>
      <c r="N43" s="6"/>
    </row>
    <row r="44" spans="12:16" x14ac:dyDescent="0.2">
      <c r="L44" s="8"/>
      <c r="M44" s="6"/>
      <c r="N44" s="6"/>
    </row>
    <row r="45" spans="12:16" x14ac:dyDescent="0.2">
      <c r="L45" s="8"/>
      <c r="M45" s="6"/>
      <c r="N45" s="6"/>
    </row>
    <row r="46" spans="12:16" x14ac:dyDescent="0.2">
      <c r="L46" s="9"/>
    </row>
    <row r="47" spans="12:16" x14ac:dyDescent="0.2">
      <c r="L47" s="9"/>
    </row>
    <row r="48" spans="12:16" x14ac:dyDescent="0.2">
      <c r="L48" s="9"/>
    </row>
    <row r="53" spans="11:15" x14ac:dyDescent="0.2">
      <c r="K53"/>
    </row>
    <row r="55" spans="11:15" x14ac:dyDescent="0.2">
      <c r="K55"/>
    </row>
    <row r="57" spans="11:15" x14ac:dyDescent="0.2">
      <c r="N57" s="1" t="s">
        <v>16</v>
      </c>
      <c r="O57">
        <f>+SQRT(0.3)/0.4</f>
        <v>1.3693063937629151</v>
      </c>
    </row>
    <row r="58" spans="11:15" x14ac:dyDescent="0.2">
      <c r="N58" s="1" t="s">
        <v>17</v>
      </c>
      <c r="O58" s="1">
        <f>1-O57</f>
        <v>-0.36930639376291508</v>
      </c>
    </row>
    <row r="60" spans="11:15" x14ac:dyDescent="0.2">
      <c r="N60" s="1" t="s">
        <v>18</v>
      </c>
      <c r="O60" s="1">
        <f>+O57*0.3+O58*0.12</f>
        <v>0.36647515087732468</v>
      </c>
    </row>
    <row r="64" spans="11:15" x14ac:dyDescent="0.2">
      <c r="K64"/>
    </row>
    <row r="65" spans="11:15" x14ac:dyDescent="0.2">
      <c r="K65"/>
      <c r="N65" s="1" t="s">
        <v>16</v>
      </c>
      <c r="O65">
        <f>+(0.2-1)/0.18</f>
        <v>-4.4444444444444446</v>
      </c>
    </row>
    <row r="66" spans="11:15" x14ac:dyDescent="0.2">
      <c r="N66" s="1" t="s">
        <v>17</v>
      </c>
      <c r="O66" s="1">
        <f>1-O65</f>
        <v>5.4444444444444446</v>
      </c>
    </row>
    <row r="228" ht="16" customHeight="1" x14ac:dyDescent="0.2"/>
    <row r="408" ht="16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3C20-15EB-E84E-AB3C-11ED068475BC}">
  <dimension ref="H3:N38"/>
  <sheetViews>
    <sheetView tabSelected="1" workbookViewId="0">
      <selection activeCell="N55" sqref="N55"/>
    </sheetView>
  </sheetViews>
  <sheetFormatPr baseColWidth="10" defaultRowHeight="16" x14ac:dyDescent="0.2"/>
  <cols>
    <col min="10" max="10" width="14.5" customWidth="1"/>
  </cols>
  <sheetData>
    <row r="3" spans="10:14" x14ac:dyDescent="0.2">
      <c r="K3" t="s">
        <v>21</v>
      </c>
      <c r="L3" t="s">
        <v>8</v>
      </c>
    </row>
    <row r="4" spans="10:14" x14ac:dyDescent="0.2">
      <c r="J4" t="s">
        <v>19</v>
      </c>
      <c r="K4">
        <v>0.09</v>
      </c>
      <c r="L4">
        <v>0</v>
      </c>
    </row>
    <row r="5" spans="10:14" x14ac:dyDescent="0.2">
      <c r="J5" t="s">
        <v>20</v>
      </c>
      <c r="K5">
        <v>0.22</v>
      </c>
      <c r="L5">
        <v>0.32</v>
      </c>
    </row>
    <row r="6" spans="10:14" x14ac:dyDescent="0.2">
      <c r="J6" t="s">
        <v>22</v>
      </c>
      <c r="K6">
        <v>0.13</v>
      </c>
      <c r="L6">
        <v>0.23</v>
      </c>
    </row>
    <row r="8" spans="10:14" x14ac:dyDescent="0.2">
      <c r="J8" t="s">
        <v>23</v>
      </c>
      <c r="K8" s="10">
        <v>0.15</v>
      </c>
    </row>
    <row r="9" spans="10:14" x14ac:dyDescent="0.2">
      <c r="J9" t="s">
        <v>24</v>
      </c>
      <c r="K9">
        <f>+K8*L5*L6</f>
        <v>1.1040000000000001E-2</v>
      </c>
    </row>
    <row r="11" spans="10:14" x14ac:dyDescent="0.2">
      <c r="J11" t="s">
        <v>25</v>
      </c>
    </row>
    <row r="12" spans="10:14" x14ac:dyDescent="0.2">
      <c r="J12" t="s">
        <v>26</v>
      </c>
      <c r="K12" t="s">
        <v>27</v>
      </c>
      <c r="L12" s="11" t="s">
        <v>28</v>
      </c>
      <c r="M12" t="s">
        <v>29</v>
      </c>
    </row>
    <row r="13" spans="10:14" x14ac:dyDescent="0.2">
      <c r="J13">
        <v>-0.6</v>
      </c>
      <c r="K13">
        <f>1-J13</f>
        <v>1.6</v>
      </c>
      <c r="L13" s="11">
        <f>+K13*$K$6+J13*$K$5</f>
        <v>7.6000000000000012E-2</v>
      </c>
      <c r="M13" s="11">
        <f>+SQRT(K13^2*$L$6^2+J13^2*$L$5^2+2*K13*J13*$L$6*$L$5*$K$8)</f>
        <v>0.38870451502394471</v>
      </c>
      <c r="N13" s="11"/>
    </row>
    <row r="14" spans="10:14" x14ac:dyDescent="0.2">
      <c r="J14">
        <f>+J13+0.1</f>
        <v>-0.5</v>
      </c>
      <c r="K14">
        <f t="shared" ref="K14:K38" si="0">1-J14</f>
        <v>1.5</v>
      </c>
      <c r="L14" s="11">
        <f t="shared" ref="L14:L37" si="1">+K14*$K$6+J14*$K$5</f>
        <v>8.5000000000000006E-2</v>
      </c>
      <c r="M14" s="11">
        <f t="shared" ref="M14:M37" si="2">+SQRT(K14^2*$L$6^2+J14^2*$L$5^2+2*K14*J14*$L$6*$L$5*$K$8)</f>
        <v>0.35786170513202442</v>
      </c>
      <c r="N14" s="11"/>
    </row>
    <row r="15" spans="10:14" x14ac:dyDescent="0.2">
      <c r="J15">
        <f t="shared" ref="J15:J37" si="3">+J14+0.1</f>
        <v>-0.4</v>
      </c>
      <c r="K15">
        <f t="shared" si="0"/>
        <v>1.4</v>
      </c>
      <c r="L15" s="11">
        <f t="shared" si="1"/>
        <v>9.3999999999999986E-2</v>
      </c>
      <c r="M15" s="11">
        <f t="shared" si="2"/>
        <v>0.32818165701330715</v>
      </c>
      <c r="N15" s="11"/>
    </row>
    <row r="16" spans="10:14" x14ac:dyDescent="0.2">
      <c r="J16">
        <f t="shared" si="3"/>
        <v>-0.30000000000000004</v>
      </c>
      <c r="K16">
        <f t="shared" si="0"/>
        <v>1.3</v>
      </c>
      <c r="L16" s="11">
        <f t="shared" si="1"/>
        <v>0.10299999999999999</v>
      </c>
      <c r="M16" s="11">
        <f t="shared" si="2"/>
        <v>0.30000966651093097</v>
      </c>
      <c r="N16" s="11"/>
    </row>
    <row r="17" spans="10:14" x14ac:dyDescent="0.2">
      <c r="J17">
        <f t="shared" si="3"/>
        <v>-0.20000000000000004</v>
      </c>
      <c r="K17">
        <f t="shared" si="0"/>
        <v>1.2</v>
      </c>
      <c r="L17" s="11">
        <f t="shared" si="1"/>
        <v>0.11199999999999999</v>
      </c>
      <c r="M17" s="11">
        <f t="shared" si="2"/>
        <v>0.27381161407069643</v>
      </c>
      <c r="N17" s="11"/>
    </row>
    <row r="18" spans="10:14" x14ac:dyDescent="0.2">
      <c r="J18">
        <f t="shared" si="3"/>
        <v>-0.10000000000000003</v>
      </c>
      <c r="K18">
        <f t="shared" si="0"/>
        <v>1.1000000000000001</v>
      </c>
      <c r="L18" s="11">
        <f t="shared" si="1"/>
        <v>0.12100000000000001</v>
      </c>
      <c r="M18" s="11">
        <f t="shared" si="2"/>
        <v>0.25020831321121212</v>
      </c>
      <c r="N18" s="11"/>
    </row>
    <row r="19" spans="10:14" x14ac:dyDescent="0.2">
      <c r="J19">
        <f t="shared" si="3"/>
        <v>0</v>
      </c>
      <c r="K19">
        <f t="shared" si="0"/>
        <v>1</v>
      </c>
      <c r="L19" s="11">
        <f t="shared" si="1"/>
        <v>0.13</v>
      </c>
      <c r="M19" s="11">
        <f t="shared" si="2"/>
        <v>0.23</v>
      </c>
      <c r="N19" s="11"/>
    </row>
    <row r="20" spans="10:14" x14ac:dyDescent="0.2">
      <c r="J20">
        <f t="shared" si="3"/>
        <v>0.1</v>
      </c>
      <c r="K20">
        <f t="shared" si="0"/>
        <v>0.9</v>
      </c>
      <c r="L20" s="11">
        <f t="shared" si="1"/>
        <v>0.13900000000000001</v>
      </c>
      <c r="M20" s="11">
        <f t="shared" si="2"/>
        <v>0.2141499474667225</v>
      </c>
      <c r="N20" s="11"/>
    </row>
    <row r="21" spans="10:14" x14ac:dyDescent="0.2">
      <c r="J21">
        <f t="shared" si="3"/>
        <v>0.2</v>
      </c>
      <c r="K21">
        <f t="shared" si="0"/>
        <v>0.8</v>
      </c>
      <c r="L21" s="11">
        <f t="shared" si="1"/>
        <v>0.14800000000000002</v>
      </c>
      <c r="M21" s="11">
        <f t="shared" si="2"/>
        <v>0.20367817752523223</v>
      </c>
      <c r="N21" s="11"/>
    </row>
    <row r="22" spans="10:14" x14ac:dyDescent="0.2">
      <c r="J22">
        <f t="shared" si="3"/>
        <v>0.30000000000000004</v>
      </c>
      <c r="K22">
        <f t="shared" si="0"/>
        <v>0.7</v>
      </c>
      <c r="L22" s="11">
        <f t="shared" si="1"/>
        <v>0.15700000000000003</v>
      </c>
      <c r="M22" s="11">
        <f t="shared" si="2"/>
        <v>0.1994336982558364</v>
      </c>
      <c r="N22" s="11"/>
    </row>
    <row r="23" spans="10:14" x14ac:dyDescent="0.2">
      <c r="J23">
        <f t="shared" si="3"/>
        <v>0.4</v>
      </c>
      <c r="K23">
        <f t="shared" si="0"/>
        <v>0.6</v>
      </c>
      <c r="L23" s="11">
        <f t="shared" si="1"/>
        <v>0.16600000000000001</v>
      </c>
      <c r="M23" s="11">
        <f t="shared" si="2"/>
        <v>0.20180981145623222</v>
      </c>
      <c r="N23" s="11"/>
    </row>
    <row r="24" spans="10:14" x14ac:dyDescent="0.2">
      <c r="J24">
        <f t="shared" si="3"/>
        <v>0.5</v>
      </c>
      <c r="K24">
        <f t="shared" si="0"/>
        <v>0.5</v>
      </c>
      <c r="L24" s="11">
        <f t="shared" si="1"/>
        <v>0.17499999999999999</v>
      </c>
      <c r="M24" s="11">
        <f t="shared" si="2"/>
        <v>0.21058252539087852</v>
      </c>
      <c r="N24" s="11"/>
    </row>
    <row r="25" spans="10:14" x14ac:dyDescent="0.2">
      <c r="J25">
        <f t="shared" si="3"/>
        <v>0.6</v>
      </c>
      <c r="K25">
        <f t="shared" si="0"/>
        <v>0.4</v>
      </c>
      <c r="L25" s="11">
        <f t="shared" si="1"/>
        <v>0.184</v>
      </c>
      <c r="M25" s="11">
        <f t="shared" si="2"/>
        <v>0.22500488883577618</v>
      </c>
      <c r="N25" s="11"/>
    </row>
    <row r="26" spans="10:14" x14ac:dyDescent="0.2">
      <c r="J26">
        <f t="shared" si="3"/>
        <v>0.7</v>
      </c>
      <c r="K26">
        <f t="shared" si="0"/>
        <v>0.30000000000000004</v>
      </c>
      <c r="L26" s="11">
        <f t="shared" si="1"/>
        <v>0.193</v>
      </c>
      <c r="M26" s="11">
        <f t="shared" si="2"/>
        <v>0.24407744672541951</v>
      </c>
      <c r="N26" s="11"/>
    </row>
    <row r="27" spans="10:14" x14ac:dyDescent="0.2">
      <c r="J27">
        <f t="shared" si="3"/>
        <v>0.79999999999999993</v>
      </c>
      <c r="K27">
        <f t="shared" si="0"/>
        <v>0.20000000000000007</v>
      </c>
      <c r="L27" s="11">
        <f t="shared" si="1"/>
        <v>0.20200000000000001</v>
      </c>
      <c r="M27" s="11">
        <f t="shared" si="2"/>
        <v>0.26680479755806491</v>
      </c>
      <c r="N27" s="11"/>
    </row>
    <row r="28" spans="10:14" x14ac:dyDescent="0.2">
      <c r="J28">
        <f t="shared" si="3"/>
        <v>0.89999999999999991</v>
      </c>
      <c r="K28">
        <f t="shared" si="0"/>
        <v>0.10000000000000009</v>
      </c>
      <c r="L28" s="11">
        <f t="shared" si="1"/>
        <v>0.21099999999999999</v>
      </c>
      <c r="M28" s="11">
        <f t="shared" si="2"/>
        <v>0.29233576585837046</v>
      </c>
      <c r="N28" s="11"/>
    </row>
    <row r="29" spans="10:14" x14ac:dyDescent="0.2">
      <c r="J29">
        <f t="shared" si="3"/>
        <v>0.99999999999999989</v>
      </c>
      <c r="K29">
        <f t="shared" si="0"/>
        <v>0</v>
      </c>
      <c r="L29" s="11">
        <f t="shared" si="1"/>
        <v>0.21999999999999997</v>
      </c>
      <c r="M29" s="11">
        <f t="shared" si="2"/>
        <v>0.31999999999999995</v>
      </c>
      <c r="N29" s="11"/>
    </row>
    <row r="30" spans="10:14" x14ac:dyDescent="0.2">
      <c r="J30">
        <f t="shared" si="3"/>
        <v>1.0999999999999999</v>
      </c>
      <c r="K30">
        <f t="shared" si="0"/>
        <v>-9.9999999999999867E-2</v>
      </c>
      <c r="L30" s="11">
        <f t="shared" si="1"/>
        <v>0.22899999999999998</v>
      </c>
      <c r="M30" s="11">
        <f t="shared" si="2"/>
        <v>0.34929099616222575</v>
      </c>
      <c r="N30" s="11"/>
    </row>
    <row r="31" spans="10:14" x14ac:dyDescent="0.2">
      <c r="J31">
        <f t="shared" si="3"/>
        <v>1.2</v>
      </c>
      <c r="K31">
        <f t="shared" si="0"/>
        <v>-0.19999999999999996</v>
      </c>
      <c r="L31" s="11">
        <f t="shared" si="1"/>
        <v>0.23800000000000002</v>
      </c>
      <c r="M31" s="11">
        <f t="shared" si="2"/>
        <v>0.37983259470456193</v>
      </c>
      <c r="N31" s="11"/>
    </row>
    <row r="32" spans="10:14" x14ac:dyDescent="0.2">
      <c r="J32">
        <f t="shared" si="3"/>
        <v>1.3</v>
      </c>
      <c r="K32">
        <f t="shared" si="0"/>
        <v>-0.30000000000000004</v>
      </c>
      <c r="L32" s="11">
        <f t="shared" si="1"/>
        <v>0.24700000000000003</v>
      </c>
      <c r="M32" s="11">
        <f t="shared" si="2"/>
        <v>0.41134632610490152</v>
      </c>
      <c r="N32" s="11"/>
    </row>
    <row r="33" spans="8:14" x14ac:dyDescent="0.2">
      <c r="J33">
        <f t="shared" si="3"/>
        <v>1.4000000000000001</v>
      </c>
      <c r="K33">
        <f t="shared" si="0"/>
        <v>-0.40000000000000013</v>
      </c>
      <c r="L33" s="11">
        <f t="shared" si="1"/>
        <v>0.25600000000000001</v>
      </c>
      <c r="M33" s="11">
        <f t="shared" si="2"/>
        <v>0.44362506692025422</v>
      </c>
      <c r="N33" s="11"/>
    </row>
    <row r="34" spans="8:14" x14ac:dyDescent="0.2">
      <c r="J34">
        <f t="shared" si="3"/>
        <v>1.5000000000000002</v>
      </c>
      <c r="K34">
        <f t="shared" si="0"/>
        <v>-0.50000000000000022</v>
      </c>
      <c r="L34" s="11">
        <f t="shared" si="1"/>
        <v>0.26500000000000001</v>
      </c>
      <c r="M34" s="11">
        <f t="shared" si="2"/>
        <v>0.47651337861596299</v>
      </c>
      <c r="N34" s="11"/>
    </row>
    <row r="35" spans="8:14" x14ac:dyDescent="0.2">
      <c r="J35">
        <f t="shared" si="3"/>
        <v>1.6000000000000003</v>
      </c>
      <c r="K35">
        <f t="shared" si="0"/>
        <v>-0.60000000000000031</v>
      </c>
      <c r="L35" s="11">
        <f t="shared" si="1"/>
        <v>0.27400000000000002</v>
      </c>
      <c r="M35" s="11">
        <f t="shared" si="2"/>
        <v>0.50989332217631567</v>
      </c>
      <c r="N35" s="11"/>
    </row>
    <row r="36" spans="8:14" x14ac:dyDescent="0.2">
      <c r="J36">
        <f t="shared" si="3"/>
        <v>1.7000000000000004</v>
      </c>
      <c r="K36">
        <f t="shared" si="0"/>
        <v>-0.7000000000000004</v>
      </c>
      <c r="L36" s="11">
        <f t="shared" si="1"/>
        <v>0.28300000000000003</v>
      </c>
      <c r="M36" s="11">
        <f t="shared" si="2"/>
        <v>0.5436743510595291</v>
      </c>
      <c r="N36" s="11"/>
    </row>
    <row r="37" spans="8:14" x14ac:dyDescent="0.2">
      <c r="J37">
        <f t="shared" si="3"/>
        <v>1.8000000000000005</v>
      </c>
      <c r="K37">
        <f t="shared" si="0"/>
        <v>-0.80000000000000049</v>
      </c>
      <c r="L37" s="11">
        <f t="shared" si="1"/>
        <v>0.29200000000000004</v>
      </c>
      <c r="M37" s="11">
        <f t="shared" si="2"/>
        <v>0.57778611959790127</v>
      </c>
      <c r="N37" s="11"/>
    </row>
    <row r="38" spans="8:14" x14ac:dyDescent="0.2">
      <c r="H38" t="s">
        <v>30</v>
      </c>
      <c r="J38" s="12">
        <v>0.31421708452710101</v>
      </c>
      <c r="K38" s="12">
        <f t="shared" si="0"/>
        <v>0.68578291547289894</v>
      </c>
      <c r="L38" s="12">
        <f>+K38*$K$6+J38*$K$5</f>
        <v>0.15827953760743907</v>
      </c>
      <c r="M38" s="12">
        <f>+SQRT(K38^2*$L$6^2+J38^2*$L$5^2+2*K38*J38*$L$6*$L$5*$K$8)</f>
        <v>0.19936617777826718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P_guia (2)</vt:lpstr>
      <vt:lpstr>BODIE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López</dc:creator>
  <cp:lastModifiedBy>Federico López</cp:lastModifiedBy>
  <dcterms:created xsi:type="dcterms:W3CDTF">2023-07-07T11:01:11Z</dcterms:created>
  <dcterms:modified xsi:type="dcterms:W3CDTF">2023-07-18T21:21:35Z</dcterms:modified>
</cp:coreProperties>
</file>