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6 Cuatrimestre/FINANZAS II/Alphabet/"/>
    </mc:Choice>
  </mc:AlternateContent>
  <xr:revisionPtr revIDLastSave="0" documentId="8_{FC26BB79-BD3B-3241-A3C4-D9F7B1D13C98}" xr6:coauthVersionLast="47" xr6:coauthVersionMax="47" xr10:uidLastSave="{00000000-0000-0000-0000-000000000000}"/>
  <bookViews>
    <workbookView xWindow="0" yWindow="760" windowWidth="30240" windowHeight="17620" activeTab="2" xr2:uid="{00000000-000D-0000-FFFF-FFFF00000000}"/>
  </bookViews>
  <sheets>
    <sheet name="Main" sheetId="1" r:id="rId1"/>
    <sheet name="Model (Original)" sheetId="2" r:id="rId2"/>
    <sheet name="Model (Pessimistic)" sheetId="3" r:id="rId3"/>
    <sheet name="Model (Optimism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2" l="1"/>
  <c r="K44" i="2"/>
  <c r="K43" i="2"/>
  <c r="K38" i="2"/>
  <c r="K25" i="2"/>
  <c r="K48" i="2" l="1"/>
  <c r="K50" i="2" s="1"/>
  <c r="AE26" i="2"/>
  <c r="M3" i="3" l="1"/>
  <c r="L3" i="3"/>
  <c r="L5" i="3" s="1"/>
  <c r="K3" i="3"/>
  <c r="K18" i="3" s="1"/>
  <c r="J44" i="4"/>
  <c r="J43" i="4"/>
  <c r="J48" i="4" s="1"/>
  <c r="J50" i="4" s="1"/>
  <c r="J38" i="4"/>
  <c r="J25" i="4"/>
  <c r="AH21" i="4"/>
  <c r="I21" i="4"/>
  <c r="H21" i="4"/>
  <c r="G21" i="4"/>
  <c r="M18" i="4"/>
  <c r="I18" i="4"/>
  <c r="H18" i="4"/>
  <c r="G18" i="4"/>
  <c r="J14" i="4"/>
  <c r="Q14" i="4" s="1"/>
  <c r="F14" i="4"/>
  <c r="P14" i="4" s="1"/>
  <c r="M12" i="4"/>
  <c r="L12" i="4"/>
  <c r="K12" i="4"/>
  <c r="J12" i="4"/>
  <c r="N12" i="4" s="1"/>
  <c r="F12" i="4"/>
  <c r="P12" i="4" s="1"/>
  <c r="I10" i="4"/>
  <c r="H10" i="4"/>
  <c r="G10" i="4"/>
  <c r="E10" i="4"/>
  <c r="D10" i="4"/>
  <c r="C10" i="4"/>
  <c r="P9" i="4"/>
  <c r="M9" i="4"/>
  <c r="L9" i="4"/>
  <c r="K9" i="4"/>
  <c r="J9" i="4"/>
  <c r="N9" i="4" s="1"/>
  <c r="M8" i="4"/>
  <c r="L8" i="4"/>
  <c r="K8" i="4"/>
  <c r="J8" i="4"/>
  <c r="N8" i="4" s="1"/>
  <c r="F8" i="4"/>
  <c r="P8" i="4" s="1"/>
  <c r="M7" i="4"/>
  <c r="L7" i="4"/>
  <c r="K7" i="4"/>
  <c r="J7" i="4"/>
  <c r="Q7" i="4" s="1"/>
  <c r="F7" i="4"/>
  <c r="M6" i="4"/>
  <c r="M21" i="4" s="1"/>
  <c r="L6" i="4"/>
  <c r="L21" i="4" s="1"/>
  <c r="K6" i="4"/>
  <c r="K21" i="4" s="1"/>
  <c r="J6" i="4"/>
  <c r="F6" i="4"/>
  <c r="P6" i="4" s="1"/>
  <c r="I5" i="4"/>
  <c r="I19" i="4" s="1"/>
  <c r="H5" i="4"/>
  <c r="H19" i="4" s="1"/>
  <c r="G5" i="4"/>
  <c r="G19" i="4" s="1"/>
  <c r="E5" i="4"/>
  <c r="E11" i="4" s="1"/>
  <c r="D5" i="4"/>
  <c r="D19" i="4" s="1"/>
  <c r="C5" i="4"/>
  <c r="C19" i="4" s="1"/>
  <c r="J4" i="4"/>
  <c r="Q4" i="4" s="1"/>
  <c r="F4" i="4"/>
  <c r="P4" i="4" s="1"/>
  <c r="M3" i="4"/>
  <c r="M5" i="4" s="1"/>
  <c r="L3" i="4"/>
  <c r="L18" i="4" s="1"/>
  <c r="K3" i="4"/>
  <c r="K18" i="4" s="1"/>
  <c r="J3" i="4"/>
  <c r="F3" i="4"/>
  <c r="P3" i="4" s="1"/>
  <c r="P5" i="4" s="1"/>
  <c r="Q2" i="4"/>
  <c r="R2" i="4" s="1"/>
  <c r="S2" i="4" s="1"/>
  <c r="T2" i="4" s="1"/>
  <c r="U2" i="4" s="1"/>
  <c r="V2" i="4" s="1"/>
  <c r="W2" i="4" s="1"/>
  <c r="X2" i="4" s="1"/>
  <c r="Y2" i="4" s="1"/>
  <c r="Z2" i="4" s="1"/>
  <c r="AA2" i="4" s="1"/>
  <c r="AB2" i="4" s="1"/>
  <c r="AC2" i="4" s="1"/>
  <c r="AD2" i="4" s="1"/>
  <c r="AE2" i="4" s="1"/>
  <c r="J45" i="3"/>
  <c r="J44" i="3"/>
  <c r="J39" i="3"/>
  <c r="J26" i="3"/>
  <c r="AH21" i="3"/>
  <c r="I21" i="3"/>
  <c r="H21" i="3"/>
  <c r="G21" i="3"/>
  <c r="I18" i="3"/>
  <c r="H18" i="3"/>
  <c r="G18" i="3"/>
  <c r="J14" i="3"/>
  <c r="F14" i="3"/>
  <c r="P14" i="3" s="1"/>
  <c r="M12" i="3"/>
  <c r="L12" i="3"/>
  <c r="K12" i="3"/>
  <c r="J12" i="3"/>
  <c r="N12" i="3" s="1"/>
  <c r="F12" i="3"/>
  <c r="P12" i="3" s="1"/>
  <c r="I11" i="3"/>
  <c r="I10" i="3"/>
  <c r="H10" i="3"/>
  <c r="G10" i="3"/>
  <c r="E10" i="3"/>
  <c r="D10" i="3"/>
  <c r="C10" i="3"/>
  <c r="R9" i="3"/>
  <c r="S9" i="3" s="1"/>
  <c r="T9" i="3" s="1"/>
  <c r="U9" i="3" s="1"/>
  <c r="V9" i="3" s="1"/>
  <c r="W9" i="3" s="1"/>
  <c r="X9" i="3" s="1"/>
  <c r="Y9" i="3" s="1"/>
  <c r="Z9" i="3" s="1"/>
  <c r="AA9" i="3" s="1"/>
  <c r="AB9" i="3" s="1"/>
  <c r="AC9" i="3" s="1"/>
  <c r="AD9" i="3" s="1"/>
  <c r="AE9" i="3" s="1"/>
  <c r="Q9" i="3"/>
  <c r="P9" i="3"/>
  <c r="M9" i="3"/>
  <c r="L9" i="3"/>
  <c r="K9" i="3"/>
  <c r="J9" i="3"/>
  <c r="N9" i="3" s="1"/>
  <c r="M8" i="3"/>
  <c r="L8" i="3"/>
  <c r="K8" i="3"/>
  <c r="J8" i="3"/>
  <c r="Q8" i="3" s="1"/>
  <c r="F8" i="3"/>
  <c r="P8" i="3" s="1"/>
  <c r="Q7" i="3"/>
  <c r="M7" i="3"/>
  <c r="L7" i="3"/>
  <c r="K7" i="3"/>
  <c r="J7" i="3"/>
  <c r="N7" i="3" s="1"/>
  <c r="F7" i="3"/>
  <c r="P7" i="3" s="1"/>
  <c r="M6" i="3"/>
  <c r="M21" i="3" s="1"/>
  <c r="L6" i="3"/>
  <c r="L10" i="3" s="1"/>
  <c r="L23" i="3" s="1"/>
  <c r="K6" i="3"/>
  <c r="K21" i="3" s="1"/>
  <c r="J6" i="3"/>
  <c r="F6" i="3"/>
  <c r="I5" i="3"/>
  <c r="I19" i="3" s="1"/>
  <c r="H5" i="3"/>
  <c r="G5" i="3"/>
  <c r="E5" i="3"/>
  <c r="E19" i="3" s="1"/>
  <c r="D5" i="3"/>
  <c r="C5" i="3"/>
  <c r="Q4" i="3"/>
  <c r="J4" i="3"/>
  <c r="F4" i="3"/>
  <c r="P4" i="3" s="1"/>
  <c r="J3" i="3"/>
  <c r="N3" i="3" s="1"/>
  <c r="F3" i="3"/>
  <c r="Q2" i="3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M19" i="4" l="1"/>
  <c r="M4" i="4"/>
  <c r="J21" i="4"/>
  <c r="R12" i="3"/>
  <c r="R12" i="4"/>
  <c r="J18" i="4"/>
  <c r="C11" i="4"/>
  <c r="Q12" i="4"/>
  <c r="L18" i="3"/>
  <c r="R7" i="3"/>
  <c r="S7" i="3" s="1"/>
  <c r="T7" i="3" s="1"/>
  <c r="U7" i="3" s="1"/>
  <c r="V7" i="3" s="1"/>
  <c r="W7" i="3" s="1"/>
  <c r="X7" i="3" s="1"/>
  <c r="Y7" i="3" s="1"/>
  <c r="Z7" i="3" s="1"/>
  <c r="AA7" i="3" s="1"/>
  <c r="AB7" i="3" s="1"/>
  <c r="AC7" i="3" s="1"/>
  <c r="AD7" i="3" s="1"/>
  <c r="AE7" i="3" s="1"/>
  <c r="Q6" i="4"/>
  <c r="K5" i="3"/>
  <c r="K19" i="3" s="1"/>
  <c r="I23" i="3"/>
  <c r="Q8" i="4"/>
  <c r="L4" i="3"/>
  <c r="F10" i="4"/>
  <c r="F10" i="3"/>
  <c r="M10" i="3"/>
  <c r="M23" i="3" s="1"/>
  <c r="E11" i="3"/>
  <c r="E13" i="3" s="1"/>
  <c r="E15" i="3" s="1"/>
  <c r="J49" i="3"/>
  <c r="J51" i="3" s="1"/>
  <c r="J52" i="3" s="1"/>
  <c r="Q3" i="4"/>
  <c r="K4" i="3"/>
  <c r="R8" i="4"/>
  <c r="S8" i="4" s="1"/>
  <c r="T8" i="4" s="1"/>
  <c r="U8" i="4" s="1"/>
  <c r="V8" i="4" s="1"/>
  <c r="W8" i="4" s="1"/>
  <c r="X8" i="4" s="1"/>
  <c r="Y8" i="4" s="1"/>
  <c r="Z8" i="4" s="1"/>
  <c r="AA8" i="4" s="1"/>
  <c r="AB8" i="4" s="1"/>
  <c r="AC8" i="4" s="1"/>
  <c r="AD8" i="4" s="1"/>
  <c r="AE8" i="4" s="1"/>
  <c r="E13" i="4"/>
  <c r="E20" i="4"/>
  <c r="R7" i="4"/>
  <c r="S7" i="4" s="1"/>
  <c r="T7" i="4" s="1"/>
  <c r="U7" i="4" s="1"/>
  <c r="V7" i="4" s="1"/>
  <c r="W7" i="4" s="1"/>
  <c r="X7" i="4" s="1"/>
  <c r="Y7" i="4" s="1"/>
  <c r="Z7" i="4" s="1"/>
  <c r="AA7" i="4" s="1"/>
  <c r="AB7" i="4" s="1"/>
  <c r="AC7" i="4" s="1"/>
  <c r="AD7" i="4" s="1"/>
  <c r="AE7" i="4" s="1"/>
  <c r="R9" i="4"/>
  <c r="S9" i="4" s="1"/>
  <c r="T9" i="4" s="1"/>
  <c r="U9" i="4" s="1"/>
  <c r="V9" i="4" s="1"/>
  <c r="W9" i="4" s="1"/>
  <c r="X9" i="4" s="1"/>
  <c r="Y9" i="4" s="1"/>
  <c r="Z9" i="4" s="1"/>
  <c r="AA9" i="4" s="1"/>
  <c r="AB9" i="4" s="1"/>
  <c r="AC9" i="4" s="1"/>
  <c r="AD9" i="4" s="1"/>
  <c r="AE9" i="4" s="1"/>
  <c r="C20" i="4"/>
  <c r="C13" i="4"/>
  <c r="Q18" i="4"/>
  <c r="F5" i="4"/>
  <c r="J5" i="4"/>
  <c r="Q21" i="4"/>
  <c r="N7" i="4"/>
  <c r="G23" i="4"/>
  <c r="K10" i="4"/>
  <c r="K23" i="4" s="1"/>
  <c r="G11" i="4"/>
  <c r="K5" i="4"/>
  <c r="K4" i="4" s="1"/>
  <c r="P7" i="4"/>
  <c r="P10" i="4" s="1"/>
  <c r="P11" i="4" s="1"/>
  <c r="P13" i="4" s="1"/>
  <c r="P15" i="4" s="1"/>
  <c r="Q9" i="4"/>
  <c r="H23" i="4"/>
  <c r="L10" i="4"/>
  <c r="L23" i="4" s="1"/>
  <c r="Q10" i="4"/>
  <c r="D11" i="4"/>
  <c r="H11" i="4"/>
  <c r="A18" i="4"/>
  <c r="E19" i="4"/>
  <c r="J51" i="4"/>
  <c r="N3" i="4"/>
  <c r="L5" i="4"/>
  <c r="L4" i="4" s="1"/>
  <c r="Q5" i="4"/>
  <c r="N6" i="4"/>
  <c r="I23" i="4"/>
  <c r="M10" i="4"/>
  <c r="M23" i="4" s="1"/>
  <c r="I11" i="4"/>
  <c r="J10" i="4"/>
  <c r="J23" i="4" s="1"/>
  <c r="A21" i="4"/>
  <c r="C19" i="3"/>
  <c r="C11" i="3"/>
  <c r="I20" i="3"/>
  <c r="I13" i="3"/>
  <c r="D19" i="3"/>
  <c r="D11" i="3"/>
  <c r="J21" i="3"/>
  <c r="Q6" i="3"/>
  <c r="J10" i="3"/>
  <c r="J23" i="3" s="1"/>
  <c r="N6" i="3"/>
  <c r="R6" i="3" s="1"/>
  <c r="N8" i="3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C8" i="3" s="1"/>
  <c r="AD8" i="3" s="1"/>
  <c r="AE8" i="3" s="1"/>
  <c r="H19" i="3"/>
  <c r="H11" i="3"/>
  <c r="Q14" i="3"/>
  <c r="F5" i="3"/>
  <c r="P3" i="3"/>
  <c r="P5" i="3" s="1"/>
  <c r="M5" i="3"/>
  <c r="M4" i="3" s="1"/>
  <c r="J18" i="3"/>
  <c r="A18" i="3" s="1"/>
  <c r="J5" i="3"/>
  <c r="Q3" i="3"/>
  <c r="G19" i="3"/>
  <c r="G11" i="3"/>
  <c r="L19" i="3"/>
  <c r="L11" i="3"/>
  <c r="M18" i="3"/>
  <c r="P6" i="3"/>
  <c r="P10" i="3" s="1"/>
  <c r="Q12" i="3"/>
  <c r="G23" i="3"/>
  <c r="K10" i="3"/>
  <c r="K23" i="3" s="1"/>
  <c r="K11" i="3"/>
  <c r="L21" i="3"/>
  <c r="H23" i="3"/>
  <c r="A21" i="3"/>
  <c r="M9" i="2"/>
  <c r="L9" i="2"/>
  <c r="K9" i="2"/>
  <c r="M8" i="2"/>
  <c r="L8" i="2"/>
  <c r="M7" i="2"/>
  <c r="L7" i="2"/>
  <c r="Q14" i="2"/>
  <c r="Q7" i="2"/>
  <c r="P9" i="2"/>
  <c r="Q2" i="2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M6" i="2"/>
  <c r="L6" i="2"/>
  <c r="L21" i="2" s="1"/>
  <c r="K21" i="2"/>
  <c r="K19" i="2"/>
  <c r="L18" i="2"/>
  <c r="K18" i="2"/>
  <c r="M12" i="2"/>
  <c r="L12" i="2"/>
  <c r="M3" i="2"/>
  <c r="M5" i="2" s="1"/>
  <c r="M19" i="2" s="1"/>
  <c r="L3" i="2"/>
  <c r="L5" i="2" s="1"/>
  <c r="C19" i="2"/>
  <c r="I21" i="2"/>
  <c r="H21" i="2"/>
  <c r="G21" i="2"/>
  <c r="I18" i="2"/>
  <c r="H18" i="2"/>
  <c r="G18" i="2"/>
  <c r="F8" i="2"/>
  <c r="P8" i="2" s="1"/>
  <c r="F6" i="2"/>
  <c r="P6" i="2" s="1"/>
  <c r="F14" i="2"/>
  <c r="P14" i="2" s="1"/>
  <c r="F12" i="2"/>
  <c r="P12" i="2" s="1"/>
  <c r="F7" i="2"/>
  <c r="P7" i="2" s="1"/>
  <c r="F4" i="2"/>
  <c r="F3" i="2"/>
  <c r="P3" i="2" s="1"/>
  <c r="P5" i="2" s="1"/>
  <c r="J14" i="2"/>
  <c r="J12" i="2"/>
  <c r="Q12" i="2" s="1"/>
  <c r="J9" i="2"/>
  <c r="Q9" i="2" s="1"/>
  <c r="J8" i="2"/>
  <c r="Q8" i="2" s="1"/>
  <c r="J7" i="2"/>
  <c r="N7" i="2" s="1"/>
  <c r="J6" i="2"/>
  <c r="Q6" i="2" s="1"/>
  <c r="J4" i="2"/>
  <c r="Q4" i="2" s="1"/>
  <c r="J3" i="2"/>
  <c r="N3" i="2" s="1"/>
  <c r="J25" i="2"/>
  <c r="AH21" i="2" s="1"/>
  <c r="J44" i="2"/>
  <c r="J43" i="2"/>
  <c r="J38" i="2"/>
  <c r="C10" i="2"/>
  <c r="C5" i="2"/>
  <c r="G10" i="2"/>
  <c r="G5" i="2"/>
  <c r="G19" i="2" s="1"/>
  <c r="D10" i="2"/>
  <c r="D5" i="2"/>
  <c r="D19" i="2" s="1"/>
  <c r="H10" i="2"/>
  <c r="H23" i="2" s="1"/>
  <c r="H5" i="2"/>
  <c r="H19" i="2" s="1"/>
  <c r="E10" i="2"/>
  <c r="E5" i="2"/>
  <c r="E19" i="2" s="1"/>
  <c r="G4" i="1"/>
  <c r="I10" i="2"/>
  <c r="I5" i="2"/>
  <c r="I19" i="2" s="1"/>
  <c r="G6" i="1"/>
  <c r="AH22" i="3" l="1"/>
  <c r="AH25" i="3" s="1"/>
  <c r="AH26" i="3" s="1"/>
  <c r="AH22" i="2"/>
  <c r="AH24" i="2" s="1"/>
  <c r="AH22" i="4"/>
  <c r="AH24" i="4" s="1"/>
  <c r="AH25" i="4" s="1"/>
  <c r="E20" i="3"/>
  <c r="AH25" i="2"/>
  <c r="G5" i="1"/>
  <c r="G8" i="1" s="1"/>
  <c r="G9" i="1" s="1"/>
  <c r="J5" i="2"/>
  <c r="J19" i="2" s="1"/>
  <c r="A19" i="2" s="1"/>
  <c r="N8" i="2"/>
  <c r="R8" i="2" s="1"/>
  <c r="S8" i="2" s="1"/>
  <c r="T8" i="2" s="1"/>
  <c r="U8" i="2" s="1"/>
  <c r="G23" i="2"/>
  <c r="P16" i="4"/>
  <c r="J48" i="2"/>
  <c r="J50" i="2" s="1"/>
  <c r="J51" i="2" s="1"/>
  <c r="E22" i="3"/>
  <c r="F5" i="2"/>
  <c r="F19" i="2" s="1"/>
  <c r="A23" i="3"/>
  <c r="A21" i="2"/>
  <c r="N18" i="2"/>
  <c r="N5" i="2"/>
  <c r="N19" i="2" s="1"/>
  <c r="A18" i="2"/>
  <c r="Q21" i="2"/>
  <c r="Q10" i="2"/>
  <c r="L19" i="2"/>
  <c r="L4" i="2"/>
  <c r="J21" i="2"/>
  <c r="N9" i="2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M4" i="2"/>
  <c r="M18" i="2"/>
  <c r="Q3" i="2"/>
  <c r="R3" i="2"/>
  <c r="S3" i="2" s="1"/>
  <c r="J18" i="2"/>
  <c r="N12" i="2"/>
  <c r="R12" i="2" s="1"/>
  <c r="N6" i="2"/>
  <c r="N21" i="2" s="1"/>
  <c r="R6" i="2"/>
  <c r="S6" i="2" s="1"/>
  <c r="S21" i="2" s="1"/>
  <c r="P4" i="2"/>
  <c r="R7" i="2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K10" i="2"/>
  <c r="K11" i="2" s="1"/>
  <c r="K20" i="2" s="1"/>
  <c r="T6" i="2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Q23" i="4"/>
  <c r="A23" i="4"/>
  <c r="F19" i="4"/>
  <c r="A19" i="4" s="1"/>
  <c r="F11" i="4"/>
  <c r="M11" i="4"/>
  <c r="N21" i="4"/>
  <c r="N10" i="4"/>
  <c r="N23" i="4" s="1"/>
  <c r="N18" i="4"/>
  <c r="N5" i="4"/>
  <c r="N4" i="4" s="1"/>
  <c r="R4" i="4" s="1"/>
  <c r="R6" i="4"/>
  <c r="R3" i="4"/>
  <c r="E15" i="4"/>
  <c r="E22" i="4"/>
  <c r="I13" i="4"/>
  <c r="I20" i="4"/>
  <c r="Q19" i="4"/>
  <c r="Q11" i="4"/>
  <c r="H20" i="4"/>
  <c r="H13" i="4"/>
  <c r="K19" i="4"/>
  <c r="K11" i="4"/>
  <c r="G20" i="4"/>
  <c r="G13" i="4"/>
  <c r="C15" i="4"/>
  <c r="C22" i="4"/>
  <c r="L19" i="4"/>
  <c r="L11" i="4"/>
  <c r="D20" i="4"/>
  <c r="D13" i="4"/>
  <c r="J19" i="4"/>
  <c r="J11" i="4"/>
  <c r="J20" i="4" s="1"/>
  <c r="R21" i="3"/>
  <c r="R10" i="3"/>
  <c r="R23" i="3" s="1"/>
  <c r="S6" i="3"/>
  <c r="K20" i="3"/>
  <c r="K13" i="3"/>
  <c r="G20" i="3"/>
  <c r="G13" i="3"/>
  <c r="J19" i="3"/>
  <c r="J11" i="3"/>
  <c r="J20" i="3" s="1"/>
  <c r="Q21" i="3"/>
  <c r="Q10" i="3"/>
  <c r="Q23" i="3" s="1"/>
  <c r="I15" i="3"/>
  <c r="I24" i="3" s="1"/>
  <c r="I22" i="3"/>
  <c r="M19" i="3"/>
  <c r="M11" i="3"/>
  <c r="N18" i="3"/>
  <c r="N5" i="3"/>
  <c r="N4" i="3" s="1"/>
  <c r="R4" i="3" s="1"/>
  <c r="R3" i="3"/>
  <c r="P11" i="3"/>
  <c r="P13" i="3" s="1"/>
  <c r="P15" i="3" s="1"/>
  <c r="P16" i="3" s="1"/>
  <c r="N21" i="3"/>
  <c r="N10" i="3"/>
  <c r="N23" i="3" s="1"/>
  <c r="D20" i="3"/>
  <c r="D13" i="3"/>
  <c r="C20" i="3"/>
  <c r="C13" i="3"/>
  <c r="L20" i="3"/>
  <c r="L13" i="3"/>
  <c r="Q18" i="3"/>
  <c r="Q5" i="3"/>
  <c r="F19" i="3"/>
  <c r="F11" i="3"/>
  <c r="H20" i="3"/>
  <c r="H13" i="3"/>
  <c r="A19" i="3"/>
  <c r="T21" i="2"/>
  <c r="P10" i="2"/>
  <c r="P11" i="2" s="1"/>
  <c r="P13" i="2" s="1"/>
  <c r="P15" i="2" s="1"/>
  <c r="P16" i="2" s="1"/>
  <c r="M21" i="2"/>
  <c r="I11" i="2"/>
  <c r="I23" i="2"/>
  <c r="F10" i="2"/>
  <c r="F11" i="2" s="1"/>
  <c r="J10" i="2"/>
  <c r="C11" i="2"/>
  <c r="G11" i="2"/>
  <c r="D11" i="2"/>
  <c r="H11" i="2"/>
  <c r="E11" i="2"/>
  <c r="V8" i="2" l="1"/>
  <c r="W8" i="2" s="1"/>
  <c r="X8" i="2" s="1"/>
  <c r="Y8" i="2" s="1"/>
  <c r="Z8" i="2" s="1"/>
  <c r="AA8" i="2" s="1"/>
  <c r="AB8" i="2" s="1"/>
  <c r="AC8" i="2" s="1"/>
  <c r="AD8" i="2" s="1"/>
  <c r="AE8" i="2" s="1"/>
  <c r="U10" i="2"/>
  <c r="R5" i="2"/>
  <c r="R19" i="2" s="1"/>
  <c r="N4" i="2"/>
  <c r="K23" i="2"/>
  <c r="R4" i="2"/>
  <c r="R5" i="3"/>
  <c r="S3" i="3"/>
  <c r="R18" i="2"/>
  <c r="Q23" i="2"/>
  <c r="E13" i="2"/>
  <c r="E20" i="2"/>
  <c r="C13" i="2"/>
  <c r="C20" i="2"/>
  <c r="F13" i="2"/>
  <c r="F20" i="2"/>
  <c r="G13" i="2"/>
  <c r="G20" i="2"/>
  <c r="R10" i="2"/>
  <c r="R11" i="2" s="1"/>
  <c r="U21" i="2"/>
  <c r="S10" i="2"/>
  <c r="H13" i="2"/>
  <c r="H20" i="2"/>
  <c r="T10" i="2"/>
  <c r="R21" i="2"/>
  <c r="D13" i="2"/>
  <c r="D20" i="2"/>
  <c r="Q5" i="2"/>
  <c r="Q18" i="2"/>
  <c r="S23" i="2"/>
  <c r="S5" i="2"/>
  <c r="T3" i="2"/>
  <c r="S18" i="2"/>
  <c r="K20" i="4"/>
  <c r="K13" i="4"/>
  <c r="N19" i="4"/>
  <c r="N11" i="4"/>
  <c r="M13" i="4"/>
  <c r="M20" i="4"/>
  <c r="D15" i="4"/>
  <c r="D22" i="4"/>
  <c r="L20" i="4"/>
  <c r="L13" i="4"/>
  <c r="G15" i="4"/>
  <c r="G22" i="4"/>
  <c r="J13" i="4"/>
  <c r="H15" i="4"/>
  <c r="H22" i="4"/>
  <c r="R18" i="4"/>
  <c r="R5" i="4"/>
  <c r="S3" i="4"/>
  <c r="F20" i="4"/>
  <c r="A20" i="4" s="1"/>
  <c r="F13" i="4"/>
  <c r="Q20" i="4"/>
  <c r="Q13" i="4"/>
  <c r="I15" i="4"/>
  <c r="I22" i="4"/>
  <c r="R21" i="4"/>
  <c r="R10" i="4"/>
  <c r="R23" i="4" s="1"/>
  <c r="S6" i="4"/>
  <c r="C22" i="3"/>
  <c r="C15" i="3"/>
  <c r="N19" i="3"/>
  <c r="N11" i="3"/>
  <c r="H15" i="3"/>
  <c r="H22" i="3"/>
  <c r="Q19" i="3"/>
  <c r="Q11" i="3"/>
  <c r="G15" i="3"/>
  <c r="G24" i="3" s="1"/>
  <c r="J13" i="3"/>
  <c r="G22" i="3"/>
  <c r="F20" i="3"/>
  <c r="A20" i="3" s="1"/>
  <c r="F13" i="3"/>
  <c r="L14" i="3"/>
  <c r="L22" i="3" s="1"/>
  <c r="D15" i="3"/>
  <c r="D22" i="3"/>
  <c r="K14" i="3"/>
  <c r="K15" i="3" s="1"/>
  <c r="S21" i="3"/>
  <c r="S10" i="3"/>
  <c r="S23" i="3" s="1"/>
  <c r="T6" i="3"/>
  <c r="R18" i="3"/>
  <c r="M20" i="3"/>
  <c r="M13" i="3"/>
  <c r="U23" i="2"/>
  <c r="V21" i="2"/>
  <c r="V10" i="2"/>
  <c r="V23" i="2" s="1"/>
  <c r="K13" i="2"/>
  <c r="R23" i="2"/>
  <c r="J11" i="2"/>
  <c r="J20" i="2" s="1"/>
  <c r="J23" i="2"/>
  <c r="A23" i="2" s="1"/>
  <c r="L10" i="2"/>
  <c r="L23" i="2" s="1"/>
  <c r="M10" i="2"/>
  <c r="M11" i="2" s="1"/>
  <c r="I13" i="2"/>
  <c r="I20" i="2"/>
  <c r="S5" i="3" l="1"/>
  <c r="T3" i="3"/>
  <c r="H24" i="3"/>
  <c r="K16" i="3"/>
  <c r="K24" i="3"/>
  <c r="D15" i="2"/>
  <c r="D22" i="2"/>
  <c r="H15" i="2"/>
  <c r="H22" i="2"/>
  <c r="G15" i="2"/>
  <c r="G22" i="2"/>
  <c r="C15" i="2"/>
  <c r="C22" i="2"/>
  <c r="Q19" i="2"/>
  <c r="Q11" i="2"/>
  <c r="T23" i="2"/>
  <c r="F15" i="2"/>
  <c r="F16" i="2" s="1"/>
  <c r="F22" i="2"/>
  <c r="E15" i="2"/>
  <c r="E22" i="2"/>
  <c r="S11" i="2"/>
  <c r="S4" i="2"/>
  <c r="S19" i="2"/>
  <c r="T5" i="2"/>
  <c r="T18" i="2"/>
  <c r="U3" i="2"/>
  <c r="N20" i="4"/>
  <c r="N13" i="4"/>
  <c r="Q15" i="4"/>
  <c r="Q22" i="4"/>
  <c r="S21" i="4"/>
  <c r="S10" i="4"/>
  <c r="S23" i="4" s="1"/>
  <c r="T6" i="4"/>
  <c r="T3" i="4"/>
  <c r="S18" i="4"/>
  <c r="L14" i="4"/>
  <c r="L22" i="4" s="1"/>
  <c r="K14" i="4"/>
  <c r="F15" i="4"/>
  <c r="F16" i="4" s="1"/>
  <c r="F22" i="4"/>
  <c r="A22" i="4" s="1"/>
  <c r="R19" i="4"/>
  <c r="S5" i="4" s="1"/>
  <c r="R11" i="4"/>
  <c r="J15" i="4"/>
  <c r="J16" i="4" s="1"/>
  <c r="J22" i="4"/>
  <c r="M14" i="4"/>
  <c r="M22" i="4" s="1"/>
  <c r="M14" i="3"/>
  <c r="M22" i="3" s="1"/>
  <c r="T21" i="3"/>
  <c r="T10" i="3"/>
  <c r="T23" i="3" s="1"/>
  <c r="U6" i="3"/>
  <c r="K22" i="3"/>
  <c r="L15" i="3"/>
  <c r="J15" i="3"/>
  <c r="J22" i="3"/>
  <c r="S18" i="3"/>
  <c r="F15" i="3"/>
  <c r="F16" i="3" s="1"/>
  <c r="F22" i="3"/>
  <c r="A22" i="3" s="1"/>
  <c r="R19" i="3"/>
  <c r="R11" i="3"/>
  <c r="Q20" i="3"/>
  <c r="Q13" i="3"/>
  <c r="N20" i="3"/>
  <c r="N13" i="3"/>
  <c r="W21" i="2"/>
  <c r="W10" i="2"/>
  <c r="W23" i="2" s="1"/>
  <c r="K22" i="2"/>
  <c r="R13" i="2"/>
  <c r="R20" i="2"/>
  <c r="L11" i="2"/>
  <c r="L20" i="2" s="1"/>
  <c r="N10" i="2"/>
  <c r="M23" i="2"/>
  <c r="A20" i="2"/>
  <c r="K15" i="2"/>
  <c r="M20" i="2"/>
  <c r="M13" i="2"/>
  <c r="I15" i="2"/>
  <c r="I22" i="2"/>
  <c r="J13" i="2"/>
  <c r="T5" i="3" l="1"/>
  <c r="U3" i="3"/>
  <c r="L16" i="3"/>
  <c r="L24" i="3"/>
  <c r="J16" i="3"/>
  <c r="J24" i="3"/>
  <c r="A22" i="2"/>
  <c r="Q13" i="2"/>
  <c r="Q20" i="2"/>
  <c r="T19" i="2"/>
  <c r="T11" i="2"/>
  <c r="T4" i="2"/>
  <c r="U5" i="2"/>
  <c r="U18" i="2"/>
  <c r="V3" i="2"/>
  <c r="S13" i="2"/>
  <c r="S20" i="2"/>
  <c r="S11" i="4"/>
  <c r="S19" i="4"/>
  <c r="T5" i="4" s="1"/>
  <c r="T4" i="4" s="1"/>
  <c r="S4" i="4"/>
  <c r="R20" i="4"/>
  <c r="R13" i="4"/>
  <c r="K22" i="4"/>
  <c r="T21" i="4"/>
  <c r="T10" i="4"/>
  <c r="T23" i="4" s="1"/>
  <c r="U6" i="4"/>
  <c r="Q16" i="4"/>
  <c r="M15" i="4"/>
  <c r="M16" i="4" s="1"/>
  <c r="K15" i="4"/>
  <c r="K16" i="4" s="1"/>
  <c r="N14" i="4"/>
  <c r="N22" i="4" s="1"/>
  <c r="L15" i="4"/>
  <c r="L16" i="4" s="1"/>
  <c r="T18" i="4"/>
  <c r="U3" i="4"/>
  <c r="S11" i="3"/>
  <c r="S19" i="3"/>
  <c r="S4" i="3"/>
  <c r="Q15" i="3"/>
  <c r="Q24" i="3" s="1"/>
  <c r="Q22" i="3"/>
  <c r="N14" i="3"/>
  <c r="R20" i="3"/>
  <c r="R13" i="3"/>
  <c r="T18" i="3"/>
  <c r="T4" i="3"/>
  <c r="U21" i="3"/>
  <c r="U10" i="3"/>
  <c r="U23" i="3" s="1"/>
  <c r="V6" i="3"/>
  <c r="M15" i="3"/>
  <c r="X21" i="2"/>
  <c r="X10" i="2"/>
  <c r="X23" i="2" s="1"/>
  <c r="L13" i="2"/>
  <c r="L14" i="2" s="1"/>
  <c r="N23" i="2"/>
  <c r="N11" i="2"/>
  <c r="M14" i="2"/>
  <c r="M22" i="2" s="1"/>
  <c r="J22" i="2"/>
  <c r="J15" i="2"/>
  <c r="J16" i="2" s="1"/>
  <c r="M16" i="3" l="1"/>
  <c r="M24" i="3"/>
  <c r="U5" i="3"/>
  <c r="V3" i="3"/>
  <c r="V5" i="3" s="1"/>
  <c r="N15" i="4"/>
  <c r="N16" i="4" s="1"/>
  <c r="Q15" i="2"/>
  <c r="Q16" i="2" s="1"/>
  <c r="Q22" i="2"/>
  <c r="S14" i="2"/>
  <c r="S22" i="2" s="1"/>
  <c r="U19" i="2"/>
  <c r="U11" i="2"/>
  <c r="U4" i="2"/>
  <c r="V5" i="2"/>
  <c r="V18" i="2"/>
  <c r="V4" i="2"/>
  <c r="W3" i="2"/>
  <c r="T20" i="2"/>
  <c r="T13" i="2"/>
  <c r="T14" i="2" s="1"/>
  <c r="T22" i="2" s="1"/>
  <c r="T19" i="4"/>
  <c r="U5" i="4" s="1"/>
  <c r="T11" i="4"/>
  <c r="R14" i="4"/>
  <c r="R22" i="4" s="1"/>
  <c r="U21" i="4"/>
  <c r="U10" i="4"/>
  <c r="U23" i="4" s="1"/>
  <c r="V6" i="4"/>
  <c r="U18" i="4"/>
  <c r="V3" i="4"/>
  <c r="S20" i="4"/>
  <c r="S13" i="4"/>
  <c r="U18" i="3"/>
  <c r="T19" i="3"/>
  <c r="T11" i="3"/>
  <c r="N22" i="3"/>
  <c r="R14" i="3"/>
  <c r="R22" i="3" s="1"/>
  <c r="V21" i="3"/>
  <c r="W6" i="3"/>
  <c r="V10" i="3"/>
  <c r="V23" i="3" s="1"/>
  <c r="Q16" i="3"/>
  <c r="N15" i="3"/>
  <c r="S20" i="3"/>
  <c r="S13" i="3"/>
  <c r="Y21" i="2"/>
  <c r="Y10" i="2"/>
  <c r="Y23" i="2" s="1"/>
  <c r="L22" i="2"/>
  <c r="N20" i="2"/>
  <c r="N13" i="2"/>
  <c r="L15" i="2"/>
  <c r="L16" i="2" s="1"/>
  <c r="M15" i="2"/>
  <c r="M16" i="2" s="1"/>
  <c r="N16" i="3" l="1"/>
  <c r="N24" i="3"/>
  <c r="R15" i="4"/>
  <c r="U13" i="2"/>
  <c r="U20" i="2"/>
  <c r="T15" i="2"/>
  <c r="T16" i="2" s="1"/>
  <c r="V11" i="2"/>
  <c r="V19" i="2"/>
  <c r="S15" i="2"/>
  <c r="S16" i="2" s="1"/>
  <c r="W5" i="2"/>
  <c r="W4" i="2" s="1"/>
  <c r="W18" i="2"/>
  <c r="X3" i="2"/>
  <c r="U19" i="4"/>
  <c r="U11" i="4"/>
  <c r="R16" i="4"/>
  <c r="V18" i="4"/>
  <c r="V5" i="4"/>
  <c r="V4" i="4"/>
  <c r="W3" i="4"/>
  <c r="V10" i="4"/>
  <c r="V23" i="4" s="1"/>
  <c r="W6" i="4"/>
  <c r="V21" i="4"/>
  <c r="T20" i="4"/>
  <c r="T13" i="4"/>
  <c r="S14" i="4"/>
  <c r="S22" i="4" s="1"/>
  <c r="U4" i="4"/>
  <c r="U19" i="3"/>
  <c r="V4" i="3" s="1"/>
  <c r="U11" i="3"/>
  <c r="R15" i="3"/>
  <c r="R24" i="3" s="1"/>
  <c r="V18" i="3"/>
  <c r="W3" i="3"/>
  <c r="W5" i="3" s="1"/>
  <c r="W21" i="3"/>
  <c r="W10" i="3"/>
  <c r="W23" i="3" s="1"/>
  <c r="X6" i="3"/>
  <c r="T20" i="3"/>
  <c r="T13" i="3"/>
  <c r="U4" i="3"/>
  <c r="S14" i="3"/>
  <c r="S22" i="3" s="1"/>
  <c r="S15" i="3"/>
  <c r="Z21" i="2"/>
  <c r="Z10" i="2"/>
  <c r="Z23" i="2" s="1"/>
  <c r="N14" i="2"/>
  <c r="N15" i="2" s="1"/>
  <c r="N16" i="2" s="1"/>
  <c r="V20" i="2" l="1"/>
  <c r="V13" i="2"/>
  <c r="W19" i="2"/>
  <c r="W11" i="2"/>
  <c r="X5" i="2"/>
  <c r="X4" i="2" s="1"/>
  <c r="Y3" i="2"/>
  <c r="X18" i="2"/>
  <c r="U14" i="2"/>
  <c r="U22" i="2" s="1"/>
  <c r="S16" i="3"/>
  <c r="S24" i="3"/>
  <c r="X3" i="4"/>
  <c r="W18" i="4"/>
  <c r="W21" i="4"/>
  <c r="W10" i="4"/>
  <c r="W23" i="4" s="1"/>
  <c r="X6" i="4"/>
  <c r="U20" i="4"/>
  <c r="U13" i="4"/>
  <c r="S15" i="4"/>
  <c r="V19" i="4"/>
  <c r="W5" i="4" s="1"/>
  <c r="V11" i="4"/>
  <c r="T14" i="4"/>
  <c r="T22" i="4" s="1"/>
  <c r="W18" i="3"/>
  <c r="X3" i="3"/>
  <c r="X5" i="3" s="1"/>
  <c r="R16" i="3"/>
  <c r="T14" i="3"/>
  <c r="T22" i="3" s="1"/>
  <c r="X21" i="3"/>
  <c r="X10" i="3"/>
  <c r="X23" i="3" s="1"/>
  <c r="Y6" i="3"/>
  <c r="U20" i="3"/>
  <c r="U13" i="3"/>
  <c r="V19" i="3"/>
  <c r="V11" i="3"/>
  <c r="AA21" i="2"/>
  <c r="AA10" i="2"/>
  <c r="AA23" i="2" s="1"/>
  <c r="N22" i="2"/>
  <c r="R14" i="2"/>
  <c r="T15" i="4" l="1"/>
  <c r="T16" i="4" s="1"/>
  <c r="W20" i="2"/>
  <c r="W13" i="2"/>
  <c r="U15" i="2"/>
  <c r="U16" i="2" s="1"/>
  <c r="Y5" i="2"/>
  <c r="Y18" i="2"/>
  <c r="Z3" i="2"/>
  <c r="V14" i="2"/>
  <c r="V22" i="2" s="1"/>
  <c r="X19" i="2"/>
  <c r="X11" i="2"/>
  <c r="W11" i="4"/>
  <c r="W19" i="4"/>
  <c r="W4" i="4"/>
  <c r="X21" i="4"/>
  <c r="X10" i="4"/>
  <c r="X23" i="4" s="1"/>
  <c r="Y6" i="4"/>
  <c r="V20" i="4"/>
  <c r="V13" i="4"/>
  <c r="S16" i="4"/>
  <c r="U14" i="4"/>
  <c r="U22" i="4" s="1"/>
  <c r="X18" i="4"/>
  <c r="X5" i="4"/>
  <c r="X4" i="4"/>
  <c r="Y3" i="4"/>
  <c r="W19" i="3"/>
  <c r="W11" i="3"/>
  <c r="W4" i="3"/>
  <c r="X18" i="3"/>
  <c r="X4" i="3"/>
  <c r="Y3" i="3"/>
  <c r="Y5" i="3" s="1"/>
  <c r="V20" i="3"/>
  <c r="V13" i="3"/>
  <c r="Y21" i="3"/>
  <c r="Y10" i="3"/>
  <c r="Y23" i="3" s="1"/>
  <c r="Z6" i="3"/>
  <c r="T15" i="3"/>
  <c r="T24" i="3" s="1"/>
  <c r="U14" i="3"/>
  <c r="U22" i="3" s="1"/>
  <c r="AB21" i="2"/>
  <c r="AB10" i="2"/>
  <c r="AB23" i="2" s="1"/>
  <c r="R22" i="2"/>
  <c r="R15" i="2"/>
  <c r="R16" i="2" s="1"/>
  <c r="Y11" i="2" l="1"/>
  <c r="Y19" i="2"/>
  <c r="X20" i="2"/>
  <c r="X13" i="2"/>
  <c r="Z5" i="2"/>
  <c r="AA3" i="2"/>
  <c r="Z18" i="2"/>
  <c r="Z4" i="2"/>
  <c r="W14" i="2"/>
  <c r="W22" i="2" s="1"/>
  <c r="V15" i="2"/>
  <c r="V16" i="2" s="1"/>
  <c r="Y4" i="2"/>
  <c r="U15" i="4"/>
  <c r="Y18" i="4"/>
  <c r="Z3" i="4"/>
  <c r="X19" i="4"/>
  <c r="Y5" i="4" s="1"/>
  <c r="Y4" i="4" s="1"/>
  <c r="X11" i="4"/>
  <c r="Y21" i="4"/>
  <c r="Y10" i="4"/>
  <c r="Y23" i="4" s="1"/>
  <c r="Z6" i="4"/>
  <c r="V14" i="4"/>
  <c r="V22" i="4" s="1"/>
  <c r="W20" i="4"/>
  <c r="W13" i="4"/>
  <c r="Z21" i="3"/>
  <c r="AA6" i="3"/>
  <c r="Z10" i="3"/>
  <c r="Z23" i="3" s="1"/>
  <c r="U15" i="3"/>
  <c r="Y18" i="3"/>
  <c r="Z3" i="3"/>
  <c r="Z5" i="3" s="1"/>
  <c r="W13" i="3"/>
  <c r="W20" i="3"/>
  <c r="T16" i="3"/>
  <c r="V14" i="3"/>
  <c r="V22" i="3" s="1"/>
  <c r="X19" i="3"/>
  <c r="X11" i="3"/>
  <c r="AC21" i="2"/>
  <c r="AC10" i="2"/>
  <c r="AC23" i="2" s="1"/>
  <c r="X14" i="2" l="1"/>
  <c r="X22" i="2" s="1"/>
  <c r="X15" i="2"/>
  <c r="X16" i="2" s="1"/>
  <c r="W15" i="2"/>
  <c r="W16" i="2" s="1"/>
  <c r="AA5" i="2"/>
  <c r="AA4" i="2" s="1"/>
  <c r="AA18" i="2"/>
  <c r="AB3" i="2"/>
  <c r="Z11" i="2"/>
  <c r="Z19" i="2"/>
  <c r="Y20" i="2"/>
  <c r="Y13" i="2"/>
  <c r="U16" i="3"/>
  <c r="U24" i="3"/>
  <c r="X20" i="4"/>
  <c r="X13" i="4"/>
  <c r="Y19" i="4"/>
  <c r="Z5" i="4" s="1"/>
  <c r="Y11" i="4"/>
  <c r="V15" i="4"/>
  <c r="V16" i="4" s="1"/>
  <c r="W14" i="4"/>
  <c r="W22" i="4" s="1"/>
  <c r="Z10" i="4"/>
  <c r="Z23" i="4" s="1"/>
  <c r="AA6" i="4"/>
  <c r="Z21" i="4"/>
  <c r="Z18" i="4"/>
  <c r="AA3" i="4"/>
  <c r="U16" i="4"/>
  <c r="Y19" i="3"/>
  <c r="Z4" i="3" s="1"/>
  <c r="Y11" i="3"/>
  <c r="Y4" i="3"/>
  <c r="Z18" i="3"/>
  <c r="AA3" i="3"/>
  <c r="AA5" i="3" s="1"/>
  <c r="AA21" i="3"/>
  <c r="AA10" i="3"/>
  <c r="AA23" i="3" s="1"/>
  <c r="AB6" i="3"/>
  <c r="X20" i="3"/>
  <c r="X13" i="3"/>
  <c r="V15" i="3"/>
  <c r="V24" i="3" s="1"/>
  <c r="W14" i="3"/>
  <c r="W22" i="3" s="1"/>
  <c r="AD21" i="2"/>
  <c r="AD10" i="2"/>
  <c r="AD23" i="2" s="1"/>
  <c r="Z20" i="2" l="1"/>
  <c r="Z13" i="2"/>
  <c r="AA11" i="2"/>
  <c r="AA19" i="2"/>
  <c r="AB5" i="2"/>
  <c r="AB18" i="2"/>
  <c r="AC3" i="2"/>
  <c r="Y14" i="2"/>
  <c r="Y22" i="2" s="1"/>
  <c r="W15" i="3"/>
  <c r="Z19" i="4"/>
  <c r="AA5" i="4" s="1"/>
  <c r="AA4" i="4" s="1"/>
  <c r="Z11" i="4"/>
  <c r="AA18" i="4"/>
  <c r="AB3" i="4"/>
  <c r="W15" i="4"/>
  <c r="X14" i="4"/>
  <c r="X22" i="4" s="1"/>
  <c r="Y20" i="4"/>
  <c r="Y13" i="4"/>
  <c r="Z4" i="4"/>
  <c r="AA21" i="4"/>
  <c r="AA10" i="4"/>
  <c r="AA23" i="4" s="1"/>
  <c r="AB6" i="4"/>
  <c r="AA18" i="3"/>
  <c r="AB3" i="3"/>
  <c r="AB5" i="3" s="1"/>
  <c r="X14" i="3"/>
  <c r="X22" i="3" s="1"/>
  <c r="AB21" i="3"/>
  <c r="AB10" i="3"/>
  <c r="AB23" i="3" s="1"/>
  <c r="AC6" i="3"/>
  <c r="Y20" i="3"/>
  <c r="Y13" i="3"/>
  <c r="V16" i="3"/>
  <c r="Z19" i="3"/>
  <c r="Z11" i="3"/>
  <c r="AE21" i="2"/>
  <c r="AE10" i="2"/>
  <c r="AE23" i="2" s="1"/>
  <c r="X15" i="4" l="1"/>
  <c r="X16" i="4" s="1"/>
  <c r="AB4" i="2"/>
  <c r="AC5" i="2"/>
  <c r="AC19" i="2" s="1"/>
  <c r="AC4" i="2"/>
  <c r="AC18" i="2"/>
  <c r="AD3" i="2"/>
  <c r="AA13" i="2"/>
  <c r="AA20" i="2"/>
  <c r="Z14" i="2"/>
  <c r="Z22" i="2" s="1"/>
  <c r="Y15" i="2"/>
  <c r="Y16" i="2" s="1"/>
  <c r="AB19" i="2"/>
  <c r="AB11" i="2"/>
  <c r="W16" i="3"/>
  <c r="W24" i="3"/>
  <c r="AB18" i="4"/>
  <c r="AC3" i="4"/>
  <c r="AB21" i="4"/>
  <c r="AB10" i="4"/>
  <c r="AB23" i="4" s="1"/>
  <c r="AC6" i="4"/>
  <c r="Y15" i="4"/>
  <c r="Y16" i="4" s="1"/>
  <c r="Y14" i="4"/>
  <c r="Y22" i="4" s="1"/>
  <c r="W16" i="4"/>
  <c r="Z20" i="4"/>
  <c r="Z13" i="4"/>
  <c r="AA11" i="4"/>
  <c r="AA19" i="4"/>
  <c r="AB5" i="4" s="1"/>
  <c r="AA19" i="3"/>
  <c r="AA11" i="3"/>
  <c r="AA4" i="3"/>
  <c r="AB18" i="3"/>
  <c r="AB4" i="3"/>
  <c r="AC3" i="3"/>
  <c r="AC5" i="3" s="1"/>
  <c r="Z20" i="3"/>
  <c r="Z13" i="3"/>
  <c r="Y14" i="3"/>
  <c r="Y22" i="3" s="1"/>
  <c r="AC21" i="3"/>
  <c r="AC10" i="3"/>
  <c r="AC23" i="3" s="1"/>
  <c r="AD6" i="3"/>
  <c r="X15" i="3"/>
  <c r="X24" i="3" s="1"/>
  <c r="AC11" i="2" l="1"/>
  <c r="AC20" i="2" s="1"/>
  <c r="Z15" i="2"/>
  <c r="Z16" i="2" s="1"/>
  <c r="AD5" i="2"/>
  <c r="AD4" i="2"/>
  <c r="AE3" i="2"/>
  <c r="AD18" i="2"/>
  <c r="AB20" i="2"/>
  <c r="AB13" i="2"/>
  <c r="AA14" i="2"/>
  <c r="AA22" i="2" s="1"/>
  <c r="AB19" i="4"/>
  <c r="AB11" i="4"/>
  <c r="AB4" i="4"/>
  <c r="AC21" i="4"/>
  <c r="AC10" i="4"/>
  <c r="AC23" i="4" s="1"/>
  <c r="AD6" i="4"/>
  <c r="AA20" i="4"/>
  <c r="AA13" i="4"/>
  <c r="AC18" i="4"/>
  <c r="AC5" i="4"/>
  <c r="AC4" i="4" s="1"/>
  <c r="AD3" i="4"/>
  <c r="Z14" i="4"/>
  <c r="Z22" i="4" s="1"/>
  <c r="X16" i="3"/>
  <c r="AD21" i="3"/>
  <c r="AD10" i="3"/>
  <c r="AD23" i="3" s="1"/>
  <c r="AE6" i="3"/>
  <c r="Y15" i="3"/>
  <c r="AC18" i="3"/>
  <c r="AD3" i="3"/>
  <c r="AD5" i="3" s="1"/>
  <c r="AA13" i="3"/>
  <c r="AA20" i="3"/>
  <c r="Z14" i="3"/>
  <c r="Z22" i="3" s="1"/>
  <c r="AB19" i="3"/>
  <c r="AB11" i="3"/>
  <c r="AC13" i="2" l="1"/>
  <c r="AC14" i="2" s="1"/>
  <c r="AC22" i="2" s="1"/>
  <c r="Z15" i="4"/>
  <c r="Z16" i="4" s="1"/>
  <c r="AA15" i="2"/>
  <c r="AA16" i="2" s="1"/>
  <c r="AE18" i="2"/>
  <c r="AE5" i="2"/>
  <c r="AE4" i="2" s="1"/>
  <c r="AC15" i="2"/>
  <c r="AC16" i="2" s="1"/>
  <c r="AB14" i="2"/>
  <c r="AB22" i="2" s="1"/>
  <c r="AD19" i="2"/>
  <c r="AD11" i="2"/>
  <c r="Y16" i="3"/>
  <c r="Y24" i="3"/>
  <c r="AD18" i="4"/>
  <c r="AE3" i="4"/>
  <c r="AC19" i="4"/>
  <c r="AD5" i="4" s="1"/>
  <c r="AC11" i="4"/>
  <c r="AD21" i="4"/>
  <c r="AD10" i="4"/>
  <c r="AD23" i="4" s="1"/>
  <c r="AE6" i="4"/>
  <c r="AB20" i="4"/>
  <c r="AB13" i="4"/>
  <c r="AA14" i="4"/>
  <c r="AA22" i="4" s="1"/>
  <c r="AB20" i="3"/>
  <c r="AB13" i="3"/>
  <c r="AC19" i="3"/>
  <c r="AC11" i="3"/>
  <c r="AA14" i="3"/>
  <c r="AA22" i="3" s="1"/>
  <c r="AD18" i="3"/>
  <c r="AE3" i="3"/>
  <c r="AE5" i="3" s="1"/>
  <c r="Z15" i="3"/>
  <c r="AC4" i="3"/>
  <c r="AE21" i="3"/>
  <c r="AE10" i="3"/>
  <c r="AE23" i="3" s="1"/>
  <c r="AB15" i="2" l="1"/>
  <c r="AB16" i="2" s="1"/>
  <c r="AE11" i="2"/>
  <c r="AE19" i="2"/>
  <c r="AD20" i="2"/>
  <c r="AD13" i="2"/>
  <c r="Z16" i="3"/>
  <c r="Z24" i="3"/>
  <c r="AA15" i="3"/>
  <c r="AD19" i="4"/>
  <c r="AE5" i="4" s="1"/>
  <c r="AE4" i="4" s="1"/>
  <c r="AD11" i="4"/>
  <c r="AD4" i="4"/>
  <c r="AE18" i="4"/>
  <c r="AB14" i="4"/>
  <c r="AB22" i="4" s="1"/>
  <c r="AC20" i="4"/>
  <c r="AC13" i="4"/>
  <c r="AA15" i="4"/>
  <c r="AA16" i="4" s="1"/>
  <c r="AE21" i="4"/>
  <c r="AE10" i="4"/>
  <c r="AE23" i="4" s="1"/>
  <c r="AC20" i="3"/>
  <c r="AC13" i="3"/>
  <c r="AE18" i="3"/>
  <c r="AB14" i="3"/>
  <c r="AB22" i="3" s="1"/>
  <c r="AD19" i="3"/>
  <c r="AD11" i="3"/>
  <c r="AD4" i="3"/>
  <c r="AD14" i="2" l="1"/>
  <c r="AD22" i="2" s="1"/>
  <c r="AE20" i="2"/>
  <c r="AE13" i="2"/>
  <c r="AA16" i="3"/>
  <c r="AA24" i="3"/>
  <c r="AB15" i="3"/>
  <c r="AB15" i="4"/>
  <c r="AB16" i="4" s="1"/>
  <c r="AC14" i="4"/>
  <c r="AC22" i="4" s="1"/>
  <c r="AD20" i="4"/>
  <c r="AD13" i="4"/>
  <c r="AE19" i="4"/>
  <c r="AE11" i="4"/>
  <c r="AE19" i="3"/>
  <c r="AE11" i="3"/>
  <c r="AE4" i="3"/>
  <c r="AC14" i="3"/>
  <c r="AC22" i="3" s="1"/>
  <c r="AD20" i="3"/>
  <c r="AD13" i="3"/>
  <c r="AD15" i="2" l="1"/>
  <c r="AD16" i="2" s="1"/>
  <c r="AE14" i="2"/>
  <c r="AE22" i="2" s="1"/>
  <c r="AB16" i="3"/>
  <c r="AB24" i="3"/>
  <c r="AC15" i="3"/>
  <c r="AC15" i="4"/>
  <c r="AC16" i="4" s="1"/>
  <c r="AE20" i="4"/>
  <c r="AE13" i="4"/>
  <c r="AD14" i="4"/>
  <c r="AD22" i="4" s="1"/>
  <c r="AD14" i="3"/>
  <c r="AD22" i="3" s="1"/>
  <c r="AE20" i="3"/>
  <c r="AE13" i="3"/>
  <c r="AD15" i="4" l="1"/>
  <c r="AD16" i="4" s="1"/>
  <c r="AE15" i="2"/>
  <c r="AF15" i="2" s="1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BO15" i="2" s="1"/>
  <c r="BP15" i="2" s="1"/>
  <c r="BQ15" i="2" s="1"/>
  <c r="BR15" i="2" s="1"/>
  <c r="BS15" i="2" s="1"/>
  <c r="BT15" i="2" s="1"/>
  <c r="BU15" i="2" s="1"/>
  <c r="BV15" i="2" s="1"/>
  <c r="BW15" i="2" s="1"/>
  <c r="BX15" i="2" s="1"/>
  <c r="BY15" i="2" s="1"/>
  <c r="BZ15" i="2" s="1"/>
  <c r="CA15" i="2" s="1"/>
  <c r="CB15" i="2" s="1"/>
  <c r="CC15" i="2" s="1"/>
  <c r="CD15" i="2" s="1"/>
  <c r="CE15" i="2" s="1"/>
  <c r="CF15" i="2" s="1"/>
  <c r="CG15" i="2" s="1"/>
  <c r="CH15" i="2" s="1"/>
  <c r="CI15" i="2" s="1"/>
  <c r="CJ15" i="2" s="1"/>
  <c r="CK15" i="2" s="1"/>
  <c r="CL15" i="2" s="1"/>
  <c r="CM15" i="2" s="1"/>
  <c r="CN15" i="2" s="1"/>
  <c r="CO15" i="2" s="1"/>
  <c r="CP15" i="2" s="1"/>
  <c r="CQ15" i="2" s="1"/>
  <c r="CR15" i="2" s="1"/>
  <c r="CS15" i="2" s="1"/>
  <c r="CT15" i="2" s="1"/>
  <c r="CU15" i="2" s="1"/>
  <c r="CV15" i="2" s="1"/>
  <c r="CW15" i="2" s="1"/>
  <c r="CX15" i="2" s="1"/>
  <c r="CY15" i="2" s="1"/>
  <c r="CZ15" i="2" s="1"/>
  <c r="DA15" i="2" s="1"/>
  <c r="DB15" i="2" s="1"/>
  <c r="DC15" i="2" s="1"/>
  <c r="DD15" i="2" s="1"/>
  <c r="DE15" i="2" s="1"/>
  <c r="DF15" i="2" s="1"/>
  <c r="DG15" i="2" s="1"/>
  <c r="DH15" i="2" s="1"/>
  <c r="DI15" i="2" s="1"/>
  <c r="DJ15" i="2" s="1"/>
  <c r="DK15" i="2" s="1"/>
  <c r="DL15" i="2" s="1"/>
  <c r="DM15" i="2" s="1"/>
  <c r="DN15" i="2" s="1"/>
  <c r="DO15" i="2" s="1"/>
  <c r="DP15" i="2" s="1"/>
  <c r="DQ15" i="2" s="1"/>
  <c r="DR15" i="2" s="1"/>
  <c r="DS15" i="2" s="1"/>
  <c r="DT15" i="2" s="1"/>
  <c r="DU15" i="2" s="1"/>
  <c r="DV15" i="2" s="1"/>
  <c r="DW15" i="2" s="1"/>
  <c r="DX15" i="2" s="1"/>
  <c r="DY15" i="2" s="1"/>
  <c r="DZ15" i="2" s="1"/>
  <c r="EA15" i="2" s="1"/>
  <c r="EB15" i="2" s="1"/>
  <c r="EC15" i="2" s="1"/>
  <c r="ED15" i="2" s="1"/>
  <c r="EE15" i="2" s="1"/>
  <c r="EF15" i="2" s="1"/>
  <c r="EG15" i="2" s="1"/>
  <c r="EH15" i="2" s="1"/>
  <c r="EI15" i="2" s="1"/>
  <c r="EJ15" i="2" s="1"/>
  <c r="EK15" i="2" s="1"/>
  <c r="EL15" i="2" s="1"/>
  <c r="EM15" i="2" s="1"/>
  <c r="EN15" i="2" s="1"/>
  <c r="EO15" i="2" s="1"/>
  <c r="EP15" i="2" s="1"/>
  <c r="EQ15" i="2" s="1"/>
  <c r="ER15" i="2" s="1"/>
  <c r="ES15" i="2" s="1"/>
  <c r="AH20" i="2" s="1"/>
  <c r="AH23" i="2" s="1"/>
  <c r="AH28" i="2" s="1"/>
  <c r="AH29" i="2" s="1"/>
  <c r="AC16" i="3"/>
  <c r="AC24" i="3"/>
  <c r="AE14" i="4"/>
  <c r="AE22" i="4" s="1"/>
  <c r="AE14" i="3"/>
  <c r="AE22" i="3" s="1"/>
  <c r="AD15" i="3"/>
  <c r="AE16" i="2" l="1"/>
  <c r="AD16" i="3"/>
  <c r="AD24" i="3"/>
  <c r="AE15" i="3"/>
  <c r="AE15" i="4"/>
  <c r="AF15" i="3" l="1"/>
  <c r="AG15" i="3" s="1"/>
  <c r="AH15" i="3" s="1"/>
  <c r="AI15" i="3" s="1"/>
  <c r="AJ15" i="3" s="1"/>
  <c r="AK15" i="3" s="1"/>
  <c r="AL15" i="3" s="1"/>
  <c r="AM15" i="3" s="1"/>
  <c r="AN15" i="3" s="1"/>
  <c r="AO15" i="3" s="1"/>
  <c r="AP15" i="3" s="1"/>
  <c r="AQ15" i="3" s="1"/>
  <c r="AR15" i="3" s="1"/>
  <c r="AS15" i="3" s="1"/>
  <c r="AT15" i="3" s="1"/>
  <c r="AU15" i="3" s="1"/>
  <c r="AV15" i="3" s="1"/>
  <c r="AW15" i="3" s="1"/>
  <c r="AX15" i="3" s="1"/>
  <c r="AY15" i="3" s="1"/>
  <c r="AZ15" i="3" s="1"/>
  <c r="BA15" i="3" s="1"/>
  <c r="BB15" i="3" s="1"/>
  <c r="BC15" i="3" s="1"/>
  <c r="BD15" i="3" s="1"/>
  <c r="BE15" i="3" s="1"/>
  <c r="BF15" i="3" s="1"/>
  <c r="BG15" i="3" s="1"/>
  <c r="BH15" i="3" s="1"/>
  <c r="BI15" i="3" s="1"/>
  <c r="BJ15" i="3" s="1"/>
  <c r="BK15" i="3" s="1"/>
  <c r="BL15" i="3" s="1"/>
  <c r="BM15" i="3" s="1"/>
  <c r="BN15" i="3" s="1"/>
  <c r="BO15" i="3" s="1"/>
  <c r="BP15" i="3" s="1"/>
  <c r="BQ15" i="3" s="1"/>
  <c r="BR15" i="3" s="1"/>
  <c r="BS15" i="3" s="1"/>
  <c r="BT15" i="3" s="1"/>
  <c r="BU15" i="3" s="1"/>
  <c r="BV15" i="3" s="1"/>
  <c r="BW15" i="3" s="1"/>
  <c r="BX15" i="3" s="1"/>
  <c r="BY15" i="3" s="1"/>
  <c r="BZ15" i="3" s="1"/>
  <c r="CA15" i="3" s="1"/>
  <c r="CB15" i="3" s="1"/>
  <c r="CC15" i="3" s="1"/>
  <c r="CD15" i="3" s="1"/>
  <c r="CE15" i="3" s="1"/>
  <c r="CF15" i="3" s="1"/>
  <c r="CG15" i="3" s="1"/>
  <c r="CH15" i="3" s="1"/>
  <c r="CI15" i="3" s="1"/>
  <c r="CJ15" i="3" s="1"/>
  <c r="CK15" i="3" s="1"/>
  <c r="CL15" i="3" s="1"/>
  <c r="CM15" i="3" s="1"/>
  <c r="CN15" i="3" s="1"/>
  <c r="CO15" i="3" s="1"/>
  <c r="CP15" i="3" s="1"/>
  <c r="CQ15" i="3" s="1"/>
  <c r="CR15" i="3" s="1"/>
  <c r="CS15" i="3" s="1"/>
  <c r="CT15" i="3" s="1"/>
  <c r="CU15" i="3" s="1"/>
  <c r="CV15" i="3" s="1"/>
  <c r="CW15" i="3" s="1"/>
  <c r="CX15" i="3" s="1"/>
  <c r="CY15" i="3" s="1"/>
  <c r="CZ15" i="3" s="1"/>
  <c r="DA15" i="3" s="1"/>
  <c r="DB15" i="3" s="1"/>
  <c r="DC15" i="3" s="1"/>
  <c r="DD15" i="3" s="1"/>
  <c r="DE15" i="3" s="1"/>
  <c r="DF15" i="3" s="1"/>
  <c r="DG15" i="3" s="1"/>
  <c r="DH15" i="3" s="1"/>
  <c r="DI15" i="3" s="1"/>
  <c r="DJ15" i="3" s="1"/>
  <c r="DK15" i="3" s="1"/>
  <c r="DL15" i="3" s="1"/>
  <c r="DM15" i="3" s="1"/>
  <c r="DN15" i="3" s="1"/>
  <c r="DO15" i="3" s="1"/>
  <c r="DP15" i="3" s="1"/>
  <c r="DQ15" i="3" s="1"/>
  <c r="DR15" i="3" s="1"/>
  <c r="DS15" i="3" s="1"/>
  <c r="DT15" i="3" s="1"/>
  <c r="DU15" i="3" s="1"/>
  <c r="DV15" i="3" s="1"/>
  <c r="DW15" i="3" s="1"/>
  <c r="DX15" i="3" s="1"/>
  <c r="DY15" i="3" s="1"/>
  <c r="DZ15" i="3" s="1"/>
  <c r="EA15" i="3" s="1"/>
  <c r="EB15" i="3" s="1"/>
  <c r="EC15" i="3" s="1"/>
  <c r="ED15" i="3" s="1"/>
  <c r="EE15" i="3" s="1"/>
  <c r="EF15" i="3" s="1"/>
  <c r="EG15" i="3" s="1"/>
  <c r="EH15" i="3" s="1"/>
  <c r="EI15" i="3" s="1"/>
  <c r="EJ15" i="3" s="1"/>
  <c r="EK15" i="3" s="1"/>
  <c r="EL15" i="3" s="1"/>
  <c r="EM15" i="3" s="1"/>
  <c r="EN15" i="3" s="1"/>
  <c r="EO15" i="3" s="1"/>
  <c r="EP15" i="3" s="1"/>
  <c r="EQ15" i="3" s="1"/>
  <c r="ER15" i="3" s="1"/>
  <c r="ES15" i="3" s="1"/>
  <c r="AH20" i="3" s="1"/>
  <c r="AH23" i="3" s="1"/>
  <c r="AH29" i="3" s="1"/>
  <c r="AH30" i="3" s="1"/>
  <c r="AE24" i="3"/>
  <c r="AE16" i="3"/>
  <c r="AF15" i="4"/>
  <c r="AG15" i="4" s="1"/>
  <c r="AH15" i="4" s="1"/>
  <c r="AI15" i="4" s="1"/>
  <c r="AJ15" i="4" s="1"/>
  <c r="AK15" i="4" s="1"/>
  <c r="AL15" i="4" s="1"/>
  <c r="AM15" i="4" s="1"/>
  <c r="AN15" i="4" s="1"/>
  <c r="AO15" i="4" s="1"/>
  <c r="AP15" i="4" s="1"/>
  <c r="AQ15" i="4" s="1"/>
  <c r="AR15" i="4" s="1"/>
  <c r="AS15" i="4" s="1"/>
  <c r="AT15" i="4" s="1"/>
  <c r="AU15" i="4" s="1"/>
  <c r="AV15" i="4" s="1"/>
  <c r="AW15" i="4" s="1"/>
  <c r="AX15" i="4" s="1"/>
  <c r="AY15" i="4" s="1"/>
  <c r="AZ15" i="4" s="1"/>
  <c r="BA15" i="4" s="1"/>
  <c r="BB15" i="4" s="1"/>
  <c r="BC15" i="4" s="1"/>
  <c r="BD15" i="4" s="1"/>
  <c r="BE15" i="4" s="1"/>
  <c r="BF15" i="4" s="1"/>
  <c r="BG15" i="4" s="1"/>
  <c r="BH15" i="4" s="1"/>
  <c r="BI15" i="4" s="1"/>
  <c r="BJ15" i="4" s="1"/>
  <c r="BK15" i="4" s="1"/>
  <c r="BL15" i="4" s="1"/>
  <c r="BM15" i="4" s="1"/>
  <c r="BN15" i="4" s="1"/>
  <c r="BO15" i="4" s="1"/>
  <c r="BP15" i="4" s="1"/>
  <c r="BQ15" i="4" s="1"/>
  <c r="BR15" i="4" s="1"/>
  <c r="BS15" i="4" s="1"/>
  <c r="BT15" i="4" s="1"/>
  <c r="BU15" i="4" s="1"/>
  <c r="BV15" i="4" s="1"/>
  <c r="BW15" i="4" s="1"/>
  <c r="BX15" i="4" s="1"/>
  <c r="BY15" i="4" s="1"/>
  <c r="BZ15" i="4" s="1"/>
  <c r="CA15" i="4" s="1"/>
  <c r="CB15" i="4" s="1"/>
  <c r="CC15" i="4" s="1"/>
  <c r="CD15" i="4" s="1"/>
  <c r="CE15" i="4" s="1"/>
  <c r="CF15" i="4" s="1"/>
  <c r="CG15" i="4" s="1"/>
  <c r="CH15" i="4" s="1"/>
  <c r="CI15" i="4" s="1"/>
  <c r="CJ15" i="4" s="1"/>
  <c r="CK15" i="4" s="1"/>
  <c r="CL15" i="4" s="1"/>
  <c r="CM15" i="4" s="1"/>
  <c r="CN15" i="4" s="1"/>
  <c r="CO15" i="4" s="1"/>
  <c r="CP15" i="4" s="1"/>
  <c r="CQ15" i="4" s="1"/>
  <c r="CR15" i="4" s="1"/>
  <c r="CS15" i="4" s="1"/>
  <c r="CT15" i="4" s="1"/>
  <c r="CU15" i="4" s="1"/>
  <c r="CV15" i="4" s="1"/>
  <c r="CW15" i="4" s="1"/>
  <c r="CX15" i="4" s="1"/>
  <c r="CY15" i="4" s="1"/>
  <c r="CZ15" i="4" s="1"/>
  <c r="DA15" i="4" s="1"/>
  <c r="DB15" i="4" s="1"/>
  <c r="DC15" i="4" s="1"/>
  <c r="DD15" i="4" s="1"/>
  <c r="DE15" i="4" s="1"/>
  <c r="DF15" i="4" s="1"/>
  <c r="DG15" i="4" s="1"/>
  <c r="DH15" i="4" s="1"/>
  <c r="DI15" i="4" s="1"/>
  <c r="DJ15" i="4" s="1"/>
  <c r="DK15" i="4" s="1"/>
  <c r="DL15" i="4" s="1"/>
  <c r="DM15" i="4" s="1"/>
  <c r="DN15" i="4" s="1"/>
  <c r="DO15" i="4" s="1"/>
  <c r="DP15" i="4" s="1"/>
  <c r="DQ15" i="4" s="1"/>
  <c r="DR15" i="4" s="1"/>
  <c r="DS15" i="4" s="1"/>
  <c r="DT15" i="4" s="1"/>
  <c r="DU15" i="4" s="1"/>
  <c r="DV15" i="4" s="1"/>
  <c r="DW15" i="4" s="1"/>
  <c r="DX15" i="4" s="1"/>
  <c r="DY15" i="4" s="1"/>
  <c r="DZ15" i="4" s="1"/>
  <c r="EA15" i="4" s="1"/>
  <c r="EB15" i="4" s="1"/>
  <c r="EC15" i="4" s="1"/>
  <c r="ED15" i="4" s="1"/>
  <c r="EE15" i="4" s="1"/>
  <c r="EF15" i="4" s="1"/>
  <c r="EG15" i="4" s="1"/>
  <c r="EH15" i="4" s="1"/>
  <c r="EI15" i="4" s="1"/>
  <c r="EJ15" i="4" s="1"/>
  <c r="EK15" i="4" s="1"/>
  <c r="EL15" i="4" s="1"/>
  <c r="EM15" i="4" s="1"/>
  <c r="EN15" i="4" s="1"/>
  <c r="EO15" i="4" s="1"/>
  <c r="EP15" i="4" s="1"/>
  <c r="EQ15" i="4" s="1"/>
  <c r="ER15" i="4" s="1"/>
  <c r="ES15" i="4" s="1"/>
  <c r="AH20" i="4" s="1"/>
  <c r="AH23" i="4" s="1"/>
  <c r="AH28" i="4" s="1"/>
  <c r="AH29" i="4" s="1"/>
  <c r="AE16" i="4"/>
</calcChain>
</file>

<file path=xl/sharedStrings.xml><?xml version="1.0" encoding="utf-8"?>
<sst xmlns="http://schemas.openxmlformats.org/spreadsheetml/2006/main" count="259" uniqueCount="106">
  <si>
    <t>Alphabet Inc</t>
  </si>
  <si>
    <t>Price</t>
  </si>
  <si>
    <t>Shares</t>
  </si>
  <si>
    <t>MC</t>
  </si>
  <si>
    <t>Cash</t>
  </si>
  <si>
    <t>Debt</t>
  </si>
  <si>
    <t>EV</t>
  </si>
  <si>
    <t>EV / Share</t>
  </si>
  <si>
    <t>Srcs</t>
  </si>
  <si>
    <t>Q417</t>
  </si>
  <si>
    <t>Alphabet is a holding company for google and all its subsidiaries</t>
  </si>
  <si>
    <t>Subsidiaries</t>
  </si>
  <si>
    <t>Google</t>
  </si>
  <si>
    <t>Calioco</t>
  </si>
  <si>
    <t>Internet company and search engine</t>
  </si>
  <si>
    <t>Chronicle</t>
  </si>
  <si>
    <t>Dandilion</t>
  </si>
  <si>
    <t>DeepMind</t>
  </si>
  <si>
    <t>GV</t>
  </si>
  <si>
    <t>CapitalG</t>
  </si>
  <si>
    <t>Nest Labs</t>
  </si>
  <si>
    <t>Jigsaw</t>
  </si>
  <si>
    <t>Sidewalk Labs</t>
  </si>
  <si>
    <t>Verily</t>
  </si>
  <si>
    <t>Waymo</t>
  </si>
  <si>
    <t>R&amp;D biotech company</t>
  </si>
  <si>
    <t>Geothermal energy Startup</t>
  </si>
  <si>
    <t>Cybersecurity</t>
  </si>
  <si>
    <t>AI company</t>
  </si>
  <si>
    <t>Formerly Google ventures, investment company for strategy investments</t>
  </si>
  <si>
    <t>Formerly Google Capital, profit investment company</t>
  </si>
  <si>
    <t>Google Fiber</t>
  </si>
  <si>
    <t>Google internet service provider for high speed internet</t>
  </si>
  <si>
    <t>Home automation company. Programmable theromstats, smoke detectors, cameras, etc.</t>
  </si>
  <si>
    <t>Formerly Google Ideas, a tech incubator and analysist</t>
  </si>
  <si>
    <t>Urban innovation company. Infrastructure, urban solutions, etc.</t>
  </si>
  <si>
    <t>Formerly Google X, life science research company</t>
  </si>
  <si>
    <t>Autonomous driving development company</t>
  </si>
  <si>
    <t>Revenue</t>
  </si>
  <si>
    <t>COGS</t>
  </si>
  <si>
    <t>Gross Profit</t>
  </si>
  <si>
    <t>R&amp;D</t>
  </si>
  <si>
    <t>S&amp;M</t>
  </si>
  <si>
    <t>G&amp;A</t>
  </si>
  <si>
    <t>EU Commission</t>
  </si>
  <si>
    <t>Operating Expense</t>
  </si>
  <si>
    <t>Operating Profit</t>
  </si>
  <si>
    <t>Pretax Income</t>
  </si>
  <si>
    <t>Taxes</t>
  </si>
  <si>
    <t>Net Profit</t>
  </si>
  <si>
    <t>EPS</t>
  </si>
  <si>
    <t>Q116</t>
  </si>
  <si>
    <t>Q216</t>
  </si>
  <si>
    <t>Q316</t>
  </si>
  <si>
    <t>Q117</t>
  </si>
  <si>
    <t>Q416</t>
  </si>
  <si>
    <t>Q217</t>
  </si>
  <si>
    <t>Q317</t>
  </si>
  <si>
    <t>Q118</t>
  </si>
  <si>
    <t>Q218</t>
  </si>
  <si>
    <t>Q318</t>
  </si>
  <si>
    <t>Q418</t>
  </si>
  <si>
    <t>Other Income (exp)</t>
  </si>
  <si>
    <t>Revenue Y/Y</t>
  </si>
  <si>
    <t>Gross Margin</t>
  </si>
  <si>
    <t>Operating Margin</t>
  </si>
  <si>
    <t>R&amp;D y/y</t>
  </si>
  <si>
    <t>Tax rate</t>
  </si>
  <si>
    <t>Operating expense y/y</t>
  </si>
  <si>
    <t>Balance</t>
  </si>
  <si>
    <t>Net Cash</t>
  </si>
  <si>
    <t>A/R</t>
  </si>
  <si>
    <t>Income tax reciv</t>
  </si>
  <si>
    <t>Inventory</t>
  </si>
  <si>
    <t>OCA</t>
  </si>
  <si>
    <t>Investments (LT)</t>
  </si>
  <si>
    <t>Deferred Taxes</t>
  </si>
  <si>
    <t>PP&amp;E</t>
  </si>
  <si>
    <t>Intangible</t>
  </si>
  <si>
    <t>Goodwill</t>
  </si>
  <si>
    <t>ONCA</t>
  </si>
  <si>
    <t>Assets</t>
  </si>
  <si>
    <t>A/P</t>
  </si>
  <si>
    <t>Compensation &amp; bene</t>
  </si>
  <si>
    <t>A/Revenue</t>
  </si>
  <si>
    <t>Deferred Revenue</t>
  </si>
  <si>
    <t>Taxes payable</t>
  </si>
  <si>
    <t>A/Exp + OCL</t>
  </si>
  <si>
    <t>OLTL</t>
  </si>
  <si>
    <t>Liabilities</t>
  </si>
  <si>
    <t>S/E</t>
  </si>
  <si>
    <t>S/E+L</t>
  </si>
  <si>
    <t>Alphabet</t>
  </si>
  <si>
    <t>AVRG</t>
  </si>
  <si>
    <t>Repurchase Autho: $8,589,869,056 of its Class C capital stock. The repurchase is expected to be executed from time to time, subject to general business and market conditions and other investment opportunities,</t>
  </si>
  <si>
    <t>TAC; traffic acquisition cost</t>
  </si>
  <si>
    <t>Maturity</t>
  </si>
  <si>
    <t>Discount</t>
  </si>
  <si>
    <t>NPV</t>
  </si>
  <si>
    <t>Net NPV</t>
  </si>
  <si>
    <t>Share Price</t>
  </si>
  <si>
    <t>Valuation</t>
  </si>
  <si>
    <t>Value Diff%</t>
  </si>
  <si>
    <t>Catalysts, concerns and potentials</t>
  </si>
  <si>
    <t>Net profit y/y</t>
  </si>
  <si>
    <t>Curre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</si>
</sst>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 applyAlignment="1">
      <alignment wrapText="1"/>
    </xf>
    <xf numFmtId="3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9" fontId="0" fillId="0" borderId="0" xfId="0" applyNumberFormat="1"/>
    <xf numFmtId="1" fontId="0" fillId="0" borderId="0" xfId="0" applyNumberForma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11657</xdr:colOff>
      <xdr:row>0</xdr:row>
      <xdr:rowOff>99927</xdr:rowOff>
    </xdr:from>
    <xdr:to>
      <xdr:col>11</xdr:col>
      <xdr:colOff>11657</xdr:colOff>
      <xdr:row>25</xdr:row>
      <xdr:rowOff>111584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E7AF72F-0ACC-44C8-B642-C63223A79E45}"/>
            </a:ext>
          </a:extLst>
        </xdr:cNvPr>
        <xdr:cNvCxnSpPr/>
      </xdr:nvCxnSpPr>
      <xdr:spPr>
        <a:xfrm>
          <a:off x="7839854" y="99927"/>
          <a:ext cx="0" cy="46960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23314</xdr:colOff>
      <xdr:row>0</xdr:row>
      <xdr:rowOff>11657</xdr:rowOff>
    </xdr:from>
    <xdr:to>
      <xdr:col>17</xdr:col>
      <xdr:colOff>23314</xdr:colOff>
      <xdr:row>24</xdr:row>
      <xdr:rowOff>110745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353FE1A-6EC2-4CCA-9A96-5D2347302F7B}"/>
            </a:ext>
          </a:extLst>
        </xdr:cNvPr>
        <xdr:cNvCxnSpPr/>
      </xdr:nvCxnSpPr>
      <xdr:spPr>
        <a:xfrm>
          <a:off x="11558230" y="11657"/>
          <a:ext cx="0" cy="44356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11657</xdr:colOff>
      <xdr:row>0</xdr:row>
      <xdr:rowOff>58287</xdr:rowOff>
    </xdr:from>
    <xdr:to>
      <xdr:col>10</xdr:col>
      <xdr:colOff>11657</xdr:colOff>
      <xdr:row>26</xdr:row>
      <xdr:rowOff>69944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840D808-C952-4A9C-9718-9A0761B1643C}"/>
            </a:ext>
          </a:extLst>
        </xdr:cNvPr>
        <xdr:cNvCxnSpPr/>
      </xdr:nvCxnSpPr>
      <xdr:spPr>
        <a:xfrm>
          <a:off x="7162955" y="58287"/>
          <a:ext cx="0" cy="454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23314</xdr:colOff>
      <xdr:row>0</xdr:row>
      <xdr:rowOff>11657</xdr:rowOff>
    </xdr:from>
    <xdr:to>
      <xdr:col>17</xdr:col>
      <xdr:colOff>23314</xdr:colOff>
      <xdr:row>25</xdr:row>
      <xdr:rowOff>110745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DB94CD8-B399-4B0A-A158-1713B36A131C}"/>
            </a:ext>
          </a:extLst>
        </xdr:cNvPr>
        <xdr:cNvCxnSpPr/>
      </xdr:nvCxnSpPr>
      <xdr:spPr>
        <a:xfrm>
          <a:off x="11522325" y="11657"/>
          <a:ext cx="0" cy="44468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11657</xdr:colOff>
      <xdr:row>0</xdr:row>
      <xdr:rowOff>58287</xdr:rowOff>
    </xdr:from>
    <xdr:to>
      <xdr:col>10</xdr:col>
      <xdr:colOff>11657</xdr:colOff>
      <xdr:row>25</xdr:row>
      <xdr:rowOff>69944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C071AFD-BC48-4131-AEF4-B9DC903406B8}"/>
            </a:ext>
          </a:extLst>
        </xdr:cNvPr>
        <xdr:cNvCxnSpPr/>
      </xdr:nvCxnSpPr>
      <xdr:spPr>
        <a:xfrm>
          <a:off x="7162955" y="58287"/>
          <a:ext cx="0" cy="454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23314</xdr:colOff>
      <xdr:row>0</xdr:row>
      <xdr:rowOff>11657</xdr:rowOff>
    </xdr:from>
    <xdr:to>
      <xdr:col>17</xdr:col>
      <xdr:colOff>23314</xdr:colOff>
      <xdr:row>24</xdr:row>
      <xdr:rowOff>110745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69AC5DF-3370-4228-B735-2B7F27D79CD6}"/>
            </a:ext>
          </a:extLst>
        </xdr:cNvPr>
        <xdr:cNvCxnSpPr/>
      </xdr:nvCxnSpPr>
      <xdr:spPr>
        <a:xfrm>
          <a:off x="11522325" y="11657"/>
          <a:ext cx="0" cy="44468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7"/>
  <sheetViews>
    <sheetView zoomScale="121" zoomScaleNormal="121" workbookViewId="0">
      <selection activeCell="G10" sqref="G10"/>
    </sheetView>
  </sheetViews>
  <sheetFormatPr baseColWidth="10" defaultColWidth="8.83203125" defaultRowHeight="15" x14ac:dyDescent="0.2"/>
  <cols>
    <col min="2" max="2" width="13.5" customWidth="1"/>
    <col min="7" max="7" width="12.1640625" bestFit="1" customWidth="1"/>
  </cols>
  <sheetData>
    <row r="3" spans="2:11" x14ac:dyDescent="0.2">
      <c r="B3" t="s">
        <v>0</v>
      </c>
      <c r="F3" s="1" t="s">
        <v>1</v>
      </c>
      <c r="G3">
        <v>1046.27</v>
      </c>
      <c r="I3" t="s">
        <v>94</v>
      </c>
    </row>
    <row r="4" spans="2:11" x14ac:dyDescent="0.2">
      <c r="F4" s="1" t="s">
        <v>2</v>
      </c>
      <c r="G4" s="2">
        <f>298.492525+46.961288+349.843717</f>
        <v>695.29753000000005</v>
      </c>
      <c r="I4" t="s">
        <v>95</v>
      </c>
    </row>
    <row r="5" spans="2:11" x14ac:dyDescent="0.2">
      <c r="F5" s="1" t="s">
        <v>3</v>
      </c>
      <c r="G5" s="2">
        <f>G4*G3</f>
        <v>727468.94671310007</v>
      </c>
    </row>
    <row r="6" spans="2:11" x14ac:dyDescent="0.2">
      <c r="F6" s="1" t="s">
        <v>4</v>
      </c>
      <c r="G6" s="2">
        <f>10715+91156</f>
        <v>101871</v>
      </c>
      <c r="K6" s="1" t="s">
        <v>103</v>
      </c>
    </row>
    <row r="7" spans="2:11" x14ac:dyDescent="0.2">
      <c r="F7" s="1" t="s">
        <v>5</v>
      </c>
      <c r="G7" s="2">
        <v>3969</v>
      </c>
      <c r="K7" t="s">
        <v>105</v>
      </c>
    </row>
    <row r="8" spans="2:11" x14ac:dyDescent="0.2">
      <c r="F8" s="1" t="s">
        <v>6</v>
      </c>
      <c r="G8" s="2">
        <f>G5+G6-G7</f>
        <v>825370.94671310007</v>
      </c>
    </row>
    <row r="9" spans="2:11" x14ac:dyDescent="0.2">
      <c r="F9" s="1" t="s">
        <v>7</v>
      </c>
      <c r="G9" s="2">
        <f>G8/G4</f>
        <v>1187.0759079398715</v>
      </c>
    </row>
    <row r="10" spans="2:11" x14ac:dyDescent="0.2">
      <c r="F10" s="1" t="s">
        <v>8</v>
      </c>
      <c r="G10" t="s">
        <v>9</v>
      </c>
    </row>
    <row r="12" spans="2:11" x14ac:dyDescent="0.2">
      <c r="B12" t="s">
        <v>10</v>
      </c>
    </row>
    <row r="14" spans="2:11" x14ac:dyDescent="0.2">
      <c r="B14" s="1" t="s">
        <v>11</v>
      </c>
    </row>
    <row r="15" spans="2:11" x14ac:dyDescent="0.2">
      <c r="B15" t="s">
        <v>12</v>
      </c>
      <c r="C15" t="s">
        <v>14</v>
      </c>
    </row>
    <row r="16" spans="2:11" x14ac:dyDescent="0.2">
      <c r="B16" t="s">
        <v>13</v>
      </c>
      <c r="C16" t="s">
        <v>25</v>
      </c>
      <c r="I16" s="2"/>
    </row>
    <row r="17" spans="2:3" s="6" customFormat="1" x14ac:dyDescent="0.2">
      <c r="B17" s="6" t="s">
        <v>15</v>
      </c>
      <c r="C17" s="6" t="s">
        <v>27</v>
      </c>
    </row>
    <row r="18" spans="2:3" x14ac:dyDescent="0.2">
      <c r="B18" t="s">
        <v>16</v>
      </c>
      <c r="C18" t="s">
        <v>26</v>
      </c>
    </row>
    <row r="19" spans="2:3" x14ac:dyDescent="0.2">
      <c r="B19" t="s">
        <v>17</v>
      </c>
      <c r="C19" t="s">
        <v>28</v>
      </c>
    </row>
    <row r="20" spans="2:3" x14ac:dyDescent="0.2">
      <c r="B20" t="s">
        <v>18</v>
      </c>
      <c r="C20" t="s">
        <v>29</v>
      </c>
    </row>
    <row r="21" spans="2:3" x14ac:dyDescent="0.2">
      <c r="B21" t="s">
        <v>19</v>
      </c>
      <c r="C21" t="s">
        <v>30</v>
      </c>
    </row>
    <row r="22" spans="2:3" x14ac:dyDescent="0.2">
      <c r="B22" t="s">
        <v>31</v>
      </c>
      <c r="C22" t="s">
        <v>32</v>
      </c>
    </row>
    <row r="23" spans="2:3" x14ac:dyDescent="0.2">
      <c r="B23" t="s">
        <v>20</v>
      </c>
      <c r="C23" t="s">
        <v>33</v>
      </c>
    </row>
    <row r="24" spans="2:3" x14ac:dyDescent="0.2">
      <c r="B24" t="s">
        <v>21</v>
      </c>
      <c r="C24" t="s">
        <v>34</v>
      </c>
    </row>
    <row r="25" spans="2:3" x14ac:dyDescent="0.2">
      <c r="B25" t="s">
        <v>22</v>
      </c>
      <c r="C25" t="s">
        <v>35</v>
      </c>
    </row>
    <row r="26" spans="2:3" x14ac:dyDescent="0.2">
      <c r="B26" t="s">
        <v>23</v>
      </c>
      <c r="C26" t="s">
        <v>36</v>
      </c>
    </row>
    <row r="27" spans="2:3" x14ac:dyDescent="0.2">
      <c r="B27" t="s">
        <v>24</v>
      </c>
      <c r="C27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S51"/>
  <sheetViews>
    <sheetView zoomScale="125" zoomScaleNormal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H28" sqref="AH28"/>
    </sheetView>
  </sheetViews>
  <sheetFormatPr baseColWidth="10" defaultColWidth="9" defaultRowHeight="15" x14ac:dyDescent="0.2"/>
  <cols>
    <col min="1" max="1" width="9" style="2"/>
    <col min="2" max="2" width="19.5" style="2" bestFit="1" customWidth="1"/>
    <col min="3" max="8" width="9" style="2"/>
    <col min="9" max="9" width="12" style="2" bestFit="1" customWidth="1"/>
    <col min="10" max="32" width="9" style="2"/>
    <col min="33" max="33" width="10.5" style="2" bestFit="1" customWidth="1"/>
    <col min="34" max="34" width="11.83203125" style="2" bestFit="1" customWidth="1"/>
    <col min="35" max="16384" width="9" style="2"/>
  </cols>
  <sheetData>
    <row r="1" spans="1:149" x14ac:dyDescent="0.2">
      <c r="A1" s="2" t="s">
        <v>92</v>
      </c>
    </row>
    <row r="2" spans="1:149" s="8" customFormat="1" x14ac:dyDescent="0.2">
      <c r="C2" s="8" t="s">
        <v>51</v>
      </c>
      <c r="D2" s="8" t="s">
        <v>52</v>
      </c>
      <c r="E2" s="8" t="s">
        <v>53</v>
      </c>
      <c r="F2" s="8" t="s">
        <v>55</v>
      </c>
      <c r="G2" s="8" t="s">
        <v>54</v>
      </c>
      <c r="H2" s="8" t="s">
        <v>56</v>
      </c>
      <c r="I2" s="8" t="s">
        <v>57</v>
      </c>
      <c r="J2" s="8" t="s">
        <v>9</v>
      </c>
      <c r="K2" s="8" t="s">
        <v>58</v>
      </c>
      <c r="L2" s="8" t="s">
        <v>59</v>
      </c>
      <c r="M2" s="8" t="s">
        <v>60</v>
      </c>
      <c r="N2" s="8" t="s">
        <v>61</v>
      </c>
      <c r="P2" s="8">
        <v>2016</v>
      </c>
      <c r="Q2" s="8">
        <f>P2+1</f>
        <v>2017</v>
      </c>
      <c r="R2" s="8">
        <f t="shared" ref="R2:AE2" si="0">Q2+1</f>
        <v>2018</v>
      </c>
      <c r="S2" s="8">
        <f t="shared" si="0"/>
        <v>2019</v>
      </c>
      <c r="T2" s="8">
        <f t="shared" si="0"/>
        <v>2020</v>
      </c>
      <c r="U2" s="8">
        <f t="shared" si="0"/>
        <v>2021</v>
      </c>
      <c r="V2" s="8">
        <f t="shared" si="0"/>
        <v>2022</v>
      </c>
      <c r="W2" s="8">
        <f t="shared" si="0"/>
        <v>2023</v>
      </c>
      <c r="X2" s="8">
        <f t="shared" si="0"/>
        <v>2024</v>
      </c>
      <c r="Y2" s="8">
        <f t="shared" si="0"/>
        <v>2025</v>
      </c>
      <c r="Z2" s="8">
        <f t="shared" si="0"/>
        <v>2026</v>
      </c>
      <c r="AA2" s="8">
        <f t="shared" si="0"/>
        <v>2027</v>
      </c>
      <c r="AB2" s="8">
        <f t="shared" si="0"/>
        <v>2028</v>
      </c>
      <c r="AC2" s="8">
        <f t="shared" si="0"/>
        <v>2029</v>
      </c>
      <c r="AD2" s="8">
        <f t="shared" si="0"/>
        <v>2030</v>
      </c>
      <c r="AE2" s="8">
        <f t="shared" si="0"/>
        <v>2031</v>
      </c>
    </row>
    <row r="3" spans="1:149" s="4" customFormat="1" ht="16" x14ac:dyDescent="0.2">
      <c r="B3" s="3" t="s">
        <v>38</v>
      </c>
      <c r="C3" s="4">
        <v>20257</v>
      </c>
      <c r="D3" s="4">
        <v>21500</v>
      </c>
      <c r="E3" s="4">
        <v>22451</v>
      </c>
      <c r="F3" s="4">
        <f>90272-(SUM(C3:E3))</f>
        <v>26064</v>
      </c>
      <c r="G3" s="4">
        <v>24750</v>
      </c>
      <c r="H3" s="4">
        <v>26010</v>
      </c>
      <c r="I3" s="4">
        <v>27772</v>
      </c>
      <c r="J3" s="4">
        <f>110855-(SUM(G3:I3))</f>
        <v>32323</v>
      </c>
      <c r="K3" s="4">
        <v>31146</v>
      </c>
      <c r="L3" s="4">
        <f t="shared" ref="L3:N3" si="1">H3*1.23</f>
        <v>31992.3</v>
      </c>
      <c r="M3" s="4">
        <f t="shared" si="1"/>
        <v>34159.56</v>
      </c>
      <c r="N3" s="4">
        <f t="shared" si="1"/>
        <v>39757.29</v>
      </c>
      <c r="P3" s="4">
        <f>SUM(C3:F3)</f>
        <v>90272</v>
      </c>
      <c r="Q3" s="4">
        <f>SUM(G3:J3)</f>
        <v>110855</v>
      </c>
      <c r="R3" s="4">
        <f>SUM(K3:N3)</f>
        <v>137055.15</v>
      </c>
      <c r="S3" s="4">
        <f>R3*1.19</f>
        <v>163095.62849999999</v>
      </c>
      <c r="T3" s="4">
        <f>S3*1.18</f>
        <v>192452.84162999998</v>
      </c>
      <c r="U3" s="4">
        <f>T3*1.17</f>
        <v>225169.82470709996</v>
      </c>
      <c r="V3" s="4">
        <f>U3*1.15</f>
        <v>258945.29841316494</v>
      </c>
      <c r="W3" s="4">
        <f>V3*1.13</f>
        <v>292608.18720687635</v>
      </c>
      <c r="X3" s="4">
        <f>W3*1.12</f>
        <v>327721.16967170156</v>
      </c>
      <c r="Y3" s="4">
        <f>X3*1.12</f>
        <v>367047.7100323058</v>
      </c>
      <c r="Z3" s="4">
        <f>Y3*1.11</f>
        <v>407422.95813585946</v>
      </c>
      <c r="AA3" s="4">
        <f>Z3*1.08</f>
        <v>440016.79478672822</v>
      </c>
      <c r="AB3" s="4">
        <f>AA3*1.05</f>
        <v>462017.63452606468</v>
      </c>
      <c r="AC3" s="4">
        <f>AB3*1.02</f>
        <v>471257.98721658596</v>
      </c>
      <c r="AD3" s="4">
        <f>AC3*1.01</f>
        <v>475970.56708875182</v>
      </c>
      <c r="AE3" s="4">
        <f>AD3*0.99</f>
        <v>471210.86141786427</v>
      </c>
    </row>
    <row r="4" spans="1:149" x14ac:dyDescent="0.2">
      <c r="B4" s="2" t="s">
        <v>39</v>
      </c>
      <c r="C4" s="2">
        <v>7648</v>
      </c>
      <c r="D4" s="2">
        <v>8130</v>
      </c>
      <c r="E4" s="2">
        <v>8699</v>
      </c>
      <c r="F4" s="2">
        <f>35138-(SUM(C4:E4))</f>
        <v>10661</v>
      </c>
      <c r="G4" s="2">
        <v>9795</v>
      </c>
      <c r="H4" s="2">
        <v>10373</v>
      </c>
      <c r="I4" s="2">
        <v>11148</v>
      </c>
      <c r="J4" s="2">
        <f>45583-(SUM(G4:I4))</f>
        <v>14267</v>
      </c>
      <c r="K4" s="2">
        <v>13467</v>
      </c>
      <c r="L4" s="2">
        <f t="shared" ref="L4:N4" si="2">L3-L5</f>
        <v>13436.766</v>
      </c>
      <c r="M4" s="2">
        <f t="shared" si="2"/>
        <v>14347.015200000002</v>
      </c>
      <c r="N4" s="2">
        <f t="shared" si="2"/>
        <v>16698.061800000003</v>
      </c>
      <c r="P4" s="2">
        <f>SUM(C4:F4)</f>
        <v>35138</v>
      </c>
      <c r="Q4" s="2">
        <f>SUM(G4:J4)</f>
        <v>45583</v>
      </c>
      <c r="R4" s="2">
        <f>SUM(K4:N4)</f>
        <v>57948.843000000001</v>
      </c>
      <c r="S4" s="2">
        <f>S3-S5</f>
        <v>71762.076539999995</v>
      </c>
      <c r="T4" s="2">
        <f t="shared" ref="T4:AE4" si="3">T3-T5</f>
        <v>78905.665068300004</v>
      </c>
      <c r="U4" s="2">
        <f t="shared" si="3"/>
        <v>92319.628129910998</v>
      </c>
      <c r="V4" s="2">
        <f t="shared" si="3"/>
        <v>106167.57234939764</v>
      </c>
      <c r="W4" s="2">
        <f t="shared" si="3"/>
        <v>117043.27488275056</v>
      </c>
      <c r="X4" s="2">
        <f t="shared" si="3"/>
        <v>131088.46786868063</v>
      </c>
      <c r="Y4" s="2">
        <f t="shared" si="3"/>
        <v>146819.08401292234</v>
      </c>
      <c r="Z4" s="2">
        <f t="shared" si="3"/>
        <v>162969.18325434381</v>
      </c>
      <c r="AA4" s="2">
        <f t="shared" si="3"/>
        <v>176006.71791469131</v>
      </c>
      <c r="AB4" s="2">
        <f t="shared" si="3"/>
        <v>184807.05381042586</v>
      </c>
      <c r="AC4" s="2">
        <f t="shared" si="3"/>
        <v>188503.19488663442</v>
      </c>
      <c r="AD4" s="2">
        <f t="shared" si="3"/>
        <v>190388.22683550074</v>
      </c>
      <c r="AE4" s="2">
        <f t="shared" si="3"/>
        <v>188484.34456714574</v>
      </c>
    </row>
    <row r="5" spans="1:149" s="4" customFormat="1" x14ac:dyDescent="0.2">
      <c r="B5" s="4" t="s">
        <v>40</v>
      </c>
      <c r="C5" s="4">
        <f t="shared" ref="C5:K5" si="4">C3-C4</f>
        <v>12609</v>
      </c>
      <c r="D5" s="4">
        <f t="shared" si="4"/>
        <v>13370</v>
      </c>
      <c r="E5" s="4">
        <f t="shared" si="4"/>
        <v>13752</v>
      </c>
      <c r="F5" s="4">
        <f t="shared" si="4"/>
        <v>15403</v>
      </c>
      <c r="G5" s="4">
        <f t="shared" si="4"/>
        <v>14955</v>
      </c>
      <c r="H5" s="4">
        <f t="shared" si="4"/>
        <v>15637</v>
      </c>
      <c r="I5" s="4">
        <f t="shared" si="4"/>
        <v>16624</v>
      </c>
      <c r="J5" s="4">
        <f t="shared" si="4"/>
        <v>18056</v>
      </c>
      <c r="K5" s="4">
        <f t="shared" si="4"/>
        <v>17679</v>
      </c>
      <c r="L5" s="4">
        <f t="shared" ref="L5:N5" si="5">L3*0.58</f>
        <v>18555.534</v>
      </c>
      <c r="M5" s="4">
        <f t="shared" si="5"/>
        <v>19812.544799999996</v>
      </c>
      <c r="N5" s="4">
        <f t="shared" si="5"/>
        <v>23059.228199999998</v>
      </c>
      <c r="P5" s="4">
        <f>P3*0.6</f>
        <v>54163.199999999997</v>
      </c>
      <c r="Q5" s="4">
        <f>Q3*0.6</f>
        <v>66513</v>
      </c>
      <c r="R5" s="4">
        <f>R3*0.56</f>
        <v>76750.884000000005</v>
      </c>
      <c r="S5" s="4">
        <f t="shared" ref="S5" si="6">S3*0.56</f>
        <v>91333.551959999997</v>
      </c>
      <c r="T5" s="4">
        <f>T3*0.59</f>
        <v>113547.17656169998</v>
      </c>
      <c r="U5" s="4">
        <f>U3*0.59</f>
        <v>132850.19657718897</v>
      </c>
      <c r="V5" s="4">
        <f>V3*0.59</f>
        <v>152777.7260637673</v>
      </c>
      <c r="W5" s="4">
        <f>W3*0.6</f>
        <v>175564.91232412579</v>
      </c>
      <c r="X5" s="4">
        <f t="shared" ref="X5:AE5" si="7">X3*0.6</f>
        <v>196632.70180302093</v>
      </c>
      <c r="Y5" s="4">
        <f t="shared" si="7"/>
        <v>220228.62601938346</v>
      </c>
      <c r="Z5" s="4">
        <f t="shared" si="7"/>
        <v>244453.77488151565</v>
      </c>
      <c r="AA5" s="4">
        <f t="shared" si="7"/>
        <v>264010.07687203691</v>
      </c>
      <c r="AB5" s="4">
        <f t="shared" si="7"/>
        <v>277210.58071563882</v>
      </c>
      <c r="AC5" s="4">
        <f t="shared" si="7"/>
        <v>282754.79232995154</v>
      </c>
      <c r="AD5" s="4">
        <f t="shared" si="7"/>
        <v>285582.34025325108</v>
      </c>
      <c r="AE5" s="4">
        <f t="shared" si="7"/>
        <v>282726.51685071853</v>
      </c>
    </row>
    <row r="6" spans="1:149" x14ac:dyDescent="0.2">
      <c r="B6" s="2" t="s">
        <v>41</v>
      </c>
      <c r="C6" s="4">
        <v>3367</v>
      </c>
      <c r="D6" s="4">
        <v>3363</v>
      </c>
      <c r="E6" s="4">
        <v>3596</v>
      </c>
      <c r="F6" s="2">
        <f>13948-(SUM(C6:E6))</f>
        <v>3622</v>
      </c>
      <c r="G6" s="4">
        <v>3942</v>
      </c>
      <c r="H6" s="4">
        <v>4172</v>
      </c>
      <c r="I6" s="4">
        <v>4205</v>
      </c>
      <c r="J6" s="2">
        <f>16625-(SUM(G6:I6))</f>
        <v>4306</v>
      </c>
      <c r="K6" s="2">
        <v>5039</v>
      </c>
      <c r="L6" s="2">
        <f t="shared" ref="L6:N6" si="8">H6*1.2</f>
        <v>5006.3999999999996</v>
      </c>
      <c r="M6" s="2">
        <f t="shared" si="8"/>
        <v>5046</v>
      </c>
      <c r="N6" s="2">
        <f t="shared" si="8"/>
        <v>5167.2</v>
      </c>
      <c r="P6" s="2">
        <f>SUM(C6:F6)</f>
        <v>13948</v>
      </c>
      <c r="Q6" s="2">
        <f>SUM(G6:J6)</f>
        <v>16625</v>
      </c>
      <c r="R6" s="2">
        <f>SUM(K6:N6)</f>
        <v>20258.599999999999</v>
      </c>
      <c r="S6" s="2">
        <f>R6*1.2</f>
        <v>24310.319999999996</v>
      </c>
      <c r="T6" s="2">
        <f>S6*1.16</f>
        <v>28199.971199999993</v>
      </c>
      <c r="U6" s="2">
        <f>T6*1.15</f>
        <v>32429.966879999989</v>
      </c>
      <c r="V6" s="2">
        <f>U6*1.14</f>
        <v>36970.162243199986</v>
      </c>
      <c r="W6" s="2">
        <f>V6*1.13</f>
        <v>41776.283334815977</v>
      </c>
      <c r="X6" s="2">
        <f>W6*1.12</f>
        <v>46789.437334993898</v>
      </c>
      <c r="Y6" s="2">
        <f>X6*1.1</f>
        <v>51468.381068493291</v>
      </c>
      <c r="Z6" s="2">
        <f t="shared" ref="Z6:AE6" si="9">Y6*1.1</f>
        <v>56615.219175342623</v>
      </c>
      <c r="AA6" s="2">
        <f t="shared" si="9"/>
        <v>62276.741092876888</v>
      </c>
      <c r="AB6" s="2">
        <f t="shared" si="9"/>
        <v>68504.415202164586</v>
      </c>
      <c r="AC6" s="2">
        <f t="shared" si="9"/>
        <v>75354.856722381053</v>
      </c>
      <c r="AD6" s="2">
        <f t="shared" si="9"/>
        <v>82890.342394619161</v>
      </c>
      <c r="AE6" s="2">
        <f t="shared" si="9"/>
        <v>91179.376634081083</v>
      </c>
    </row>
    <row r="7" spans="1:149" x14ac:dyDescent="0.2">
      <c r="B7" s="2" t="s">
        <v>42</v>
      </c>
      <c r="C7" s="2">
        <v>2387</v>
      </c>
      <c r="D7" s="2">
        <v>2415</v>
      </c>
      <c r="E7" s="2">
        <v>2565</v>
      </c>
      <c r="F7" s="2">
        <f>10485-(SUM(C7:E7))</f>
        <v>3118</v>
      </c>
      <c r="G7" s="2">
        <v>2644</v>
      </c>
      <c r="H7" s="2">
        <v>2897</v>
      </c>
      <c r="I7" s="2">
        <v>3042</v>
      </c>
      <c r="J7" s="2">
        <f>12893-(SUM(G7:I7))</f>
        <v>4310</v>
      </c>
      <c r="K7" s="2">
        <v>3604</v>
      </c>
      <c r="L7" s="2">
        <f t="shared" ref="L7:L9" si="10">H7*1.15</f>
        <v>3331.5499999999997</v>
      </c>
      <c r="M7" s="2">
        <f t="shared" ref="M7:M9" si="11">I7*1.15</f>
        <v>3498.2999999999997</v>
      </c>
      <c r="N7" s="2">
        <f t="shared" ref="N7:N9" si="12">J7*1.15</f>
        <v>4956.5</v>
      </c>
      <c r="P7" s="2">
        <f>SUM(C7:F7)</f>
        <v>10485</v>
      </c>
      <c r="Q7" s="2">
        <f>SUM(G7:J7)</f>
        <v>12893</v>
      </c>
      <c r="R7" s="2">
        <f>SUM(K7:N7)</f>
        <v>15390.349999999999</v>
      </c>
      <c r="S7" s="2">
        <f>R7*1.14</f>
        <v>17544.998999999996</v>
      </c>
      <c r="T7" s="2">
        <f t="shared" ref="T7:W7" si="13">S7*1.14</f>
        <v>20001.298859999995</v>
      </c>
      <c r="U7" s="2">
        <f t="shared" si="13"/>
        <v>22801.480700399992</v>
      </c>
      <c r="V7" s="2">
        <f t="shared" si="13"/>
        <v>25993.687998455989</v>
      </c>
      <c r="W7" s="2">
        <f t="shared" si="13"/>
        <v>29632.804318239825</v>
      </c>
      <c r="X7" s="2">
        <f>W7*1.13</f>
        <v>33485.068879610997</v>
      </c>
      <c r="Y7" s="2">
        <f t="shared" ref="Y7:AE7" si="14">X7*1.1</f>
        <v>36833.575767572103</v>
      </c>
      <c r="Z7" s="2">
        <f t="shared" si="14"/>
        <v>40516.933344329314</v>
      </c>
      <c r="AA7" s="2">
        <f t="shared" si="14"/>
        <v>44568.626678762252</v>
      </c>
      <c r="AB7" s="2">
        <f t="shared" si="14"/>
        <v>49025.489346638482</v>
      </c>
      <c r="AC7" s="2">
        <f t="shared" si="14"/>
        <v>53928.038281302332</v>
      </c>
      <c r="AD7" s="2">
        <f t="shared" si="14"/>
        <v>59320.842109432568</v>
      </c>
      <c r="AE7" s="2">
        <f t="shared" si="14"/>
        <v>65252.926320375831</v>
      </c>
    </row>
    <row r="8" spans="1:149" x14ac:dyDescent="0.2">
      <c r="B8" s="2" t="s">
        <v>43</v>
      </c>
      <c r="C8" s="2">
        <v>1513</v>
      </c>
      <c r="D8" s="2">
        <v>1624</v>
      </c>
      <c r="E8" s="2">
        <v>1824</v>
      </c>
      <c r="F8" s="2">
        <f>6985-(SUM(C8:E8))</f>
        <v>2024</v>
      </c>
      <c r="G8" s="2">
        <v>1801</v>
      </c>
      <c r="H8" s="2">
        <v>1700</v>
      </c>
      <c r="I8" s="2">
        <v>1595</v>
      </c>
      <c r="J8" s="2">
        <f>6872-(SUM(G8:I8))</f>
        <v>1776</v>
      </c>
      <c r="K8" s="2">
        <v>2035</v>
      </c>
      <c r="L8" s="2">
        <f t="shared" si="10"/>
        <v>1954.9999999999998</v>
      </c>
      <c r="M8" s="2">
        <f t="shared" si="11"/>
        <v>1834.2499999999998</v>
      </c>
      <c r="N8" s="2">
        <f t="shared" si="12"/>
        <v>2042.3999999999999</v>
      </c>
      <c r="P8" s="2">
        <f>SUM(C8:F8)</f>
        <v>6985</v>
      </c>
      <c r="Q8" s="2">
        <f>SUM(G8:J8)</f>
        <v>6872</v>
      </c>
      <c r="R8" s="2">
        <f>SUM(K8:N8)</f>
        <v>7866.65</v>
      </c>
      <c r="S8" s="2">
        <f>R8*1.14</f>
        <v>8967.9809999999979</v>
      </c>
      <c r="T8" s="2">
        <f t="shared" ref="T8:W8" si="15">S8*1.14</f>
        <v>10223.498339999996</v>
      </c>
      <c r="U8" s="2">
        <f t="shared" si="15"/>
        <v>11654.788107599996</v>
      </c>
      <c r="V8" s="2">
        <f t="shared" si="15"/>
        <v>13286.458442663994</v>
      </c>
      <c r="W8" s="2">
        <f t="shared" si="15"/>
        <v>15146.562624636952</v>
      </c>
      <c r="X8" s="2">
        <f>W8*1.13</f>
        <v>17115.615765839753</v>
      </c>
      <c r="Y8" s="2">
        <f t="shared" ref="Y8:AE8" si="16">X8*1.1</f>
        <v>18827.177342423729</v>
      </c>
      <c r="Z8" s="2">
        <f t="shared" si="16"/>
        <v>20709.895076666104</v>
      </c>
      <c r="AA8" s="2">
        <f t="shared" si="16"/>
        <v>22780.884584332714</v>
      </c>
      <c r="AB8" s="2">
        <f t="shared" si="16"/>
        <v>25058.973042765989</v>
      </c>
      <c r="AC8" s="2">
        <f t="shared" si="16"/>
        <v>27564.87034704259</v>
      </c>
      <c r="AD8" s="2">
        <f t="shared" si="16"/>
        <v>30321.35738174685</v>
      </c>
      <c r="AE8" s="2">
        <f t="shared" si="16"/>
        <v>33353.493119921535</v>
      </c>
    </row>
    <row r="9" spans="1:149" x14ac:dyDescent="0.2">
      <c r="B9" s="2" t="s">
        <v>44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2736</v>
      </c>
      <c r="I9" s="2">
        <v>0</v>
      </c>
      <c r="J9" s="2">
        <f>2736-(SUM(G9:I9))</f>
        <v>0</v>
      </c>
      <c r="K9" s="2">
        <f t="shared" ref="K9" si="17">G9*1.15</f>
        <v>0</v>
      </c>
      <c r="L9" s="2">
        <f t="shared" si="10"/>
        <v>3146.3999999999996</v>
      </c>
      <c r="M9" s="2">
        <f t="shared" si="11"/>
        <v>0</v>
      </c>
      <c r="N9" s="2">
        <f t="shared" si="12"/>
        <v>0</v>
      </c>
      <c r="P9" s="2">
        <f>SUM(C9:F9)</f>
        <v>0</v>
      </c>
      <c r="Q9" s="2">
        <f>SUM(G9:J9)</f>
        <v>2736</v>
      </c>
      <c r="R9" s="2">
        <f>SUM(K9:N9)</f>
        <v>3146.3999999999996</v>
      </c>
      <c r="S9" s="2">
        <f>R9*1.14</f>
        <v>3586.8959999999993</v>
      </c>
      <c r="T9" s="2">
        <f t="shared" ref="T9:W9" si="18">S9*1.14</f>
        <v>4089.061439999999</v>
      </c>
      <c r="U9" s="2">
        <f t="shared" si="18"/>
        <v>4661.5300415999982</v>
      </c>
      <c r="V9" s="2">
        <f t="shared" si="18"/>
        <v>5314.1442474239975</v>
      </c>
      <c r="W9" s="2">
        <f t="shared" si="18"/>
        <v>6058.1244420633566</v>
      </c>
      <c r="X9" s="2">
        <f>W9*1.13</f>
        <v>6845.6806195315921</v>
      </c>
      <c r="Y9" s="2">
        <f t="shared" ref="Y9:AE9" si="19">X9*1.1</f>
        <v>7530.2486814847516</v>
      </c>
      <c r="Z9" s="2">
        <f t="shared" si="19"/>
        <v>8283.273549633228</v>
      </c>
      <c r="AA9" s="2">
        <f t="shared" si="19"/>
        <v>9111.6009045965511</v>
      </c>
      <c r="AB9" s="2">
        <f t="shared" si="19"/>
        <v>10022.760995056207</v>
      </c>
      <c r="AC9" s="2">
        <f t="shared" si="19"/>
        <v>11025.037094561829</v>
      </c>
      <c r="AD9" s="2">
        <f t="shared" si="19"/>
        <v>12127.540804018012</v>
      </c>
      <c r="AE9" s="2">
        <f t="shared" si="19"/>
        <v>13340.294884419814</v>
      </c>
    </row>
    <row r="10" spans="1:149" x14ac:dyDescent="0.2">
      <c r="B10" s="2" t="s">
        <v>45</v>
      </c>
      <c r="C10" s="2">
        <f t="shared" ref="C10:J10" si="20">SUM(C6:C9)</f>
        <v>7267</v>
      </c>
      <c r="D10" s="2">
        <f t="shared" si="20"/>
        <v>7402</v>
      </c>
      <c r="E10" s="2">
        <f t="shared" si="20"/>
        <v>7985</v>
      </c>
      <c r="F10" s="2">
        <f t="shared" si="20"/>
        <v>8764</v>
      </c>
      <c r="G10" s="2">
        <f t="shared" si="20"/>
        <v>8387</v>
      </c>
      <c r="H10" s="2">
        <f t="shared" si="20"/>
        <v>11505</v>
      </c>
      <c r="I10" s="2">
        <f t="shared" si="20"/>
        <v>8842</v>
      </c>
      <c r="J10" s="2">
        <f t="shared" si="20"/>
        <v>10392</v>
      </c>
      <c r="K10" s="2">
        <f t="shared" ref="K10:S10" si="21">SUM(K6:K9)</f>
        <v>10678</v>
      </c>
      <c r="L10" s="2">
        <f t="shared" si="21"/>
        <v>13439.349999999999</v>
      </c>
      <c r="M10" s="2">
        <f t="shared" si="21"/>
        <v>10378.549999999999</v>
      </c>
      <c r="N10" s="2">
        <f t="shared" si="21"/>
        <v>12166.1</v>
      </c>
      <c r="P10" s="2">
        <f t="shared" si="21"/>
        <v>31418</v>
      </c>
      <c r="Q10" s="2">
        <f t="shared" si="21"/>
        <v>39126</v>
      </c>
      <c r="R10" s="2">
        <f t="shared" si="21"/>
        <v>46662</v>
      </c>
      <c r="S10" s="2">
        <f t="shared" si="21"/>
        <v>54410.195999999989</v>
      </c>
      <c r="T10" s="2">
        <f t="shared" ref="T10" si="22">SUM(T6:T9)</f>
        <v>62513.829839999984</v>
      </c>
      <c r="U10" s="2">
        <f t="shared" ref="U10" si="23">SUM(U6:U9)</f>
        <v>71547.765729599967</v>
      </c>
      <c r="V10" s="2">
        <f t="shared" ref="V10" si="24">SUM(V6:V9)</f>
        <v>81564.452931743974</v>
      </c>
      <c r="W10" s="2">
        <f t="shared" ref="W10" si="25">SUM(W6:W9)</f>
        <v>92613.774719756111</v>
      </c>
      <c r="X10" s="2">
        <f t="shared" ref="X10" si="26">SUM(X6:X9)</f>
        <v>104235.80259997623</v>
      </c>
      <c r="Y10" s="2">
        <f t="shared" ref="Y10" si="27">SUM(Y6:Y9)</f>
        <v>114659.38285997388</v>
      </c>
      <c r="Z10" s="2">
        <f t="shared" ref="Z10" si="28">SUM(Z6:Z9)</f>
        <v>126125.32114597128</v>
      </c>
      <c r="AA10" s="2">
        <f t="shared" ref="AA10" si="29">SUM(AA6:AA9)</f>
        <v>138737.8532605684</v>
      </c>
      <c r="AB10" s="2">
        <f t="shared" ref="AB10" si="30">SUM(AB6:AB9)</f>
        <v>152611.63858662528</v>
      </c>
      <c r="AC10" s="2">
        <f t="shared" ref="AC10" si="31">SUM(AC6:AC9)</f>
        <v>167872.80244528779</v>
      </c>
      <c r="AD10" s="2">
        <f t="shared" ref="AD10" si="32">SUM(AD6:AD9)</f>
        <v>184660.08268981657</v>
      </c>
      <c r="AE10" s="2">
        <f t="shared" ref="AE10" si="33">SUM(AE6:AE9)</f>
        <v>203126.09095879828</v>
      </c>
    </row>
    <row r="11" spans="1:149" s="4" customFormat="1" x14ac:dyDescent="0.2">
      <c r="B11" s="4" t="s">
        <v>46</v>
      </c>
      <c r="C11" s="4">
        <f t="shared" ref="C11:J11" si="34">C5-C10</f>
        <v>5342</v>
      </c>
      <c r="D11" s="4">
        <f t="shared" si="34"/>
        <v>5968</v>
      </c>
      <c r="E11" s="4">
        <f t="shared" si="34"/>
        <v>5767</v>
      </c>
      <c r="F11" s="4">
        <f t="shared" si="34"/>
        <v>6639</v>
      </c>
      <c r="G11" s="4">
        <f t="shared" si="34"/>
        <v>6568</v>
      </c>
      <c r="H11" s="4">
        <f t="shared" si="34"/>
        <v>4132</v>
      </c>
      <c r="I11" s="4">
        <f t="shared" si="34"/>
        <v>7782</v>
      </c>
      <c r="J11" s="4">
        <f t="shared" si="34"/>
        <v>7664</v>
      </c>
      <c r="K11" s="4">
        <f t="shared" ref="K11:S11" si="35">K5-K10</f>
        <v>7001</v>
      </c>
      <c r="L11" s="4">
        <f t="shared" si="35"/>
        <v>5116.1840000000011</v>
      </c>
      <c r="M11" s="4">
        <f t="shared" si="35"/>
        <v>9433.9947999999968</v>
      </c>
      <c r="N11" s="4">
        <f t="shared" si="35"/>
        <v>10893.128199999997</v>
      </c>
      <c r="P11" s="4">
        <f t="shared" si="35"/>
        <v>22745.199999999997</v>
      </c>
      <c r="Q11" s="4">
        <f t="shared" si="35"/>
        <v>27387</v>
      </c>
      <c r="R11" s="4">
        <f t="shared" si="35"/>
        <v>30088.884000000005</v>
      </c>
      <c r="S11" s="4">
        <f t="shared" si="35"/>
        <v>36923.355960000008</v>
      </c>
      <c r="T11" s="4">
        <f t="shared" ref="T11" si="36">T5-T10</f>
        <v>51033.346721699992</v>
      </c>
      <c r="U11" s="4">
        <f t="shared" ref="U11" si="37">U5-U10</f>
        <v>61302.430847588999</v>
      </c>
      <c r="V11" s="4">
        <f t="shared" ref="V11" si="38">V5-V10</f>
        <v>71213.273132023329</v>
      </c>
      <c r="W11" s="4">
        <f t="shared" ref="W11" si="39">W5-W10</f>
        <v>82951.13760436968</v>
      </c>
      <c r="X11" s="4">
        <f t="shared" ref="X11" si="40">X5-X10</f>
        <v>92396.899203044697</v>
      </c>
      <c r="Y11" s="4">
        <f t="shared" ref="Y11" si="41">Y5-Y10</f>
        <v>105569.24315940958</v>
      </c>
      <c r="Z11" s="4">
        <f t="shared" ref="Z11" si="42">Z5-Z10</f>
        <v>118328.45373554438</v>
      </c>
      <c r="AA11" s="4">
        <f t="shared" ref="AA11" si="43">AA5-AA10</f>
        <v>125272.22361146851</v>
      </c>
      <c r="AB11" s="4">
        <f t="shared" ref="AB11" si="44">AB5-AB10</f>
        <v>124598.94212901354</v>
      </c>
      <c r="AC11" s="4">
        <f t="shared" ref="AC11" si="45">AC5-AC10</f>
        <v>114881.98988466375</v>
      </c>
      <c r="AD11" s="4">
        <f t="shared" ref="AD11" si="46">AD5-AD10</f>
        <v>100922.25756343451</v>
      </c>
      <c r="AE11" s="4">
        <f t="shared" ref="AE11" si="47">AE5-AE10</f>
        <v>79600.425891920255</v>
      </c>
    </row>
    <row r="12" spans="1:149" x14ac:dyDescent="0.2">
      <c r="B12" s="2" t="s">
        <v>62</v>
      </c>
      <c r="C12" s="2">
        <v>-213</v>
      </c>
      <c r="D12" s="2">
        <v>151</v>
      </c>
      <c r="E12" s="2">
        <v>278</v>
      </c>
      <c r="F12" s="2">
        <f>434-(SUM(C12:E12))</f>
        <v>218</v>
      </c>
      <c r="G12" s="2">
        <v>251</v>
      </c>
      <c r="H12" s="2">
        <v>245</v>
      </c>
      <c r="I12" s="2">
        <v>197</v>
      </c>
      <c r="J12" s="2">
        <f>1047-(SUM(G12:I12))</f>
        <v>354</v>
      </c>
      <c r="K12" s="2">
        <v>3542</v>
      </c>
      <c r="L12" s="2">
        <f t="shared" ref="L12:N12" si="48">H12*1.05</f>
        <v>257.25</v>
      </c>
      <c r="M12" s="2">
        <f t="shared" si="48"/>
        <v>206.85000000000002</v>
      </c>
      <c r="N12" s="2">
        <f t="shared" si="48"/>
        <v>371.7</v>
      </c>
      <c r="P12" s="2">
        <f>SUM(C12:F12)</f>
        <v>434</v>
      </c>
      <c r="Q12" s="2">
        <f>SUM(G12:J12)</f>
        <v>1047</v>
      </c>
      <c r="R12" s="2">
        <f>SUM(K12:N12)</f>
        <v>4377.8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</row>
    <row r="13" spans="1:149" s="4" customFormat="1" x14ac:dyDescent="0.2">
      <c r="B13" s="4" t="s">
        <v>47</v>
      </c>
      <c r="C13" s="4">
        <f t="shared" ref="C13:I13" si="49">C11+C12</f>
        <v>5129</v>
      </c>
      <c r="D13" s="4">
        <f t="shared" si="49"/>
        <v>6119</v>
      </c>
      <c r="E13" s="4">
        <f t="shared" si="49"/>
        <v>6045</v>
      </c>
      <c r="F13" s="4">
        <f t="shared" si="49"/>
        <v>6857</v>
      </c>
      <c r="G13" s="4">
        <f t="shared" si="49"/>
        <v>6819</v>
      </c>
      <c r="H13" s="4">
        <f t="shared" si="49"/>
        <v>4377</v>
      </c>
      <c r="I13" s="4">
        <f t="shared" si="49"/>
        <v>7979</v>
      </c>
      <c r="J13" s="4">
        <f>27193-(SUM(G13:I13))</f>
        <v>8018</v>
      </c>
      <c r="K13" s="4">
        <f t="shared" ref="K13:S13" si="50">K11+K12</f>
        <v>10543</v>
      </c>
      <c r="L13" s="4">
        <f t="shared" si="50"/>
        <v>5373.4340000000011</v>
      </c>
      <c r="M13" s="4">
        <f t="shared" si="50"/>
        <v>9640.8447999999971</v>
      </c>
      <c r="N13" s="4">
        <f t="shared" si="50"/>
        <v>11264.828199999998</v>
      </c>
      <c r="P13" s="4">
        <f t="shared" si="50"/>
        <v>23179.199999999997</v>
      </c>
      <c r="Q13" s="4">
        <f t="shared" si="50"/>
        <v>28434</v>
      </c>
      <c r="R13" s="4">
        <f t="shared" si="50"/>
        <v>34466.684000000008</v>
      </c>
      <c r="S13" s="4">
        <f t="shared" si="50"/>
        <v>36923.355960000008</v>
      </c>
      <c r="T13" s="4">
        <f t="shared" ref="T13" si="51">T11+T12</f>
        <v>51033.346721699992</v>
      </c>
      <c r="U13" s="4">
        <f t="shared" ref="U13" si="52">U11+U12</f>
        <v>61302.430847588999</v>
      </c>
      <c r="V13" s="4">
        <f t="shared" ref="V13" si="53">V11+V12</f>
        <v>71213.273132023329</v>
      </c>
      <c r="W13" s="4">
        <f t="shared" ref="W13" si="54">W11+W12</f>
        <v>82951.13760436968</v>
      </c>
      <c r="X13" s="4">
        <f t="shared" ref="X13" si="55">X11+X12</f>
        <v>92396.899203044697</v>
      </c>
      <c r="Y13" s="4">
        <f t="shared" ref="Y13" si="56">Y11+Y12</f>
        <v>105569.24315940958</v>
      </c>
      <c r="Z13" s="4">
        <f t="shared" ref="Z13" si="57">Z11+Z12</f>
        <v>118328.45373554438</v>
      </c>
      <c r="AA13" s="4">
        <f t="shared" ref="AA13" si="58">AA11+AA12</f>
        <v>125272.22361146851</v>
      </c>
      <c r="AB13" s="4">
        <f t="shared" ref="AB13" si="59">AB11+AB12</f>
        <v>124598.94212901354</v>
      </c>
      <c r="AC13" s="4">
        <f t="shared" ref="AC13" si="60">AC11+AC12</f>
        <v>114881.98988466375</v>
      </c>
      <c r="AD13" s="4">
        <f t="shared" ref="AD13" si="61">AD11+AD12</f>
        <v>100922.25756343451</v>
      </c>
      <c r="AE13" s="4">
        <f t="shared" ref="AE13" si="62">AE11+AE12</f>
        <v>79600.425891920255</v>
      </c>
    </row>
    <row r="14" spans="1:149" x14ac:dyDescent="0.2">
      <c r="B14" s="2" t="s">
        <v>48</v>
      </c>
      <c r="C14" s="2">
        <v>922</v>
      </c>
      <c r="D14" s="2">
        <v>1242</v>
      </c>
      <c r="E14" s="2">
        <v>984</v>
      </c>
      <c r="F14" s="2">
        <f>4672-(SUM(C14:E14))</f>
        <v>1524</v>
      </c>
      <c r="G14" s="2">
        <v>1393</v>
      </c>
      <c r="H14" s="2">
        <v>853</v>
      </c>
      <c r="I14" s="2">
        <v>1247</v>
      </c>
      <c r="J14" s="2">
        <f>14531-(SUM(G14:I14))</f>
        <v>11038</v>
      </c>
      <c r="K14" s="2">
        <v>1142</v>
      </c>
      <c r="L14" s="2">
        <f t="shared" ref="L14:N14" si="63">L13*0.18</f>
        <v>967.21812000000011</v>
      </c>
      <c r="M14" s="2">
        <f t="shared" si="63"/>
        <v>1735.3520639999995</v>
      </c>
      <c r="N14" s="2">
        <f t="shared" si="63"/>
        <v>2027.6690759999997</v>
      </c>
      <c r="P14" s="2">
        <f>SUM(C14:F14)</f>
        <v>4672</v>
      </c>
      <c r="Q14" s="2">
        <f>SUM(G14:J14)</f>
        <v>14531</v>
      </c>
      <c r="R14" s="2">
        <f>SUM(K14:N14)</f>
        <v>5872.2392599999985</v>
      </c>
      <c r="S14" s="2">
        <f>S13*0.2</f>
        <v>7384.6711920000016</v>
      </c>
      <c r="T14" s="2">
        <f t="shared" ref="T14:AE14" si="64">T13*0.2</f>
        <v>10206.66934434</v>
      </c>
      <c r="U14" s="2">
        <f t="shared" si="64"/>
        <v>12260.486169517801</v>
      </c>
      <c r="V14" s="2">
        <f t="shared" si="64"/>
        <v>14242.654626404666</v>
      </c>
      <c r="W14" s="2">
        <f t="shared" si="64"/>
        <v>16590.227520873937</v>
      </c>
      <c r="X14" s="2">
        <f t="shared" si="64"/>
        <v>18479.379840608941</v>
      </c>
      <c r="Y14" s="2">
        <f t="shared" si="64"/>
        <v>21113.84863188192</v>
      </c>
      <c r="Z14" s="2">
        <f t="shared" si="64"/>
        <v>23665.690747108878</v>
      </c>
      <c r="AA14" s="2">
        <f t="shared" si="64"/>
        <v>25054.444722293701</v>
      </c>
      <c r="AB14" s="2">
        <f t="shared" si="64"/>
        <v>24919.788425802708</v>
      </c>
      <c r="AC14" s="2">
        <f t="shared" si="64"/>
        <v>22976.397976932752</v>
      </c>
      <c r="AD14" s="2">
        <f t="shared" si="64"/>
        <v>20184.451512686905</v>
      </c>
      <c r="AE14" s="2">
        <f t="shared" si="64"/>
        <v>15920.085178384052</v>
      </c>
    </row>
    <row r="15" spans="1:149" s="4" customFormat="1" x14ac:dyDescent="0.2">
      <c r="B15" s="4" t="s">
        <v>49</v>
      </c>
      <c r="C15" s="4">
        <f t="shared" ref="C15:J15" si="65">C13-C14</f>
        <v>4207</v>
      </c>
      <c r="D15" s="4">
        <f t="shared" si="65"/>
        <v>4877</v>
      </c>
      <c r="E15" s="4">
        <f t="shared" si="65"/>
        <v>5061</v>
      </c>
      <c r="F15" s="4">
        <f t="shared" si="65"/>
        <v>5333</v>
      </c>
      <c r="G15" s="4">
        <f t="shared" si="65"/>
        <v>5426</v>
      </c>
      <c r="H15" s="4">
        <f t="shared" si="65"/>
        <v>3524</v>
      </c>
      <c r="I15" s="4">
        <f t="shared" si="65"/>
        <v>6732</v>
      </c>
      <c r="J15" s="4">
        <f t="shared" si="65"/>
        <v>-3020</v>
      </c>
      <c r="K15" s="4">
        <f t="shared" ref="K15:S15" si="66">K13-K14</f>
        <v>9401</v>
      </c>
      <c r="L15" s="4">
        <f t="shared" si="66"/>
        <v>4406.2158800000007</v>
      </c>
      <c r="M15" s="4">
        <f t="shared" si="66"/>
        <v>7905.4927359999974</v>
      </c>
      <c r="N15" s="4">
        <f t="shared" si="66"/>
        <v>9237.159123999998</v>
      </c>
      <c r="P15" s="4">
        <f t="shared" si="66"/>
        <v>18507.199999999997</v>
      </c>
      <c r="Q15" s="4">
        <f t="shared" si="66"/>
        <v>13903</v>
      </c>
      <c r="R15" s="4">
        <f t="shared" si="66"/>
        <v>28594.44474000001</v>
      </c>
      <c r="S15" s="4">
        <f t="shared" si="66"/>
        <v>29538.684768000006</v>
      </c>
      <c r="T15" s="4">
        <f t="shared" ref="T15" si="67">T13-T14</f>
        <v>40826.677377359993</v>
      </c>
      <c r="U15" s="4">
        <f t="shared" ref="U15" si="68">U13-U14</f>
        <v>49041.944678071202</v>
      </c>
      <c r="V15" s="4">
        <f t="shared" ref="V15" si="69">V13-V14</f>
        <v>56970.618505618666</v>
      </c>
      <c r="W15" s="4">
        <f t="shared" ref="W15" si="70">W13-W14</f>
        <v>66360.91008349575</v>
      </c>
      <c r="X15" s="4">
        <f t="shared" ref="X15" si="71">X13-X14</f>
        <v>73917.519362435763</v>
      </c>
      <c r="Y15" s="4">
        <f t="shared" ref="Y15" si="72">Y13-Y14</f>
        <v>84455.394527527664</v>
      </c>
      <c r="Z15" s="4">
        <f t="shared" ref="Z15" si="73">Z13-Z14</f>
        <v>94662.762988435497</v>
      </c>
      <c r="AA15" s="4">
        <f t="shared" ref="AA15" si="74">AA13-AA14</f>
        <v>100217.77888917481</v>
      </c>
      <c r="AB15" s="4">
        <f t="shared" ref="AB15" si="75">AB13-AB14</f>
        <v>99679.153703210832</v>
      </c>
      <c r="AC15" s="4">
        <f t="shared" ref="AC15" si="76">AC13-AC14</f>
        <v>91905.591907730995</v>
      </c>
      <c r="AD15" s="4">
        <f t="shared" ref="AD15" si="77">AD13-AD14</f>
        <v>80737.806050747604</v>
      </c>
      <c r="AE15" s="4">
        <f t="shared" ref="AE15" si="78">AE13-AE14</f>
        <v>63680.340713536207</v>
      </c>
      <c r="AF15" s="4">
        <f>AE15*(1+$AH$18)</f>
        <v>61769.930492130115</v>
      </c>
      <c r="AG15" s="4">
        <f>AF15*(1+$AH$18)</f>
        <v>59916.832577366207</v>
      </c>
      <c r="AH15" s="4">
        <f t="shared" ref="AH15:CS15" si="79">AG15*(1+$AH$18)</f>
        <v>58119.327600045217</v>
      </c>
      <c r="AI15" s="4">
        <f t="shared" si="79"/>
        <v>56375.747772043862</v>
      </c>
      <c r="AJ15" s="4">
        <f t="shared" si="79"/>
        <v>54684.475338882541</v>
      </c>
      <c r="AK15" s="4">
        <f t="shared" si="79"/>
        <v>53043.941078716067</v>
      </c>
      <c r="AL15" s="4">
        <f t="shared" si="79"/>
        <v>51452.622846354585</v>
      </c>
      <c r="AM15" s="4">
        <f t="shared" si="79"/>
        <v>49909.044160963946</v>
      </c>
      <c r="AN15" s="4">
        <f t="shared" si="79"/>
        <v>48411.772836135024</v>
      </c>
      <c r="AO15" s="4">
        <f t="shared" si="79"/>
        <v>46959.419651050972</v>
      </c>
      <c r="AP15" s="4">
        <f t="shared" si="79"/>
        <v>45550.637061519439</v>
      </c>
      <c r="AQ15" s="4">
        <f t="shared" si="79"/>
        <v>44184.117949673855</v>
      </c>
      <c r="AR15" s="4">
        <f t="shared" si="79"/>
        <v>42858.594411183636</v>
      </c>
      <c r="AS15" s="4">
        <f t="shared" si="79"/>
        <v>41572.836578848124</v>
      </c>
      <c r="AT15" s="4">
        <f t="shared" si="79"/>
        <v>40325.651481482681</v>
      </c>
      <c r="AU15" s="4">
        <f t="shared" si="79"/>
        <v>39115.881937038197</v>
      </c>
      <c r="AV15" s="4">
        <f t="shared" si="79"/>
        <v>37942.405478927052</v>
      </c>
      <c r="AW15" s="4">
        <f t="shared" si="79"/>
        <v>36804.133314559236</v>
      </c>
      <c r="AX15" s="4">
        <f t="shared" si="79"/>
        <v>35700.009315122457</v>
      </c>
      <c r="AY15" s="4">
        <f t="shared" si="79"/>
        <v>34629.00903566878</v>
      </c>
      <c r="AZ15" s="4">
        <f t="shared" si="79"/>
        <v>33590.138764598712</v>
      </c>
      <c r="BA15" s="4">
        <f t="shared" si="79"/>
        <v>32582.434601660749</v>
      </c>
      <c r="BB15" s="4">
        <f t="shared" si="79"/>
        <v>31604.961563610927</v>
      </c>
      <c r="BC15" s="4">
        <f t="shared" si="79"/>
        <v>30656.8127167026</v>
      </c>
      <c r="BD15" s="4">
        <f t="shared" si="79"/>
        <v>29737.108335201519</v>
      </c>
      <c r="BE15" s="4">
        <f t="shared" si="79"/>
        <v>28844.995085145474</v>
      </c>
      <c r="BF15" s="4">
        <f t="shared" si="79"/>
        <v>27979.645232591109</v>
      </c>
      <c r="BG15" s="4">
        <f t="shared" si="79"/>
        <v>27140.255875613373</v>
      </c>
      <c r="BH15" s="4">
        <f t="shared" si="79"/>
        <v>26326.048199344972</v>
      </c>
      <c r="BI15" s="4">
        <f t="shared" si="79"/>
        <v>25536.266753364624</v>
      </c>
      <c r="BJ15" s="4">
        <f t="shared" si="79"/>
        <v>24770.178750763684</v>
      </c>
      <c r="BK15" s="4">
        <f t="shared" si="79"/>
        <v>24027.073388240773</v>
      </c>
      <c r="BL15" s="4">
        <f t="shared" si="79"/>
        <v>23306.261186593551</v>
      </c>
      <c r="BM15" s="4">
        <f t="shared" si="79"/>
        <v>22607.073350995743</v>
      </c>
      <c r="BN15" s="4">
        <f t="shared" si="79"/>
        <v>21928.861150465869</v>
      </c>
      <c r="BO15" s="4">
        <f t="shared" si="79"/>
        <v>21270.995315951892</v>
      </c>
      <c r="BP15" s="4">
        <f t="shared" si="79"/>
        <v>20632.865456473333</v>
      </c>
      <c r="BQ15" s="4">
        <f t="shared" si="79"/>
        <v>20013.879492779131</v>
      </c>
      <c r="BR15" s="4">
        <f t="shared" si="79"/>
        <v>19413.463107995758</v>
      </c>
      <c r="BS15" s="4">
        <f t="shared" si="79"/>
        <v>18831.059214755885</v>
      </c>
      <c r="BT15" s="4">
        <f t="shared" si="79"/>
        <v>18266.127438313208</v>
      </c>
      <c r="BU15" s="4">
        <f t="shared" si="79"/>
        <v>17718.143615163812</v>
      </c>
      <c r="BV15" s="4">
        <f t="shared" si="79"/>
        <v>17186.599306708897</v>
      </c>
      <c r="BW15" s="4">
        <f t="shared" si="79"/>
        <v>16671.001327507631</v>
      </c>
      <c r="BX15" s="4">
        <f t="shared" si="79"/>
        <v>16170.871287682401</v>
      </c>
      <c r="BY15" s="4">
        <f t="shared" si="79"/>
        <v>15685.745149051929</v>
      </c>
      <c r="BZ15" s="4">
        <f t="shared" si="79"/>
        <v>15215.17279458037</v>
      </c>
      <c r="CA15" s="4">
        <f t="shared" si="79"/>
        <v>14758.717610742959</v>
      </c>
      <c r="CB15" s="4">
        <f t="shared" si="79"/>
        <v>14315.956082420669</v>
      </c>
      <c r="CC15" s="4">
        <f t="shared" si="79"/>
        <v>13886.477399948049</v>
      </c>
      <c r="CD15" s="4">
        <f t="shared" si="79"/>
        <v>13469.883077949607</v>
      </c>
      <c r="CE15" s="4">
        <f t="shared" si="79"/>
        <v>13065.786585611118</v>
      </c>
      <c r="CF15" s="4">
        <f t="shared" si="79"/>
        <v>12673.812988042784</v>
      </c>
      <c r="CG15" s="4">
        <f t="shared" si="79"/>
        <v>12293.598598401501</v>
      </c>
      <c r="CH15" s="4">
        <f t="shared" si="79"/>
        <v>11924.790640449455</v>
      </c>
      <c r="CI15" s="4">
        <f t="shared" si="79"/>
        <v>11567.046921235971</v>
      </c>
      <c r="CJ15" s="4">
        <f t="shared" si="79"/>
        <v>11220.035513598892</v>
      </c>
      <c r="CK15" s="4">
        <f t="shared" si="79"/>
        <v>10883.434448190925</v>
      </c>
      <c r="CL15" s="4">
        <f t="shared" si="79"/>
        <v>10556.931414745197</v>
      </c>
      <c r="CM15" s="4">
        <f t="shared" si="79"/>
        <v>10240.223472302841</v>
      </c>
      <c r="CN15" s="4">
        <f t="shared" si="79"/>
        <v>9933.0167681337552</v>
      </c>
      <c r="CO15" s="4">
        <f t="shared" si="79"/>
        <v>9635.0262650897421</v>
      </c>
      <c r="CP15" s="4">
        <f t="shared" si="79"/>
        <v>9345.9754771370499</v>
      </c>
      <c r="CQ15" s="4">
        <f t="shared" si="79"/>
        <v>9065.5962128229385</v>
      </c>
      <c r="CR15" s="4">
        <f t="shared" si="79"/>
        <v>8793.628326438251</v>
      </c>
      <c r="CS15" s="4">
        <f t="shared" si="79"/>
        <v>8529.8194766451034</v>
      </c>
      <c r="CT15" s="4">
        <f t="shared" ref="CT15:ES15" si="80">CS15*(1+$AH$18)</f>
        <v>8273.9248923457508</v>
      </c>
      <c r="CU15" s="4">
        <f t="shared" si="80"/>
        <v>8025.7071455753776</v>
      </c>
      <c r="CV15" s="4">
        <f t="shared" si="80"/>
        <v>7784.935931208116</v>
      </c>
      <c r="CW15" s="4">
        <f t="shared" si="80"/>
        <v>7551.3878532718727</v>
      </c>
      <c r="CX15" s="4">
        <f t="shared" si="80"/>
        <v>7324.8462176737166</v>
      </c>
      <c r="CY15" s="4">
        <f t="shared" si="80"/>
        <v>7105.1008311435053</v>
      </c>
      <c r="CZ15" s="4">
        <f t="shared" si="80"/>
        <v>6891.9478062092003</v>
      </c>
      <c r="DA15" s="4">
        <f t="shared" si="80"/>
        <v>6685.1893720229236</v>
      </c>
      <c r="DB15" s="4">
        <f t="shared" si="80"/>
        <v>6484.6336908622361</v>
      </c>
      <c r="DC15" s="4">
        <f t="shared" si="80"/>
        <v>6290.0946801363689</v>
      </c>
      <c r="DD15" s="4">
        <f t="shared" si="80"/>
        <v>6101.3918397322777</v>
      </c>
      <c r="DE15" s="4">
        <f t="shared" si="80"/>
        <v>5918.3500845403096</v>
      </c>
      <c r="DF15" s="4">
        <f t="shared" si="80"/>
        <v>5740.7995820041006</v>
      </c>
      <c r="DG15" s="4">
        <f t="shared" si="80"/>
        <v>5568.5755945439778</v>
      </c>
      <c r="DH15" s="4">
        <f t="shared" si="80"/>
        <v>5401.5183267076582</v>
      </c>
      <c r="DI15" s="4">
        <f t="shared" si="80"/>
        <v>5239.4727769064284</v>
      </c>
      <c r="DJ15" s="4">
        <f t="shared" si="80"/>
        <v>5082.2885935992354</v>
      </c>
      <c r="DK15" s="4">
        <f t="shared" si="80"/>
        <v>4929.8199357912581</v>
      </c>
      <c r="DL15" s="4">
        <f t="shared" si="80"/>
        <v>4781.9253377175201</v>
      </c>
      <c r="DM15" s="4">
        <f t="shared" si="80"/>
        <v>4638.4675775859941</v>
      </c>
      <c r="DN15" s="4">
        <f t="shared" si="80"/>
        <v>4499.3135502584146</v>
      </c>
      <c r="DO15" s="4">
        <f t="shared" si="80"/>
        <v>4364.3341437506624</v>
      </c>
      <c r="DP15" s="4">
        <f t="shared" si="80"/>
        <v>4233.4041194381425</v>
      </c>
      <c r="DQ15" s="4">
        <f t="shared" si="80"/>
        <v>4106.4019958549979</v>
      </c>
      <c r="DR15" s="4">
        <f t="shared" si="80"/>
        <v>3983.2099359793478</v>
      </c>
      <c r="DS15" s="4">
        <f t="shared" si="80"/>
        <v>3863.7136378999671</v>
      </c>
      <c r="DT15" s="4">
        <f t="shared" si="80"/>
        <v>3747.8022287629678</v>
      </c>
      <c r="DU15" s="4">
        <f t="shared" si="80"/>
        <v>3635.3681619000786</v>
      </c>
      <c r="DV15" s="4">
        <f t="shared" si="80"/>
        <v>3526.3071170430762</v>
      </c>
      <c r="DW15" s="4">
        <f t="shared" si="80"/>
        <v>3420.5179035317838</v>
      </c>
      <c r="DX15" s="4">
        <f t="shared" si="80"/>
        <v>3317.9023664258302</v>
      </c>
      <c r="DY15" s="4">
        <f t="shared" si="80"/>
        <v>3218.3652954330551</v>
      </c>
      <c r="DZ15" s="4">
        <f t="shared" si="80"/>
        <v>3121.8143365700635</v>
      </c>
      <c r="EA15" s="4">
        <f t="shared" si="80"/>
        <v>3028.1599064729617</v>
      </c>
      <c r="EB15" s="4">
        <f t="shared" si="80"/>
        <v>2937.3151092787725</v>
      </c>
      <c r="EC15" s="4">
        <f t="shared" si="80"/>
        <v>2849.1956560004091</v>
      </c>
      <c r="ED15" s="4">
        <f t="shared" si="80"/>
        <v>2763.7197863203969</v>
      </c>
      <c r="EE15" s="4">
        <f t="shared" si="80"/>
        <v>2680.8081927307849</v>
      </c>
      <c r="EF15" s="4">
        <f t="shared" si="80"/>
        <v>2600.3839469488612</v>
      </c>
      <c r="EG15" s="4">
        <f t="shared" si="80"/>
        <v>2522.3724285403955</v>
      </c>
      <c r="EH15" s="4">
        <f t="shared" si="80"/>
        <v>2446.7012556841837</v>
      </c>
      <c r="EI15" s="4">
        <f t="shared" si="80"/>
        <v>2373.3002180136582</v>
      </c>
      <c r="EJ15" s="4">
        <f t="shared" si="80"/>
        <v>2302.1012114732484</v>
      </c>
      <c r="EK15" s="4">
        <f t="shared" si="80"/>
        <v>2233.0381751290511</v>
      </c>
      <c r="EL15" s="4">
        <f t="shared" si="80"/>
        <v>2166.0470298751793</v>
      </c>
      <c r="EM15" s="4">
        <f t="shared" si="80"/>
        <v>2101.0656189789238</v>
      </c>
      <c r="EN15" s="4">
        <f t="shared" si="80"/>
        <v>2038.033650409556</v>
      </c>
      <c r="EO15" s="4">
        <f t="shared" si="80"/>
        <v>1976.8926408972693</v>
      </c>
      <c r="EP15" s="4">
        <f t="shared" si="80"/>
        <v>1917.5858616703513</v>
      </c>
      <c r="EQ15" s="4">
        <f t="shared" si="80"/>
        <v>1860.0582858202406</v>
      </c>
      <c r="ER15" s="4">
        <f t="shared" si="80"/>
        <v>1804.2565372456334</v>
      </c>
      <c r="ES15" s="4">
        <f t="shared" si="80"/>
        <v>1750.1288411282644</v>
      </c>
    </row>
    <row r="16" spans="1:149" s="5" customFormat="1" x14ac:dyDescent="0.2">
      <c r="B16" s="5" t="s">
        <v>50</v>
      </c>
      <c r="C16" s="5">
        <v>6.02</v>
      </c>
      <c r="D16" s="5">
        <v>7</v>
      </c>
      <c r="E16" s="5">
        <v>9.25</v>
      </c>
      <c r="F16" s="5">
        <f>F15/Main!G4</f>
        <v>7.6700977206117784</v>
      </c>
      <c r="G16" s="5">
        <v>7.73</v>
      </c>
      <c r="H16" s="5">
        <v>5.01</v>
      </c>
      <c r="I16" s="5">
        <v>9.57</v>
      </c>
      <c r="J16" s="5">
        <f>J15/Main!$G$4</f>
        <v>-4.3434643008152207</v>
      </c>
      <c r="K16" s="5">
        <v>13.33</v>
      </c>
      <c r="L16" s="5">
        <f>L15/Main!$G$4</f>
        <v>6.3371660186970606</v>
      </c>
      <c r="M16" s="5">
        <f>M15/Main!$G$4</f>
        <v>11.369942211645707</v>
      </c>
      <c r="N16" s="5">
        <f>N15/Main!$G$4</f>
        <v>13.285189038425028</v>
      </c>
      <c r="P16" s="5">
        <f>P15/Main!$G$4</f>
        <v>26.617669704651469</v>
      </c>
      <c r="Q16" s="5">
        <f>Q15/Main!$G$4</f>
        <v>19.995756349084111</v>
      </c>
      <c r="R16" s="5">
        <f>R15/Main!$G$4</f>
        <v>41.125480109213115</v>
      </c>
      <c r="S16" s="5">
        <f>S15/Main!$G$4</f>
        <v>42.483517477762369</v>
      </c>
      <c r="T16" s="5">
        <f>T15/Main!$G$4</f>
        <v>58.718283347504467</v>
      </c>
      <c r="U16" s="5">
        <f>U15/Main!$G$4</f>
        <v>70.533753626409691</v>
      </c>
      <c r="V16" s="5">
        <f>V15/Main!$G$4</f>
        <v>81.937035653813794</v>
      </c>
      <c r="W16" s="5">
        <f>W15/Main!$G$4</f>
        <v>95.44246487326906</v>
      </c>
      <c r="X16" s="5">
        <f>X15/Main!$G$4</f>
        <v>106.31063130978728</v>
      </c>
      <c r="Y16" s="5">
        <f>Y15/Main!$G$4</f>
        <v>121.46655335813958</v>
      </c>
      <c r="Z16" s="5">
        <f>Z15/Main!$G$4</f>
        <v>136.14712968768276</v>
      </c>
      <c r="AA16" s="5">
        <f>AA15/Main!$G$4</f>
        <v>144.1365380503722</v>
      </c>
      <c r="AB16" s="5">
        <f>AB15/Main!$G$4</f>
        <v>143.36186941899652</v>
      </c>
      <c r="AC16" s="5">
        <f>AC15/Main!$G$4</f>
        <v>132.18167466772246</v>
      </c>
      <c r="AD16" s="5">
        <f>AD15/Main!$G$4</f>
        <v>116.11979414157791</v>
      </c>
      <c r="AE16" s="5">
        <f>AE15/Main!$G$4</f>
        <v>91.587180977812764</v>
      </c>
    </row>
    <row r="17" spans="1:34" x14ac:dyDescent="0.2">
      <c r="A17" s="2" t="s">
        <v>93</v>
      </c>
    </row>
    <row r="18" spans="1:34" s="7" customFormat="1" x14ac:dyDescent="0.2">
      <c r="A18" s="7">
        <f>AVERAGE(G18:J18)</f>
        <v>0.22717800073099126</v>
      </c>
      <c r="B18" s="7" t="s">
        <v>63</v>
      </c>
      <c r="G18" s="7">
        <f t="shared" ref="G18:I18" si="81">G3/C3-1</f>
        <v>0.22179987164930637</v>
      </c>
      <c r="H18" s="7">
        <f t="shared" si="81"/>
        <v>0.20976744186046514</v>
      </c>
      <c r="I18" s="7">
        <f t="shared" si="81"/>
        <v>0.23700503318337707</v>
      </c>
      <c r="J18" s="7">
        <f>J3/F3-1</f>
        <v>0.24013965623081646</v>
      </c>
      <c r="K18" s="7">
        <f t="shared" ref="K18:N18" si="82">K3/G3-1</f>
        <v>0.25842424242424245</v>
      </c>
      <c r="L18" s="7">
        <f t="shared" si="82"/>
        <v>0.22999999999999998</v>
      </c>
      <c r="M18" s="7">
        <f t="shared" si="82"/>
        <v>0.22999999999999998</v>
      </c>
      <c r="N18" s="7">
        <f t="shared" si="82"/>
        <v>0.22999999999999998</v>
      </c>
      <c r="Q18" s="7">
        <f>Q3/P3-1</f>
        <v>0.22801090038993266</v>
      </c>
      <c r="R18" s="7">
        <f>R3/Q3-1</f>
        <v>0.23634612782463571</v>
      </c>
      <c r="S18" s="7">
        <f>S3/R3-1</f>
        <v>0.18999999999999995</v>
      </c>
      <c r="T18" s="7">
        <f t="shared" ref="T18:AE18" si="83">T3/S3-1</f>
        <v>0.17999999999999994</v>
      </c>
      <c r="U18" s="7">
        <f t="shared" si="83"/>
        <v>0.16999999999999993</v>
      </c>
      <c r="V18" s="7">
        <f t="shared" si="83"/>
        <v>0.14999999999999991</v>
      </c>
      <c r="W18" s="7">
        <f t="shared" si="83"/>
        <v>0.12999999999999989</v>
      </c>
      <c r="X18" s="7">
        <f t="shared" si="83"/>
        <v>0.12000000000000011</v>
      </c>
      <c r="Y18" s="7">
        <f t="shared" si="83"/>
        <v>0.12000000000000011</v>
      </c>
      <c r="Z18" s="7">
        <f t="shared" si="83"/>
        <v>0.1100000000000001</v>
      </c>
      <c r="AA18" s="7">
        <f t="shared" si="83"/>
        <v>8.0000000000000071E-2</v>
      </c>
      <c r="AB18" s="7">
        <f t="shared" si="83"/>
        <v>5.0000000000000044E-2</v>
      </c>
      <c r="AC18" s="7">
        <f t="shared" si="83"/>
        <v>2.0000000000000018E-2</v>
      </c>
      <c r="AD18" s="7">
        <f t="shared" si="83"/>
        <v>1.0000000000000009E-2</v>
      </c>
      <c r="AE18" s="7">
        <f t="shared" si="83"/>
        <v>-1.0000000000000009E-2</v>
      </c>
      <c r="AG18" s="9" t="s">
        <v>96</v>
      </c>
      <c r="AH18" s="7">
        <v>-0.03</v>
      </c>
    </row>
    <row r="19" spans="1:34" s="7" customFormat="1" x14ac:dyDescent="0.2">
      <c r="A19" s="7">
        <f>AVERAGE(C19:K19)</f>
        <v>0.59756284846262941</v>
      </c>
      <c r="B19" s="7" t="s">
        <v>64</v>
      </c>
      <c r="C19" s="7">
        <f t="shared" ref="C19:E19" si="84">C5/C3</f>
        <v>0.62245149824751933</v>
      </c>
      <c r="D19" s="7">
        <f t="shared" si="84"/>
        <v>0.62186046511627902</v>
      </c>
      <c r="E19" s="7">
        <f t="shared" si="84"/>
        <v>0.61253396285243422</v>
      </c>
      <c r="F19" s="7">
        <f t="shared" ref="F19:I19" si="85">F5/F3</f>
        <v>0.59096838551258446</v>
      </c>
      <c r="G19" s="7">
        <f t="shared" si="85"/>
        <v>0.60424242424242425</v>
      </c>
      <c r="H19" s="7">
        <f t="shared" si="85"/>
        <v>0.60119184928873515</v>
      </c>
      <c r="I19" s="7">
        <f t="shared" si="85"/>
        <v>0.59858850640933314</v>
      </c>
      <c r="J19" s="7">
        <f>J5/J3</f>
        <v>0.55861151502026418</v>
      </c>
      <c r="K19" s="7">
        <f t="shared" ref="K19:N19" si="86">K5/K3</f>
        <v>0.56761702947408976</v>
      </c>
      <c r="L19" s="7">
        <f t="shared" si="86"/>
        <v>0.57999999999999996</v>
      </c>
      <c r="M19" s="7">
        <f t="shared" si="86"/>
        <v>0.57999999999999996</v>
      </c>
      <c r="N19" s="7">
        <f t="shared" si="86"/>
        <v>0.57999999999999996</v>
      </c>
      <c r="Q19" s="7">
        <f>Q5/Q3</f>
        <v>0.6</v>
      </c>
      <c r="R19" s="7">
        <f>R5/R3</f>
        <v>0.56000000000000005</v>
      </c>
      <c r="S19" s="7">
        <f>S5/S3</f>
        <v>0.56000000000000005</v>
      </c>
      <c r="T19" s="7">
        <f t="shared" ref="T19:AE19" si="87">T5/T3</f>
        <v>0.59</v>
      </c>
      <c r="U19" s="7">
        <f t="shared" si="87"/>
        <v>0.59</v>
      </c>
      <c r="V19" s="7">
        <f t="shared" si="87"/>
        <v>0.59</v>
      </c>
      <c r="W19" s="7">
        <f t="shared" si="87"/>
        <v>0.6</v>
      </c>
      <c r="X19" s="7">
        <f t="shared" si="87"/>
        <v>0.6</v>
      </c>
      <c r="Y19" s="7">
        <f t="shared" si="87"/>
        <v>0.6</v>
      </c>
      <c r="Z19" s="7">
        <f t="shared" si="87"/>
        <v>0.6</v>
      </c>
      <c r="AA19" s="7">
        <f t="shared" si="87"/>
        <v>0.6</v>
      </c>
      <c r="AB19" s="7">
        <f t="shared" si="87"/>
        <v>0.6</v>
      </c>
      <c r="AC19" s="7">
        <f t="shared" si="87"/>
        <v>0.6</v>
      </c>
      <c r="AD19" s="7">
        <f t="shared" si="87"/>
        <v>0.6</v>
      </c>
      <c r="AE19" s="7">
        <f t="shared" si="87"/>
        <v>0.6</v>
      </c>
      <c r="AG19" s="9" t="s">
        <v>97</v>
      </c>
      <c r="AH19" s="7">
        <v>7.0000000000000007E-2</v>
      </c>
    </row>
    <row r="20" spans="1:34" s="7" customFormat="1" x14ac:dyDescent="0.2">
      <c r="A20" s="7">
        <f>AVERAGE(C20:J20)</f>
        <v>0.24930438467141264</v>
      </c>
      <c r="B20" s="7" t="s">
        <v>65</v>
      </c>
      <c r="C20" s="7">
        <f t="shared" ref="C20:E20" si="88">C11/C3</f>
        <v>0.26371130967073109</v>
      </c>
      <c r="D20" s="7">
        <f t="shared" si="88"/>
        <v>0.27758139534883719</v>
      </c>
      <c r="E20" s="7">
        <f t="shared" si="88"/>
        <v>0.25687051801701483</v>
      </c>
      <c r="F20" s="7">
        <f t="shared" ref="F20:I20" si="89">F11/F3</f>
        <v>0.25471915285451197</v>
      </c>
      <c r="G20" s="7">
        <f t="shared" si="89"/>
        <v>0.26537373737373737</v>
      </c>
      <c r="H20" s="7">
        <f t="shared" si="89"/>
        <v>0.15886197616301423</v>
      </c>
      <c r="I20" s="7">
        <f t="shared" si="89"/>
        <v>0.28021028373901774</v>
      </c>
      <c r="J20" s="7">
        <f>J11/J3</f>
        <v>0.23710670420443647</v>
      </c>
      <c r="K20" s="7">
        <f t="shared" ref="K20:N20" si="90">K11/K3</f>
        <v>0.2247800680665254</v>
      </c>
      <c r="L20" s="7">
        <f t="shared" si="90"/>
        <v>0.15991923056485471</v>
      </c>
      <c r="M20" s="7">
        <f t="shared" si="90"/>
        <v>0.27617436524358036</v>
      </c>
      <c r="N20" s="7">
        <f t="shared" si="90"/>
        <v>0.27399071214360932</v>
      </c>
      <c r="Q20" s="7">
        <f>Q11/Q3</f>
        <v>0.24705245591087457</v>
      </c>
      <c r="R20" s="7">
        <f>R11/R3</f>
        <v>0.21953851424043538</v>
      </c>
      <c r="S20" s="7">
        <f>S11/S3</f>
        <v>0.22639083769188828</v>
      </c>
      <c r="T20" s="7">
        <f t="shared" ref="T20:AE20" si="91">T11/T3</f>
        <v>0.26517325641683226</v>
      </c>
      <c r="U20" s="7">
        <f t="shared" si="91"/>
        <v>0.2722497604966872</v>
      </c>
      <c r="V20" s="7">
        <f t="shared" si="91"/>
        <v>0.27501280605758549</v>
      </c>
      <c r="W20" s="7">
        <f t="shared" si="91"/>
        <v>0.28348877861617233</v>
      </c>
      <c r="X20" s="7">
        <f t="shared" si="91"/>
        <v>0.28193753639901981</v>
      </c>
      <c r="Y20" s="7">
        <f t="shared" si="91"/>
        <v>0.28761722324903727</v>
      </c>
      <c r="Z20" s="7">
        <f t="shared" si="91"/>
        <v>0.29043148249904588</v>
      </c>
      <c r="AA20" s="7">
        <f t="shared" si="91"/>
        <v>0.28469873217495417</v>
      </c>
      <c r="AB20" s="7">
        <f t="shared" si="91"/>
        <v>0.26968438608804723</v>
      </c>
      <c r="AC20" s="7">
        <f t="shared" si="91"/>
        <v>0.24377727911456071</v>
      </c>
      <c r="AD20" s="7">
        <f t="shared" si="91"/>
        <v>0.21203466042179883</v>
      </c>
      <c r="AE20" s="7">
        <f t="shared" si="91"/>
        <v>0.1689274004686652</v>
      </c>
      <c r="AG20" s="9" t="s">
        <v>98</v>
      </c>
      <c r="AH20" s="2">
        <f>NPV(AH19,Q15:ES15)</f>
        <v>752844.53941237729</v>
      </c>
    </row>
    <row r="21" spans="1:34" s="7" customFormat="1" x14ac:dyDescent="0.2">
      <c r="A21" s="7">
        <f>AVERAGE(G21:J21)</f>
        <v>0.19238374390849872</v>
      </c>
      <c r="B21" s="7" t="s">
        <v>66</v>
      </c>
      <c r="G21" s="7">
        <f t="shared" ref="G21:I21" si="92">G6/C6-1</f>
        <v>0.17077517077517079</v>
      </c>
      <c r="H21" s="7">
        <f t="shared" si="92"/>
        <v>0.24055902468034485</v>
      </c>
      <c r="I21" s="7">
        <f t="shared" si="92"/>
        <v>0.16935483870967749</v>
      </c>
      <c r="J21" s="7">
        <f>J6/F6-1</f>
        <v>0.18884594146880174</v>
      </c>
      <c r="K21" s="7">
        <f t="shared" ref="K21:N21" si="93">K6/G6-1</f>
        <v>0.27828513444951808</v>
      </c>
      <c r="L21" s="7">
        <f t="shared" si="93"/>
        <v>0.19999999999999996</v>
      </c>
      <c r="M21" s="7">
        <f t="shared" si="93"/>
        <v>0.19999999999999996</v>
      </c>
      <c r="N21" s="7">
        <f t="shared" si="93"/>
        <v>0.19999999999999996</v>
      </c>
      <c r="Q21" s="7">
        <f>Q6/P6-1</f>
        <v>0.19192715801548599</v>
      </c>
      <c r="R21" s="7">
        <f>R6/Q6-1</f>
        <v>0.21856240601503751</v>
      </c>
      <c r="S21" s="7">
        <f>S6/R6-1</f>
        <v>0.19999999999999996</v>
      </c>
      <c r="T21" s="7">
        <f t="shared" ref="T21:AE21" si="94">T6/S6-1</f>
        <v>0.15999999999999992</v>
      </c>
      <c r="U21" s="7">
        <f t="shared" si="94"/>
        <v>0.14999999999999991</v>
      </c>
      <c r="V21" s="7">
        <f t="shared" si="94"/>
        <v>0.1399999999999999</v>
      </c>
      <c r="W21" s="7">
        <f t="shared" si="94"/>
        <v>0.12999999999999989</v>
      </c>
      <c r="X21" s="7">
        <f t="shared" si="94"/>
        <v>0.12000000000000011</v>
      </c>
      <c r="Y21" s="7">
        <f t="shared" si="94"/>
        <v>0.10000000000000009</v>
      </c>
      <c r="Z21" s="7">
        <f t="shared" si="94"/>
        <v>0.10000000000000009</v>
      </c>
      <c r="AA21" s="7">
        <f t="shared" si="94"/>
        <v>0.10000000000000009</v>
      </c>
      <c r="AB21" s="7">
        <f t="shared" si="94"/>
        <v>0.10000000000000009</v>
      </c>
      <c r="AC21" s="7">
        <f t="shared" si="94"/>
        <v>0.10000000000000009</v>
      </c>
      <c r="AD21" s="7">
        <f t="shared" si="94"/>
        <v>0.10000000000000009</v>
      </c>
      <c r="AE21" s="7">
        <f t="shared" si="94"/>
        <v>0.10000000000000009</v>
      </c>
      <c r="AG21" s="9" t="s">
        <v>70</v>
      </c>
      <c r="AH21" s="2">
        <f>J25</f>
        <v>97902</v>
      </c>
    </row>
    <row r="22" spans="1:34" s="7" customFormat="1" x14ac:dyDescent="0.2">
      <c r="A22" s="7">
        <f>AVERAGE(C22:I22)</f>
        <v>0.18903142954317437</v>
      </c>
      <c r="B22" s="7" t="s">
        <v>67</v>
      </c>
      <c r="C22" s="7">
        <f t="shared" ref="C22:E22" si="95">C14/C13</f>
        <v>0.17976213686878534</v>
      </c>
      <c r="D22" s="7">
        <f t="shared" si="95"/>
        <v>0.20297434221277988</v>
      </c>
      <c r="E22" s="7">
        <f t="shared" si="95"/>
        <v>0.16277915632754342</v>
      </c>
      <c r="F22" s="7">
        <f t="shared" ref="F22:I22" si="96">F14/F13</f>
        <v>0.22225463030479803</v>
      </c>
      <c r="G22" s="7">
        <f t="shared" si="96"/>
        <v>0.20428215280832968</v>
      </c>
      <c r="H22" s="7">
        <f t="shared" si="96"/>
        <v>0.19488233950194198</v>
      </c>
      <c r="I22" s="7">
        <f t="shared" si="96"/>
        <v>0.15628524877804237</v>
      </c>
      <c r="J22" s="7">
        <f>J14/J13</f>
        <v>1.3766525318034422</v>
      </c>
      <c r="K22" s="7">
        <f t="shared" ref="K22:N22" si="97">K14/K13</f>
        <v>0.10831831546998008</v>
      </c>
      <c r="L22" s="7">
        <f t="shared" si="97"/>
        <v>0.18</v>
      </c>
      <c r="M22" s="7">
        <f t="shared" si="97"/>
        <v>0.18</v>
      </c>
      <c r="N22" s="7">
        <f t="shared" si="97"/>
        <v>0.18</v>
      </c>
      <c r="Q22" s="7">
        <f>Q14/Q13</f>
        <v>0.51104311739466834</v>
      </c>
      <c r="R22" s="7">
        <f>R14/R13</f>
        <v>0.17037436093359015</v>
      </c>
      <c r="S22" s="7">
        <f>S14/S13</f>
        <v>0.2</v>
      </c>
      <c r="T22" s="7">
        <f t="shared" ref="T22:AE22" si="98">T14/T13</f>
        <v>0.20000000000000004</v>
      </c>
      <c r="U22" s="7">
        <f t="shared" si="98"/>
        <v>0.2</v>
      </c>
      <c r="V22" s="7">
        <f t="shared" si="98"/>
        <v>0.2</v>
      </c>
      <c r="W22" s="7">
        <f t="shared" si="98"/>
        <v>0.2</v>
      </c>
      <c r="X22" s="7">
        <f t="shared" si="98"/>
        <v>0.2</v>
      </c>
      <c r="Y22" s="7">
        <f t="shared" si="98"/>
        <v>0.20000000000000004</v>
      </c>
      <c r="Z22" s="7">
        <f t="shared" si="98"/>
        <v>0.2</v>
      </c>
      <c r="AA22" s="7">
        <f t="shared" si="98"/>
        <v>0.2</v>
      </c>
      <c r="AB22" s="7">
        <f t="shared" si="98"/>
        <v>0.2</v>
      </c>
      <c r="AC22" s="7">
        <f t="shared" si="98"/>
        <v>0.2</v>
      </c>
      <c r="AD22" s="7">
        <f t="shared" si="98"/>
        <v>0.2</v>
      </c>
      <c r="AE22" s="7">
        <f t="shared" si="98"/>
        <v>0.2</v>
      </c>
      <c r="AG22" s="9" t="s">
        <v>2</v>
      </c>
      <c r="AH22" s="2">
        <f>Main!G4</f>
        <v>695.29753000000005</v>
      </c>
    </row>
    <row r="23" spans="1:34" s="7" customFormat="1" x14ac:dyDescent="0.2">
      <c r="A23" s="7">
        <f>AVERAGE(G23:J23)</f>
        <v>0.25037929507218171</v>
      </c>
      <c r="B23" s="7" t="s">
        <v>68</v>
      </c>
      <c r="G23" s="7">
        <f t="shared" ref="G23:I23" si="99">G10/C10-1</f>
        <v>0.15412137057933117</v>
      </c>
      <c r="H23" s="7">
        <f t="shared" si="99"/>
        <v>0.55430964604161037</v>
      </c>
      <c r="I23" s="7">
        <f t="shared" si="99"/>
        <v>0.10732623669380081</v>
      </c>
      <c r="J23" s="7">
        <f>J10/F10-1</f>
        <v>0.18575992697398447</v>
      </c>
      <c r="K23" s="7">
        <f t="shared" ref="K23:N23" si="100">K10/G10-1</f>
        <v>0.27316084416358644</v>
      </c>
      <c r="L23" s="7">
        <f t="shared" si="100"/>
        <v>0.16813124728378948</v>
      </c>
      <c r="M23" s="7">
        <f t="shared" si="100"/>
        <v>0.17377855688758181</v>
      </c>
      <c r="N23" s="7">
        <f t="shared" si="100"/>
        <v>0.17071785989222477</v>
      </c>
      <c r="Q23" s="7">
        <f>Q10/P10-1</f>
        <v>0.24533706792284682</v>
      </c>
      <c r="R23" s="7">
        <f>R10/Q10-1</f>
        <v>0.19260849562950466</v>
      </c>
      <c r="S23" s="7">
        <f>S10/R10-1</f>
        <v>0.16604937636620787</v>
      </c>
      <c r="T23" s="7">
        <f t="shared" ref="T23:AE23" si="101">T10/S10-1</f>
        <v>0.14893594281483558</v>
      </c>
      <c r="U23" s="7">
        <f t="shared" si="101"/>
        <v>0.14451099721008531</v>
      </c>
      <c r="V23" s="7">
        <f t="shared" si="101"/>
        <v>0.14000000000000012</v>
      </c>
      <c r="W23" s="7">
        <f t="shared" si="101"/>
        <v>0.13546736833089046</v>
      </c>
      <c r="X23" s="7">
        <f t="shared" si="101"/>
        <v>0.12548919332343056</v>
      </c>
      <c r="Y23" s="7">
        <f t="shared" si="101"/>
        <v>0.10000000000000031</v>
      </c>
      <c r="Z23" s="7">
        <f t="shared" si="101"/>
        <v>0.10000000000000009</v>
      </c>
      <c r="AA23" s="7">
        <f t="shared" si="101"/>
        <v>9.9999999999999867E-2</v>
      </c>
      <c r="AB23" s="7">
        <f t="shared" si="101"/>
        <v>0.10000000000000031</v>
      </c>
      <c r="AC23" s="7">
        <f t="shared" si="101"/>
        <v>9.9999999999999867E-2</v>
      </c>
      <c r="AD23" s="7">
        <f t="shared" si="101"/>
        <v>0.10000000000000009</v>
      </c>
      <c r="AE23" s="7">
        <f t="shared" si="101"/>
        <v>0.10000000000000031</v>
      </c>
      <c r="AG23" s="9" t="s">
        <v>99</v>
      </c>
      <c r="AH23" s="2">
        <f>AH20+AH21</f>
        <v>850746.53941237729</v>
      </c>
    </row>
    <row r="24" spans="1:34" x14ac:dyDescent="0.2">
      <c r="AG24" s="4" t="s">
        <v>3</v>
      </c>
      <c r="AH24" s="2">
        <f>AH22*AH26</f>
        <v>720328.24108000007</v>
      </c>
    </row>
    <row r="25" spans="1:34" x14ac:dyDescent="0.2">
      <c r="B25" s="2" t="s">
        <v>69</v>
      </c>
      <c r="J25" s="2">
        <f>J27-J45</f>
        <v>97902</v>
      </c>
      <c r="K25" s="2">
        <f>K27-K45</f>
        <v>97902</v>
      </c>
      <c r="AG25" s="4" t="s">
        <v>6</v>
      </c>
      <c r="AH25" s="2">
        <f>AH24+AH21</f>
        <v>818230.24108000007</v>
      </c>
    </row>
    <row r="26" spans="1:34" s="4" customFormat="1" x14ac:dyDescent="0.2">
      <c r="B26" s="4" t="s">
        <v>70</v>
      </c>
      <c r="AE26" s="4">
        <f>AH26*1.34</f>
        <v>1388.24</v>
      </c>
      <c r="AG26" s="4" t="s">
        <v>100</v>
      </c>
      <c r="AH26" s="2">
        <v>1036</v>
      </c>
    </row>
    <row r="27" spans="1:34" x14ac:dyDescent="0.2">
      <c r="B27" s="2" t="s">
        <v>4</v>
      </c>
      <c r="J27" s="2">
        <v>101871</v>
      </c>
      <c r="K27" s="2">
        <v>101871</v>
      </c>
      <c r="AG27" s="4"/>
    </row>
    <row r="28" spans="1:34" x14ac:dyDescent="0.2">
      <c r="B28" s="2" t="s">
        <v>71</v>
      </c>
      <c r="J28" s="2">
        <v>18336</v>
      </c>
      <c r="K28" s="2">
        <v>18336</v>
      </c>
      <c r="AG28" s="4" t="s">
        <v>101</v>
      </c>
      <c r="AH28" s="2">
        <f>AH23/AH22</f>
        <v>1223.57192813899</v>
      </c>
    </row>
    <row r="29" spans="1:34" x14ac:dyDescent="0.2">
      <c r="B29" s="2" t="s">
        <v>72</v>
      </c>
      <c r="J29" s="2">
        <v>369</v>
      </c>
      <c r="K29" s="2">
        <v>369</v>
      </c>
      <c r="AG29" s="4" t="s">
        <v>102</v>
      </c>
      <c r="AH29" s="7">
        <f>AH28/AH26-1</f>
        <v>0.18105398469014466</v>
      </c>
    </row>
    <row r="30" spans="1:34" x14ac:dyDescent="0.2">
      <c r="B30" s="2" t="s">
        <v>73</v>
      </c>
      <c r="J30" s="2">
        <v>749</v>
      </c>
      <c r="K30" s="2">
        <v>749</v>
      </c>
    </row>
    <row r="31" spans="1:34" x14ac:dyDescent="0.2">
      <c r="B31" s="2" t="s">
        <v>74</v>
      </c>
      <c r="J31" s="2">
        <v>2983</v>
      </c>
      <c r="K31" s="2">
        <v>2983</v>
      </c>
    </row>
    <row r="32" spans="1:34" x14ac:dyDescent="0.2">
      <c r="B32" s="2" t="s">
        <v>75</v>
      </c>
      <c r="J32" s="2">
        <v>7813</v>
      </c>
      <c r="K32" s="2">
        <v>7813</v>
      </c>
    </row>
    <row r="33" spans="2:11" x14ac:dyDescent="0.2">
      <c r="B33" s="2" t="s">
        <v>76</v>
      </c>
      <c r="J33" s="2">
        <v>680</v>
      </c>
      <c r="K33" s="2">
        <v>680</v>
      </c>
    </row>
    <row r="34" spans="2:11" x14ac:dyDescent="0.2">
      <c r="B34" s="2" t="s">
        <v>77</v>
      </c>
      <c r="J34" s="2">
        <v>42383</v>
      </c>
      <c r="K34" s="2">
        <v>42383</v>
      </c>
    </row>
    <row r="35" spans="2:11" x14ac:dyDescent="0.2">
      <c r="B35" s="2" t="s">
        <v>78</v>
      </c>
      <c r="J35" s="2">
        <v>2692</v>
      </c>
      <c r="K35" s="2">
        <v>2692</v>
      </c>
    </row>
    <row r="36" spans="2:11" x14ac:dyDescent="0.2">
      <c r="B36" s="2" t="s">
        <v>79</v>
      </c>
      <c r="J36" s="2">
        <v>16747</v>
      </c>
      <c r="K36" s="2">
        <v>16747</v>
      </c>
    </row>
    <row r="37" spans="2:11" x14ac:dyDescent="0.2">
      <c r="B37" s="2" t="s">
        <v>80</v>
      </c>
      <c r="J37" s="2">
        <v>2672</v>
      </c>
      <c r="K37" s="2">
        <v>2672</v>
      </c>
    </row>
    <row r="38" spans="2:11" s="4" customFormat="1" x14ac:dyDescent="0.2">
      <c r="B38" s="4" t="s">
        <v>81</v>
      </c>
      <c r="J38" s="4">
        <f>SUM(J27:J37)</f>
        <v>197295</v>
      </c>
      <c r="K38" s="4">
        <f>SUM(K27:K37)</f>
        <v>197295</v>
      </c>
    </row>
    <row r="39" spans="2:11" x14ac:dyDescent="0.2">
      <c r="B39" s="2" t="s">
        <v>82</v>
      </c>
      <c r="J39" s="2">
        <v>3137</v>
      </c>
      <c r="K39" s="2">
        <v>3137</v>
      </c>
    </row>
    <row r="40" spans="2:11" x14ac:dyDescent="0.2">
      <c r="B40" s="2" t="s">
        <v>83</v>
      </c>
      <c r="J40" s="2">
        <v>4581</v>
      </c>
      <c r="K40" s="2">
        <v>4581</v>
      </c>
    </row>
    <row r="41" spans="2:11" x14ac:dyDescent="0.2">
      <c r="B41" s="2" t="s">
        <v>87</v>
      </c>
      <c r="J41" s="2">
        <v>10177</v>
      </c>
      <c r="K41" s="2">
        <v>10177</v>
      </c>
    </row>
    <row r="42" spans="2:11" x14ac:dyDescent="0.2">
      <c r="B42" s="2" t="s">
        <v>84</v>
      </c>
      <c r="J42" s="2">
        <v>3975</v>
      </c>
      <c r="K42" s="2">
        <v>3975</v>
      </c>
    </row>
    <row r="43" spans="2:11" x14ac:dyDescent="0.2">
      <c r="B43" s="2" t="s">
        <v>85</v>
      </c>
      <c r="J43" s="2">
        <f>1432+340</f>
        <v>1772</v>
      </c>
      <c r="K43" s="2">
        <f>1432+340</f>
        <v>1772</v>
      </c>
    </row>
    <row r="44" spans="2:11" x14ac:dyDescent="0.2">
      <c r="B44" s="2" t="s">
        <v>86</v>
      </c>
      <c r="J44" s="2">
        <f>881+12812</f>
        <v>13693</v>
      </c>
      <c r="K44" s="2">
        <f>881+12812</f>
        <v>13693</v>
      </c>
    </row>
    <row r="45" spans="2:11" x14ac:dyDescent="0.2">
      <c r="B45" s="2" t="s">
        <v>5</v>
      </c>
      <c r="J45" s="2">
        <v>3969</v>
      </c>
      <c r="K45" s="2">
        <v>3969</v>
      </c>
    </row>
    <row r="46" spans="2:11" x14ac:dyDescent="0.2">
      <c r="B46" s="2" t="s">
        <v>76</v>
      </c>
      <c r="J46" s="2">
        <v>430</v>
      </c>
      <c r="K46" s="2">
        <v>430</v>
      </c>
    </row>
    <row r="47" spans="2:11" x14ac:dyDescent="0.2">
      <c r="B47" s="2" t="s">
        <v>88</v>
      </c>
      <c r="J47" s="2">
        <v>3059</v>
      </c>
      <c r="K47" s="2">
        <v>3059</v>
      </c>
    </row>
    <row r="48" spans="2:11" s="4" customFormat="1" x14ac:dyDescent="0.2">
      <c r="B48" s="4" t="s">
        <v>89</v>
      </c>
      <c r="J48" s="4">
        <f>SUM(J39:J47)</f>
        <v>44793</v>
      </c>
      <c r="K48" s="4">
        <f>SUM(K39:K47)</f>
        <v>44793</v>
      </c>
    </row>
    <row r="49" spans="2:11" x14ac:dyDescent="0.2">
      <c r="B49" s="2" t="s">
        <v>90</v>
      </c>
      <c r="J49" s="2">
        <v>152502</v>
      </c>
      <c r="K49" s="2">
        <v>152502</v>
      </c>
    </row>
    <row r="50" spans="2:11" s="4" customFormat="1" x14ac:dyDescent="0.2">
      <c r="B50" s="4" t="s">
        <v>91</v>
      </c>
      <c r="J50" s="4">
        <f>SUM(J48:J49)</f>
        <v>197295</v>
      </c>
      <c r="K50" s="4">
        <f>SUM(K48:K49)</f>
        <v>197295</v>
      </c>
    </row>
    <row r="51" spans="2:11" s="4" customFormat="1" x14ac:dyDescent="0.2">
      <c r="B51" s="4" t="s">
        <v>69</v>
      </c>
      <c r="J51" s="4" t="str">
        <f>IF(J38=J50,"Balanced","Incorrect")</f>
        <v>Balanced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S52"/>
  <sheetViews>
    <sheetView tabSelected="1" zoomScale="148"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R1" sqref="R1"/>
    </sheetView>
  </sheetViews>
  <sheetFormatPr baseColWidth="10" defaultColWidth="9" defaultRowHeight="15" x14ac:dyDescent="0.2"/>
  <cols>
    <col min="1" max="1" width="9" style="2"/>
    <col min="2" max="2" width="19.5" style="2" bestFit="1" customWidth="1"/>
    <col min="3" max="8" width="9" style="2"/>
    <col min="9" max="9" width="12" style="2" bestFit="1" customWidth="1"/>
    <col min="10" max="32" width="9" style="2"/>
    <col min="33" max="33" width="10.5" style="2" bestFit="1" customWidth="1"/>
    <col min="34" max="34" width="11.83203125" style="2" bestFit="1" customWidth="1"/>
    <col min="35" max="16384" width="9" style="2"/>
  </cols>
  <sheetData>
    <row r="1" spans="1:149" x14ac:dyDescent="0.2">
      <c r="A1" s="2" t="s">
        <v>92</v>
      </c>
    </row>
    <row r="2" spans="1:149" s="8" customFormat="1" x14ac:dyDescent="0.2">
      <c r="C2" s="8" t="s">
        <v>51</v>
      </c>
      <c r="D2" s="8" t="s">
        <v>52</v>
      </c>
      <c r="E2" s="8" t="s">
        <v>53</v>
      </c>
      <c r="F2" s="8" t="s">
        <v>55</v>
      </c>
      <c r="G2" s="8" t="s">
        <v>54</v>
      </c>
      <c r="H2" s="8" t="s">
        <v>56</v>
      </c>
      <c r="I2" s="8" t="s">
        <v>57</v>
      </c>
      <c r="J2" s="8" t="s">
        <v>9</v>
      </c>
      <c r="K2" s="8" t="s">
        <v>58</v>
      </c>
      <c r="L2" s="8" t="s">
        <v>59</v>
      </c>
      <c r="M2" s="8" t="s">
        <v>60</v>
      </c>
      <c r="N2" s="8" t="s">
        <v>61</v>
      </c>
      <c r="P2" s="8">
        <v>2016</v>
      </c>
      <c r="Q2" s="8">
        <f>P2+1</f>
        <v>2017</v>
      </c>
      <c r="R2" s="8">
        <f t="shared" ref="R2:AE2" si="0">Q2+1</f>
        <v>2018</v>
      </c>
      <c r="S2" s="8">
        <f t="shared" si="0"/>
        <v>2019</v>
      </c>
      <c r="T2" s="8">
        <f t="shared" si="0"/>
        <v>2020</v>
      </c>
      <c r="U2" s="8">
        <f t="shared" si="0"/>
        <v>2021</v>
      </c>
      <c r="V2" s="8">
        <f t="shared" si="0"/>
        <v>2022</v>
      </c>
      <c r="W2" s="8">
        <f t="shared" si="0"/>
        <v>2023</v>
      </c>
      <c r="X2" s="8">
        <f t="shared" si="0"/>
        <v>2024</v>
      </c>
      <c r="Y2" s="8">
        <f t="shared" si="0"/>
        <v>2025</v>
      </c>
      <c r="Z2" s="8">
        <f t="shared" si="0"/>
        <v>2026</v>
      </c>
      <c r="AA2" s="8">
        <f t="shared" si="0"/>
        <v>2027</v>
      </c>
      <c r="AB2" s="8">
        <f t="shared" si="0"/>
        <v>2028</v>
      </c>
      <c r="AC2" s="8">
        <f t="shared" si="0"/>
        <v>2029</v>
      </c>
      <c r="AD2" s="8">
        <f t="shared" si="0"/>
        <v>2030</v>
      </c>
      <c r="AE2" s="8">
        <f t="shared" si="0"/>
        <v>2031</v>
      </c>
    </row>
    <row r="3" spans="1:149" s="4" customFormat="1" ht="16" x14ac:dyDescent="0.2">
      <c r="B3" s="3" t="s">
        <v>38</v>
      </c>
      <c r="C3" s="4">
        <v>20257</v>
      </c>
      <c r="D3" s="4">
        <v>21500</v>
      </c>
      <c r="E3" s="4">
        <v>22451</v>
      </c>
      <c r="F3" s="4">
        <f>90272-(SUM(C3:E3))</f>
        <v>26064</v>
      </c>
      <c r="G3" s="4">
        <v>24750</v>
      </c>
      <c r="H3" s="4">
        <v>26010</v>
      </c>
      <c r="I3" s="4">
        <v>27772</v>
      </c>
      <c r="J3" s="4">
        <f>110855-(SUM(G3:I3))</f>
        <v>32323</v>
      </c>
      <c r="K3" s="4">
        <f>G3*1.2</f>
        <v>29700</v>
      </c>
      <c r="L3" s="4">
        <f t="shared" ref="L3:N3" si="1">H3*1.2</f>
        <v>31212</v>
      </c>
      <c r="M3" s="4">
        <f t="shared" si="1"/>
        <v>33326.400000000001</v>
      </c>
      <c r="N3" s="4">
        <f t="shared" si="1"/>
        <v>38787.599999999999</v>
      </c>
      <c r="P3" s="4">
        <f>SUM(C3:F3)</f>
        <v>90272</v>
      </c>
      <c r="Q3" s="4">
        <f>SUM(G3:J3)</f>
        <v>110855</v>
      </c>
      <c r="R3" s="4">
        <f>SUM(K3:N3)</f>
        <v>133026</v>
      </c>
      <c r="S3" s="4">
        <f>R3*1.18</f>
        <v>156970.68</v>
      </c>
      <c r="T3" s="4">
        <f>S3*1.17</f>
        <v>183655.69559999998</v>
      </c>
      <c r="U3" s="4">
        <f>T3*1.16</f>
        <v>213040.60689599995</v>
      </c>
      <c r="V3" s="4">
        <f>U3*1.14</f>
        <v>242866.29186143994</v>
      </c>
      <c r="W3" s="4">
        <f>V3*1.13</f>
        <v>274438.90980342712</v>
      </c>
      <c r="X3" s="4">
        <f>W3*1.12</f>
        <v>307371.57897983841</v>
      </c>
      <c r="Y3" s="4">
        <f>X3*1.12</f>
        <v>344256.16845741903</v>
      </c>
      <c r="Z3" s="4">
        <f>Y3*1.11</f>
        <v>382124.34698773513</v>
      </c>
      <c r="AA3" s="4">
        <f>Z3*1.08</f>
        <v>412694.29474675399</v>
      </c>
      <c r="AB3" s="4">
        <f>AA3*1.05</f>
        <v>433329.00948409172</v>
      </c>
      <c r="AC3" s="4">
        <f>AB3*1.02</f>
        <v>441995.58967377356</v>
      </c>
      <c r="AD3" s="4">
        <f>AC3*1.01</f>
        <v>446415.54557051131</v>
      </c>
      <c r="AE3" s="4">
        <f>AD3*0.99</f>
        <v>441951.39011480619</v>
      </c>
    </row>
    <row r="4" spans="1:149" x14ac:dyDescent="0.2">
      <c r="B4" s="2" t="s">
        <v>39</v>
      </c>
      <c r="C4" s="2">
        <v>7648</v>
      </c>
      <c r="D4" s="2">
        <v>8130</v>
      </c>
      <c r="E4" s="2">
        <v>8699</v>
      </c>
      <c r="F4" s="2">
        <f>35138-(SUM(C4:E4))</f>
        <v>10661</v>
      </c>
      <c r="G4" s="2">
        <v>9795</v>
      </c>
      <c r="H4" s="2">
        <v>10373</v>
      </c>
      <c r="I4" s="2">
        <v>11148</v>
      </c>
      <c r="J4" s="2">
        <f>45583-(SUM(G4:I4))</f>
        <v>14267</v>
      </c>
      <c r="K4" s="2">
        <f>K3-K5</f>
        <v>12474</v>
      </c>
      <c r="L4" s="2">
        <f t="shared" ref="L4:N4" si="2">L3-L5</f>
        <v>13109.04</v>
      </c>
      <c r="M4" s="2">
        <f t="shared" si="2"/>
        <v>13997.088000000003</v>
      </c>
      <c r="N4" s="2">
        <f t="shared" si="2"/>
        <v>16290.792000000001</v>
      </c>
      <c r="P4" s="2">
        <f>SUM(C4:F4)</f>
        <v>35138</v>
      </c>
      <c r="Q4" s="2">
        <f>SUM(G4:J4)</f>
        <v>45583</v>
      </c>
      <c r="R4" s="2">
        <f>SUM(K4:N4)</f>
        <v>55870.920000000006</v>
      </c>
      <c r="S4" s="2">
        <f>S3-S5</f>
        <v>67497.392400000012</v>
      </c>
      <c r="T4" s="2">
        <f t="shared" ref="T4:AE4" si="3">T3-T5</f>
        <v>80808.506063999987</v>
      </c>
      <c r="U4" s="2">
        <f t="shared" si="3"/>
        <v>95868.273103199972</v>
      </c>
      <c r="V4" s="2">
        <f t="shared" si="3"/>
        <v>111718.49425626238</v>
      </c>
      <c r="W4" s="2">
        <f t="shared" si="3"/>
        <v>128986.28760761075</v>
      </c>
      <c r="X4" s="2">
        <f t="shared" si="3"/>
        <v>144464.64212052405</v>
      </c>
      <c r="Y4" s="2">
        <f t="shared" si="3"/>
        <v>161800.39917498693</v>
      </c>
      <c r="Z4" s="2">
        <f t="shared" si="3"/>
        <v>179598.44308423551</v>
      </c>
      <c r="AA4" s="2">
        <f t="shared" si="3"/>
        <v>193966.31853097436</v>
      </c>
      <c r="AB4" s="2">
        <f t="shared" si="3"/>
        <v>203664.63445752309</v>
      </c>
      <c r="AC4" s="2">
        <f t="shared" si="3"/>
        <v>207737.92714667355</v>
      </c>
      <c r="AD4" s="2">
        <f t="shared" si="3"/>
        <v>209815.3064181403</v>
      </c>
      <c r="AE4" s="2">
        <f t="shared" si="3"/>
        <v>207717.15335395889</v>
      </c>
    </row>
    <row r="5" spans="1:149" s="4" customFormat="1" x14ac:dyDescent="0.2">
      <c r="B5" s="4" t="s">
        <v>40</v>
      </c>
      <c r="C5" s="4">
        <f t="shared" ref="C5:J5" si="4">C3-C4</f>
        <v>12609</v>
      </c>
      <c r="D5" s="4">
        <f t="shared" si="4"/>
        <v>13370</v>
      </c>
      <c r="E5" s="4">
        <f t="shared" si="4"/>
        <v>13752</v>
      </c>
      <c r="F5" s="4">
        <f t="shared" si="4"/>
        <v>15403</v>
      </c>
      <c r="G5" s="4">
        <f t="shared" si="4"/>
        <v>14955</v>
      </c>
      <c r="H5" s="4">
        <f t="shared" si="4"/>
        <v>15637</v>
      </c>
      <c r="I5" s="4">
        <f t="shared" si="4"/>
        <v>16624</v>
      </c>
      <c r="J5" s="4">
        <f t="shared" si="4"/>
        <v>18056</v>
      </c>
      <c r="K5" s="4">
        <f>K3*0.58</f>
        <v>17226</v>
      </c>
      <c r="L5" s="4">
        <f t="shared" ref="L5:N5" si="5">L3*0.58</f>
        <v>18102.96</v>
      </c>
      <c r="M5" s="4">
        <f t="shared" si="5"/>
        <v>19329.311999999998</v>
      </c>
      <c r="N5" s="4">
        <f t="shared" si="5"/>
        <v>22496.807999999997</v>
      </c>
      <c r="P5" s="4">
        <f>P3*0.6</f>
        <v>54163.199999999997</v>
      </c>
      <c r="Q5" s="4">
        <f>Q3*0.6</f>
        <v>66513</v>
      </c>
      <c r="R5" s="4">
        <f>R3*0.58</f>
        <v>77155.08</v>
      </c>
      <c r="S5" s="4">
        <f>S3*0.57</f>
        <v>89473.287599999981</v>
      </c>
      <c r="T5" s="4">
        <f>T3*0.56</f>
        <v>102847.18953599999</v>
      </c>
      <c r="U5" s="4">
        <f t="shared" ref="U5" si="6">U3*0.55</f>
        <v>117172.33379279998</v>
      </c>
      <c r="V5" s="4">
        <f>V3*0.54</f>
        <v>131147.79760517756</v>
      </c>
      <c r="W5" s="4">
        <f>W3*0.53</f>
        <v>145452.62219581637</v>
      </c>
      <c r="X5" s="4">
        <f t="shared" ref="X5:AE5" si="7">X3*0.53</f>
        <v>162906.93685931436</v>
      </c>
      <c r="Y5" s="4">
        <f t="shared" si="7"/>
        <v>182455.7692824321</v>
      </c>
      <c r="Z5" s="4">
        <f t="shared" si="7"/>
        <v>202525.90390349962</v>
      </c>
      <c r="AA5" s="4">
        <f t="shared" si="7"/>
        <v>218727.97621577964</v>
      </c>
      <c r="AB5" s="4">
        <f t="shared" si="7"/>
        <v>229664.37502656862</v>
      </c>
      <c r="AC5" s="4">
        <f t="shared" si="7"/>
        <v>234257.66252710001</v>
      </c>
      <c r="AD5" s="4">
        <f t="shared" si="7"/>
        <v>236600.23915237101</v>
      </c>
      <c r="AE5" s="4">
        <f t="shared" si="7"/>
        <v>234234.2367608473</v>
      </c>
    </row>
    <row r="6" spans="1:149" x14ac:dyDescent="0.2">
      <c r="B6" s="2" t="s">
        <v>41</v>
      </c>
      <c r="C6" s="4">
        <v>3367</v>
      </c>
      <c r="D6" s="4">
        <v>3363</v>
      </c>
      <c r="E6" s="4">
        <v>3596</v>
      </c>
      <c r="F6" s="2">
        <f>13948-(SUM(C6:E6))</f>
        <v>3622</v>
      </c>
      <c r="G6" s="4">
        <v>3942</v>
      </c>
      <c r="H6" s="4">
        <v>4172</v>
      </c>
      <c r="I6" s="4">
        <v>4205</v>
      </c>
      <c r="J6" s="2">
        <f>16625-(SUM(G6:I6))</f>
        <v>4306</v>
      </c>
      <c r="K6" s="2">
        <f>G6*1.2</f>
        <v>4730.3999999999996</v>
      </c>
      <c r="L6" s="2">
        <f t="shared" ref="L6:N6" si="8">H6*1.2</f>
        <v>5006.3999999999996</v>
      </c>
      <c r="M6" s="2">
        <f t="shared" si="8"/>
        <v>5046</v>
      </c>
      <c r="N6" s="2">
        <f t="shared" si="8"/>
        <v>5167.2</v>
      </c>
      <c r="P6" s="2">
        <f>SUM(C6:F6)</f>
        <v>13948</v>
      </c>
      <c r="Q6" s="2">
        <f>SUM(G6:J6)</f>
        <v>16625</v>
      </c>
      <c r="R6" s="2">
        <f>SUM(K6:N6)</f>
        <v>19950</v>
      </c>
      <c r="S6" s="2">
        <f>R6*1.2</f>
        <v>23940</v>
      </c>
      <c r="T6" s="2">
        <f>S6*1.15</f>
        <v>27530.999999999996</v>
      </c>
      <c r="U6" s="2">
        <f>T6*1.14</f>
        <v>31385.339999999993</v>
      </c>
      <c r="V6" s="2">
        <f>U6*1.13</f>
        <v>35465.434199999989</v>
      </c>
      <c r="W6" s="2">
        <f>V6*1.12</f>
        <v>39721.286303999994</v>
      </c>
      <c r="X6" s="2">
        <f>W6*1.11</f>
        <v>44090.62779744</v>
      </c>
      <c r="Y6" s="2">
        <f>X6*1.1</f>
        <v>48499.690577184003</v>
      </c>
      <c r="Z6" s="2">
        <f t="shared" ref="Z6:AE6" si="9">Y6*1.1</f>
        <v>53349.659634902404</v>
      </c>
      <c r="AA6" s="2">
        <f t="shared" si="9"/>
        <v>58684.625598392646</v>
      </c>
      <c r="AB6" s="2">
        <f t="shared" si="9"/>
        <v>64553.088158231913</v>
      </c>
      <c r="AC6" s="2">
        <f t="shared" si="9"/>
        <v>71008.396974055111</v>
      </c>
      <c r="AD6" s="2">
        <f t="shared" si="9"/>
        <v>78109.236671460632</v>
      </c>
      <c r="AE6" s="2">
        <f t="shared" si="9"/>
        <v>85920.1603386067</v>
      </c>
    </row>
    <row r="7" spans="1:149" x14ac:dyDescent="0.2">
      <c r="B7" s="2" t="s">
        <v>42</v>
      </c>
      <c r="C7" s="2">
        <v>2387</v>
      </c>
      <c r="D7" s="2">
        <v>2415</v>
      </c>
      <c r="E7" s="2">
        <v>2565</v>
      </c>
      <c r="F7" s="2">
        <f>10485-(SUM(C7:E7))</f>
        <v>3118</v>
      </c>
      <c r="G7" s="2">
        <v>2644</v>
      </c>
      <c r="H7" s="2">
        <v>2897</v>
      </c>
      <c r="I7" s="2">
        <v>3042</v>
      </c>
      <c r="J7" s="2">
        <f>12893-(SUM(G7:I7))</f>
        <v>4310</v>
      </c>
      <c r="K7" s="2">
        <f>G7*1.15</f>
        <v>3040.6</v>
      </c>
      <c r="L7" s="2">
        <f t="shared" ref="L7:N9" si="10">H7*1.15</f>
        <v>3331.5499999999997</v>
      </c>
      <c r="M7" s="2">
        <f t="shared" si="10"/>
        <v>3498.2999999999997</v>
      </c>
      <c r="N7" s="2">
        <f t="shared" si="10"/>
        <v>4956.5</v>
      </c>
      <c r="P7" s="2">
        <f>SUM(C7:F7)</f>
        <v>10485</v>
      </c>
      <c r="Q7" s="2">
        <f>SUM(G7:J7)</f>
        <v>12893</v>
      </c>
      <c r="R7" s="2">
        <f>SUM(K7:N7)</f>
        <v>14826.949999999999</v>
      </c>
      <c r="S7" s="2">
        <f>R7*1.14</f>
        <v>16902.722999999998</v>
      </c>
      <c r="T7" s="2">
        <f t="shared" ref="T7:U9" si="11">S7*1.14</f>
        <v>19269.104219999997</v>
      </c>
      <c r="U7" s="2">
        <f t="shared" si="11"/>
        <v>21966.778810799995</v>
      </c>
      <c r="V7" s="2">
        <f>U7*1.11</f>
        <v>24383.124479987997</v>
      </c>
      <c r="W7" s="2">
        <f>V7*1.1</f>
        <v>26821.436927986797</v>
      </c>
      <c r="X7" s="2">
        <f t="shared" ref="X7:AE7" si="12">W7*1.1</f>
        <v>29503.58062078548</v>
      </c>
      <c r="Y7" s="2">
        <f t="shared" si="12"/>
        <v>32453.938682864031</v>
      </c>
      <c r="Z7" s="2">
        <f t="shared" si="12"/>
        <v>35699.332551150437</v>
      </c>
      <c r="AA7" s="2">
        <f t="shared" si="12"/>
        <v>39269.265806265481</v>
      </c>
      <c r="AB7" s="2">
        <f t="shared" si="12"/>
        <v>43196.192386892035</v>
      </c>
      <c r="AC7" s="2">
        <f t="shared" si="12"/>
        <v>47515.811625581242</v>
      </c>
      <c r="AD7" s="2">
        <f t="shared" si="12"/>
        <v>52267.392788139368</v>
      </c>
      <c r="AE7" s="2">
        <f t="shared" si="12"/>
        <v>57494.132066953309</v>
      </c>
    </row>
    <row r="8" spans="1:149" x14ac:dyDescent="0.2">
      <c r="B8" s="2" t="s">
        <v>43</v>
      </c>
      <c r="C8" s="2">
        <v>1513</v>
      </c>
      <c r="D8" s="2">
        <v>1624</v>
      </c>
      <c r="E8" s="2">
        <v>1824</v>
      </c>
      <c r="F8" s="2">
        <f>6985-(SUM(C8:E8))</f>
        <v>2024</v>
      </c>
      <c r="G8" s="2">
        <v>1801</v>
      </c>
      <c r="H8" s="2">
        <v>1700</v>
      </c>
      <c r="I8" s="2">
        <v>1595</v>
      </c>
      <c r="J8" s="2">
        <f>6872-(SUM(G8:I8))</f>
        <v>1776</v>
      </c>
      <c r="K8" s="2">
        <f t="shared" ref="K8:K9" si="13">G8*1.15</f>
        <v>2071.1499999999996</v>
      </c>
      <c r="L8" s="2">
        <f t="shared" si="10"/>
        <v>1954.9999999999998</v>
      </c>
      <c r="M8" s="2">
        <f t="shared" si="10"/>
        <v>1834.2499999999998</v>
      </c>
      <c r="N8" s="2">
        <f t="shared" si="10"/>
        <v>2042.3999999999999</v>
      </c>
      <c r="P8" s="2">
        <f>SUM(C8:F8)</f>
        <v>6985</v>
      </c>
      <c r="Q8" s="2">
        <f>SUM(G8:J8)</f>
        <v>6872</v>
      </c>
      <c r="R8" s="2">
        <f>SUM(K8:N8)</f>
        <v>7902.7999999999993</v>
      </c>
      <c r="S8" s="2">
        <f>R8*1.14</f>
        <v>9009.1919999999991</v>
      </c>
      <c r="T8" s="2">
        <f t="shared" si="11"/>
        <v>10270.478879999999</v>
      </c>
      <c r="U8" s="2">
        <f t="shared" si="11"/>
        <v>11708.345923199997</v>
      </c>
      <c r="V8" s="2">
        <f t="shared" ref="V8:V9" si="14">U8*1.11</f>
        <v>12996.263974751997</v>
      </c>
      <c r="W8" s="2">
        <f t="shared" ref="W8:AE9" si="15">V8*1.1</f>
        <v>14295.890372227197</v>
      </c>
      <c r="X8" s="2">
        <f t="shared" si="15"/>
        <v>15725.479409449918</v>
      </c>
      <c r="Y8" s="2">
        <f t="shared" si="15"/>
        <v>17298.02735039491</v>
      </c>
      <c r="Z8" s="2">
        <f t="shared" si="15"/>
        <v>19027.830085434402</v>
      </c>
      <c r="AA8" s="2">
        <f t="shared" si="15"/>
        <v>20930.613093977845</v>
      </c>
      <c r="AB8" s="2">
        <f t="shared" si="15"/>
        <v>23023.674403375633</v>
      </c>
      <c r="AC8" s="2">
        <f t="shared" si="15"/>
        <v>25326.041843713199</v>
      </c>
      <c r="AD8" s="2">
        <f t="shared" si="15"/>
        <v>27858.64602808452</v>
      </c>
      <c r="AE8" s="2">
        <f t="shared" si="15"/>
        <v>30644.510630892975</v>
      </c>
    </row>
    <row r="9" spans="1:149" x14ac:dyDescent="0.2">
      <c r="B9" s="2" t="s">
        <v>44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2736</v>
      </c>
      <c r="I9" s="2">
        <v>0</v>
      </c>
      <c r="J9" s="2">
        <f>2736-(SUM(G9:I9))</f>
        <v>0</v>
      </c>
      <c r="K9" s="2">
        <f t="shared" si="13"/>
        <v>0</v>
      </c>
      <c r="L9" s="2">
        <f t="shared" si="10"/>
        <v>3146.3999999999996</v>
      </c>
      <c r="M9" s="2">
        <f t="shared" si="10"/>
        <v>0</v>
      </c>
      <c r="N9" s="2">
        <f t="shared" si="10"/>
        <v>0</v>
      </c>
      <c r="P9" s="2">
        <f>SUM(C9:F9)</f>
        <v>0</v>
      </c>
      <c r="Q9" s="2">
        <f>SUM(G9:J9)</f>
        <v>2736</v>
      </c>
      <c r="R9" s="2">
        <f>SUM(K9:N9)</f>
        <v>3146.3999999999996</v>
      </c>
      <c r="S9" s="2">
        <f>R9*1.14</f>
        <v>3586.8959999999993</v>
      </c>
      <c r="T9" s="2">
        <f t="shared" si="11"/>
        <v>4089.061439999999</v>
      </c>
      <c r="U9" s="2">
        <f t="shared" si="11"/>
        <v>4661.5300415999982</v>
      </c>
      <c r="V9" s="2">
        <f t="shared" si="14"/>
        <v>5174.2983461759986</v>
      </c>
      <c r="W9" s="2">
        <f t="shared" si="15"/>
        <v>5691.7281807935988</v>
      </c>
      <c r="X9" s="2">
        <f t="shared" si="15"/>
        <v>6260.9009988729595</v>
      </c>
      <c r="Y9" s="2">
        <f t="shared" si="15"/>
        <v>6886.9910987602561</v>
      </c>
      <c r="Z9" s="2">
        <f t="shared" si="15"/>
        <v>7575.6902086362825</v>
      </c>
      <c r="AA9" s="2">
        <f t="shared" si="15"/>
        <v>8333.2592294999122</v>
      </c>
      <c r="AB9" s="2">
        <f t="shared" si="15"/>
        <v>9166.5851524499049</v>
      </c>
      <c r="AC9" s="2">
        <f t="shared" si="15"/>
        <v>10083.243667694896</v>
      </c>
      <c r="AD9" s="2">
        <f t="shared" si="15"/>
        <v>11091.568034464386</v>
      </c>
      <c r="AE9" s="2">
        <f t="shared" si="15"/>
        <v>12200.724837910826</v>
      </c>
    </row>
    <row r="10" spans="1:149" x14ac:dyDescent="0.2">
      <c r="B10" s="2" t="s">
        <v>45</v>
      </c>
      <c r="C10" s="2">
        <f t="shared" ref="C10:J10" si="16">SUM(C6:C9)</f>
        <v>7267</v>
      </c>
      <c r="D10" s="2">
        <f t="shared" si="16"/>
        <v>7402</v>
      </c>
      <c r="E10" s="2">
        <f t="shared" si="16"/>
        <v>7985</v>
      </c>
      <c r="F10" s="2">
        <f t="shared" si="16"/>
        <v>8764</v>
      </c>
      <c r="G10" s="2">
        <f t="shared" si="16"/>
        <v>8387</v>
      </c>
      <c r="H10" s="2">
        <f t="shared" si="16"/>
        <v>11505</v>
      </c>
      <c r="I10" s="2">
        <f t="shared" si="16"/>
        <v>8842</v>
      </c>
      <c r="J10" s="2">
        <f t="shared" si="16"/>
        <v>10392</v>
      </c>
      <c r="K10" s="2">
        <f t="shared" ref="K10:AE10" si="17">SUM(K6:K9)</f>
        <v>9842.15</v>
      </c>
      <c r="L10" s="2">
        <f t="shared" si="17"/>
        <v>13439.349999999999</v>
      </c>
      <c r="M10" s="2">
        <f t="shared" si="17"/>
        <v>10378.549999999999</v>
      </c>
      <c r="N10" s="2">
        <f t="shared" si="17"/>
        <v>12166.1</v>
      </c>
      <c r="P10" s="2">
        <f t="shared" si="17"/>
        <v>31418</v>
      </c>
      <c r="Q10" s="2">
        <f t="shared" si="17"/>
        <v>39126</v>
      </c>
      <c r="R10" s="2">
        <f t="shared" si="17"/>
        <v>45826.15</v>
      </c>
      <c r="S10" s="2">
        <f t="shared" si="17"/>
        <v>53438.810999999994</v>
      </c>
      <c r="T10" s="2">
        <f t="shared" si="17"/>
        <v>61159.644539999987</v>
      </c>
      <c r="U10" s="2">
        <f t="shared" si="17"/>
        <v>69721.994775599989</v>
      </c>
      <c r="V10" s="2">
        <f t="shared" si="17"/>
        <v>78019.121000915984</v>
      </c>
      <c r="W10" s="2">
        <f t="shared" si="17"/>
        <v>86530.341785007578</v>
      </c>
      <c r="X10" s="2">
        <f t="shared" si="17"/>
        <v>95580.588826548366</v>
      </c>
      <c r="Y10" s="2">
        <f t="shared" si="17"/>
        <v>105138.64770920321</v>
      </c>
      <c r="Z10" s="2">
        <f t="shared" si="17"/>
        <v>115652.51248012352</v>
      </c>
      <c r="AA10" s="2">
        <f t="shared" si="17"/>
        <v>127217.76372813588</v>
      </c>
      <c r="AB10" s="2">
        <f t="shared" si="17"/>
        <v>139939.54010094947</v>
      </c>
      <c r="AC10" s="2">
        <f t="shared" si="17"/>
        <v>153933.49411104445</v>
      </c>
      <c r="AD10" s="2">
        <f t="shared" si="17"/>
        <v>169326.84352214891</v>
      </c>
      <c r="AE10" s="2">
        <f t="shared" si="17"/>
        <v>186259.52787436379</v>
      </c>
    </row>
    <row r="11" spans="1:149" s="4" customFormat="1" x14ac:dyDescent="0.2">
      <c r="B11" s="4" t="s">
        <v>46</v>
      </c>
      <c r="C11" s="4">
        <f t="shared" ref="C11:J11" si="18">C5-C10</f>
        <v>5342</v>
      </c>
      <c r="D11" s="4">
        <f t="shared" si="18"/>
        <v>5968</v>
      </c>
      <c r="E11" s="4">
        <f t="shared" si="18"/>
        <v>5767</v>
      </c>
      <c r="F11" s="4">
        <f t="shared" si="18"/>
        <v>6639</v>
      </c>
      <c r="G11" s="4">
        <f t="shared" si="18"/>
        <v>6568</v>
      </c>
      <c r="H11" s="4">
        <f t="shared" si="18"/>
        <v>4132</v>
      </c>
      <c r="I11" s="4">
        <f t="shared" si="18"/>
        <v>7782</v>
      </c>
      <c r="J11" s="4">
        <f t="shared" si="18"/>
        <v>7664</v>
      </c>
      <c r="K11" s="4">
        <f t="shared" ref="K11:AE11" si="19">K5-K10</f>
        <v>7383.85</v>
      </c>
      <c r="L11" s="4">
        <f t="shared" si="19"/>
        <v>4663.6100000000006</v>
      </c>
      <c r="M11" s="4">
        <f t="shared" si="19"/>
        <v>8950.7619999999988</v>
      </c>
      <c r="N11" s="4">
        <f t="shared" si="19"/>
        <v>10330.707999999997</v>
      </c>
      <c r="P11" s="4">
        <f t="shared" si="19"/>
        <v>22745.199999999997</v>
      </c>
      <c r="Q11" s="4">
        <f t="shared" si="19"/>
        <v>27387</v>
      </c>
      <c r="R11" s="4">
        <f t="shared" si="19"/>
        <v>31328.93</v>
      </c>
      <c r="S11" s="4">
        <f t="shared" si="19"/>
        <v>36034.476599999987</v>
      </c>
      <c r="T11" s="4">
        <f t="shared" si="19"/>
        <v>41687.544996000004</v>
      </c>
      <c r="U11" s="4">
        <f t="shared" si="19"/>
        <v>47450.339017199993</v>
      </c>
      <c r="V11" s="4">
        <f t="shared" si="19"/>
        <v>53128.676604261578</v>
      </c>
      <c r="W11" s="4">
        <f t="shared" si="19"/>
        <v>58922.280410808788</v>
      </c>
      <c r="X11" s="4">
        <f t="shared" si="19"/>
        <v>67326.348032765993</v>
      </c>
      <c r="Y11" s="4">
        <f t="shared" si="19"/>
        <v>77317.121573228884</v>
      </c>
      <c r="Z11" s="4">
        <f t="shared" si="19"/>
        <v>86873.391423376102</v>
      </c>
      <c r="AA11" s="4">
        <f t="shared" si="19"/>
        <v>91510.212487643759</v>
      </c>
      <c r="AB11" s="4">
        <f t="shared" si="19"/>
        <v>89724.834925619158</v>
      </c>
      <c r="AC11" s="4">
        <f t="shared" si="19"/>
        <v>80324.16841605556</v>
      </c>
      <c r="AD11" s="4">
        <f t="shared" si="19"/>
        <v>67273.395630222105</v>
      </c>
      <c r="AE11" s="4">
        <f t="shared" si="19"/>
        <v>47974.70888648351</v>
      </c>
    </row>
    <row r="12" spans="1:149" x14ac:dyDescent="0.2">
      <c r="B12" s="2" t="s">
        <v>62</v>
      </c>
      <c r="C12" s="2">
        <v>-213</v>
      </c>
      <c r="D12" s="2">
        <v>151</v>
      </c>
      <c r="E12" s="2">
        <v>278</v>
      </c>
      <c r="F12" s="2">
        <f>434-(SUM(C12:E12))</f>
        <v>218</v>
      </c>
      <c r="G12" s="2">
        <v>251</v>
      </c>
      <c r="H12" s="2">
        <v>245</v>
      </c>
      <c r="I12" s="2">
        <v>197</v>
      </c>
      <c r="J12" s="2">
        <f>1047-(SUM(G12:I12))</f>
        <v>354</v>
      </c>
      <c r="K12" s="2">
        <f>G12*1.05</f>
        <v>263.55</v>
      </c>
      <c r="L12" s="2">
        <f t="shared" ref="L12:N12" si="20">H12*1.05</f>
        <v>257.25</v>
      </c>
      <c r="M12" s="2">
        <f t="shared" si="20"/>
        <v>206.85000000000002</v>
      </c>
      <c r="N12" s="2">
        <f t="shared" si="20"/>
        <v>371.7</v>
      </c>
      <c r="P12" s="2">
        <f>SUM(C12:F12)</f>
        <v>434</v>
      </c>
      <c r="Q12" s="2">
        <f>SUM(G12:J12)</f>
        <v>1047</v>
      </c>
      <c r="R12" s="2">
        <f>SUM(K12:N12)</f>
        <v>1099.3499999999999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</row>
    <row r="13" spans="1:149" s="4" customFormat="1" x14ac:dyDescent="0.2">
      <c r="B13" s="4" t="s">
        <v>47</v>
      </c>
      <c r="C13" s="4">
        <f t="shared" ref="C13:I13" si="21">C11+C12</f>
        <v>5129</v>
      </c>
      <c r="D13" s="4">
        <f t="shared" si="21"/>
        <v>6119</v>
      </c>
      <c r="E13" s="4">
        <f t="shared" si="21"/>
        <v>6045</v>
      </c>
      <c r="F13" s="4">
        <f t="shared" si="21"/>
        <v>6857</v>
      </c>
      <c r="G13" s="4">
        <f t="shared" si="21"/>
        <v>6819</v>
      </c>
      <c r="H13" s="4">
        <f t="shared" si="21"/>
        <v>4377</v>
      </c>
      <c r="I13" s="4">
        <f t="shared" si="21"/>
        <v>7979</v>
      </c>
      <c r="J13" s="4">
        <f>27193-(SUM(G13:I13))</f>
        <v>8018</v>
      </c>
      <c r="K13" s="4">
        <f t="shared" ref="K13:AE13" si="22">K11+K12</f>
        <v>7647.4000000000005</v>
      </c>
      <c r="L13" s="4">
        <f t="shared" si="22"/>
        <v>4920.8600000000006</v>
      </c>
      <c r="M13" s="4">
        <f t="shared" si="22"/>
        <v>9157.6119999999992</v>
      </c>
      <c r="N13" s="4">
        <f t="shared" si="22"/>
        <v>10702.407999999998</v>
      </c>
      <c r="P13" s="4">
        <f t="shared" si="22"/>
        <v>23179.199999999997</v>
      </c>
      <c r="Q13" s="4">
        <f t="shared" si="22"/>
        <v>28434</v>
      </c>
      <c r="R13" s="4">
        <f t="shared" si="22"/>
        <v>32428.28</v>
      </c>
      <c r="S13" s="4">
        <f t="shared" si="22"/>
        <v>36034.476599999987</v>
      </c>
      <c r="T13" s="4">
        <f t="shared" si="22"/>
        <v>41687.544996000004</v>
      </c>
      <c r="U13" s="4">
        <f t="shared" si="22"/>
        <v>47450.339017199993</v>
      </c>
      <c r="V13" s="4">
        <f t="shared" si="22"/>
        <v>53128.676604261578</v>
      </c>
      <c r="W13" s="4">
        <f t="shared" si="22"/>
        <v>58922.280410808788</v>
      </c>
      <c r="X13" s="4">
        <f t="shared" si="22"/>
        <v>67326.348032765993</v>
      </c>
      <c r="Y13" s="4">
        <f t="shared" si="22"/>
        <v>77317.121573228884</v>
      </c>
      <c r="Z13" s="4">
        <f t="shared" si="22"/>
        <v>86873.391423376102</v>
      </c>
      <c r="AA13" s="4">
        <f t="shared" si="22"/>
        <v>91510.212487643759</v>
      </c>
      <c r="AB13" s="4">
        <f t="shared" si="22"/>
        <v>89724.834925619158</v>
      </c>
      <c r="AC13" s="4">
        <f t="shared" si="22"/>
        <v>80324.16841605556</v>
      </c>
      <c r="AD13" s="4">
        <f t="shared" si="22"/>
        <v>67273.395630222105</v>
      </c>
      <c r="AE13" s="4">
        <f t="shared" si="22"/>
        <v>47974.70888648351</v>
      </c>
    </row>
    <row r="14" spans="1:149" x14ac:dyDescent="0.2">
      <c r="B14" s="2" t="s">
        <v>48</v>
      </c>
      <c r="C14" s="2">
        <v>922</v>
      </c>
      <c r="D14" s="2">
        <v>1242</v>
      </c>
      <c r="E14" s="2">
        <v>984</v>
      </c>
      <c r="F14" s="2">
        <f>4672-(SUM(C14:E14))</f>
        <v>1524</v>
      </c>
      <c r="G14" s="2">
        <v>1393</v>
      </c>
      <c r="H14" s="2">
        <v>853</v>
      </c>
      <c r="I14" s="2">
        <v>1247</v>
      </c>
      <c r="J14" s="2">
        <f>14531-(SUM(G14:I14))</f>
        <v>11038</v>
      </c>
      <c r="K14" s="2">
        <f>K13*0.18</f>
        <v>1376.5320000000002</v>
      </c>
      <c r="L14" s="2">
        <f t="shared" ref="L14:N14" si="23">L13*0.18</f>
        <v>885.75480000000005</v>
      </c>
      <c r="M14" s="2">
        <f t="shared" si="23"/>
        <v>1648.3701599999997</v>
      </c>
      <c r="N14" s="2">
        <f t="shared" si="23"/>
        <v>1926.4334399999996</v>
      </c>
      <c r="P14" s="2">
        <f>SUM(C14:F14)</f>
        <v>4672</v>
      </c>
      <c r="Q14" s="2">
        <f>SUM(G14:J14)</f>
        <v>14531</v>
      </c>
      <c r="R14" s="2">
        <f>SUM(K14:N14)</f>
        <v>5837.0904</v>
      </c>
      <c r="S14" s="2">
        <f>S13*0.2</f>
        <v>7206.8953199999978</v>
      </c>
      <c r="T14" s="2">
        <f t="shared" ref="T14:AE14" si="24">T13*0.2</f>
        <v>8337.5089992000012</v>
      </c>
      <c r="U14" s="2">
        <f t="shared" si="24"/>
        <v>9490.0678034399989</v>
      </c>
      <c r="V14" s="2">
        <f t="shared" si="24"/>
        <v>10625.735320852316</v>
      </c>
      <c r="W14" s="2">
        <f t="shared" si="24"/>
        <v>11784.456082161758</v>
      </c>
      <c r="X14" s="2">
        <f t="shared" si="24"/>
        <v>13465.2696065532</v>
      </c>
      <c r="Y14" s="2">
        <f t="shared" si="24"/>
        <v>15463.424314645777</v>
      </c>
      <c r="Z14" s="2">
        <f t="shared" si="24"/>
        <v>17374.678284675221</v>
      </c>
      <c r="AA14" s="2">
        <f t="shared" si="24"/>
        <v>18302.042497528753</v>
      </c>
      <c r="AB14" s="2">
        <f t="shared" si="24"/>
        <v>17944.966985123832</v>
      </c>
      <c r="AC14" s="2">
        <f t="shared" si="24"/>
        <v>16064.833683211113</v>
      </c>
      <c r="AD14" s="2">
        <f t="shared" si="24"/>
        <v>13454.679126044422</v>
      </c>
      <c r="AE14" s="2">
        <f t="shared" si="24"/>
        <v>9594.9417772967026</v>
      </c>
    </row>
    <row r="15" spans="1:149" s="4" customFormat="1" x14ac:dyDescent="0.2">
      <c r="B15" s="4" t="s">
        <v>49</v>
      </c>
      <c r="C15" s="4">
        <f t="shared" ref="C15:J15" si="25">C13-C14</f>
        <v>4207</v>
      </c>
      <c r="D15" s="4">
        <f t="shared" si="25"/>
        <v>4877</v>
      </c>
      <c r="E15" s="4">
        <f t="shared" si="25"/>
        <v>5061</v>
      </c>
      <c r="F15" s="4">
        <f t="shared" si="25"/>
        <v>5333</v>
      </c>
      <c r="G15" s="4">
        <f t="shared" si="25"/>
        <v>5426</v>
      </c>
      <c r="H15" s="4">
        <f t="shared" si="25"/>
        <v>3524</v>
      </c>
      <c r="I15" s="4">
        <f t="shared" si="25"/>
        <v>6732</v>
      </c>
      <c r="J15" s="4">
        <f t="shared" si="25"/>
        <v>-3020</v>
      </c>
      <c r="K15" s="4">
        <f t="shared" ref="K15:AE15" si="26">K13-K14</f>
        <v>6270.8680000000004</v>
      </c>
      <c r="L15" s="4">
        <f t="shared" si="26"/>
        <v>4035.1052000000004</v>
      </c>
      <c r="M15" s="4">
        <f t="shared" si="26"/>
        <v>7509.2418399999997</v>
      </c>
      <c r="N15" s="4">
        <f t="shared" si="26"/>
        <v>8775.9745599999987</v>
      </c>
      <c r="P15" s="4">
        <f t="shared" si="26"/>
        <v>18507.199999999997</v>
      </c>
      <c r="Q15" s="4">
        <f t="shared" si="26"/>
        <v>13903</v>
      </c>
      <c r="R15" s="4">
        <f t="shared" si="26"/>
        <v>26591.189599999998</v>
      </c>
      <c r="S15" s="4">
        <f t="shared" si="26"/>
        <v>28827.581279999991</v>
      </c>
      <c r="T15" s="4">
        <f t="shared" si="26"/>
        <v>33350.035996800005</v>
      </c>
      <c r="U15" s="4">
        <f t="shared" si="26"/>
        <v>37960.271213759996</v>
      </c>
      <c r="V15" s="4">
        <f t="shared" si="26"/>
        <v>42502.941283409265</v>
      </c>
      <c r="W15" s="4">
        <f t="shared" si="26"/>
        <v>47137.824328647032</v>
      </c>
      <c r="X15" s="4">
        <f t="shared" si="26"/>
        <v>53861.078426212793</v>
      </c>
      <c r="Y15" s="4">
        <f t="shared" si="26"/>
        <v>61853.69725858311</v>
      </c>
      <c r="Z15" s="4">
        <f t="shared" si="26"/>
        <v>69498.713138700885</v>
      </c>
      <c r="AA15" s="4">
        <f t="shared" si="26"/>
        <v>73208.169990115013</v>
      </c>
      <c r="AB15" s="4">
        <f t="shared" si="26"/>
        <v>71779.867940495329</v>
      </c>
      <c r="AC15" s="4">
        <f t="shared" si="26"/>
        <v>64259.334732844451</v>
      </c>
      <c r="AD15" s="4">
        <f t="shared" si="26"/>
        <v>53818.716504177683</v>
      </c>
      <c r="AE15" s="4">
        <f t="shared" si="26"/>
        <v>38379.767109186811</v>
      </c>
      <c r="AF15" s="4">
        <f>AE15*(1+$AH$18)</f>
        <v>37228.374095911204</v>
      </c>
      <c r="AG15" s="4">
        <f>AF15*(1+$AH$18)</f>
        <v>36111.522873033864</v>
      </c>
      <c r="AH15" s="4">
        <f t="shared" ref="AH15:CS15" si="27">AG15*(1+$AH$18)</f>
        <v>35028.177186842848</v>
      </c>
      <c r="AI15" s="4">
        <f t="shared" si="27"/>
        <v>33977.331871237562</v>
      </c>
      <c r="AJ15" s="4">
        <f t="shared" si="27"/>
        <v>32958.011915100433</v>
      </c>
      <c r="AK15" s="4">
        <f t="shared" si="27"/>
        <v>31969.271557647418</v>
      </c>
      <c r="AL15" s="4">
        <f t="shared" si="27"/>
        <v>31010.193410917997</v>
      </c>
      <c r="AM15" s="4">
        <f t="shared" si="27"/>
        <v>30079.887608590456</v>
      </c>
      <c r="AN15" s="4">
        <f t="shared" si="27"/>
        <v>29177.490980332743</v>
      </c>
      <c r="AO15" s="4">
        <f t="shared" si="27"/>
        <v>28302.166250922761</v>
      </c>
      <c r="AP15" s="4">
        <f t="shared" si="27"/>
        <v>27453.101263395078</v>
      </c>
      <c r="AQ15" s="4">
        <f t="shared" si="27"/>
        <v>26629.508225493224</v>
      </c>
      <c r="AR15" s="4">
        <f t="shared" si="27"/>
        <v>25830.622978728428</v>
      </c>
      <c r="AS15" s="4">
        <f t="shared" si="27"/>
        <v>25055.704289366575</v>
      </c>
      <c r="AT15" s="4">
        <f t="shared" si="27"/>
        <v>24304.033160685576</v>
      </c>
      <c r="AU15" s="4">
        <f t="shared" si="27"/>
        <v>23574.912165865007</v>
      </c>
      <c r="AV15" s="4">
        <f t="shared" si="27"/>
        <v>22867.664800889055</v>
      </c>
      <c r="AW15" s="4">
        <f t="shared" si="27"/>
        <v>22181.634856862383</v>
      </c>
      <c r="AX15" s="4">
        <f t="shared" si="27"/>
        <v>21516.185811156513</v>
      </c>
      <c r="AY15" s="4">
        <f t="shared" si="27"/>
        <v>20870.700236821816</v>
      </c>
      <c r="AZ15" s="4">
        <f t="shared" si="27"/>
        <v>20244.579229717161</v>
      </c>
      <c r="BA15" s="4">
        <f t="shared" si="27"/>
        <v>19637.241852825646</v>
      </c>
      <c r="BB15" s="4">
        <f t="shared" si="27"/>
        <v>19048.124597240876</v>
      </c>
      <c r="BC15" s="4">
        <f t="shared" si="27"/>
        <v>18476.680859323649</v>
      </c>
      <c r="BD15" s="4">
        <f t="shared" si="27"/>
        <v>17922.380433543938</v>
      </c>
      <c r="BE15" s="4">
        <f t="shared" si="27"/>
        <v>17384.709020537619</v>
      </c>
      <c r="BF15" s="4">
        <f t="shared" si="27"/>
        <v>16863.167749921489</v>
      </c>
      <c r="BG15" s="4">
        <f t="shared" si="27"/>
        <v>16357.272717423844</v>
      </c>
      <c r="BH15" s="4">
        <f t="shared" si="27"/>
        <v>15866.554535901128</v>
      </c>
      <c r="BI15" s="4">
        <f t="shared" si="27"/>
        <v>15390.557899824094</v>
      </c>
      <c r="BJ15" s="4">
        <f t="shared" si="27"/>
        <v>14928.841162829371</v>
      </c>
      <c r="BK15" s="4">
        <f t="shared" si="27"/>
        <v>14480.97592794449</v>
      </c>
      <c r="BL15" s="4">
        <f t="shared" si="27"/>
        <v>14046.546650106155</v>
      </c>
      <c r="BM15" s="4">
        <f t="shared" si="27"/>
        <v>13625.15025060297</v>
      </c>
      <c r="BN15" s="4">
        <f t="shared" si="27"/>
        <v>13216.39574308488</v>
      </c>
      <c r="BO15" s="4">
        <f t="shared" si="27"/>
        <v>12819.903870792334</v>
      </c>
      <c r="BP15" s="4">
        <f t="shared" si="27"/>
        <v>12435.306754668563</v>
      </c>
      <c r="BQ15" s="4">
        <f t="shared" si="27"/>
        <v>12062.247552028506</v>
      </c>
      <c r="BR15" s="4">
        <f t="shared" si="27"/>
        <v>11700.380125467651</v>
      </c>
      <c r="BS15" s="4">
        <f t="shared" si="27"/>
        <v>11349.36872170362</v>
      </c>
      <c r="BT15" s="4">
        <f t="shared" si="27"/>
        <v>11008.887660052511</v>
      </c>
      <c r="BU15" s="4">
        <f t="shared" si="27"/>
        <v>10678.621030250935</v>
      </c>
      <c r="BV15" s="4">
        <f t="shared" si="27"/>
        <v>10358.262399343406</v>
      </c>
      <c r="BW15" s="4">
        <f t="shared" si="27"/>
        <v>10047.514527363104</v>
      </c>
      <c r="BX15" s="4">
        <f t="shared" si="27"/>
        <v>9746.0890915422115</v>
      </c>
      <c r="BY15" s="4">
        <f t="shared" si="27"/>
        <v>9453.706418795944</v>
      </c>
      <c r="BZ15" s="4">
        <f t="shared" si="27"/>
        <v>9170.0952262320661</v>
      </c>
      <c r="CA15" s="4">
        <f t="shared" si="27"/>
        <v>8894.9923694451045</v>
      </c>
      <c r="CB15" s="4">
        <f t="shared" si="27"/>
        <v>8628.1425983617519</v>
      </c>
      <c r="CC15" s="4">
        <f t="shared" si="27"/>
        <v>8369.2983204108987</v>
      </c>
      <c r="CD15" s="4">
        <f t="shared" si="27"/>
        <v>8118.2193707985716</v>
      </c>
      <c r="CE15" s="4">
        <f t="shared" si="27"/>
        <v>7874.6727896746143</v>
      </c>
      <c r="CF15" s="4">
        <f t="shared" si="27"/>
        <v>7638.4326059843752</v>
      </c>
      <c r="CG15" s="4">
        <f t="shared" si="27"/>
        <v>7409.2796278048436</v>
      </c>
      <c r="CH15" s="4">
        <f t="shared" si="27"/>
        <v>7187.0012389706981</v>
      </c>
      <c r="CI15" s="4">
        <f t="shared" si="27"/>
        <v>6971.3912018015772</v>
      </c>
      <c r="CJ15" s="4">
        <f t="shared" si="27"/>
        <v>6762.2494657475299</v>
      </c>
      <c r="CK15" s="4">
        <f t="shared" si="27"/>
        <v>6559.3819817751037</v>
      </c>
      <c r="CL15" s="4">
        <f t="shared" si="27"/>
        <v>6362.6005223218508</v>
      </c>
      <c r="CM15" s="4">
        <f t="shared" si="27"/>
        <v>6171.7225066521951</v>
      </c>
      <c r="CN15" s="4">
        <f t="shared" si="27"/>
        <v>5986.5708314526291</v>
      </c>
      <c r="CO15" s="4">
        <f t="shared" si="27"/>
        <v>5806.9737065090503</v>
      </c>
      <c r="CP15" s="4">
        <f t="shared" si="27"/>
        <v>5632.7644953137788</v>
      </c>
      <c r="CQ15" s="4">
        <f t="shared" si="27"/>
        <v>5463.7815604543648</v>
      </c>
      <c r="CR15" s="4">
        <f t="shared" si="27"/>
        <v>5299.868113640734</v>
      </c>
      <c r="CS15" s="4">
        <f t="shared" si="27"/>
        <v>5140.8720702315122</v>
      </c>
      <c r="CT15" s="4">
        <f t="shared" ref="CT15:ES15" si="28">CS15*(1+$AH$18)</f>
        <v>4986.6459081245666</v>
      </c>
      <c r="CU15" s="4">
        <f t="shared" si="28"/>
        <v>4837.0465308808298</v>
      </c>
      <c r="CV15" s="4">
        <f t="shared" si="28"/>
        <v>4691.9351349544049</v>
      </c>
      <c r="CW15" s="4">
        <f t="shared" si="28"/>
        <v>4551.1770809057725</v>
      </c>
      <c r="CX15" s="4">
        <f t="shared" si="28"/>
        <v>4414.6417684785993</v>
      </c>
      <c r="CY15" s="4">
        <f t="shared" si="28"/>
        <v>4282.202515424241</v>
      </c>
      <c r="CZ15" s="4">
        <f t="shared" si="28"/>
        <v>4153.7364399615135</v>
      </c>
      <c r="DA15" s="4">
        <f t="shared" si="28"/>
        <v>4029.1243467626678</v>
      </c>
      <c r="DB15" s="4">
        <f t="shared" si="28"/>
        <v>3908.2506163597877</v>
      </c>
      <c r="DC15" s="4">
        <f t="shared" si="28"/>
        <v>3791.0030978689938</v>
      </c>
      <c r="DD15" s="4">
        <f t="shared" si="28"/>
        <v>3677.2730049329239</v>
      </c>
      <c r="DE15" s="4">
        <f t="shared" si="28"/>
        <v>3566.9548147849359</v>
      </c>
      <c r="DF15" s="4">
        <f t="shared" si="28"/>
        <v>3459.9461703413876</v>
      </c>
      <c r="DG15" s="4">
        <f t="shared" si="28"/>
        <v>3356.1477852311459</v>
      </c>
      <c r="DH15" s="4">
        <f t="shared" si="28"/>
        <v>3255.4633516742115</v>
      </c>
      <c r="DI15" s="4">
        <f t="shared" si="28"/>
        <v>3157.7994511239849</v>
      </c>
      <c r="DJ15" s="4">
        <f t="shared" si="28"/>
        <v>3063.0654675902651</v>
      </c>
      <c r="DK15" s="4">
        <f t="shared" si="28"/>
        <v>2971.173503562557</v>
      </c>
      <c r="DL15" s="4">
        <f t="shared" si="28"/>
        <v>2882.0382984556804</v>
      </c>
      <c r="DM15" s="4">
        <f t="shared" si="28"/>
        <v>2795.5771495020099</v>
      </c>
      <c r="DN15" s="4">
        <f t="shared" si="28"/>
        <v>2711.7098350169495</v>
      </c>
      <c r="DO15" s="4">
        <f t="shared" si="28"/>
        <v>2630.3585399664407</v>
      </c>
      <c r="DP15" s="4">
        <f t="shared" si="28"/>
        <v>2551.4477837674476</v>
      </c>
      <c r="DQ15" s="4">
        <f t="shared" si="28"/>
        <v>2474.9043502544241</v>
      </c>
      <c r="DR15" s="4">
        <f t="shared" si="28"/>
        <v>2400.6572197467913</v>
      </c>
      <c r="DS15" s="4">
        <f t="shared" si="28"/>
        <v>2328.6375031543876</v>
      </c>
      <c r="DT15" s="4">
        <f t="shared" si="28"/>
        <v>2258.7783780597561</v>
      </c>
      <c r="DU15" s="4">
        <f t="shared" si="28"/>
        <v>2191.0150267179633</v>
      </c>
      <c r="DV15" s="4">
        <f t="shared" si="28"/>
        <v>2125.2845759164243</v>
      </c>
      <c r="DW15" s="4">
        <f t="shared" si="28"/>
        <v>2061.5260386389314</v>
      </c>
      <c r="DX15" s="4">
        <f t="shared" si="28"/>
        <v>1999.6802574797634</v>
      </c>
      <c r="DY15" s="4">
        <f t="shared" si="28"/>
        <v>1939.6898497553705</v>
      </c>
      <c r="DZ15" s="4">
        <f t="shared" si="28"/>
        <v>1881.4991542627092</v>
      </c>
      <c r="EA15" s="4">
        <f t="shared" si="28"/>
        <v>1825.054179634828</v>
      </c>
      <c r="EB15" s="4">
        <f t="shared" si="28"/>
        <v>1770.3025542457831</v>
      </c>
      <c r="EC15" s="4">
        <f t="shared" si="28"/>
        <v>1717.1934776184096</v>
      </c>
      <c r="ED15" s="4">
        <f t="shared" si="28"/>
        <v>1665.6776732898572</v>
      </c>
      <c r="EE15" s="4">
        <f t="shared" si="28"/>
        <v>1615.7073430911614</v>
      </c>
      <c r="EF15" s="4">
        <f t="shared" si="28"/>
        <v>1567.2361227984265</v>
      </c>
      <c r="EG15" s="4">
        <f t="shared" si="28"/>
        <v>1520.2190391144736</v>
      </c>
      <c r="EH15" s="4">
        <f t="shared" si="28"/>
        <v>1474.6124679410393</v>
      </c>
      <c r="EI15" s="4">
        <f t="shared" si="28"/>
        <v>1430.374093902808</v>
      </c>
      <c r="EJ15" s="4">
        <f t="shared" si="28"/>
        <v>1387.4628710857237</v>
      </c>
      <c r="EK15" s="4">
        <f t="shared" si="28"/>
        <v>1345.838984953152</v>
      </c>
      <c r="EL15" s="4">
        <f t="shared" si="28"/>
        <v>1305.4638154045574</v>
      </c>
      <c r="EM15" s="4">
        <f t="shared" si="28"/>
        <v>1266.2999009424207</v>
      </c>
      <c r="EN15" s="4">
        <f t="shared" si="28"/>
        <v>1228.310903914148</v>
      </c>
      <c r="EO15" s="4">
        <f t="shared" si="28"/>
        <v>1191.4615767967234</v>
      </c>
      <c r="EP15" s="4">
        <f t="shared" si="28"/>
        <v>1155.7177294928217</v>
      </c>
      <c r="EQ15" s="4">
        <f t="shared" si="28"/>
        <v>1121.0461976080371</v>
      </c>
      <c r="ER15" s="4">
        <f t="shared" si="28"/>
        <v>1087.414811679796</v>
      </c>
      <c r="ES15" s="4">
        <f t="shared" si="28"/>
        <v>1054.7923673294022</v>
      </c>
    </row>
    <row r="16" spans="1:149" s="5" customFormat="1" x14ac:dyDescent="0.2">
      <c r="B16" s="5" t="s">
        <v>50</v>
      </c>
      <c r="C16" s="5">
        <v>6.02</v>
      </c>
      <c r="D16" s="5">
        <v>7</v>
      </c>
      <c r="E16" s="5">
        <v>9.25</v>
      </c>
      <c r="F16" s="5">
        <f>F15/Main!G4</f>
        <v>7.6700977206117784</v>
      </c>
      <c r="G16" s="5">
        <v>7.73</v>
      </c>
      <c r="H16" s="5">
        <v>5.01</v>
      </c>
      <c r="I16" s="5">
        <v>9.57</v>
      </c>
      <c r="J16" s="5">
        <f>J15/Main!$G$4</f>
        <v>-4.3434643008152207</v>
      </c>
      <c r="K16" s="5">
        <f>K15/Main!$G$4</f>
        <v>9.0189706268624317</v>
      </c>
      <c r="L16" s="5">
        <f>L15/Main!$G$4</f>
        <v>5.8034223133224705</v>
      </c>
      <c r="M16" s="5">
        <f>M15/Main!$G$4</f>
        <v>10.800041012658278</v>
      </c>
      <c r="N16" s="5">
        <f>N15/Main!$G$4</f>
        <v>12.621898081530649</v>
      </c>
      <c r="P16" s="5">
        <f>P15/Main!$G$4</f>
        <v>26.617669704651469</v>
      </c>
      <c r="Q16" s="5">
        <f>Q15/Main!$G$4</f>
        <v>19.995756349084111</v>
      </c>
      <c r="R16" s="5">
        <f>R15/Main!$G$4</f>
        <v>38.244332034373826</v>
      </c>
      <c r="S16" s="5">
        <f>S15/Main!$G$4</f>
        <v>41.460784824016258</v>
      </c>
      <c r="T16" s="5">
        <f>T15/Main!$G$4</f>
        <v>47.965129398345489</v>
      </c>
      <c r="U16" s="5">
        <f>U15/Main!$G$4</f>
        <v>54.595722803387481</v>
      </c>
      <c r="V16" s="5">
        <f>V15/Main!$G$4</f>
        <v>61.129141769580663</v>
      </c>
      <c r="W16" s="5">
        <f>W15/Main!$G$4</f>
        <v>67.795184499860127</v>
      </c>
      <c r="X16" s="5">
        <f>X15/Main!$G$4</f>
        <v>77.464791836974868</v>
      </c>
      <c r="Y16" s="5">
        <f>Y15/Main!$G$4</f>
        <v>88.960041694068877</v>
      </c>
      <c r="Z16" s="5">
        <f>Z15/Main!$G$4</f>
        <v>99.955357440577814</v>
      </c>
      <c r="AA16" s="5">
        <f>AA15/Main!$G$4</f>
        <v>105.2904214834691</v>
      </c>
      <c r="AB16" s="5">
        <f>AB15/Main!$G$4</f>
        <v>103.23619003866636</v>
      </c>
      <c r="AC16" s="5">
        <f>AC15/Main!$G$4</f>
        <v>92.41990940604154</v>
      </c>
      <c r="AD16" s="5">
        <f>AD15/Main!$G$4</f>
        <v>77.403865513771748</v>
      </c>
      <c r="AE16" s="5">
        <f>AE15/Main!$G$4</f>
        <v>55.199055732567906</v>
      </c>
    </row>
    <row r="17" spans="1:34" x14ac:dyDescent="0.2">
      <c r="A17" s="2" t="s">
        <v>93</v>
      </c>
    </row>
    <row r="18" spans="1:34" s="7" customFormat="1" x14ac:dyDescent="0.2">
      <c r="A18" s="7">
        <f>AVERAGE(G18:J18)</f>
        <v>0.22717800073099126</v>
      </c>
      <c r="B18" s="7" t="s">
        <v>63</v>
      </c>
      <c r="G18" s="7">
        <f t="shared" ref="G18:I18" si="29">G3/C3-1</f>
        <v>0.22179987164930637</v>
      </c>
      <c r="H18" s="7">
        <f t="shared" si="29"/>
        <v>0.20976744186046514</v>
      </c>
      <c r="I18" s="7">
        <f t="shared" si="29"/>
        <v>0.23700503318337707</v>
      </c>
      <c r="J18" s="7">
        <f>J3/F3-1</f>
        <v>0.24013965623081646</v>
      </c>
      <c r="K18" s="7">
        <f t="shared" ref="K18:N18" si="30">K3/G3-1</f>
        <v>0.19999999999999996</v>
      </c>
      <c r="L18" s="7">
        <f t="shared" si="30"/>
        <v>0.19999999999999996</v>
      </c>
      <c r="M18" s="7">
        <f t="shared" si="30"/>
        <v>0.19999999999999996</v>
      </c>
      <c r="N18" s="7">
        <f t="shared" si="30"/>
        <v>0.19999999999999996</v>
      </c>
      <c r="Q18" s="7">
        <f>Q3/P3-1</f>
        <v>0.22801090038993266</v>
      </c>
      <c r="R18" s="7">
        <f>R3/Q3-1</f>
        <v>0.19999999999999996</v>
      </c>
      <c r="S18" s="7">
        <f>S3/R3-1</f>
        <v>0.17999999999999994</v>
      </c>
      <c r="T18" s="7">
        <f t="shared" ref="T18:AE18" si="31">T3/S3-1</f>
        <v>0.16999999999999993</v>
      </c>
      <c r="U18" s="7">
        <f t="shared" si="31"/>
        <v>0.15999999999999992</v>
      </c>
      <c r="V18" s="7">
        <f t="shared" si="31"/>
        <v>0.1399999999999999</v>
      </c>
      <c r="W18" s="7">
        <f t="shared" si="31"/>
        <v>0.12999999999999989</v>
      </c>
      <c r="X18" s="7">
        <f t="shared" si="31"/>
        <v>0.12000000000000011</v>
      </c>
      <c r="Y18" s="7">
        <f t="shared" si="31"/>
        <v>0.12000000000000011</v>
      </c>
      <c r="Z18" s="7">
        <f t="shared" si="31"/>
        <v>0.1100000000000001</v>
      </c>
      <c r="AA18" s="7">
        <f t="shared" si="31"/>
        <v>8.0000000000000071E-2</v>
      </c>
      <c r="AB18" s="7">
        <f t="shared" si="31"/>
        <v>5.0000000000000044E-2</v>
      </c>
      <c r="AC18" s="7">
        <f t="shared" si="31"/>
        <v>2.0000000000000018E-2</v>
      </c>
      <c r="AD18" s="7">
        <f t="shared" si="31"/>
        <v>1.0000000000000009E-2</v>
      </c>
      <c r="AE18" s="7">
        <f t="shared" si="31"/>
        <v>-1.0000000000000009E-2</v>
      </c>
      <c r="AG18" s="9" t="s">
        <v>96</v>
      </c>
      <c r="AH18" s="7">
        <v>-0.03</v>
      </c>
    </row>
    <row r="19" spans="1:34" s="7" customFormat="1" x14ac:dyDescent="0.2">
      <c r="A19" s="7">
        <f>AVERAGE(C19:K19)</f>
        <v>0.59893873407661935</v>
      </c>
      <c r="B19" s="7" t="s">
        <v>64</v>
      </c>
      <c r="C19" s="7">
        <f t="shared" ref="C19:I19" si="32">C5/C3</f>
        <v>0.62245149824751933</v>
      </c>
      <c r="D19" s="7">
        <f t="shared" si="32"/>
        <v>0.62186046511627902</v>
      </c>
      <c r="E19" s="7">
        <f t="shared" si="32"/>
        <v>0.61253396285243422</v>
      </c>
      <c r="F19" s="7">
        <f t="shared" si="32"/>
        <v>0.59096838551258446</v>
      </c>
      <c r="G19" s="7">
        <f t="shared" si="32"/>
        <v>0.60424242424242425</v>
      </c>
      <c r="H19" s="7">
        <f t="shared" si="32"/>
        <v>0.60119184928873515</v>
      </c>
      <c r="I19" s="7">
        <f t="shared" si="32"/>
        <v>0.59858850640933314</v>
      </c>
      <c r="J19" s="7">
        <f>J5/J3</f>
        <v>0.55861151502026418</v>
      </c>
      <c r="K19" s="7">
        <f t="shared" ref="K19:N19" si="33">K5/K3</f>
        <v>0.57999999999999996</v>
      </c>
      <c r="L19" s="7">
        <f t="shared" si="33"/>
        <v>0.57999999999999996</v>
      </c>
      <c r="M19" s="7">
        <f t="shared" si="33"/>
        <v>0.57999999999999996</v>
      </c>
      <c r="N19" s="7">
        <f t="shared" si="33"/>
        <v>0.57999999999999996</v>
      </c>
      <c r="Q19" s="7">
        <f>Q5/Q3</f>
        <v>0.6</v>
      </c>
      <c r="R19" s="7">
        <f>R5/R3</f>
        <v>0.57999999999999996</v>
      </c>
      <c r="S19" s="7">
        <f>S5/S3</f>
        <v>0.56999999999999995</v>
      </c>
      <c r="T19" s="7">
        <f t="shared" ref="T19:AE19" si="34">T5/T3</f>
        <v>0.56000000000000005</v>
      </c>
      <c r="U19" s="7">
        <f t="shared" si="34"/>
        <v>0.55000000000000004</v>
      </c>
      <c r="V19" s="7">
        <f t="shared" si="34"/>
        <v>0.54</v>
      </c>
      <c r="W19" s="7">
        <f t="shared" si="34"/>
        <v>0.53</v>
      </c>
      <c r="X19" s="7">
        <f t="shared" si="34"/>
        <v>0.53</v>
      </c>
      <c r="Y19" s="7">
        <f t="shared" si="34"/>
        <v>0.53</v>
      </c>
      <c r="Z19" s="7">
        <f t="shared" si="34"/>
        <v>0.53</v>
      </c>
      <c r="AA19" s="7">
        <f t="shared" si="34"/>
        <v>0.53</v>
      </c>
      <c r="AB19" s="7">
        <f t="shared" si="34"/>
        <v>0.53</v>
      </c>
      <c r="AC19" s="7">
        <f t="shared" si="34"/>
        <v>0.53</v>
      </c>
      <c r="AD19" s="7">
        <f t="shared" si="34"/>
        <v>0.53</v>
      </c>
      <c r="AE19" s="7">
        <f t="shared" si="34"/>
        <v>0.53</v>
      </c>
      <c r="AG19" s="9" t="s">
        <v>97</v>
      </c>
      <c r="AH19" s="7">
        <v>7.0000000000000007E-2</v>
      </c>
    </row>
    <row r="20" spans="1:34" s="7" customFormat="1" x14ac:dyDescent="0.2">
      <c r="A20" s="7">
        <f>AVERAGE(C20:J20)</f>
        <v>0.24930438467141264</v>
      </c>
      <c r="B20" s="7" t="s">
        <v>65</v>
      </c>
      <c r="C20" s="7">
        <f t="shared" ref="C20:I20" si="35">C11/C3</f>
        <v>0.26371130967073109</v>
      </c>
      <c r="D20" s="7">
        <f t="shared" si="35"/>
        <v>0.27758139534883719</v>
      </c>
      <c r="E20" s="7">
        <f t="shared" si="35"/>
        <v>0.25687051801701483</v>
      </c>
      <c r="F20" s="7">
        <f t="shared" si="35"/>
        <v>0.25471915285451197</v>
      </c>
      <c r="G20" s="7">
        <f t="shared" si="35"/>
        <v>0.26537373737373737</v>
      </c>
      <c r="H20" s="7">
        <f t="shared" si="35"/>
        <v>0.15886197616301423</v>
      </c>
      <c r="I20" s="7">
        <f t="shared" si="35"/>
        <v>0.28021028373901774</v>
      </c>
      <c r="J20" s="7">
        <f>J11/J3</f>
        <v>0.23710670420443647</v>
      </c>
      <c r="K20" s="7">
        <f t="shared" ref="K20:N20" si="36">K11/K3</f>
        <v>0.24861447811447812</v>
      </c>
      <c r="L20" s="7">
        <f t="shared" si="36"/>
        <v>0.14941721132897606</v>
      </c>
      <c r="M20" s="7">
        <f t="shared" si="36"/>
        <v>0.2685787243746699</v>
      </c>
      <c r="N20" s="7">
        <f t="shared" si="36"/>
        <v>0.26634047994719956</v>
      </c>
      <c r="Q20" s="7">
        <f>Q11/Q3</f>
        <v>0.24705245591087457</v>
      </c>
      <c r="R20" s="7">
        <f>R11/R3</f>
        <v>0.23550982514696375</v>
      </c>
      <c r="S20" s="7">
        <f>S11/S3</f>
        <v>0.22956183027301652</v>
      </c>
      <c r="T20" s="7">
        <f t="shared" ref="T20:AE20" si="37">T11/T3</f>
        <v>0.22698748797203111</v>
      </c>
      <c r="U20" s="7">
        <f t="shared" si="37"/>
        <v>0.22272908300699606</v>
      </c>
      <c r="V20" s="7">
        <f t="shared" si="37"/>
        <v>0.21875689786778871</v>
      </c>
      <c r="W20" s="7">
        <f t="shared" si="37"/>
        <v>0.21470089810884749</v>
      </c>
      <c r="X20" s="7">
        <f t="shared" si="37"/>
        <v>0.21903895036821919</v>
      </c>
      <c r="Y20" s="7">
        <f t="shared" si="37"/>
        <v>0.224591826254501</v>
      </c>
      <c r="Z20" s="7">
        <f t="shared" si="37"/>
        <v>0.22734325124319921</v>
      </c>
      <c r="AA20" s="7">
        <f t="shared" si="37"/>
        <v>0.22173849663659187</v>
      </c>
      <c r="AB20" s="7">
        <f t="shared" si="37"/>
        <v>0.2070593774288105</v>
      </c>
      <c r="AC20" s="7">
        <f t="shared" si="37"/>
        <v>0.18173070114871717</v>
      </c>
      <c r="AD20" s="7">
        <f t="shared" si="37"/>
        <v>0.15069680323127607</v>
      </c>
      <c r="AE20" s="7">
        <f t="shared" si="37"/>
        <v>0.10855200359030677</v>
      </c>
      <c r="AG20" s="9" t="s">
        <v>98</v>
      </c>
      <c r="AH20" s="2">
        <f>NPV(AH19,Q15:ES15)</f>
        <v>533288.051721973</v>
      </c>
    </row>
    <row r="21" spans="1:34" s="7" customFormat="1" x14ac:dyDescent="0.2">
      <c r="A21" s="7">
        <f>AVERAGE(G21:J21)</f>
        <v>0.19238374390849872</v>
      </c>
      <c r="B21" s="7" t="s">
        <v>66</v>
      </c>
      <c r="G21" s="7">
        <f t="shared" ref="G21:I21" si="38">G6/C6-1</f>
        <v>0.17077517077517079</v>
      </c>
      <c r="H21" s="7">
        <f t="shared" si="38"/>
        <v>0.24055902468034485</v>
      </c>
      <c r="I21" s="7">
        <f t="shared" si="38"/>
        <v>0.16935483870967749</v>
      </c>
      <c r="J21" s="7">
        <f>J6/F6-1</f>
        <v>0.18884594146880174</v>
      </c>
      <c r="K21" s="7">
        <f t="shared" ref="K21:N21" si="39">K6/G6-1</f>
        <v>0.19999999999999996</v>
      </c>
      <c r="L21" s="7">
        <f t="shared" si="39"/>
        <v>0.19999999999999996</v>
      </c>
      <c r="M21" s="7">
        <f t="shared" si="39"/>
        <v>0.19999999999999996</v>
      </c>
      <c r="N21" s="7">
        <f t="shared" si="39"/>
        <v>0.19999999999999996</v>
      </c>
      <c r="Q21" s="7">
        <f>Q6/P6-1</f>
        <v>0.19192715801548599</v>
      </c>
      <c r="R21" s="7">
        <f>R6/Q6-1</f>
        <v>0.19999999999999996</v>
      </c>
      <c r="S21" s="7">
        <f>S6/R6-1</f>
        <v>0.19999999999999996</v>
      </c>
      <c r="T21" s="7">
        <f t="shared" ref="T21:AE21" si="40">T6/S6-1</f>
        <v>0.14999999999999991</v>
      </c>
      <c r="U21" s="7">
        <f t="shared" si="40"/>
        <v>0.1399999999999999</v>
      </c>
      <c r="V21" s="7">
        <f t="shared" si="40"/>
        <v>0.12999999999999989</v>
      </c>
      <c r="W21" s="7">
        <f t="shared" si="40"/>
        <v>0.12000000000000011</v>
      </c>
      <c r="X21" s="7">
        <f t="shared" si="40"/>
        <v>0.1100000000000001</v>
      </c>
      <c r="Y21" s="7">
        <f t="shared" si="40"/>
        <v>0.10000000000000009</v>
      </c>
      <c r="Z21" s="7">
        <f t="shared" si="40"/>
        <v>0.10000000000000009</v>
      </c>
      <c r="AA21" s="7">
        <f t="shared" si="40"/>
        <v>0.10000000000000009</v>
      </c>
      <c r="AB21" s="7">
        <f t="shared" si="40"/>
        <v>0.10000000000000009</v>
      </c>
      <c r="AC21" s="7">
        <f t="shared" si="40"/>
        <v>0.10000000000000009</v>
      </c>
      <c r="AD21" s="7">
        <f t="shared" si="40"/>
        <v>0.10000000000000009</v>
      </c>
      <c r="AE21" s="7">
        <f t="shared" si="40"/>
        <v>0.10000000000000009</v>
      </c>
      <c r="AG21" s="9" t="s">
        <v>70</v>
      </c>
      <c r="AH21" s="2">
        <f>J26</f>
        <v>97902</v>
      </c>
    </row>
    <row r="22" spans="1:34" s="7" customFormat="1" x14ac:dyDescent="0.2">
      <c r="A22" s="7">
        <f>AVERAGE(C22:I22)</f>
        <v>0.18903142954317437</v>
      </c>
      <c r="B22" s="7" t="s">
        <v>67</v>
      </c>
      <c r="C22" s="7">
        <f t="shared" ref="C22:I22" si="41">C14/C13</f>
        <v>0.17976213686878534</v>
      </c>
      <c r="D22" s="7">
        <f t="shared" si="41"/>
        <v>0.20297434221277988</v>
      </c>
      <c r="E22" s="7">
        <f t="shared" si="41"/>
        <v>0.16277915632754342</v>
      </c>
      <c r="F22" s="7">
        <f t="shared" si="41"/>
        <v>0.22225463030479803</v>
      </c>
      <c r="G22" s="7">
        <f t="shared" si="41"/>
        <v>0.20428215280832968</v>
      </c>
      <c r="H22" s="7">
        <f t="shared" si="41"/>
        <v>0.19488233950194198</v>
      </c>
      <c r="I22" s="7">
        <f t="shared" si="41"/>
        <v>0.15628524877804237</v>
      </c>
      <c r="J22" s="7">
        <f>J14/J13</f>
        <v>1.3766525318034422</v>
      </c>
      <c r="K22" s="7">
        <f t="shared" ref="K22:N22" si="42">K14/K13</f>
        <v>0.18</v>
      </c>
      <c r="L22" s="7">
        <f t="shared" si="42"/>
        <v>0.18</v>
      </c>
      <c r="M22" s="7">
        <f t="shared" si="42"/>
        <v>0.18</v>
      </c>
      <c r="N22" s="7">
        <f t="shared" si="42"/>
        <v>0.18</v>
      </c>
      <c r="Q22" s="7">
        <f>Q14/Q13</f>
        <v>0.51104311739466834</v>
      </c>
      <c r="R22" s="7">
        <f>R14/R13</f>
        <v>0.18000000000000002</v>
      </c>
      <c r="S22" s="7">
        <f>S14/S13</f>
        <v>0.2</v>
      </c>
      <c r="T22" s="7">
        <f t="shared" ref="T22:AE22" si="43">T14/T13</f>
        <v>0.2</v>
      </c>
      <c r="U22" s="7">
        <f t="shared" si="43"/>
        <v>0.2</v>
      </c>
      <c r="V22" s="7">
        <f t="shared" si="43"/>
        <v>0.2</v>
      </c>
      <c r="W22" s="7">
        <f t="shared" si="43"/>
        <v>0.2</v>
      </c>
      <c r="X22" s="7">
        <f t="shared" si="43"/>
        <v>0.2</v>
      </c>
      <c r="Y22" s="7">
        <f t="shared" si="43"/>
        <v>0.2</v>
      </c>
      <c r="Z22" s="7">
        <f t="shared" si="43"/>
        <v>0.2</v>
      </c>
      <c r="AA22" s="7">
        <f t="shared" si="43"/>
        <v>0.2</v>
      </c>
      <c r="AB22" s="7">
        <f t="shared" si="43"/>
        <v>0.2</v>
      </c>
      <c r="AC22" s="7">
        <f t="shared" si="43"/>
        <v>0.2</v>
      </c>
      <c r="AD22" s="7">
        <f t="shared" si="43"/>
        <v>0.2</v>
      </c>
      <c r="AE22" s="7">
        <f t="shared" si="43"/>
        <v>0.2</v>
      </c>
      <c r="AG22" s="9" t="s">
        <v>2</v>
      </c>
      <c r="AH22" s="2">
        <f>Main!G4</f>
        <v>695.29753000000005</v>
      </c>
    </row>
    <row r="23" spans="1:34" s="7" customFormat="1" x14ac:dyDescent="0.2">
      <c r="A23" s="7">
        <f>AVERAGE(G23:J23)</f>
        <v>0.25037929507218171</v>
      </c>
      <c r="B23" s="7" t="s">
        <v>68</v>
      </c>
      <c r="G23" s="7">
        <f t="shared" ref="G23:I23" si="44">G10/C10-1</f>
        <v>0.15412137057933117</v>
      </c>
      <c r="H23" s="7">
        <f t="shared" si="44"/>
        <v>0.55430964604161037</v>
      </c>
      <c r="I23" s="7">
        <f t="shared" si="44"/>
        <v>0.10732623669380081</v>
      </c>
      <c r="J23" s="7">
        <f>J10/F10-1</f>
        <v>0.18575992697398447</v>
      </c>
      <c r="K23" s="7">
        <f t="shared" ref="K23:N23" si="45">K10/G10-1</f>
        <v>0.1735006557767973</v>
      </c>
      <c r="L23" s="7">
        <f t="shared" si="45"/>
        <v>0.16813124728378948</v>
      </c>
      <c r="M23" s="7">
        <f t="shared" si="45"/>
        <v>0.17377855688758181</v>
      </c>
      <c r="N23" s="7">
        <f t="shared" si="45"/>
        <v>0.17071785989222477</v>
      </c>
      <c r="Q23" s="7">
        <f>Q10/P10-1</f>
        <v>0.24533706792284682</v>
      </c>
      <c r="R23" s="7">
        <f>R10/Q10-1</f>
        <v>0.17124546337473801</v>
      </c>
      <c r="S23" s="7">
        <f>S10/R10-1</f>
        <v>0.16612045742441794</v>
      </c>
      <c r="T23" s="7">
        <f t="shared" ref="T23:AE23" si="46">T10/S10-1</f>
        <v>0.14447989009336282</v>
      </c>
      <c r="U23" s="7">
        <f t="shared" si="46"/>
        <v>0.14000000000000012</v>
      </c>
      <c r="V23" s="7">
        <f t="shared" si="46"/>
        <v>0.1190029954251921</v>
      </c>
      <c r="W23" s="7">
        <f t="shared" si="46"/>
        <v>0.10909147238395156</v>
      </c>
      <c r="X23" s="7">
        <f t="shared" si="46"/>
        <v>0.10459044601981282</v>
      </c>
      <c r="Y23" s="7">
        <f t="shared" si="46"/>
        <v>0.10000000000000009</v>
      </c>
      <c r="Z23" s="7">
        <f t="shared" si="46"/>
        <v>9.9999999999999867E-2</v>
      </c>
      <c r="AA23" s="7">
        <f t="shared" si="46"/>
        <v>0.10000000000000009</v>
      </c>
      <c r="AB23" s="7">
        <f t="shared" si="46"/>
        <v>0.10000000000000009</v>
      </c>
      <c r="AC23" s="7">
        <f t="shared" si="46"/>
        <v>0.10000000000000031</v>
      </c>
      <c r="AD23" s="7">
        <f t="shared" si="46"/>
        <v>0.10000000000000009</v>
      </c>
      <c r="AE23" s="7">
        <f t="shared" si="46"/>
        <v>9.9999999999999867E-2</v>
      </c>
      <c r="AG23" s="9" t="s">
        <v>99</v>
      </c>
      <c r="AH23" s="2">
        <f>AH20+AH21</f>
        <v>631190.051721973</v>
      </c>
    </row>
    <row r="24" spans="1:34" s="7" customFormat="1" x14ac:dyDescent="0.2">
      <c r="B24" s="7" t="s">
        <v>104</v>
      </c>
      <c r="G24" s="7">
        <f>G15/C15-1</f>
        <v>0.28975516995483708</v>
      </c>
      <c r="H24" s="7">
        <f t="shared" ref="H24:N24" si="47">H15/D15-1</f>
        <v>-0.27742464629895425</v>
      </c>
      <c r="I24" s="7">
        <f t="shared" si="47"/>
        <v>0.33017190278601061</v>
      </c>
      <c r="J24" s="7">
        <f t="shared" si="47"/>
        <v>-1.5662853928370524</v>
      </c>
      <c r="K24" s="7">
        <f t="shared" si="47"/>
        <v>0.15570733505344636</v>
      </c>
      <c r="L24" s="7">
        <f t="shared" si="47"/>
        <v>0.14503552780930762</v>
      </c>
      <c r="M24" s="7">
        <f t="shared" si="47"/>
        <v>0.11545481877599517</v>
      </c>
      <c r="N24" s="7">
        <f t="shared" si="47"/>
        <v>-3.9059518410596024</v>
      </c>
      <c r="Q24" s="7">
        <f>Q15/P15-1</f>
        <v>-0.2487788536353418</v>
      </c>
      <c r="R24" s="7">
        <f t="shared" ref="R24:AE24" si="48">R15/Q15-1</f>
        <v>0.91262242681435657</v>
      </c>
      <c r="S24" s="7">
        <f t="shared" si="48"/>
        <v>8.4102731530295793E-2</v>
      </c>
      <c r="T24" s="7">
        <f t="shared" si="48"/>
        <v>0.15687943684465844</v>
      </c>
      <c r="U24" s="7">
        <f t="shared" si="48"/>
        <v>0.13823778833109368</v>
      </c>
      <c r="V24" s="7">
        <f t="shared" si="48"/>
        <v>0.1196690625330048</v>
      </c>
      <c r="W24" s="7">
        <f t="shared" si="48"/>
        <v>0.10904852476755433</v>
      </c>
      <c r="X24" s="7">
        <f t="shared" si="48"/>
        <v>0.14262970752937032</v>
      </c>
      <c r="Y24" s="7">
        <f t="shared" si="48"/>
        <v>0.14839321948073958</v>
      </c>
      <c r="Z24" s="7">
        <f t="shared" si="48"/>
        <v>0.12359836548100467</v>
      </c>
      <c r="AA24" s="7">
        <f t="shared" si="48"/>
        <v>5.3374468157576516E-2</v>
      </c>
      <c r="AB24" s="7">
        <f t="shared" si="48"/>
        <v>-1.9510145518082722E-2</v>
      </c>
      <c r="AC24" s="7">
        <f t="shared" si="48"/>
        <v>-0.10477217949028983</v>
      </c>
      <c r="AD24" s="7">
        <f t="shared" si="48"/>
        <v>-0.16247628880804965</v>
      </c>
      <c r="AE24" s="7">
        <f t="shared" si="48"/>
        <v>-0.28686952045377045</v>
      </c>
      <c r="AG24" s="9"/>
      <c r="AH24" s="2"/>
    </row>
    <row r="25" spans="1:34" x14ac:dyDescent="0.2">
      <c r="AG25" s="4" t="s">
        <v>3</v>
      </c>
      <c r="AH25" s="2">
        <f>AH22*AH27</f>
        <v>727427.22886130004</v>
      </c>
    </row>
    <row r="26" spans="1:34" x14ac:dyDescent="0.2">
      <c r="B26" s="2" t="s">
        <v>69</v>
      </c>
      <c r="J26" s="2">
        <f>J28-J46</f>
        <v>97902</v>
      </c>
      <c r="AG26" s="4" t="s">
        <v>6</v>
      </c>
      <c r="AH26" s="2">
        <f>AH25+AH21</f>
        <v>825329.22886130004</v>
      </c>
    </row>
    <row r="27" spans="1:34" s="4" customFormat="1" x14ac:dyDescent="0.2">
      <c r="B27" s="4" t="s">
        <v>70</v>
      </c>
      <c r="AG27" s="4" t="s">
        <v>100</v>
      </c>
      <c r="AH27" s="2">
        <v>1046.21</v>
      </c>
    </row>
    <row r="28" spans="1:34" x14ac:dyDescent="0.2">
      <c r="B28" s="2" t="s">
        <v>4</v>
      </c>
      <c r="J28" s="2">
        <v>101871</v>
      </c>
      <c r="AG28" s="4"/>
    </row>
    <row r="29" spans="1:34" x14ac:dyDescent="0.2">
      <c r="B29" s="2" t="s">
        <v>71</v>
      </c>
      <c r="J29" s="2">
        <v>18336</v>
      </c>
      <c r="AG29" s="4" t="s">
        <v>101</v>
      </c>
      <c r="AH29" s="2">
        <f>AH23/AH22</f>
        <v>907.7984955907624</v>
      </c>
    </row>
    <row r="30" spans="1:34" x14ac:dyDescent="0.2">
      <c r="B30" s="2" t="s">
        <v>72</v>
      </c>
      <c r="J30" s="2">
        <v>369</v>
      </c>
      <c r="AG30" s="4" t="s">
        <v>102</v>
      </c>
      <c r="AH30" s="7">
        <f>AH29/AH27-1</f>
        <v>-0.13229801321841472</v>
      </c>
    </row>
    <row r="31" spans="1:34" x14ac:dyDescent="0.2">
      <c r="B31" s="2" t="s">
        <v>73</v>
      </c>
      <c r="J31" s="2">
        <v>749</v>
      </c>
    </row>
    <row r="32" spans="1:34" x14ac:dyDescent="0.2">
      <c r="B32" s="2" t="s">
        <v>74</v>
      </c>
      <c r="J32" s="2">
        <v>2983</v>
      </c>
    </row>
    <row r="33" spans="2:10" x14ac:dyDescent="0.2">
      <c r="B33" s="2" t="s">
        <v>75</v>
      </c>
      <c r="J33" s="2">
        <v>7813</v>
      </c>
    </row>
    <row r="34" spans="2:10" x14ac:dyDescent="0.2">
      <c r="B34" s="2" t="s">
        <v>76</v>
      </c>
      <c r="J34" s="2">
        <v>680</v>
      </c>
    </row>
    <row r="35" spans="2:10" x14ac:dyDescent="0.2">
      <c r="B35" s="2" t="s">
        <v>77</v>
      </c>
      <c r="J35" s="2">
        <v>42383</v>
      </c>
    </row>
    <row r="36" spans="2:10" x14ac:dyDescent="0.2">
      <c r="B36" s="2" t="s">
        <v>78</v>
      </c>
      <c r="J36" s="2">
        <v>2692</v>
      </c>
    </row>
    <row r="37" spans="2:10" x14ac:dyDescent="0.2">
      <c r="B37" s="2" t="s">
        <v>79</v>
      </c>
      <c r="J37" s="2">
        <v>16747</v>
      </c>
    </row>
    <row r="38" spans="2:10" x14ac:dyDescent="0.2">
      <c r="B38" s="2" t="s">
        <v>80</v>
      </c>
      <c r="J38" s="2">
        <v>2672</v>
      </c>
    </row>
    <row r="39" spans="2:10" s="4" customFormat="1" x14ac:dyDescent="0.2">
      <c r="B39" s="4" t="s">
        <v>81</v>
      </c>
      <c r="J39" s="4">
        <f>SUM(J28:J38)</f>
        <v>197295</v>
      </c>
    </row>
    <row r="40" spans="2:10" x14ac:dyDescent="0.2">
      <c r="B40" s="2" t="s">
        <v>82</v>
      </c>
      <c r="J40" s="2">
        <v>3137</v>
      </c>
    </row>
    <row r="41" spans="2:10" x14ac:dyDescent="0.2">
      <c r="B41" s="2" t="s">
        <v>83</v>
      </c>
      <c r="J41" s="2">
        <v>4581</v>
      </c>
    </row>
    <row r="42" spans="2:10" x14ac:dyDescent="0.2">
      <c r="B42" s="2" t="s">
        <v>87</v>
      </c>
      <c r="J42" s="2">
        <v>10177</v>
      </c>
    </row>
    <row r="43" spans="2:10" x14ac:dyDescent="0.2">
      <c r="B43" s="2" t="s">
        <v>84</v>
      </c>
      <c r="J43" s="2">
        <v>3975</v>
      </c>
    </row>
    <row r="44" spans="2:10" x14ac:dyDescent="0.2">
      <c r="B44" s="2" t="s">
        <v>85</v>
      </c>
      <c r="J44" s="2">
        <f>1432+340</f>
        <v>1772</v>
      </c>
    </row>
    <row r="45" spans="2:10" x14ac:dyDescent="0.2">
      <c r="B45" s="2" t="s">
        <v>86</v>
      </c>
      <c r="J45" s="2">
        <f>881+12812</f>
        <v>13693</v>
      </c>
    </row>
    <row r="46" spans="2:10" x14ac:dyDescent="0.2">
      <c r="B46" s="2" t="s">
        <v>5</v>
      </c>
      <c r="J46" s="2">
        <v>3969</v>
      </c>
    </row>
    <row r="47" spans="2:10" x14ac:dyDescent="0.2">
      <c r="B47" s="2" t="s">
        <v>76</v>
      </c>
      <c r="J47" s="2">
        <v>430</v>
      </c>
    </row>
    <row r="48" spans="2:10" x14ac:dyDescent="0.2">
      <c r="B48" s="2" t="s">
        <v>88</v>
      </c>
      <c r="J48" s="2">
        <v>3059</v>
      </c>
    </row>
    <row r="49" spans="2:10" s="4" customFormat="1" x14ac:dyDescent="0.2">
      <c r="B49" s="4" t="s">
        <v>89</v>
      </c>
      <c r="J49" s="4">
        <f>SUM(J40:J48)</f>
        <v>44793</v>
      </c>
    </row>
    <row r="50" spans="2:10" x14ac:dyDescent="0.2">
      <c r="B50" s="2" t="s">
        <v>90</v>
      </c>
      <c r="J50" s="2">
        <v>152502</v>
      </c>
    </row>
    <row r="51" spans="2:10" s="4" customFormat="1" x14ac:dyDescent="0.2">
      <c r="B51" s="4" t="s">
        <v>91</v>
      </c>
      <c r="J51" s="4">
        <f>SUM(J49:J50)</f>
        <v>197295</v>
      </c>
    </row>
    <row r="52" spans="2:10" s="4" customFormat="1" x14ac:dyDescent="0.2">
      <c r="B52" s="4" t="s">
        <v>69</v>
      </c>
      <c r="J52" s="4" t="str">
        <f>IF(J39=J51,"Balanced","Incorrect")</f>
        <v>Balanced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S51"/>
  <sheetViews>
    <sheetView zoomScale="148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29" sqref="H29"/>
    </sheetView>
  </sheetViews>
  <sheetFormatPr baseColWidth="10" defaultColWidth="9" defaultRowHeight="15" x14ac:dyDescent="0.2"/>
  <cols>
    <col min="1" max="1" width="9" style="2"/>
    <col min="2" max="2" width="19.5" style="2" bestFit="1" customWidth="1"/>
    <col min="3" max="8" width="9" style="2"/>
    <col min="9" max="9" width="12" style="2" bestFit="1" customWidth="1"/>
    <col min="10" max="32" width="9" style="2"/>
    <col min="33" max="33" width="10.5" style="2" bestFit="1" customWidth="1"/>
    <col min="34" max="34" width="11.83203125" style="2" bestFit="1" customWidth="1"/>
    <col min="35" max="16384" width="9" style="2"/>
  </cols>
  <sheetData>
    <row r="1" spans="1:149" x14ac:dyDescent="0.2">
      <c r="A1" s="2" t="s">
        <v>92</v>
      </c>
    </row>
    <row r="2" spans="1:149" s="8" customFormat="1" x14ac:dyDescent="0.2">
      <c r="C2" s="8" t="s">
        <v>51</v>
      </c>
      <c r="D2" s="8" t="s">
        <v>52</v>
      </c>
      <c r="E2" s="8" t="s">
        <v>53</v>
      </c>
      <c r="F2" s="8" t="s">
        <v>55</v>
      </c>
      <c r="G2" s="8" t="s">
        <v>54</v>
      </c>
      <c r="H2" s="8" t="s">
        <v>56</v>
      </c>
      <c r="I2" s="8" t="s">
        <v>57</v>
      </c>
      <c r="J2" s="8" t="s">
        <v>9</v>
      </c>
      <c r="K2" s="8" t="s">
        <v>58</v>
      </c>
      <c r="L2" s="8" t="s">
        <v>59</v>
      </c>
      <c r="M2" s="8" t="s">
        <v>60</v>
      </c>
      <c r="N2" s="8" t="s">
        <v>61</v>
      </c>
      <c r="P2" s="8">
        <v>2016</v>
      </c>
      <c r="Q2" s="8">
        <f>P2+1</f>
        <v>2017</v>
      </c>
      <c r="R2" s="8">
        <f t="shared" ref="R2:AE2" si="0">Q2+1</f>
        <v>2018</v>
      </c>
      <c r="S2" s="8">
        <f t="shared" si="0"/>
        <v>2019</v>
      </c>
      <c r="T2" s="8">
        <f t="shared" si="0"/>
        <v>2020</v>
      </c>
      <c r="U2" s="8">
        <f t="shared" si="0"/>
        <v>2021</v>
      </c>
      <c r="V2" s="8">
        <f t="shared" si="0"/>
        <v>2022</v>
      </c>
      <c r="W2" s="8">
        <f t="shared" si="0"/>
        <v>2023</v>
      </c>
      <c r="X2" s="8">
        <f t="shared" si="0"/>
        <v>2024</v>
      </c>
      <c r="Y2" s="8">
        <f t="shared" si="0"/>
        <v>2025</v>
      </c>
      <c r="Z2" s="8">
        <f t="shared" si="0"/>
        <v>2026</v>
      </c>
      <c r="AA2" s="8">
        <f t="shared" si="0"/>
        <v>2027</v>
      </c>
      <c r="AB2" s="8">
        <f t="shared" si="0"/>
        <v>2028</v>
      </c>
      <c r="AC2" s="8">
        <f t="shared" si="0"/>
        <v>2029</v>
      </c>
      <c r="AD2" s="8">
        <f t="shared" si="0"/>
        <v>2030</v>
      </c>
      <c r="AE2" s="8">
        <f t="shared" si="0"/>
        <v>2031</v>
      </c>
    </row>
    <row r="3" spans="1:149" s="4" customFormat="1" ht="16" x14ac:dyDescent="0.2">
      <c r="B3" s="3" t="s">
        <v>38</v>
      </c>
      <c r="C3" s="4">
        <v>20257</v>
      </c>
      <c r="D3" s="4">
        <v>21500</v>
      </c>
      <c r="E3" s="4">
        <v>22451</v>
      </c>
      <c r="F3" s="4">
        <f>90272-(SUM(C3:E3))</f>
        <v>26064</v>
      </c>
      <c r="G3" s="4">
        <v>24750</v>
      </c>
      <c r="H3" s="4">
        <v>26010</v>
      </c>
      <c r="I3" s="4">
        <v>27772</v>
      </c>
      <c r="J3" s="4">
        <f>110855-(SUM(G3:I3))</f>
        <v>32323</v>
      </c>
      <c r="K3" s="4">
        <f>G3*1.23</f>
        <v>30442.5</v>
      </c>
      <c r="L3" s="4">
        <f t="shared" ref="L3:N3" si="1">H3*1.23</f>
        <v>31992.3</v>
      </c>
      <c r="M3" s="4">
        <f t="shared" si="1"/>
        <v>34159.56</v>
      </c>
      <c r="N3" s="4">
        <f t="shared" si="1"/>
        <v>39757.29</v>
      </c>
      <c r="P3" s="4">
        <f>SUM(C3:F3)</f>
        <v>90272</v>
      </c>
      <c r="Q3" s="4">
        <f>SUM(G3:J3)</f>
        <v>110855</v>
      </c>
      <c r="R3" s="4">
        <f>SUM(K3:N3)</f>
        <v>136351.65</v>
      </c>
      <c r="S3" s="4">
        <f>R3*1.2</f>
        <v>163621.97999999998</v>
      </c>
      <c r="T3" s="4">
        <f>S3*1.19</f>
        <v>194710.15619999997</v>
      </c>
      <c r="U3" s="4">
        <f>T3*1.17</f>
        <v>227810.88275399996</v>
      </c>
      <c r="V3" s="4">
        <f>U3*1.15</f>
        <v>261982.51516709995</v>
      </c>
      <c r="W3" s="4">
        <f>V3*1.13</f>
        <v>296040.24213882291</v>
      </c>
      <c r="X3" s="4">
        <f>W3*1.12</f>
        <v>331565.07119548169</v>
      </c>
      <c r="Y3" s="4">
        <f>X3*1.12</f>
        <v>371352.87973893952</v>
      </c>
      <c r="Z3" s="4">
        <f>Y3*1.11</f>
        <v>412201.69651022292</v>
      </c>
      <c r="AA3" s="4">
        <f>Z3*1.08</f>
        <v>445177.83223104075</v>
      </c>
      <c r="AB3" s="4">
        <f>AA3*1.05</f>
        <v>467436.72384259279</v>
      </c>
      <c r="AC3" s="4">
        <f>AB3*1.02</f>
        <v>476785.45831944467</v>
      </c>
      <c r="AD3" s="4">
        <f>AC3*1.01</f>
        <v>481553.31290263915</v>
      </c>
      <c r="AE3" s="4">
        <f>AD3*0.99</f>
        <v>476737.77977361274</v>
      </c>
    </row>
    <row r="4" spans="1:149" x14ac:dyDescent="0.2">
      <c r="B4" s="2" t="s">
        <v>39</v>
      </c>
      <c r="C4" s="2">
        <v>7648</v>
      </c>
      <c r="D4" s="2">
        <v>8130</v>
      </c>
      <c r="E4" s="2">
        <v>8699</v>
      </c>
      <c r="F4" s="2">
        <f>35138-(SUM(C4:E4))</f>
        <v>10661</v>
      </c>
      <c r="G4" s="2">
        <v>9795</v>
      </c>
      <c r="H4" s="2">
        <v>10373</v>
      </c>
      <c r="I4" s="2">
        <v>11148</v>
      </c>
      <c r="J4" s="2">
        <f>45583-(SUM(G4:I4))</f>
        <v>14267</v>
      </c>
      <c r="K4" s="2">
        <f>K3-K5</f>
        <v>12785.850000000002</v>
      </c>
      <c r="L4" s="2">
        <f t="shared" ref="L4:N4" si="2">L3-L5</f>
        <v>13436.766</v>
      </c>
      <c r="M4" s="2">
        <f t="shared" si="2"/>
        <v>14347.015200000002</v>
      </c>
      <c r="N4" s="2">
        <f t="shared" si="2"/>
        <v>16698.061800000003</v>
      </c>
      <c r="P4" s="2">
        <f>SUM(C4:F4)</f>
        <v>35138</v>
      </c>
      <c r="Q4" s="2">
        <f>SUM(G4:J4)</f>
        <v>45583</v>
      </c>
      <c r="R4" s="2">
        <f>SUM(K4:N4)</f>
        <v>57267.693000000007</v>
      </c>
      <c r="S4" s="2">
        <f>S3-S5</f>
        <v>65448.792000000001</v>
      </c>
      <c r="T4" s="2">
        <f t="shared" ref="T4:AE4" si="3">T3-T5</f>
        <v>77884.062479999993</v>
      </c>
      <c r="U4" s="2">
        <f t="shared" si="3"/>
        <v>91124.353101599991</v>
      </c>
      <c r="V4" s="2">
        <f t="shared" si="3"/>
        <v>104793.00606684</v>
      </c>
      <c r="W4" s="2">
        <f t="shared" si="3"/>
        <v>118416.09685552918</v>
      </c>
      <c r="X4" s="2">
        <f t="shared" si="3"/>
        <v>132626.02847819269</v>
      </c>
      <c r="Y4" s="2">
        <f t="shared" si="3"/>
        <v>148541.15189557581</v>
      </c>
      <c r="Z4" s="2">
        <f t="shared" si="3"/>
        <v>164880.67860408919</v>
      </c>
      <c r="AA4" s="2">
        <f t="shared" si="3"/>
        <v>178071.13289241632</v>
      </c>
      <c r="AB4" s="2">
        <f t="shared" si="3"/>
        <v>186974.68953703711</v>
      </c>
      <c r="AC4" s="2">
        <f t="shared" si="3"/>
        <v>190714.18332777789</v>
      </c>
      <c r="AD4" s="2">
        <f t="shared" si="3"/>
        <v>192621.32516105566</v>
      </c>
      <c r="AE4" s="2">
        <f t="shared" si="3"/>
        <v>190695.11190944508</v>
      </c>
    </row>
    <row r="5" spans="1:149" s="4" customFormat="1" x14ac:dyDescent="0.2">
      <c r="B5" s="4" t="s">
        <v>40</v>
      </c>
      <c r="C5" s="4">
        <f t="shared" ref="C5:J5" si="4">C3-C4</f>
        <v>12609</v>
      </c>
      <c r="D5" s="4">
        <f t="shared" si="4"/>
        <v>13370</v>
      </c>
      <c r="E5" s="4">
        <f t="shared" si="4"/>
        <v>13752</v>
      </c>
      <c r="F5" s="4">
        <f t="shared" si="4"/>
        <v>15403</v>
      </c>
      <c r="G5" s="4">
        <f t="shared" si="4"/>
        <v>14955</v>
      </c>
      <c r="H5" s="4">
        <f t="shared" si="4"/>
        <v>15637</v>
      </c>
      <c r="I5" s="4">
        <f t="shared" si="4"/>
        <v>16624</v>
      </c>
      <c r="J5" s="4">
        <f t="shared" si="4"/>
        <v>18056</v>
      </c>
      <c r="K5" s="4">
        <f>K3*0.58</f>
        <v>17656.649999999998</v>
      </c>
      <c r="L5" s="4">
        <f t="shared" ref="L5:N5" si="5">L3*0.58</f>
        <v>18555.534</v>
      </c>
      <c r="M5" s="4">
        <f t="shared" si="5"/>
        <v>19812.544799999996</v>
      </c>
      <c r="N5" s="4">
        <f t="shared" si="5"/>
        <v>23059.228199999998</v>
      </c>
      <c r="P5" s="4">
        <f>P3*0.6</f>
        <v>54163.199999999997</v>
      </c>
      <c r="Q5" s="4">
        <f>Q3*0.6</f>
        <v>66513</v>
      </c>
      <c r="R5" s="4">
        <f>R3*0.6</f>
        <v>81810.989999999991</v>
      </c>
      <c r="S5" s="4">
        <f>S3*R19</f>
        <v>98173.18799999998</v>
      </c>
      <c r="T5" s="4">
        <f t="shared" ref="T5:AE5" si="6">T3*S19</f>
        <v>116826.09371999998</v>
      </c>
      <c r="U5" s="4">
        <f t="shared" si="6"/>
        <v>136686.52965239997</v>
      </c>
      <c r="V5" s="4">
        <f t="shared" si="6"/>
        <v>157189.50910025995</v>
      </c>
      <c r="W5" s="4">
        <f t="shared" si="6"/>
        <v>177624.14528329374</v>
      </c>
      <c r="X5" s="4">
        <f t="shared" si="6"/>
        <v>198939.042717289</v>
      </c>
      <c r="Y5" s="4">
        <f t="shared" si="6"/>
        <v>222811.72784336371</v>
      </c>
      <c r="Z5" s="4">
        <f t="shared" si="6"/>
        <v>247321.01790613373</v>
      </c>
      <c r="AA5" s="4">
        <f t="shared" si="6"/>
        <v>267106.69933862443</v>
      </c>
      <c r="AB5" s="4">
        <f t="shared" si="6"/>
        <v>280462.03430555569</v>
      </c>
      <c r="AC5" s="4">
        <f t="shared" si="6"/>
        <v>286071.27499166678</v>
      </c>
      <c r="AD5" s="4">
        <f t="shared" si="6"/>
        <v>288931.98774158349</v>
      </c>
      <c r="AE5" s="4">
        <f t="shared" si="6"/>
        <v>286042.66786416766</v>
      </c>
    </row>
    <row r="6" spans="1:149" x14ac:dyDescent="0.2">
      <c r="B6" s="2" t="s">
        <v>41</v>
      </c>
      <c r="C6" s="4">
        <v>3367</v>
      </c>
      <c r="D6" s="4">
        <v>3363</v>
      </c>
      <c r="E6" s="4">
        <v>3596</v>
      </c>
      <c r="F6" s="2">
        <f>13948-(SUM(C6:E6))</f>
        <v>3622</v>
      </c>
      <c r="G6" s="4">
        <v>3942</v>
      </c>
      <c r="H6" s="4">
        <v>4172</v>
      </c>
      <c r="I6" s="4">
        <v>4205</v>
      </c>
      <c r="J6" s="2">
        <f>16625-(SUM(G6:I6))</f>
        <v>4306</v>
      </c>
      <c r="K6" s="2">
        <f>G6*1.2</f>
        <v>4730.3999999999996</v>
      </c>
      <c r="L6" s="2">
        <f t="shared" ref="L6:N6" si="7">H6*1.2</f>
        <v>5006.3999999999996</v>
      </c>
      <c r="M6" s="2">
        <f t="shared" si="7"/>
        <v>5046</v>
      </c>
      <c r="N6" s="2">
        <f t="shared" si="7"/>
        <v>5167.2</v>
      </c>
      <c r="P6" s="2">
        <f>SUM(C6:F6)</f>
        <v>13948</v>
      </c>
      <c r="Q6" s="2">
        <f>SUM(G6:J6)</f>
        <v>16625</v>
      </c>
      <c r="R6" s="2">
        <f>SUM(K6:N6)</f>
        <v>19950</v>
      </c>
      <c r="S6" s="2">
        <f>R6*1.2</f>
        <v>23940</v>
      </c>
      <c r="T6" s="2">
        <f>S6*1.15</f>
        <v>27530.999999999996</v>
      </c>
      <c r="U6" s="2">
        <f>T6*1.14</f>
        <v>31385.339999999993</v>
      </c>
      <c r="V6" s="2">
        <f>U6*1.13</f>
        <v>35465.434199999989</v>
      </c>
      <c r="W6" s="2">
        <f>V6*1.12</f>
        <v>39721.286303999994</v>
      </c>
      <c r="X6" s="2">
        <f>W6*1.11</f>
        <v>44090.62779744</v>
      </c>
      <c r="Y6" s="2">
        <f>X6*1.1</f>
        <v>48499.690577184003</v>
      </c>
      <c r="Z6" s="2">
        <f t="shared" ref="Z6:AE6" si="8">Y6*1.1</f>
        <v>53349.659634902404</v>
      </c>
      <c r="AA6" s="2">
        <f t="shared" si="8"/>
        <v>58684.625598392646</v>
      </c>
      <c r="AB6" s="2">
        <f t="shared" si="8"/>
        <v>64553.088158231913</v>
      </c>
      <c r="AC6" s="2">
        <f t="shared" si="8"/>
        <v>71008.396974055111</v>
      </c>
      <c r="AD6" s="2">
        <f t="shared" si="8"/>
        <v>78109.236671460632</v>
      </c>
      <c r="AE6" s="2">
        <f t="shared" si="8"/>
        <v>85920.1603386067</v>
      </c>
    </row>
    <row r="7" spans="1:149" x14ac:dyDescent="0.2">
      <c r="B7" s="2" t="s">
        <v>42</v>
      </c>
      <c r="C7" s="2">
        <v>2387</v>
      </c>
      <c r="D7" s="2">
        <v>2415</v>
      </c>
      <c r="E7" s="2">
        <v>2565</v>
      </c>
      <c r="F7" s="2">
        <f>10485-(SUM(C7:E7))</f>
        <v>3118</v>
      </c>
      <c r="G7" s="2">
        <v>2644</v>
      </c>
      <c r="H7" s="2">
        <v>2897</v>
      </c>
      <c r="I7" s="2">
        <v>3042</v>
      </c>
      <c r="J7" s="2">
        <f>12893-(SUM(G7:I7))</f>
        <v>4310</v>
      </c>
      <c r="K7" s="2">
        <f>G7*1.15</f>
        <v>3040.6</v>
      </c>
      <c r="L7" s="2">
        <f t="shared" ref="L7:N9" si="9">H7*1.15</f>
        <v>3331.5499999999997</v>
      </c>
      <c r="M7" s="2">
        <f t="shared" si="9"/>
        <v>3498.2999999999997</v>
      </c>
      <c r="N7" s="2">
        <f t="shared" si="9"/>
        <v>4956.5</v>
      </c>
      <c r="P7" s="2">
        <f>SUM(C7:F7)</f>
        <v>10485</v>
      </c>
      <c r="Q7" s="2">
        <f>SUM(G7:J7)</f>
        <v>12893</v>
      </c>
      <c r="R7" s="2">
        <f>SUM(K7:N7)</f>
        <v>14826.949999999999</v>
      </c>
      <c r="S7" s="2">
        <f>R7*1.14</f>
        <v>16902.722999999998</v>
      </c>
      <c r="T7" s="2">
        <f t="shared" ref="T7:U9" si="10">S7*1.14</f>
        <v>19269.104219999997</v>
      </c>
      <c r="U7" s="2">
        <f t="shared" si="10"/>
        <v>21966.778810799995</v>
      </c>
      <c r="V7" s="2">
        <f>U7*1.11</f>
        <v>24383.124479987997</v>
      </c>
      <c r="W7" s="2">
        <f>V7*1.1</f>
        <v>26821.436927986797</v>
      </c>
      <c r="X7" s="2">
        <f t="shared" ref="X7:AE7" si="11">W7*1.1</f>
        <v>29503.58062078548</v>
      </c>
      <c r="Y7" s="2">
        <f t="shared" si="11"/>
        <v>32453.938682864031</v>
      </c>
      <c r="Z7" s="2">
        <f t="shared" si="11"/>
        <v>35699.332551150437</v>
      </c>
      <c r="AA7" s="2">
        <f t="shared" si="11"/>
        <v>39269.265806265481</v>
      </c>
      <c r="AB7" s="2">
        <f t="shared" si="11"/>
        <v>43196.192386892035</v>
      </c>
      <c r="AC7" s="2">
        <f t="shared" si="11"/>
        <v>47515.811625581242</v>
      </c>
      <c r="AD7" s="2">
        <f t="shared" si="11"/>
        <v>52267.392788139368</v>
      </c>
      <c r="AE7" s="2">
        <f t="shared" si="11"/>
        <v>57494.132066953309</v>
      </c>
    </row>
    <row r="8" spans="1:149" x14ac:dyDescent="0.2">
      <c r="B8" s="2" t="s">
        <v>43</v>
      </c>
      <c r="C8" s="2">
        <v>1513</v>
      </c>
      <c r="D8" s="2">
        <v>1624</v>
      </c>
      <c r="E8" s="2">
        <v>1824</v>
      </c>
      <c r="F8" s="2">
        <f>6985-(SUM(C8:E8))</f>
        <v>2024</v>
      </c>
      <c r="G8" s="2">
        <v>1801</v>
      </c>
      <c r="H8" s="2">
        <v>1700</v>
      </c>
      <c r="I8" s="2">
        <v>1595</v>
      </c>
      <c r="J8" s="2">
        <f>6872-(SUM(G8:I8))</f>
        <v>1776</v>
      </c>
      <c r="K8" s="2">
        <f t="shared" ref="K8:K9" si="12">G8*1.15</f>
        <v>2071.1499999999996</v>
      </c>
      <c r="L8" s="2">
        <f t="shared" si="9"/>
        <v>1954.9999999999998</v>
      </c>
      <c r="M8" s="2">
        <f t="shared" si="9"/>
        <v>1834.2499999999998</v>
      </c>
      <c r="N8" s="2">
        <f t="shared" si="9"/>
        <v>2042.3999999999999</v>
      </c>
      <c r="P8" s="2">
        <f>SUM(C8:F8)</f>
        <v>6985</v>
      </c>
      <c r="Q8" s="2">
        <f>SUM(G8:J8)</f>
        <v>6872</v>
      </c>
      <c r="R8" s="2">
        <f>SUM(K8:N8)</f>
        <v>7902.7999999999993</v>
      </c>
      <c r="S8" s="2">
        <f>R8*1.14</f>
        <v>9009.1919999999991</v>
      </c>
      <c r="T8" s="2">
        <f t="shared" si="10"/>
        <v>10270.478879999999</v>
      </c>
      <c r="U8" s="2">
        <f t="shared" si="10"/>
        <v>11708.345923199997</v>
      </c>
      <c r="V8" s="2">
        <f t="shared" ref="V8:V9" si="13">U8*1.11</f>
        <v>12996.263974751997</v>
      </c>
      <c r="W8" s="2">
        <f t="shared" ref="W8:AE9" si="14">V8*1.1</f>
        <v>14295.890372227197</v>
      </c>
      <c r="X8" s="2">
        <f t="shared" si="14"/>
        <v>15725.479409449918</v>
      </c>
      <c r="Y8" s="2">
        <f t="shared" si="14"/>
        <v>17298.02735039491</v>
      </c>
      <c r="Z8" s="2">
        <f t="shared" si="14"/>
        <v>19027.830085434402</v>
      </c>
      <c r="AA8" s="2">
        <f t="shared" si="14"/>
        <v>20930.613093977845</v>
      </c>
      <c r="AB8" s="2">
        <f t="shared" si="14"/>
        <v>23023.674403375633</v>
      </c>
      <c r="AC8" s="2">
        <f t="shared" si="14"/>
        <v>25326.041843713199</v>
      </c>
      <c r="AD8" s="2">
        <f t="shared" si="14"/>
        <v>27858.64602808452</v>
      </c>
      <c r="AE8" s="2">
        <f t="shared" si="14"/>
        <v>30644.510630892975</v>
      </c>
    </row>
    <row r="9" spans="1:149" x14ac:dyDescent="0.2">
      <c r="B9" s="2" t="s">
        <v>44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2736</v>
      </c>
      <c r="I9" s="2">
        <v>0</v>
      </c>
      <c r="J9" s="2">
        <f>2736-(SUM(G9:I9))</f>
        <v>0</v>
      </c>
      <c r="K9" s="2">
        <f t="shared" si="12"/>
        <v>0</v>
      </c>
      <c r="L9" s="2">
        <f t="shared" si="9"/>
        <v>3146.3999999999996</v>
      </c>
      <c r="M9" s="2">
        <f t="shared" si="9"/>
        <v>0</v>
      </c>
      <c r="N9" s="2">
        <f t="shared" si="9"/>
        <v>0</v>
      </c>
      <c r="P9" s="2">
        <f>SUM(C9:F9)</f>
        <v>0</v>
      </c>
      <c r="Q9" s="2">
        <f>SUM(G9:J9)</f>
        <v>2736</v>
      </c>
      <c r="R9" s="2">
        <f>SUM(K9:N9)</f>
        <v>3146.3999999999996</v>
      </c>
      <c r="S9" s="2">
        <f>R9*1.14</f>
        <v>3586.8959999999993</v>
      </c>
      <c r="T9" s="2">
        <f t="shared" si="10"/>
        <v>4089.061439999999</v>
      </c>
      <c r="U9" s="2">
        <f t="shared" si="10"/>
        <v>4661.5300415999982</v>
      </c>
      <c r="V9" s="2">
        <f t="shared" si="13"/>
        <v>5174.2983461759986</v>
      </c>
      <c r="W9" s="2">
        <f t="shared" si="14"/>
        <v>5691.7281807935988</v>
      </c>
      <c r="X9" s="2">
        <f t="shared" si="14"/>
        <v>6260.9009988729595</v>
      </c>
      <c r="Y9" s="2">
        <f t="shared" si="14"/>
        <v>6886.9910987602561</v>
      </c>
      <c r="Z9" s="2">
        <f t="shared" si="14"/>
        <v>7575.6902086362825</v>
      </c>
      <c r="AA9" s="2">
        <f t="shared" si="14"/>
        <v>8333.2592294999122</v>
      </c>
      <c r="AB9" s="2">
        <f t="shared" si="14"/>
        <v>9166.5851524499049</v>
      </c>
      <c r="AC9" s="2">
        <f t="shared" si="14"/>
        <v>10083.243667694896</v>
      </c>
      <c r="AD9" s="2">
        <f t="shared" si="14"/>
        <v>11091.568034464386</v>
      </c>
      <c r="AE9" s="2">
        <f t="shared" si="14"/>
        <v>12200.724837910826</v>
      </c>
    </row>
    <row r="10" spans="1:149" x14ac:dyDescent="0.2">
      <c r="B10" s="2" t="s">
        <v>45</v>
      </c>
      <c r="C10" s="2">
        <f t="shared" ref="C10:J10" si="15">SUM(C6:C9)</f>
        <v>7267</v>
      </c>
      <c r="D10" s="2">
        <f t="shared" si="15"/>
        <v>7402</v>
      </c>
      <c r="E10" s="2">
        <f t="shared" si="15"/>
        <v>7985</v>
      </c>
      <c r="F10" s="2">
        <f t="shared" si="15"/>
        <v>8764</v>
      </c>
      <c r="G10" s="2">
        <f t="shared" si="15"/>
        <v>8387</v>
      </c>
      <c r="H10" s="2">
        <f t="shared" si="15"/>
        <v>11505</v>
      </c>
      <c r="I10" s="2">
        <f t="shared" si="15"/>
        <v>8842</v>
      </c>
      <c r="J10" s="2">
        <f t="shared" si="15"/>
        <v>10392</v>
      </c>
      <c r="K10" s="2">
        <f t="shared" ref="K10:AE10" si="16">SUM(K6:K9)</f>
        <v>9842.15</v>
      </c>
      <c r="L10" s="2">
        <f t="shared" si="16"/>
        <v>13439.349999999999</v>
      </c>
      <c r="M10" s="2">
        <f t="shared" si="16"/>
        <v>10378.549999999999</v>
      </c>
      <c r="N10" s="2">
        <f t="shared" si="16"/>
        <v>12166.1</v>
      </c>
      <c r="P10" s="2">
        <f t="shared" si="16"/>
        <v>31418</v>
      </c>
      <c r="Q10" s="2">
        <f t="shared" si="16"/>
        <v>39126</v>
      </c>
      <c r="R10" s="2">
        <f t="shared" si="16"/>
        <v>45826.15</v>
      </c>
      <c r="S10" s="2">
        <f t="shared" si="16"/>
        <v>53438.810999999994</v>
      </c>
      <c r="T10" s="2">
        <f t="shared" si="16"/>
        <v>61159.644539999987</v>
      </c>
      <c r="U10" s="2">
        <f t="shared" si="16"/>
        <v>69721.994775599989</v>
      </c>
      <c r="V10" s="2">
        <f t="shared" si="16"/>
        <v>78019.121000915984</v>
      </c>
      <c r="W10" s="2">
        <f t="shared" si="16"/>
        <v>86530.341785007578</v>
      </c>
      <c r="X10" s="2">
        <f t="shared" si="16"/>
        <v>95580.588826548366</v>
      </c>
      <c r="Y10" s="2">
        <f t="shared" si="16"/>
        <v>105138.64770920321</v>
      </c>
      <c r="Z10" s="2">
        <f t="shared" si="16"/>
        <v>115652.51248012352</v>
      </c>
      <c r="AA10" s="2">
        <f t="shared" si="16"/>
        <v>127217.76372813588</v>
      </c>
      <c r="AB10" s="2">
        <f t="shared" si="16"/>
        <v>139939.54010094947</v>
      </c>
      <c r="AC10" s="2">
        <f t="shared" si="16"/>
        <v>153933.49411104445</v>
      </c>
      <c r="AD10" s="2">
        <f t="shared" si="16"/>
        <v>169326.84352214891</v>
      </c>
      <c r="AE10" s="2">
        <f t="shared" si="16"/>
        <v>186259.52787436379</v>
      </c>
    </row>
    <row r="11" spans="1:149" s="4" customFormat="1" x14ac:dyDescent="0.2">
      <c r="B11" s="4" t="s">
        <v>46</v>
      </c>
      <c r="C11" s="4">
        <f t="shared" ref="C11:J11" si="17">C5-C10</f>
        <v>5342</v>
      </c>
      <c r="D11" s="4">
        <f t="shared" si="17"/>
        <v>5968</v>
      </c>
      <c r="E11" s="4">
        <f t="shared" si="17"/>
        <v>5767</v>
      </c>
      <c r="F11" s="4">
        <f t="shared" si="17"/>
        <v>6639</v>
      </c>
      <c r="G11" s="4">
        <f t="shared" si="17"/>
        <v>6568</v>
      </c>
      <c r="H11" s="4">
        <f t="shared" si="17"/>
        <v>4132</v>
      </c>
      <c r="I11" s="4">
        <f t="shared" si="17"/>
        <v>7782</v>
      </c>
      <c r="J11" s="4">
        <f t="shared" si="17"/>
        <v>7664</v>
      </c>
      <c r="K11" s="4">
        <f t="shared" ref="K11:AE11" si="18">K5-K10</f>
        <v>7814.4999999999982</v>
      </c>
      <c r="L11" s="4">
        <f t="shared" si="18"/>
        <v>5116.1840000000011</v>
      </c>
      <c r="M11" s="4">
        <f t="shared" si="18"/>
        <v>9433.9947999999968</v>
      </c>
      <c r="N11" s="4">
        <f t="shared" si="18"/>
        <v>10893.128199999997</v>
      </c>
      <c r="P11" s="4">
        <f t="shared" si="18"/>
        <v>22745.199999999997</v>
      </c>
      <c r="Q11" s="4">
        <f t="shared" si="18"/>
        <v>27387</v>
      </c>
      <c r="R11" s="4">
        <f t="shared" si="18"/>
        <v>35984.839999999989</v>
      </c>
      <c r="S11" s="4">
        <f t="shared" si="18"/>
        <v>44734.376999999986</v>
      </c>
      <c r="T11" s="4">
        <f t="shared" si="18"/>
        <v>55666.449179999989</v>
      </c>
      <c r="U11" s="4">
        <f t="shared" si="18"/>
        <v>66964.534876799982</v>
      </c>
      <c r="V11" s="4">
        <f t="shared" si="18"/>
        <v>79170.388099343967</v>
      </c>
      <c r="W11" s="4">
        <f t="shared" si="18"/>
        <v>91093.803498286157</v>
      </c>
      <c r="X11" s="4">
        <f t="shared" si="18"/>
        <v>103358.45389074064</v>
      </c>
      <c r="Y11" s="4">
        <f t="shared" si="18"/>
        <v>117673.0801341605</v>
      </c>
      <c r="Z11" s="4">
        <f t="shared" si="18"/>
        <v>131668.5054260102</v>
      </c>
      <c r="AA11" s="4">
        <f t="shared" si="18"/>
        <v>139888.93561048855</v>
      </c>
      <c r="AB11" s="4">
        <f t="shared" si="18"/>
        <v>140522.49420460622</v>
      </c>
      <c r="AC11" s="4">
        <f t="shared" si="18"/>
        <v>132137.78088062233</v>
      </c>
      <c r="AD11" s="4">
        <f t="shared" si="18"/>
        <v>119605.14421943459</v>
      </c>
      <c r="AE11" s="4">
        <f t="shared" si="18"/>
        <v>99783.139989803865</v>
      </c>
    </row>
    <row r="12" spans="1:149" x14ac:dyDescent="0.2">
      <c r="B12" s="2" t="s">
        <v>62</v>
      </c>
      <c r="C12" s="2">
        <v>-213</v>
      </c>
      <c r="D12" s="2">
        <v>151</v>
      </c>
      <c r="E12" s="2">
        <v>278</v>
      </c>
      <c r="F12" s="2">
        <f>434-(SUM(C12:E12))</f>
        <v>218</v>
      </c>
      <c r="G12" s="2">
        <v>251</v>
      </c>
      <c r="H12" s="2">
        <v>245</v>
      </c>
      <c r="I12" s="2">
        <v>197</v>
      </c>
      <c r="J12" s="2">
        <f>1047-(SUM(G12:I12))</f>
        <v>354</v>
      </c>
      <c r="K12" s="2">
        <f>G12*1.05</f>
        <v>263.55</v>
      </c>
      <c r="L12" s="2">
        <f t="shared" ref="L12:N12" si="19">H12*1.05</f>
        <v>257.25</v>
      </c>
      <c r="M12" s="2">
        <f t="shared" si="19"/>
        <v>206.85000000000002</v>
      </c>
      <c r="N12" s="2">
        <f t="shared" si="19"/>
        <v>371.7</v>
      </c>
      <c r="P12" s="2">
        <f>SUM(C12:F12)</f>
        <v>434</v>
      </c>
      <c r="Q12" s="2">
        <f>SUM(G12:J12)</f>
        <v>1047</v>
      </c>
      <c r="R12" s="2">
        <f>SUM(K12:N12)</f>
        <v>1099.3499999999999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</row>
    <row r="13" spans="1:149" s="4" customFormat="1" x14ac:dyDescent="0.2">
      <c r="B13" s="4" t="s">
        <v>47</v>
      </c>
      <c r="C13" s="4">
        <f t="shared" ref="C13:I13" si="20">C11+C12</f>
        <v>5129</v>
      </c>
      <c r="D13" s="4">
        <f t="shared" si="20"/>
        <v>6119</v>
      </c>
      <c r="E13" s="4">
        <f t="shared" si="20"/>
        <v>6045</v>
      </c>
      <c r="F13" s="4">
        <f t="shared" si="20"/>
        <v>6857</v>
      </c>
      <c r="G13" s="4">
        <f t="shared" si="20"/>
        <v>6819</v>
      </c>
      <c r="H13" s="4">
        <f t="shared" si="20"/>
        <v>4377</v>
      </c>
      <c r="I13" s="4">
        <f t="shared" si="20"/>
        <v>7979</v>
      </c>
      <c r="J13" s="4">
        <f>27193-(SUM(G13:I13))</f>
        <v>8018</v>
      </c>
      <c r="K13" s="4">
        <f t="shared" ref="K13:AE13" si="21">K11+K12</f>
        <v>8078.0499999999984</v>
      </c>
      <c r="L13" s="4">
        <f t="shared" si="21"/>
        <v>5373.4340000000011</v>
      </c>
      <c r="M13" s="4">
        <f t="shared" si="21"/>
        <v>9640.8447999999971</v>
      </c>
      <c r="N13" s="4">
        <f t="shared" si="21"/>
        <v>11264.828199999998</v>
      </c>
      <c r="P13" s="4">
        <f t="shared" si="21"/>
        <v>23179.199999999997</v>
      </c>
      <c r="Q13" s="4">
        <f t="shared" si="21"/>
        <v>28434</v>
      </c>
      <c r="R13" s="4">
        <f t="shared" si="21"/>
        <v>37084.189999999988</v>
      </c>
      <c r="S13" s="4">
        <f t="shared" si="21"/>
        <v>44734.376999999986</v>
      </c>
      <c r="T13" s="4">
        <f t="shared" si="21"/>
        <v>55666.449179999989</v>
      </c>
      <c r="U13" s="4">
        <f t="shared" si="21"/>
        <v>66964.534876799982</v>
      </c>
      <c r="V13" s="4">
        <f t="shared" si="21"/>
        <v>79170.388099343967</v>
      </c>
      <c r="W13" s="4">
        <f t="shared" si="21"/>
        <v>91093.803498286157</v>
      </c>
      <c r="X13" s="4">
        <f t="shared" si="21"/>
        <v>103358.45389074064</v>
      </c>
      <c r="Y13" s="4">
        <f t="shared" si="21"/>
        <v>117673.0801341605</v>
      </c>
      <c r="Z13" s="4">
        <f t="shared" si="21"/>
        <v>131668.5054260102</v>
      </c>
      <c r="AA13" s="4">
        <f t="shared" si="21"/>
        <v>139888.93561048855</v>
      </c>
      <c r="AB13" s="4">
        <f t="shared" si="21"/>
        <v>140522.49420460622</v>
      </c>
      <c r="AC13" s="4">
        <f t="shared" si="21"/>
        <v>132137.78088062233</v>
      </c>
      <c r="AD13" s="4">
        <f t="shared" si="21"/>
        <v>119605.14421943459</v>
      </c>
      <c r="AE13" s="4">
        <f t="shared" si="21"/>
        <v>99783.139989803865</v>
      </c>
    </row>
    <row r="14" spans="1:149" x14ac:dyDescent="0.2">
      <c r="B14" s="2" t="s">
        <v>48</v>
      </c>
      <c r="C14" s="2">
        <v>922</v>
      </c>
      <c r="D14" s="2">
        <v>1242</v>
      </c>
      <c r="E14" s="2">
        <v>984</v>
      </c>
      <c r="F14" s="2">
        <f>4672-(SUM(C14:E14))</f>
        <v>1524</v>
      </c>
      <c r="G14" s="2">
        <v>1393</v>
      </c>
      <c r="H14" s="2">
        <v>853</v>
      </c>
      <c r="I14" s="2">
        <v>1247</v>
      </c>
      <c r="J14" s="2">
        <f>14531-(SUM(G14:I14))</f>
        <v>11038</v>
      </c>
      <c r="K14" s="2">
        <f>K13*0.18</f>
        <v>1454.0489999999998</v>
      </c>
      <c r="L14" s="2">
        <f t="shared" ref="L14:N14" si="22">L13*0.18</f>
        <v>967.21812000000011</v>
      </c>
      <c r="M14" s="2">
        <f t="shared" si="22"/>
        <v>1735.3520639999995</v>
      </c>
      <c r="N14" s="2">
        <f t="shared" si="22"/>
        <v>2027.6690759999997</v>
      </c>
      <c r="P14" s="2">
        <f>SUM(C14:F14)</f>
        <v>4672</v>
      </c>
      <c r="Q14" s="2">
        <f>SUM(G14:J14)</f>
        <v>14531</v>
      </c>
      <c r="R14" s="2">
        <f>SUM(K14:N14)</f>
        <v>6184.2882599999994</v>
      </c>
      <c r="S14" s="2">
        <f>S13*0.2</f>
        <v>8946.8753999999972</v>
      </c>
      <c r="T14" s="2">
        <f t="shared" ref="T14:AE14" si="23">T13*0.2</f>
        <v>11133.289835999998</v>
      </c>
      <c r="U14" s="2">
        <f t="shared" si="23"/>
        <v>13392.906975359998</v>
      </c>
      <c r="V14" s="2">
        <f t="shared" si="23"/>
        <v>15834.077619868794</v>
      </c>
      <c r="W14" s="2">
        <f t="shared" si="23"/>
        <v>18218.760699657232</v>
      </c>
      <c r="X14" s="2">
        <f t="shared" si="23"/>
        <v>20671.690778148128</v>
      </c>
      <c r="Y14" s="2">
        <f t="shared" si="23"/>
        <v>23534.6160268321</v>
      </c>
      <c r="Z14" s="2">
        <f t="shared" si="23"/>
        <v>26333.701085202043</v>
      </c>
      <c r="AA14" s="2">
        <f t="shared" si="23"/>
        <v>27977.78712209771</v>
      </c>
      <c r="AB14" s="2">
        <f t="shared" si="23"/>
        <v>28104.498840921246</v>
      </c>
      <c r="AC14" s="2">
        <f t="shared" si="23"/>
        <v>26427.556176124468</v>
      </c>
      <c r="AD14" s="2">
        <f t="shared" si="23"/>
        <v>23921.028843886917</v>
      </c>
      <c r="AE14" s="2">
        <f t="shared" si="23"/>
        <v>19956.627997960775</v>
      </c>
    </row>
    <row r="15" spans="1:149" s="4" customFormat="1" x14ac:dyDescent="0.2">
      <c r="B15" s="4" t="s">
        <v>49</v>
      </c>
      <c r="C15" s="4">
        <f t="shared" ref="C15:J15" si="24">C13-C14</f>
        <v>4207</v>
      </c>
      <c r="D15" s="4">
        <f t="shared" si="24"/>
        <v>4877</v>
      </c>
      <c r="E15" s="4">
        <f t="shared" si="24"/>
        <v>5061</v>
      </c>
      <c r="F15" s="4">
        <f t="shared" si="24"/>
        <v>5333</v>
      </c>
      <c r="G15" s="4">
        <f t="shared" si="24"/>
        <v>5426</v>
      </c>
      <c r="H15" s="4">
        <f t="shared" si="24"/>
        <v>3524</v>
      </c>
      <c r="I15" s="4">
        <f t="shared" si="24"/>
        <v>6732</v>
      </c>
      <c r="J15" s="4">
        <f t="shared" si="24"/>
        <v>-3020</v>
      </c>
      <c r="K15" s="4">
        <f t="shared" ref="K15:AE15" si="25">K13-K14</f>
        <v>6624.0009999999984</v>
      </c>
      <c r="L15" s="4">
        <f t="shared" si="25"/>
        <v>4406.2158800000007</v>
      </c>
      <c r="M15" s="4">
        <f t="shared" si="25"/>
        <v>7905.4927359999974</v>
      </c>
      <c r="N15" s="4">
        <f t="shared" si="25"/>
        <v>9237.159123999998</v>
      </c>
      <c r="P15" s="4">
        <f t="shared" si="25"/>
        <v>18507.199999999997</v>
      </c>
      <c r="Q15" s="4">
        <f t="shared" si="25"/>
        <v>13903</v>
      </c>
      <c r="R15" s="4">
        <f t="shared" si="25"/>
        <v>30899.901739999987</v>
      </c>
      <c r="S15" s="4">
        <f t="shared" si="25"/>
        <v>35787.501599999989</v>
      </c>
      <c r="T15" s="4">
        <f t="shared" si="25"/>
        <v>44533.159343999992</v>
      </c>
      <c r="U15" s="4">
        <f t="shared" si="25"/>
        <v>53571.627901439984</v>
      </c>
      <c r="V15" s="4">
        <f t="shared" si="25"/>
        <v>63336.310479475171</v>
      </c>
      <c r="W15" s="4">
        <f t="shared" si="25"/>
        <v>72875.042798628929</v>
      </c>
      <c r="X15" s="4">
        <f t="shared" si="25"/>
        <v>82686.763112592511</v>
      </c>
      <c r="Y15" s="4">
        <f t="shared" si="25"/>
        <v>94138.4641073284</v>
      </c>
      <c r="Z15" s="4">
        <f t="shared" si="25"/>
        <v>105334.80434080816</v>
      </c>
      <c r="AA15" s="4">
        <f t="shared" si="25"/>
        <v>111911.14848839084</v>
      </c>
      <c r="AB15" s="4">
        <f t="shared" si="25"/>
        <v>112417.99536368498</v>
      </c>
      <c r="AC15" s="4">
        <f t="shared" si="25"/>
        <v>105710.22470449787</v>
      </c>
      <c r="AD15" s="4">
        <f t="shared" si="25"/>
        <v>95684.11537554767</v>
      </c>
      <c r="AE15" s="4">
        <f t="shared" si="25"/>
        <v>79826.511991843086</v>
      </c>
      <c r="AF15" s="4">
        <f>AE15*(1+$AH$18)</f>
        <v>78229.981752006221</v>
      </c>
      <c r="AG15" s="4">
        <f>AF15*(1+$AH$18)</f>
        <v>76665.382116966095</v>
      </c>
      <c r="AH15" s="4">
        <f t="shared" ref="AH15:CS15" si="26">AG15*(1+$AH$18)</f>
        <v>75132.074474626774</v>
      </c>
      <c r="AI15" s="4">
        <f t="shared" si="26"/>
        <v>73629.432985134234</v>
      </c>
      <c r="AJ15" s="4">
        <f t="shared" si="26"/>
        <v>72156.84432543155</v>
      </c>
      <c r="AK15" s="4">
        <f t="shared" si="26"/>
        <v>70713.707438922924</v>
      </c>
      <c r="AL15" s="4">
        <f t="shared" si="26"/>
        <v>69299.433290144458</v>
      </c>
      <c r="AM15" s="4">
        <f t="shared" si="26"/>
        <v>67913.444624341573</v>
      </c>
      <c r="AN15" s="4">
        <f t="shared" si="26"/>
        <v>66555.175731854746</v>
      </c>
      <c r="AO15" s="4">
        <f t="shared" si="26"/>
        <v>65224.072217217647</v>
      </c>
      <c r="AP15" s="4">
        <f t="shared" si="26"/>
        <v>63919.590772873293</v>
      </c>
      <c r="AQ15" s="4">
        <f t="shared" si="26"/>
        <v>62641.198957415829</v>
      </c>
      <c r="AR15" s="4">
        <f t="shared" si="26"/>
        <v>61388.374978267508</v>
      </c>
      <c r="AS15" s="4">
        <f t="shared" si="26"/>
        <v>60160.607478702157</v>
      </c>
      <c r="AT15" s="4">
        <f t="shared" si="26"/>
        <v>58957.395329128114</v>
      </c>
      <c r="AU15" s="4">
        <f t="shared" si="26"/>
        <v>57778.247422545552</v>
      </c>
      <c r="AV15" s="4">
        <f t="shared" si="26"/>
        <v>56622.682474094639</v>
      </c>
      <c r="AW15" s="4">
        <f t="shared" si="26"/>
        <v>55490.228824612743</v>
      </c>
      <c r="AX15" s="4">
        <f t="shared" si="26"/>
        <v>54380.424248120486</v>
      </c>
      <c r="AY15" s="4">
        <f t="shared" si="26"/>
        <v>53292.815763158076</v>
      </c>
      <c r="AZ15" s="4">
        <f t="shared" si="26"/>
        <v>52226.959447894915</v>
      </c>
      <c r="BA15" s="4">
        <f t="shared" si="26"/>
        <v>51182.420258937018</v>
      </c>
      <c r="BB15" s="4">
        <f t="shared" si="26"/>
        <v>50158.771853758277</v>
      </c>
      <c r="BC15" s="4">
        <f t="shared" si="26"/>
        <v>49155.596416683111</v>
      </c>
      <c r="BD15" s="4">
        <f t="shared" si="26"/>
        <v>48172.484488349444</v>
      </c>
      <c r="BE15" s="4">
        <f t="shared" si="26"/>
        <v>47209.034798582456</v>
      </c>
      <c r="BF15" s="4">
        <f t="shared" si="26"/>
        <v>46264.854102610807</v>
      </c>
      <c r="BG15" s="4">
        <f t="shared" si="26"/>
        <v>45339.55702055859</v>
      </c>
      <c r="BH15" s="4">
        <f t="shared" si="26"/>
        <v>44432.765880147417</v>
      </c>
      <c r="BI15" s="4">
        <f t="shared" si="26"/>
        <v>43544.110562544469</v>
      </c>
      <c r="BJ15" s="4">
        <f t="shared" si="26"/>
        <v>42673.228351293576</v>
      </c>
      <c r="BK15" s="4">
        <f t="shared" si="26"/>
        <v>41819.763784267707</v>
      </c>
      <c r="BL15" s="4">
        <f t="shared" si="26"/>
        <v>40983.368508582353</v>
      </c>
      <c r="BM15" s="4">
        <f t="shared" si="26"/>
        <v>40163.701138410703</v>
      </c>
      <c r="BN15" s="4">
        <f t="shared" si="26"/>
        <v>39360.427115642487</v>
      </c>
      <c r="BO15" s="4">
        <f t="shared" si="26"/>
        <v>38573.218573329636</v>
      </c>
      <c r="BP15" s="4">
        <f t="shared" si="26"/>
        <v>37801.754201863041</v>
      </c>
      <c r="BQ15" s="4">
        <f t="shared" si="26"/>
        <v>37045.719117825778</v>
      </c>
      <c r="BR15" s="4">
        <f t="shared" si="26"/>
        <v>36304.804735469261</v>
      </c>
      <c r="BS15" s="4">
        <f t="shared" si="26"/>
        <v>35578.708640759876</v>
      </c>
      <c r="BT15" s="4">
        <f t="shared" si="26"/>
        <v>34867.134467944677</v>
      </c>
      <c r="BU15" s="4">
        <f t="shared" si="26"/>
        <v>34169.791778585786</v>
      </c>
      <c r="BV15" s="4">
        <f t="shared" si="26"/>
        <v>33486.395943014068</v>
      </c>
      <c r="BW15" s="4">
        <f t="shared" si="26"/>
        <v>32816.668024153783</v>
      </c>
      <c r="BX15" s="4">
        <f t="shared" si="26"/>
        <v>32160.334663670707</v>
      </c>
      <c r="BY15" s="4">
        <f t="shared" si="26"/>
        <v>31517.12797039729</v>
      </c>
      <c r="BZ15" s="4">
        <f t="shared" si="26"/>
        <v>30886.785410989345</v>
      </c>
      <c r="CA15" s="4">
        <f t="shared" si="26"/>
        <v>30269.049702769556</v>
      </c>
      <c r="CB15" s="4">
        <f t="shared" si="26"/>
        <v>29663.668708714165</v>
      </c>
      <c r="CC15" s="4">
        <f t="shared" si="26"/>
        <v>29070.39533453988</v>
      </c>
      <c r="CD15" s="4">
        <f t="shared" si="26"/>
        <v>28488.987427849082</v>
      </c>
      <c r="CE15" s="4">
        <f t="shared" si="26"/>
        <v>27919.2076792921</v>
      </c>
      <c r="CF15" s="4">
        <f t="shared" si="26"/>
        <v>27360.823525706259</v>
      </c>
      <c r="CG15" s="4">
        <f t="shared" si="26"/>
        <v>26813.607055192133</v>
      </c>
      <c r="CH15" s="4">
        <f t="shared" si="26"/>
        <v>26277.334914088289</v>
      </c>
      <c r="CI15" s="4">
        <f t="shared" si="26"/>
        <v>25751.788215806522</v>
      </c>
      <c r="CJ15" s="4">
        <f t="shared" si="26"/>
        <v>25236.752451490393</v>
      </c>
      <c r="CK15" s="4">
        <f t="shared" si="26"/>
        <v>24732.017402460584</v>
      </c>
      <c r="CL15" s="4">
        <f t="shared" si="26"/>
        <v>24237.377054411372</v>
      </c>
      <c r="CM15" s="4">
        <f t="shared" si="26"/>
        <v>23752.629513323143</v>
      </c>
      <c r="CN15" s="4">
        <f t="shared" si="26"/>
        <v>23277.57692305668</v>
      </c>
      <c r="CO15" s="4">
        <f t="shared" si="26"/>
        <v>22812.025384595545</v>
      </c>
      <c r="CP15" s="4">
        <f t="shared" si="26"/>
        <v>22355.784876903632</v>
      </c>
      <c r="CQ15" s="4">
        <f t="shared" si="26"/>
        <v>21908.669179365559</v>
      </c>
      <c r="CR15" s="4">
        <f t="shared" si="26"/>
        <v>21470.495795778246</v>
      </c>
      <c r="CS15" s="4">
        <f t="shared" si="26"/>
        <v>21041.08587986268</v>
      </c>
      <c r="CT15" s="4">
        <f t="shared" ref="CT15:ES15" si="27">CS15*(1+$AH$18)</f>
        <v>20620.264162265426</v>
      </c>
      <c r="CU15" s="4">
        <f t="shared" si="27"/>
        <v>20207.858879020117</v>
      </c>
      <c r="CV15" s="4">
        <f t="shared" si="27"/>
        <v>19803.701701439713</v>
      </c>
      <c r="CW15" s="4">
        <f t="shared" si="27"/>
        <v>19407.627667410918</v>
      </c>
      <c r="CX15" s="4">
        <f t="shared" si="27"/>
        <v>19019.475114062698</v>
      </c>
      <c r="CY15" s="4">
        <f t="shared" si="27"/>
        <v>18639.085611781444</v>
      </c>
      <c r="CZ15" s="4">
        <f t="shared" si="27"/>
        <v>18266.303899545816</v>
      </c>
      <c r="DA15" s="4">
        <f t="shared" si="27"/>
        <v>17900.977821554898</v>
      </c>
      <c r="DB15" s="4">
        <f t="shared" si="27"/>
        <v>17542.958265123798</v>
      </c>
      <c r="DC15" s="4">
        <f t="shared" si="27"/>
        <v>17192.09909982132</v>
      </c>
      <c r="DD15" s="4">
        <f t="shared" si="27"/>
        <v>16848.257117824895</v>
      </c>
      <c r="DE15" s="4">
        <f t="shared" si="27"/>
        <v>16511.291975468397</v>
      </c>
      <c r="DF15" s="4">
        <f t="shared" si="27"/>
        <v>16181.066135959029</v>
      </c>
      <c r="DG15" s="4">
        <f t="shared" si="27"/>
        <v>15857.444813239848</v>
      </c>
      <c r="DH15" s="4">
        <f t="shared" si="27"/>
        <v>15540.295916975052</v>
      </c>
      <c r="DI15" s="4">
        <f t="shared" si="27"/>
        <v>15229.48999863555</v>
      </c>
      <c r="DJ15" s="4">
        <f t="shared" si="27"/>
        <v>14924.900198662839</v>
      </c>
      <c r="DK15" s="4">
        <f t="shared" si="27"/>
        <v>14626.402194689583</v>
      </c>
      <c r="DL15" s="4">
        <f t="shared" si="27"/>
        <v>14333.874150795791</v>
      </c>
      <c r="DM15" s="4">
        <f t="shared" si="27"/>
        <v>14047.196667779875</v>
      </c>
      <c r="DN15" s="4">
        <f t="shared" si="27"/>
        <v>13766.252734424277</v>
      </c>
      <c r="DO15" s="4">
        <f t="shared" si="27"/>
        <v>13490.927679735791</v>
      </c>
      <c r="DP15" s="4">
        <f t="shared" si="27"/>
        <v>13221.109126141075</v>
      </c>
      <c r="DQ15" s="4">
        <f t="shared" si="27"/>
        <v>12956.686943618253</v>
      </c>
      <c r="DR15" s="4">
        <f t="shared" si="27"/>
        <v>12697.553204745887</v>
      </c>
      <c r="DS15" s="4">
        <f t="shared" si="27"/>
        <v>12443.60214065097</v>
      </c>
      <c r="DT15" s="4">
        <f t="shared" si="27"/>
        <v>12194.73009783795</v>
      </c>
      <c r="DU15" s="4">
        <f t="shared" si="27"/>
        <v>11950.835495881191</v>
      </c>
      <c r="DV15" s="4">
        <f t="shared" si="27"/>
        <v>11711.818785963567</v>
      </c>
      <c r="DW15" s="4">
        <f t="shared" si="27"/>
        <v>11477.582410244297</v>
      </c>
      <c r="DX15" s="4">
        <f t="shared" si="27"/>
        <v>11248.030762039411</v>
      </c>
      <c r="DY15" s="4">
        <f t="shared" si="27"/>
        <v>11023.070146798622</v>
      </c>
      <c r="DZ15" s="4">
        <f t="shared" si="27"/>
        <v>10802.608743862649</v>
      </c>
      <c r="EA15" s="4">
        <f t="shared" si="27"/>
        <v>10586.556568985396</v>
      </c>
      <c r="EB15" s="4">
        <f t="shared" si="27"/>
        <v>10374.825437605688</v>
      </c>
      <c r="EC15" s="4">
        <f t="shared" si="27"/>
        <v>10167.328928853574</v>
      </c>
      <c r="ED15" s="4">
        <f t="shared" si="27"/>
        <v>9963.982350276503</v>
      </c>
      <c r="EE15" s="4">
        <f t="shared" si="27"/>
        <v>9764.7027032709721</v>
      </c>
      <c r="EF15" s="4">
        <f t="shared" si="27"/>
        <v>9569.4086492055521</v>
      </c>
      <c r="EG15" s="4">
        <f t="shared" si="27"/>
        <v>9378.0204762214416</v>
      </c>
      <c r="EH15" s="4">
        <f t="shared" si="27"/>
        <v>9190.4600666970127</v>
      </c>
      <c r="EI15" s="4">
        <f t="shared" si="27"/>
        <v>9006.6508653630717</v>
      </c>
      <c r="EJ15" s="4">
        <f t="shared" si="27"/>
        <v>8826.5178480558097</v>
      </c>
      <c r="EK15" s="4">
        <f t="shared" si="27"/>
        <v>8649.9874910946928</v>
      </c>
      <c r="EL15" s="4">
        <f t="shared" si="27"/>
        <v>8476.9877412727983</v>
      </c>
      <c r="EM15" s="4">
        <f t="shared" si="27"/>
        <v>8307.4479864473415</v>
      </c>
      <c r="EN15" s="4">
        <f t="shared" si="27"/>
        <v>8141.2990267183941</v>
      </c>
      <c r="EO15" s="4">
        <f t="shared" si="27"/>
        <v>7978.4730461840263</v>
      </c>
      <c r="EP15" s="4">
        <f t="shared" si="27"/>
        <v>7818.9035852603456</v>
      </c>
      <c r="EQ15" s="4">
        <f t="shared" si="27"/>
        <v>7662.5255135551388</v>
      </c>
      <c r="ER15" s="4">
        <f t="shared" si="27"/>
        <v>7509.2750032840358</v>
      </c>
      <c r="ES15" s="4">
        <f t="shared" si="27"/>
        <v>7359.0895032183553</v>
      </c>
    </row>
    <row r="16" spans="1:149" s="5" customFormat="1" x14ac:dyDescent="0.2">
      <c r="B16" s="5" t="s">
        <v>50</v>
      </c>
      <c r="C16" s="5">
        <v>6.02</v>
      </c>
      <c r="D16" s="5">
        <v>7</v>
      </c>
      <c r="E16" s="5">
        <v>9.25</v>
      </c>
      <c r="F16" s="5">
        <f>F15/Main!G4</f>
        <v>7.6700977206117784</v>
      </c>
      <c r="G16" s="5">
        <v>7.73</v>
      </c>
      <c r="H16" s="5">
        <v>5.01</v>
      </c>
      <c r="I16" s="5">
        <v>9.57</v>
      </c>
      <c r="J16" s="5">
        <f>J15/Main!$G$4</f>
        <v>-4.3434643008152207</v>
      </c>
      <c r="K16" s="5">
        <f>K15/Main!$G$4</f>
        <v>9.5268582357828855</v>
      </c>
      <c r="L16" s="5">
        <f>L15/Main!$G$4</f>
        <v>6.3371660186970606</v>
      </c>
      <c r="M16" s="5">
        <f>M15/Main!$G$4</f>
        <v>11.369942211645707</v>
      </c>
      <c r="N16" s="5">
        <f>N15/Main!$G$4</f>
        <v>13.285189038425028</v>
      </c>
      <c r="P16" s="5">
        <f>P15/Main!$G$4</f>
        <v>26.617669704651469</v>
      </c>
      <c r="Q16" s="5">
        <f>Q15/Main!$G$4</f>
        <v>19.995756349084111</v>
      </c>
      <c r="R16" s="5">
        <f>R15/Main!$G$4</f>
        <v>44.441264935890082</v>
      </c>
      <c r="S16" s="5">
        <f>S15/Main!$G$4</f>
        <v>51.470773382439582</v>
      </c>
      <c r="T16" s="5">
        <f>T15/Main!$G$4</f>
        <v>64.049068812311162</v>
      </c>
      <c r="U16" s="5">
        <f>U15/Main!$G$4</f>
        <v>77.048494478960649</v>
      </c>
      <c r="V16" s="5">
        <f>V15/Main!$G$4</f>
        <v>91.092385269188526</v>
      </c>
      <c r="W16" s="5">
        <f>W15/Main!$G$4</f>
        <v>104.81130689279009</v>
      </c>
      <c r="X16" s="5">
        <f>X15/Main!$G$4</f>
        <v>118.92284891705643</v>
      </c>
      <c r="Y16" s="5">
        <f>Y15/Main!$G$4</f>
        <v>135.39306562376024</v>
      </c>
      <c r="Z16" s="5">
        <f>Z15/Main!$G$4</f>
        <v>151.49601400253522</v>
      </c>
      <c r="AA16" s="5">
        <f>AA15/Main!$G$4</f>
        <v>160.95433057038306</v>
      </c>
      <c r="AB16" s="5">
        <f>AB15/Main!$G$4</f>
        <v>161.68329457992604</v>
      </c>
      <c r="AC16" s="5">
        <f>AC15/Main!$G$4</f>
        <v>152.03595603812639</v>
      </c>
      <c r="AD16" s="5">
        <f>AD15/Main!$G$4</f>
        <v>137.6160726121775</v>
      </c>
      <c r="AE16" s="5">
        <f>AE15/Main!$G$4</f>
        <v>114.80914075998959</v>
      </c>
    </row>
    <row r="17" spans="1:34" x14ac:dyDescent="0.2">
      <c r="A17" s="2" t="s">
        <v>93</v>
      </c>
    </row>
    <row r="18" spans="1:34" s="7" customFormat="1" x14ac:dyDescent="0.2">
      <c r="A18" s="7">
        <f>AVERAGE(G18:J18)</f>
        <v>0.22717800073099126</v>
      </c>
      <c r="B18" s="7" t="s">
        <v>63</v>
      </c>
      <c r="G18" s="7">
        <f t="shared" ref="G18:I18" si="28">G3/C3-1</f>
        <v>0.22179987164930637</v>
      </c>
      <c r="H18" s="7">
        <f t="shared" si="28"/>
        <v>0.20976744186046514</v>
      </c>
      <c r="I18" s="7">
        <f t="shared" si="28"/>
        <v>0.23700503318337707</v>
      </c>
      <c r="J18" s="7">
        <f>J3/F3-1</f>
        <v>0.24013965623081646</v>
      </c>
      <c r="K18" s="7">
        <f t="shared" ref="K18:N18" si="29">K3/G3-1</f>
        <v>0.22999999999999998</v>
      </c>
      <c r="L18" s="7">
        <f t="shared" si="29"/>
        <v>0.22999999999999998</v>
      </c>
      <c r="M18" s="7">
        <f t="shared" si="29"/>
        <v>0.22999999999999998</v>
      </c>
      <c r="N18" s="7">
        <f t="shared" si="29"/>
        <v>0.22999999999999998</v>
      </c>
      <c r="Q18" s="7">
        <f>Q3/P3-1</f>
        <v>0.22801090038993266</v>
      </c>
      <c r="R18" s="7">
        <f>R3/Q3-1</f>
        <v>0.22999999999999998</v>
      </c>
      <c r="S18" s="7">
        <f>S3/R3-1</f>
        <v>0.19999999999999996</v>
      </c>
      <c r="T18" s="7">
        <f t="shared" ref="T18:AE18" si="30">T3/S3-1</f>
        <v>0.18999999999999995</v>
      </c>
      <c r="U18" s="7">
        <f t="shared" si="30"/>
        <v>0.16999999999999993</v>
      </c>
      <c r="V18" s="7">
        <f t="shared" si="30"/>
        <v>0.14999999999999991</v>
      </c>
      <c r="W18" s="7">
        <f t="shared" si="30"/>
        <v>0.12999999999999989</v>
      </c>
      <c r="X18" s="7">
        <f t="shared" si="30"/>
        <v>0.12000000000000011</v>
      </c>
      <c r="Y18" s="7">
        <f t="shared" si="30"/>
        <v>0.12000000000000011</v>
      </c>
      <c r="Z18" s="7">
        <f t="shared" si="30"/>
        <v>0.1100000000000001</v>
      </c>
      <c r="AA18" s="7">
        <f t="shared" si="30"/>
        <v>8.0000000000000071E-2</v>
      </c>
      <c r="AB18" s="7">
        <f t="shared" si="30"/>
        <v>5.0000000000000044E-2</v>
      </c>
      <c r="AC18" s="7">
        <f t="shared" si="30"/>
        <v>2.0000000000000018E-2</v>
      </c>
      <c r="AD18" s="7">
        <f t="shared" si="30"/>
        <v>1.0000000000000009E-2</v>
      </c>
      <c r="AE18" s="7">
        <f t="shared" si="30"/>
        <v>-1.0000000000000009E-2</v>
      </c>
      <c r="AG18" s="9" t="s">
        <v>96</v>
      </c>
      <c r="AH18" s="7">
        <v>-0.02</v>
      </c>
    </row>
    <row r="19" spans="1:34" s="7" customFormat="1" x14ac:dyDescent="0.2">
      <c r="A19" s="7">
        <f>AVERAGE(C19:K19)</f>
        <v>0.59893873407661935</v>
      </c>
      <c r="B19" s="7" t="s">
        <v>64</v>
      </c>
      <c r="C19" s="7">
        <f t="shared" ref="C19:I19" si="31">C5/C3</f>
        <v>0.62245149824751933</v>
      </c>
      <c r="D19" s="7">
        <f t="shared" si="31"/>
        <v>0.62186046511627902</v>
      </c>
      <c r="E19" s="7">
        <f t="shared" si="31"/>
        <v>0.61253396285243422</v>
      </c>
      <c r="F19" s="7">
        <f t="shared" si="31"/>
        <v>0.59096838551258446</v>
      </c>
      <c r="G19" s="7">
        <f t="shared" si="31"/>
        <v>0.60424242424242425</v>
      </c>
      <c r="H19" s="7">
        <f t="shared" si="31"/>
        <v>0.60119184928873515</v>
      </c>
      <c r="I19" s="7">
        <f t="shared" si="31"/>
        <v>0.59858850640933314</v>
      </c>
      <c r="J19" s="7">
        <f>J5/J3</f>
        <v>0.55861151502026418</v>
      </c>
      <c r="K19" s="7">
        <f t="shared" ref="K19:N19" si="32">K5/K3</f>
        <v>0.57999999999999996</v>
      </c>
      <c r="L19" s="7">
        <f t="shared" si="32"/>
        <v>0.57999999999999996</v>
      </c>
      <c r="M19" s="7">
        <f t="shared" si="32"/>
        <v>0.57999999999999996</v>
      </c>
      <c r="N19" s="7">
        <f t="shared" si="32"/>
        <v>0.57999999999999996</v>
      </c>
      <c r="Q19" s="7">
        <f>Q5/Q3</f>
        <v>0.6</v>
      </c>
      <c r="R19" s="7">
        <f>R5/R3</f>
        <v>0.6</v>
      </c>
      <c r="S19" s="7">
        <f>S5/S3</f>
        <v>0.6</v>
      </c>
      <c r="T19" s="7">
        <f t="shared" ref="T19:AE19" si="33">T5/T3</f>
        <v>0.6</v>
      </c>
      <c r="U19" s="7">
        <f t="shared" si="33"/>
        <v>0.6</v>
      </c>
      <c r="V19" s="7">
        <f t="shared" si="33"/>
        <v>0.6</v>
      </c>
      <c r="W19" s="7">
        <f t="shared" si="33"/>
        <v>0.6</v>
      </c>
      <c r="X19" s="7">
        <f t="shared" si="33"/>
        <v>0.6</v>
      </c>
      <c r="Y19" s="7">
        <f t="shared" si="33"/>
        <v>0.6</v>
      </c>
      <c r="Z19" s="7">
        <f t="shared" si="33"/>
        <v>0.6</v>
      </c>
      <c r="AA19" s="7">
        <f t="shared" si="33"/>
        <v>0.6</v>
      </c>
      <c r="AB19" s="7">
        <f t="shared" si="33"/>
        <v>0.6</v>
      </c>
      <c r="AC19" s="7">
        <f t="shared" si="33"/>
        <v>0.6</v>
      </c>
      <c r="AD19" s="7">
        <f t="shared" si="33"/>
        <v>0.6</v>
      </c>
      <c r="AE19" s="7">
        <f t="shared" si="33"/>
        <v>0.6</v>
      </c>
      <c r="AG19" s="9" t="s">
        <v>97</v>
      </c>
      <c r="AH19" s="7">
        <v>7.0000000000000007E-2</v>
      </c>
    </row>
    <row r="20" spans="1:34" s="7" customFormat="1" x14ac:dyDescent="0.2">
      <c r="A20" s="7">
        <f>AVERAGE(C20:J20)</f>
        <v>0.24930438467141264</v>
      </c>
      <c r="B20" s="7" t="s">
        <v>65</v>
      </c>
      <c r="C20" s="7">
        <f t="shared" ref="C20:I20" si="34">C11/C3</f>
        <v>0.26371130967073109</v>
      </c>
      <c r="D20" s="7">
        <f t="shared" si="34"/>
        <v>0.27758139534883719</v>
      </c>
      <c r="E20" s="7">
        <f t="shared" si="34"/>
        <v>0.25687051801701483</v>
      </c>
      <c r="F20" s="7">
        <f t="shared" si="34"/>
        <v>0.25471915285451197</v>
      </c>
      <c r="G20" s="7">
        <f t="shared" si="34"/>
        <v>0.26537373737373737</v>
      </c>
      <c r="H20" s="7">
        <f t="shared" si="34"/>
        <v>0.15886197616301423</v>
      </c>
      <c r="I20" s="7">
        <f t="shared" si="34"/>
        <v>0.28021028373901774</v>
      </c>
      <c r="J20" s="7">
        <f>J11/J3</f>
        <v>0.23710670420443647</v>
      </c>
      <c r="K20" s="7">
        <f t="shared" ref="K20:N20" si="35">K11/K3</f>
        <v>0.25669705181900299</v>
      </c>
      <c r="L20" s="7">
        <f t="shared" si="35"/>
        <v>0.15991923056485471</v>
      </c>
      <c r="M20" s="7">
        <f t="shared" si="35"/>
        <v>0.27617436524358036</v>
      </c>
      <c r="N20" s="7">
        <f t="shared" si="35"/>
        <v>0.27399071214360932</v>
      </c>
      <c r="Q20" s="7">
        <f>Q11/Q3</f>
        <v>0.24705245591087457</v>
      </c>
      <c r="R20" s="7">
        <f>R11/R3</f>
        <v>0.26391202453362311</v>
      </c>
      <c r="S20" s="7">
        <f>S11/S3</f>
        <v>0.27340078026191827</v>
      </c>
      <c r="T20" s="7">
        <f t="shared" ref="T20:AE20" si="36">T11/T3</f>
        <v>0.2858939167139346</v>
      </c>
      <c r="U20" s="7">
        <f t="shared" si="36"/>
        <v>0.29394791884947474</v>
      </c>
      <c r="V20" s="7">
        <f t="shared" si="36"/>
        <v>0.30219722124908538</v>
      </c>
      <c r="W20" s="7">
        <f t="shared" si="36"/>
        <v>0.30770750233196104</v>
      </c>
      <c r="X20" s="7">
        <f t="shared" si="36"/>
        <v>0.31172901752912124</v>
      </c>
      <c r="Y20" s="7">
        <f t="shared" si="36"/>
        <v>0.31687671364467263</v>
      </c>
      <c r="Z20" s="7">
        <f t="shared" si="36"/>
        <v>0.31942737388210807</v>
      </c>
      <c r="AA20" s="7">
        <f t="shared" si="36"/>
        <v>0.31423158450955446</v>
      </c>
      <c r="AB20" s="7">
        <f t="shared" si="36"/>
        <v>0.30062356472429524</v>
      </c>
      <c r="AC20" s="7">
        <f t="shared" si="36"/>
        <v>0.27714305999678884</v>
      </c>
      <c r="AD20" s="7">
        <f t="shared" si="36"/>
        <v>0.24837362969947308</v>
      </c>
      <c r="AE20" s="7">
        <f t="shared" si="36"/>
        <v>0.20930403299941455</v>
      </c>
      <c r="AG20" s="9" t="s">
        <v>98</v>
      </c>
      <c r="AH20" s="2">
        <f>NPV(AH19,Q15:ES15)</f>
        <v>909854.84532970982</v>
      </c>
    </row>
    <row r="21" spans="1:34" s="7" customFormat="1" x14ac:dyDescent="0.2">
      <c r="A21" s="7">
        <f>AVERAGE(G21:J21)</f>
        <v>0.19238374390849872</v>
      </c>
      <c r="B21" s="7" t="s">
        <v>66</v>
      </c>
      <c r="G21" s="7">
        <f t="shared" ref="G21:I21" si="37">G6/C6-1</f>
        <v>0.17077517077517079</v>
      </c>
      <c r="H21" s="7">
        <f t="shared" si="37"/>
        <v>0.24055902468034485</v>
      </c>
      <c r="I21" s="7">
        <f t="shared" si="37"/>
        <v>0.16935483870967749</v>
      </c>
      <c r="J21" s="7">
        <f>J6/F6-1</f>
        <v>0.18884594146880174</v>
      </c>
      <c r="K21" s="7">
        <f t="shared" ref="K21:N21" si="38">K6/G6-1</f>
        <v>0.19999999999999996</v>
      </c>
      <c r="L21" s="7">
        <f t="shared" si="38"/>
        <v>0.19999999999999996</v>
      </c>
      <c r="M21" s="7">
        <f t="shared" si="38"/>
        <v>0.19999999999999996</v>
      </c>
      <c r="N21" s="7">
        <f t="shared" si="38"/>
        <v>0.19999999999999996</v>
      </c>
      <c r="Q21" s="7">
        <f>Q6/P6-1</f>
        <v>0.19192715801548599</v>
      </c>
      <c r="R21" s="7">
        <f>R6/Q6-1</f>
        <v>0.19999999999999996</v>
      </c>
      <c r="S21" s="7">
        <f>S6/R6-1</f>
        <v>0.19999999999999996</v>
      </c>
      <c r="T21" s="7">
        <f t="shared" ref="T21:AE21" si="39">T6/S6-1</f>
        <v>0.14999999999999991</v>
      </c>
      <c r="U21" s="7">
        <f t="shared" si="39"/>
        <v>0.1399999999999999</v>
      </c>
      <c r="V21" s="7">
        <f t="shared" si="39"/>
        <v>0.12999999999999989</v>
      </c>
      <c r="W21" s="7">
        <f t="shared" si="39"/>
        <v>0.12000000000000011</v>
      </c>
      <c r="X21" s="7">
        <f t="shared" si="39"/>
        <v>0.1100000000000001</v>
      </c>
      <c r="Y21" s="7">
        <f t="shared" si="39"/>
        <v>0.10000000000000009</v>
      </c>
      <c r="Z21" s="7">
        <f t="shared" si="39"/>
        <v>0.10000000000000009</v>
      </c>
      <c r="AA21" s="7">
        <f t="shared" si="39"/>
        <v>0.10000000000000009</v>
      </c>
      <c r="AB21" s="7">
        <f t="shared" si="39"/>
        <v>0.10000000000000009</v>
      </c>
      <c r="AC21" s="7">
        <f t="shared" si="39"/>
        <v>0.10000000000000009</v>
      </c>
      <c r="AD21" s="7">
        <f t="shared" si="39"/>
        <v>0.10000000000000009</v>
      </c>
      <c r="AE21" s="7">
        <f t="shared" si="39"/>
        <v>0.10000000000000009</v>
      </c>
      <c r="AG21" s="9" t="s">
        <v>70</v>
      </c>
      <c r="AH21" s="2">
        <f>J25</f>
        <v>97902</v>
      </c>
    </row>
    <row r="22" spans="1:34" s="7" customFormat="1" x14ac:dyDescent="0.2">
      <c r="A22" s="7">
        <f>AVERAGE(C22:I22)</f>
        <v>0.18903142954317437</v>
      </c>
      <c r="B22" s="7" t="s">
        <v>67</v>
      </c>
      <c r="C22" s="7">
        <f t="shared" ref="C22:I22" si="40">C14/C13</f>
        <v>0.17976213686878534</v>
      </c>
      <c r="D22" s="7">
        <f t="shared" si="40"/>
        <v>0.20297434221277988</v>
      </c>
      <c r="E22" s="7">
        <f t="shared" si="40"/>
        <v>0.16277915632754342</v>
      </c>
      <c r="F22" s="7">
        <f t="shared" si="40"/>
        <v>0.22225463030479803</v>
      </c>
      <c r="G22" s="7">
        <f t="shared" si="40"/>
        <v>0.20428215280832968</v>
      </c>
      <c r="H22" s="7">
        <f t="shared" si="40"/>
        <v>0.19488233950194198</v>
      </c>
      <c r="I22" s="7">
        <f t="shared" si="40"/>
        <v>0.15628524877804237</v>
      </c>
      <c r="J22" s="7">
        <f>J14/J13</f>
        <v>1.3766525318034422</v>
      </c>
      <c r="K22" s="7">
        <f t="shared" ref="K22:N22" si="41">K14/K13</f>
        <v>0.18</v>
      </c>
      <c r="L22" s="7">
        <f t="shared" si="41"/>
        <v>0.18</v>
      </c>
      <c r="M22" s="7">
        <f t="shared" si="41"/>
        <v>0.18</v>
      </c>
      <c r="N22" s="7">
        <f t="shared" si="41"/>
        <v>0.18</v>
      </c>
      <c r="Q22" s="7">
        <f>Q14/Q13</f>
        <v>0.51104311739466834</v>
      </c>
      <c r="R22" s="7">
        <f>R14/R13</f>
        <v>0.16676347144160358</v>
      </c>
      <c r="S22" s="7">
        <f>S14/S13</f>
        <v>0.2</v>
      </c>
      <c r="T22" s="7">
        <f t="shared" ref="T22:AE22" si="42">T14/T13</f>
        <v>0.2</v>
      </c>
      <c r="U22" s="7">
        <f t="shared" si="42"/>
        <v>0.2</v>
      </c>
      <c r="V22" s="7">
        <f t="shared" si="42"/>
        <v>0.2</v>
      </c>
      <c r="W22" s="7">
        <f t="shared" si="42"/>
        <v>0.2</v>
      </c>
      <c r="X22" s="7">
        <f t="shared" si="42"/>
        <v>0.2</v>
      </c>
      <c r="Y22" s="7">
        <f t="shared" si="42"/>
        <v>0.2</v>
      </c>
      <c r="Z22" s="7">
        <f t="shared" si="42"/>
        <v>0.2</v>
      </c>
      <c r="AA22" s="7">
        <f t="shared" si="42"/>
        <v>0.2</v>
      </c>
      <c r="AB22" s="7">
        <f t="shared" si="42"/>
        <v>0.2</v>
      </c>
      <c r="AC22" s="7">
        <f t="shared" si="42"/>
        <v>0.2</v>
      </c>
      <c r="AD22" s="7">
        <f t="shared" si="42"/>
        <v>0.2</v>
      </c>
      <c r="AE22" s="7">
        <f t="shared" si="42"/>
        <v>0.2</v>
      </c>
      <c r="AG22" s="9" t="s">
        <v>2</v>
      </c>
      <c r="AH22" s="2">
        <f>Main!G4</f>
        <v>695.29753000000005</v>
      </c>
    </row>
    <row r="23" spans="1:34" s="7" customFormat="1" x14ac:dyDescent="0.2">
      <c r="A23" s="7">
        <f>AVERAGE(G23:J23)</f>
        <v>0.25037929507218171</v>
      </c>
      <c r="B23" s="7" t="s">
        <v>68</v>
      </c>
      <c r="G23" s="7">
        <f t="shared" ref="G23:I23" si="43">G10/C10-1</f>
        <v>0.15412137057933117</v>
      </c>
      <c r="H23" s="7">
        <f t="shared" si="43"/>
        <v>0.55430964604161037</v>
      </c>
      <c r="I23" s="7">
        <f t="shared" si="43"/>
        <v>0.10732623669380081</v>
      </c>
      <c r="J23" s="7">
        <f>J10/F10-1</f>
        <v>0.18575992697398447</v>
      </c>
      <c r="K23" s="7">
        <f t="shared" ref="K23:N23" si="44">K10/G10-1</f>
        <v>0.1735006557767973</v>
      </c>
      <c r="L23" s="7">
        <f t="shared" si="44"/>
        <v>0.16813124728378948</v>
      </c>
      <c r="M23" s="7">
        <f t="shared" si="44"/>
        <v>0.17377855688758181</v>
      </c>
      <c r="N23" s="7">
        <f t="shared" si="44"/>
        <v>0.17071785989222477</v>
      </c>
      <c r="Q23" s="7">
        <f>Q10/P10-1</f>
        <v>0.24533706792284682</v>
      </c>
      <c r="R23" s="7">
        <f>R10/Q10-1</f>
        <v>0.17124546337473801</v>
      </c>
      <c r="S23" s="7">
        <f>S10/R10-1</f>
        <v>0.16612045742441794</v>
      </c>
      <c r="T23" s="7">
        <f t="shared" ref="T23:AE23" si="45">T10/S10-1</f>
        <v>0.14447989009336282</v>
      </c>
      <c r="U23" s="7">
        <f t="shared" si="45"/>
        <v>0.14000000000000012</v>
      </c>
      <c r="V23" s="7">
        <f t="shared" si="45"/>
        <v>0.1190029954251921</v>
      </c>
      <c r="W23" s="7">
        <f t="shared" si="45"/>
        <v>0.10909147238395156</v>
      </c>
      <c r="X23" s="7">
        <f t="shared" si="45"/>
        <v>0.10459044601981282</v>
      </c>
      <c r="Y23" s="7">
        <f t="shared" si="45"/>
        <v>0.10000000000000009</v>
      </c>
      <c r="Z23" s="7">
        <f t="shared" si="45"/>
        <v>9.9999999999999867E-2</v>
      </c>
      <c r="AA23" s="7">
        <f t="shared" si="45"/>
        <v>0.10000000000000009</v>
      </c>
      <c r="AB23" s="7">
        <f t="shared" si="45"/>
        <v>0.10000000000000009</v>
      </c>
      <c r="AC23" s="7">
        <f t="shared" si="45"/>
        <v>0.10000000000000031</v>
      </c>
      <c r="AD23" s="7">
        <f t="shared" si="45"/>
        <v>0.10000000000000009</v>
      </c>
      <c r="AE23" s="7">
        <f t="shared" si="45"/>
        <v>9.9999999999999867E-2</v>
      </c>
      <c r="AG23" s="9" t="s">
        <v>99</v>
      </c>
      <c r="AH23" s="2">
        <f>AH20+AH21</f>
        <v>1007756.8453297098</v>
      </c>
    </row>
    <row r="24" spans="1:34" x14ac:dyDescent="0.2">
      <c r="AG24" s="4" t="s">
        <v>3</v>
      </c>
      <c r="AH24" s="2">
        <f>AH22*AH26</f>
        <v>727427.22886130004</v>
      </c>
    </row>
    <row r="25" spans="1:34" x14ac:dyDescent="0.2">
      <c r="B25" s="2" t="s">
        <v>69</v>
      </c>
      <c r="J25" s="2">
        <f>J27-J45</f>
        <v>97902</v>
      </c>
      <c r="AG25" s="4" t="s">
        <v>6</v>
      </c>
      <c r="AH25" s="2">
        <f>AH24+AH21</f>
        <v>825329.22886130004</v>
      </c>
    </row>
    <row r="26" spans="1:34" s="4" customFormat="1" x14ac:dyDescent="0.2">
      <c r="B26" s="4" t="s">
        <v>70</v>
      </c>
      <c r="AG26" s="4" t="s">
        <v>100</v>
      </c>
      <c r="AH26" s="2">
        <v>1046.21</v>
      </c>
    </row>
    <row r="27" spans="1:34" x14ac:dyDescent="0.2">
      <c r="B27" s="2" t="s">
        <v>4</v>
      </c>
      <c r="J27" s="2">
        <v>101871</v>
      </c>
      <c r="AG27" s="4"/>
    </row>
    <row r="28" spans="1:34" x14ac:dyDescent="0.2">
      <c r="B28" s="2" t="s">
        <v>71</v>
      </c>
      <c r="J28" s="2">
        <v>18336</v>
      </c>
      <c r="AG28" s="4" t="s">
        <v>101</v>
      </c>
      <c r="AH28" s="2">
        <f>AH23/AH22</f>
        <v>1449.3893647654836</v>
      </c>
    </row>
    <row r="29" spans="1:34" x14ac:dyDescent="0.2">
      <c r="B29" s="2" t="s">
        <v>72</v>
      </c>
      <c r="J29" s="2">
        <v>369</v>
      </c>
      <c r="AG29" s="4" t="s">
        <v>102</v>
      </c>
      <c r="AH29" s="7">
        <f>AH28/AH26-1</f>
        <v>0.38537135447518533</v>
      </c>
    </row>
    <row r="30" spans="1:34" x14ac:dyDescent="0.2">
      <c r="B30" s="2" t="s">
        <v>73</v>
      </c>
      <c r="J30" s="2">
        <v>749</v>
      </c>
    </row>
    <row r="31" spans="1:34" x14ac:dyDescent="0.2">
      <c r="B31" s="2" t="s">
        <v>74</v>
      </c>
      <c r="J31" s="2">
        <v>2983</v>
      </c>
    </row>
    <row r="32" spans="1:34" x14ac:dyDescent="0.2">
      <c r="B32" s="2" t="s">
        <v>75</v>
      </c>
      <c r="J32" s="2">
        <v>7813</v>
      </c>
    </row>
    <row r="33" spans="2:10" x14ac:dyDescent="0.2">
      <c r="B33" s="2" t="s">
        <v>76</v>
      </c>
      <c r="J33" s="2">
        <v>680</v>
      </c>
    </row>
    <row r="34" spans="2:10" x14ac:dyDescent="0.2">
      <c r="B34" s="2" t="s">
        <v>77</v>
      </c>
      <c r="J34" s="2">
        <v>42383</v>
      </c>
    </row>
    <row r="35" spans="2:10" x14ac:dyDescent="0.2">
      <c r="B35" s="2" t="s">
        <v>78</v>
      </c>
      <c r="J35" s="2">
        <v>2692</v>
      </c>
    </row>
    <row r="36" spans="2:10" x14ac:dyDescent="0.2">
      <c r="B36" s="2" t="s">
        <v>79</v>
      </c>
      <c r="J36" s="2">
        <v>16747</v>
      </c>
    </row>
    <row r="37" spans="2:10" x14ac:dyDescent="0.2">
      <c r="B37" s="2" t="s">
        <v>80</v>
      </c>
      <c r="J37" s="2">
        <v>2672</v>
      </c>
    </row>
    <row r="38" spans="2:10" s="4" customFormat="1" x14ac:dyDescent="0.2">
      <c r="B38" s="4" t="s">
        <v>81</v>
      </c>
      <c r="J38" s="4">
        <f>SUM(J27:J37)</f>
        <v>197295</v>
      </c>
    </row>
    <row r="39" spans="2:10" x14ac:dyDescent="0.2">
      <c r="B39" s="2" t="s">
        <v>82</v>
      </c>
      <c r="J39" s="2">
        <v>3137</v>
      </c>
    </row>
    <row r="40" spans="2:10" x14ac:dyDescent="0.2">
      <c r="B40" s="2" t="s">
        <v>83</v>
      </c>
      <c r="J40" s="2">
        <v>4581</v>
      </c>
    </row>
    <row r="41" spans="2:10" x14ac:dyDescent="0.2">
      <c r="B41" s="2" t="s">
        <v>87</v>
      </c>
      <c r="J41" s="2">
        <v>10177</v>
      </c>
    </row>
    <row r="42" spans="2:10" x14ac:dyDescent="0.2">
      <c r="B42" s="2" t="s">
        <v>84</v>
      </c>
      <c r="J42" s="2">
        <v>3975</v>
      </c>
    </row>
    <row r="43" spans="2:10" x14ac:dyDescent="0.2">
      <c r="B43" s="2" t="s">
        <v>85</v>
      </c>
      <c r="J43" s="2">
        <f>1432+340</f>
        <v>1772</v>
      </c>
    </row>
    <row r="44" spans="2:10" x14ac:dyDescent="0.2">
      <c r="B44" s="2" t="s">
        <v>86</v>
      </c>
      <c r="J44" s="2">
        <f>881+12812</f>
        <v>13693</v>
      </c>
    </row>
    <row r="45" spans="2:10" x14ac:dyDescent="0.2">
      <c r="B45" s="2" t="s">
        <v>5</v>
      </c>
      <c r="J45" s="2">
        <v>3969</v>
      </c>
    </row>
    <row r="46" spans="2:10" x14ac:dyDescent="0.2">
      <c r="B46" s="2" t="s">
        <v>76</v>
      </c>
      <c r="J46" s="2">
        <v>430</v>
      </c>
    </row>
    <row r="47" spans="2:10" x14ac:dyDescent="0.2">
      <c r="B47" s="2" t="s">
        <v>88</v>
      </c>
      <c r="J47" s="2">
        <v>3059</v>
      </c>
    </row>
    <row r="48" spans="2:10" s="4" customFormat="1" x14ac:dyDescent="0.2">
      <c r="B48" s="4" t="s">
        <v>89</v>
      </c>
      <c r="J48" s="4">
        <f>SUM(J39:J47)</f>
        <v>44793</v>
      </c>
    </row>
    <row r="49" spans="2:10" x14ac:dyDescent="0.2">
      <c r="B49" s="2" t="s">
        <v>90</v>
      </c>
      <c r="J49" s="2">
        <v>152502</v>
      </c>
    </row>
    <row r="50" spans="2:10" s="4" customFormat="1" x14ac:dyDescent="0.2">
      <c r="B50" s="4" t="s">
        <v>91</v>
      </c>
      <c r="J50" s="4">
        <f>SUM(J48:J49)</f>
        <v>197295</v>
      </c>
    </row>
    <row r="51" spans="2:10" s="4" customFormat="1" x14ac:dyDescent="0.2">
      <c r="B51" s="4" t="s">
        <v>69</v>
      </c>
      <c r="J51" s="4" t="str">
        <f>IF(J38=J50,"Balanced","Incorrect")</f>
        <v>Balanced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 (Original)</vt:lpstr>
      <vt:lpstr>Model (Pessimistic)</vt:lpstr>
      <vt:lpstr>Model (Optimism)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Wadbrant</dc:creator>
  <cp:lastModifiedBy>Federico López</cp:lastModifiedBy>
  <cp:lastPrinted>2018-02-10T14:13:30Z</cp:lastPrinted>
  <dcterms:created xsi:type="dcterms:W3CDTF">2018-02-10T12:50:46Z</dcterms:created>
  <dcterms:modified xsi:type="dcterms:W3CDTF">2023-08-05T23:18:44Z</dcterms:modified>
</cp:coreProperties>
</file>