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a\Valuacion\valuacion-aluar-uncuyo\04_Modelo_Excel\"/>
    </mc:Choice>
  </mc:AlternateContent>
  <xr:revisionPtr revIDLastSave="0" documentId="13_ncr:1_{3FA1EBBE-8E91-4FD0-AF10-B58BE9AB1A87}" xr6:coauthVersionLast="47" xr6:coauthVersionMax="47" xr10:uidLastSave="{00000000-0000-0000-0000-000000000000}"/>
  <bookViews>
    <workbookView xWindow="-108" yWindow="-108" windowWidth="23256" windowHeight="13176" firstSheet="1" activeTab="2" xr2:uid="{00000000-000D-0000-FFFF-FFFF00000000}"/>
  </bookViews>
  <sheets>
    <sheet name="A" sheetId="1" r:id="rId1"/>
    <sheet name="Datos Crudos" sheetId="2" r:id="rId2"/>
    <sheet name="1) Estadistica" sheetId="3" r:id="rId3"/>
    <sheet name="3) Macro" sheetId="4" r:id="rId4"/>
    <sheet name="4) Estados Financieros" sheetId="5" r:id="rId5"/>
    <sheet name="5) Ratios" sheetId="6" r:id="rId6"/>
    <sheet name="6) Proyecciones" sheetId="7" r:id="rId7"/>
    <sheet name="FCFF" sheetId="8" r:id="rId8"/>
    <sheet name="7) Riesgo Cuantitativo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8" l="1"/>
  <c r="J39" i="8" s="1"/>
  <c r="G30" i="8"/>
  <c r="F30" i="8"/>
  <c r="E30" i="8"/>
  <c r="D30" i="8"/>
  <c r="C30" i="8"/>
  <c r="G29" i="8"/>
  <c r="F29" i="8"/>
  <c r="C29" i="8"/>
  <c r="G28" i="8"/>
  <c r="F28" i="8"/>
  <c r="E28" i="8"/>
  <c r="D28" i="8"/>
  <c r="C28" i="8"/>
  <c r="G25" i="8"/>
  <c r="F25" i="8"/>
  <c r="E25" i="8"/>
  <c r="D25" i="8"/>
  <c r="C25" i="8"/>
  <c r="G23" i="8"/>
  <c r="F23" i="8"/>
  <c r="E23" i="8"/>
  <c r="D23" i="8"/>
  <c r="C23" i="8"/>
  <c r="J22" i="8"/>
  <c r="J23" i="8" s="1"/>
  <c r="G22" i="8"/>
  <c r="F22" i="8"/>
  <c r="E22" i="8"/>
  <c r="D22" i="8"/>
  <c r="D24" i="8" s="1"/>
  <c r="D26" i="8" s="1"/>
  <c r="C22" i="8"/>
  <c r="C24" i="8" s="1"/>
  <c r="C26" i="8" s="1"/>
  <c r="G16" i="8"/>
  <c r="F16" i="8"/>
  <c r="E16" i="8"/>
  <c r="E29" i="8" s="1"/>
  <c r="D16" i="8"/>
  <c r="D29" i="8" s="1"/>
  <c r="C16" i="8"/>
  <c r="G11" i="8"/>
  <c r="G13" i="8" s="1"/>
  <c r="F11" i="8"/>
  <c r="F13" i="8" s="1"/>
  <c r="E11" i="8"/>
  <c r="E13" i="8" s="1"/>
  <c r="D11" i="8"/>
  <c r="D13" i="8" s="1"/>
  <c r="D14" i="8" s="1"/>
  <c r="C11" i="8"/>
  <c r="C13" i="8" s="1"/>
  <c r="J9" i="8"/>
  <c r="J13" i="8" s="1"/>
  <c r="L8" i="7"/>
  <c r="K8" i="7"/>
  <c r="J8" i="7"/>
  <c r="I8" i="7"/>
  <c r="H8" i="7"/>
  <c r="G8" i="7"/>
  <c r="F8" i="7"/>
  <c r="E8" i="7"/>
  <c r="D8" i="7"/>
  <c r="C8" i="7"/>
  <c r="B8" i="7"/>
  <c r="G100" i="5"/>
  <c r="F100" i="5"/>
  <c r="E100" i="5"/>
  <c r="D100" i="5"/>
  <c r="C100" i="5"/>
  <c r="B100" i="5"/>
  <c r="G99" i="5"/>
  <c r="F99" i="5"/>
  <c r="E99" i="5"/>
  <c r="D99" i="5"/>
  <c r="C99" i="5"/>
  <c r="B99" i="5"/>
  <c r="G98" i="5"/>
  <c r="F98" i="5"/>
  <c r="E98" i="5"/>
  <c r="D98" i="5"/>
  <c r="C98" i="5"/>
  <c r="B98" i="5"/>
  <c r="G97" i="5"/>
  <c r="F97" i="5"/>
  <c r="E97" i="5"/>
  <c r="D97" i="5"/>
  <c r="G96" i="5"/>
  <c r="F96" i="5"/>
  <c r="E96" i="5"/>
  <c r="D96" i="5"/>
  <c r="C96" i="5"/>
  <c r="B96" i="5"/>
  <c r="G95" i="5"/>
  <c r="F95" i="5"/>
  <c r="E95" i="5"/>
  <c r="D95" i="5"/>
  <c r="C95" i="5"/>
  <c r="B95" i="5"/>
  <c r="G93" i="5"/>
  <c r="G92" i="5"/>
  <c r="F92" i="5"/>
  <c r="E92" i="5"/>
  <c r="D92" i="5"/>
  <c r="C92" i="5"/>
  <c r="B92" i="5"/>
  <c r="G91" i="5"/>
  <c r="F91" i="5"/>
  <c r="E91" i="5"/>
  <c r="D91" i="5"/>
  <c r="C91" i="5"/>
  <c r="B91" i="5"/>
  <c r="G90" i="5"/>
  <c r="F90" i="5"/>
  <c r="E90" i="5"/>
  <c r="D90" i="5"/>
  <c r="C90" i="5"/>
  <c r="B90" i="5"/>
  <c r="G84" i="5"/>
  <c r="F84" i="5"/>
  <c r="E84" i="5"/>
  <c r="D84" i="5"/>
  <c r="C84" i="5"/>
  <c r="B84" i="5"/>
  <c r="G83" i="5"/>
  <c r="F83" i="5"/>
  <c r="E83" i="5"/>
  <c r="D83" i="5"/>
  <c r="C83" i="5"/>
  <c r="B83" i="5"/>
  <c r="G81" i="5"/>
  <c r="F81" i="5"/>
  <c r="E81" i="5"/>
  <c r="D81" i="5"/>
  <c r="C81" i="5"/>
  <c r="B81" i="5"/>
  <c r="G80" i="5"/>
  <c r="F80" i="5"/>
  <c r="E80" i="5"/>
  <c r="D80" i="5"/>
  <c r="C80" i="5"/>
  <c r="B80" i="5"/>
  <c r="G79" i="5"/>
  <c r="F79" i="5"/>
  <c r="E79" i="5"/>
  <c r="D79" i="5"/>
  <c r="C79" i="5"/>
  <c r="B79" i="5"/>
  <c r="F77" i="5"/>
  <c r="E77" i="5"/>
  <c r="G76" i="5"/>
  <c r="F76" i="5"/>
  <c r="E76" i="5"/>
  <c r="D76" i="5"/>
  <c r="C76" i="5"/>
  <c r="B76" i="5"/>
  <c r="G75" i="5"/>
  <c r="F75" i="5"/>
  <c r="E75" i="5"/>
  <c r="D75" i="5"/>
  <c r="C75" i="5"/>
  <c r="B75" i="5"/>
  <c r="G73" i="5"/>
  <c r="F73" i="5"/>
  <c r="E73" i="5"/>
  <c r="D73" i="5"/>
  <c r="C73" i="5"/>
  <c r="B73" i="5"/>
  <c r="G72" i="5"/>
  <c r="F72" i="5"/>
  <c r="E72" i="5"/>
  <c r="D72" i="5"/>
  <c r="C72" i="5"/>
  <c r="B72" i="5"/>
  <c r="G71" i="5"/>
  <c r="F71" i="5"/>
  <c r="E71" i="5"/>
  <c r="D71" i="5"/>
  <c r="C71" i="5"/>
  <c r="B71" i="5"/>
  <c r="G70" i="5"/>
  <c r="F70" i="5"/>
  <c r="E70" i="5"/>
  <c r="D70" i="5"/>
  <c r="C70" i="5"/>
  <c r="B70" i="5"/>
  <c r="G65" i="5"/>
  <c r="F65" i="5"/>
  <c r="E65" i="5"/>
  <c r="D65" i="5"/>
  <c r="C65" i="5"/>
  <c r="B65" i="5"/>
  <c r="G63" i="5"/>
  <c r="F63" i="5"/>
  <c r="E63" i="5"/>
  <c r="D63" i="5"/>
  <c r="C63" i="5"/>
  <c r="B63" i="5"/>
  <c r="G61" i="5"/>
  <c r="F61" i="5"/>
  <c r="E61" i="5"/>
  <c r="D61" i="5"/>
  <c r="C61" i="5"/>
  <c r="B61" i="5"/>
  <c r="G60" i="5"/>
  <c r="F60" i="5"/>
  <c r="E60" i="5"/>
  <c r="D60" i="5"/>
  <c r="C60" i="5"/>
  <c r="B60" i="5"/>
  <c r="F59" i="5"/>
  <c r="E59" i="5"/>
  <c r="D59" i="5"/>
  <c r="G58" i="5"/>
  <c r="F58" i="5"/>
  <c r="E58" i="5"/>
  <c r="D58" i="5"/>
  <c r="C58" i="5"/>
  <c r="B58" i="5"/>
  <c r="G57" i="5"/>
  <c r="F57" i="5"/>
  <c r="E57" i="5"/>
  <c r="D57" i="5"/>
  <c r="C57" i="5"/>
  <c r="B57" i="5"/>
  <c r="G51" i="5"/>
  <c r="G101" i="5" s="1"/>
  <c r="F51" i="5"/>
  <c r="F101" i="5" s="1"/>
  <c r="E51" i="5"/>
  <c r="E101" i="5" s="1"/>
  <c r="D51" i="5"/>
  <c r="D101" i="5" s="1"/>
  <c r="C51" i="5"/>
  <c r="C101" i="5" s="1"/>
  <c r="B51" i="5"/>
  <c r="B101" i="5" s="1"/>
  <c r="G47" i="5"/>
  <c r="F47" i="5"/>
  <c r="E47" i="5"/>
  <c r="D47" i="5"/>
  <c r="C47" i="5"/>
  <c r="C97" i="5" s="1"/>
  <c r="B47" i="5"/>
  <c r="B97" i="5" s="1"/>
  <c r="G43" i="5"/>
  <c r="G44" i="5" s="1"/>
  <c r="F43" i="5"/>
  <c r="F44" i="5" s="1"/>
  <c r="E43" i="5"/>
  <c r="E44" i="5" s="1"/>
  <c r="D43" i="5"/>
  <c r="D44" i="5" s="1"/>
  <c r="C43" i="5"/>
  <c r="C44" i="5" s="1"/>
  <c r="B43" i="5"/>
  <c r="B93" i="5" s="1"/>
  <c r="G36" i="5"/>
  <c r="G86" i="5" s="1"/>
  <c r="F36" i="5"/>
  <c r="F86" i="5" s="1"/>
  <c r="E36" i="5"/>
  <c r="E86" i="5" s="1"/>
  <c r="G35" i="5"/>
  <c r="G85" i="5" s="1"/>
  <c r="F35" i="5"/>
  <c r="F85" i="5" s="1"/>
  <c r="E35" i="5"/>
  <c r="E85" i="5" s="1"/>
  <c r="D35" i="5"/>
  <c r="D85" i="5" s="1"/>
  <c r="C35" i="5"/>
  <c r="C85" i="5" s="1"/>
  <c r="B35" i="5"/>
  <c r="B85" i="5" s="1"/>
  <c r="G32" i="5"/>
  <c r="G82" i="5" s="1"/>
  <c r="F32" i="5"/>
  <c r="F82" i="5" s="1"/>
  <c r="E32" i="5"/>
  <c r="E82" i="5" s="1"/>
  <c r="D32" i="5"/>
  <c r="D82" i="5" s="1"/>
  <c r="C32" i="5"/>
  <c r="C36" i="5" s="1"/>
  <c r="C86" i="5" s="1"/>
  <c r="B32" i="5"/>
  <c r="B36" i="5" s="1"/>
  <c r="B86" i="5" s="1"/>
  <c r="F28" i="5"/>
  <c r="F78" i="5" s="1"/>
  <c r="G27" i="5"/>
  <c r="G77" i="5" s="1"/>
  <c r="F27" i="5"/>
  <c r="E27" i="5"/>
  <c r="D27" i="5"/>
  <c r="D77" i="5" s="1"/>
  <c r="C27" i="5"/>
  <c r="C77" i="5" s="1"/>
  <c r="B27" i="5"/>
  <c r="B77" i="5" s="1"/>
  <c r="G24" i="5"/>
  <c r="G74" i="5" s="1"/>
  <c r="F24" i="5"/>
  <c r="F74" i="5" s="1"/>
  <c r="E24" i="5"/>
  <c r="E28" i="5" s="1"/>
  <c r="E78" i="5" s="1"/>
  <c r="D24" i="5"/>
  <c r="D28" i="5" s="1"/>
  <c r="D78" i="5" s="1"/>
  <c r="C24" i="5"/>
  <c r="C28" i="5" s="1"/>
  <c r="C78" i="5" s="1"/>
  <c r="B24" i="5"/>
  <c r="B28" i="5" s="1"/>
  <c r="B78" i="5" s="1"/>
  <c r="F12" i="5"/>
  <c r="F62" i="5" s="1"/>
  <c r="E12" i="5"/>
  <c r="E62" i="5" s="1"/>
  <c r="D12" i="5"/>
  <c r="D14" i="5" s="1"/>
  <c r="G9" i="5"/>
  <c r="G59" i="5" s="1"/>
  <c r="F9" i="5"/>
  <c r="E9" i="5"/>
  <c r="D9" i="5"/>
  <c r="C9" i="5"/>
  <c r="C59" i="5" s="1"/>
  <c r="B9" i="5"/>
  <c r="B59" i="5" s="1"/>
  <c r="F24" i="8" l="1"/>
  <c r="F26" i="8" s="1"/>
  <c r="Q37" i="8" s="1"/>
  <c r="G28" i="5"/>
  <c r="G78" i="5" s="1"/>
  <c r="G12" i="5"/>
  <c r="G62" i="5" s="1"/>
  <c r="G24" i="8"/>
  <c r="G26" i="8" s="1"/>
  <c r="R37" i="8" s="1"/>
  <c r="E24" i="8"/>
  <c r="E26" i="8" s="1"/>
  <c r="P37" i="8" s="1"/>
  <c r="D36" i="5"/>
  <c r="D86" i="5" s="1"/>
  <c r="D16" i="5"/>
  <c r="D66" i="5" s="1"/>
  <c r="D64" i="5"/>
  <c r="D94" i="5"/>
  <c r="D52" i="5"/>
  <c r="D102" i="5" s="1"/>
  <c r="G14" i="8"/>
  <c r="G27" i="8" s="1"/>
  <c r="G18" i="8"/>
  <c r="D27" i="8"/>
  <c r="D18" i="8"/>
  <c r="C31" i="8"/>
  <c r="C32" i="8" s="1"/>
  <c r="C94" i="5"/>
  <c r="C52" i="5"/>
  <c r="C102" i="5" s="1"/>
  <c r="E14" i="8"/>
  <c r="E27" i="8" s="1"/>
  <c r="E18" i="8"/>
  <c r="F14" i="8"/>
  <c r="F27" i="8" s="1"/>
  <c r="F18" i="8"/>
  <c r="E94" i="5"/>
  <c r="E52" i="5"/>
  <c r="E102" i="5" s="1"/>
  <c r="F94" i="5"/>
  <c r="F52" i="5"/>
  <c r="F102" i="5" s="1"/>
  <c r="G94" i="5"/>
  <c r="G52" i="5"/>
  <c r="G102" i="5" s="1"/>
  <c r="G31" i="8"/>
  <c r="G32" i="8" s="1"/>
  <c r="E37" i="8"/>
  <c r="D31" i="8"/>
  <c r="D32" i="8" s="1"/>
  <c r="O37" i="8"/>
  <c r="N37" i="8"/>
  <c r="M37" i="8"/>
  <c r="D62" i="5"/>
  <c r="C82" i="5"/>
  <c r="F14" i="5"/>
  <c r="G14" i="5"/>
  <c r="E74" i="5"/>
  <c r="E93" i="5"/>
  <c r="C14" i="8"/>
  <c r="C27" i="8" s="1"/>
  <c r="B44" i="5"/>
  <c r="F93" i="5"/>
  <c r="E14" i="5"/>
  <c r="B74" i="5"/>
  <c r="B82" i="5"/>
  <c r="C74" i="5"/>
  <c r="C93" i="5"/>
  <c r="D74" i="5"/>
  <c r="D93" i="5"/>
  <c r="B12" i="5"/>
  <c r="C12" i="5"/>
  <c r="F31" i="8" l="1"/>
  <c r="F32" i="8" s="1"/>
  <c r="E31" i="8"/>
  <c r="E32" i="8" s="1"/>
  <c r="E64" i="5"/>
  <c r="E16" i="5"/>
  <c r="E66" i="5" s="1"/>
  <c r="C33" i="8"/>
  <c r="E36" i="8" s="1"/>
  <c r="E40" i="8" s="1"/>
  <c r="E42" i="8" s="1"/>
  <c r="B94" i="5"/>
  <c r="B52" i="5"/>
  <c r="B102" i="5" s="1"/>
  <c r="C18" i="8"/>
  <c r="G16" i="5"/>
  <c r="G66" i="5" s="1"/>
  <c r="G64" i="5"/>
  <c r="F64" i="5"/>
  <c r="F16" i="5"/>
  <c r="F66" i="5" s="1"/>
  <c r="C14" i="5"/>
  <c r="C62" i="5"/>
  <c r="B14" i="5"/>
  <c r="B62" i="5"/>
  <c r="B64" i="5" l="1"/>
  <c r="B16" i="5"/>
  <c r="B66" i="5" s="1"/>
  <c r="C64" i="5"/>
  <c r="C16" i="5"/>
  <c r="C66" i="5" s="1"/>
  <c r="F44" i="8"/>
  <c r="E4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Auditoria del modelo</author>
  </authors>
  <commentList>
    <comment ref="B43" authorId="0" shapeId="0" xr:uid="{00000000-0006-0000-0400-000001000000}">
      <text>
        <r>
          <rPr>
            <sz val="11"/>
            <color theme="1"/>
            <rFont val="Aptos Narrow"/>
            <family val="2"/>
            <scheme val="minor"/>
          </rPr>
          <t>Flujo de Caja Operativo total del ejercicio 2020 segun el Estado de Flujo de Efectivo auditado (Aluar Jun_2020..pdf, pp. 47/48/51), pesos moneda de cierre del ejercicio: 18.920.408.390. Otras Partidas Operativas es el residual de esa cifra auditada menos Resultado Neto, Depreciacion y Amortizacion, y Variacion de Capital de Trabajo (filas 40 a 42), no un rubro desagregado por el estado contable. Ver 03_Modelo_y_Codigo/datos_auditados.py, diccionario FLUJO_EFECTIVO[2020]["fco"].</t>
        </r>
      </text>
    </comment>
    <comment ref="C43" authorId="0" shapeId="0" xr:uid="{00000000-0006-0000-0400-000002000000}">
      <text>
        <r>
          <rPr>
            <sz val="11"/>
            <color theme="1"/>
            <rFont val="Aptos Narrow"/>
            <family val="2"/>
            <scheme val="minor"/>
          </rPr>
          <t>Flujo de Caja Operativo total del ejercicio 2021 segun el Estado de Flujo de Efectivo auditado (Aluar Jun_2021 Consolidado..pdf, pp. 4/5/8), pesos moneda de cierre del ejercicio: 16.892.256.112. Otras Partidas Operativas es el residual de esa cifra auditada menos Resultado Neto, Depreciacion y Amortizacion, y Variacion de Capital de Trabajo (filas 40 a 42), no un rubro desagregado por el estado contable. Ver 03_Modelo_y_Codigo/datos_auditados.py, diccionario FLUJO_EFECTIVO[2021]["fco"].</t>
        </r>
      </text>
    </comment>
    <comment ref="D43" authorId="0" shapeId="0" xr:uid="{00000000-0006-0000-0400-000003000000}">
      <text>
        <r>
          <rPr>
            <sz val="11"/>
            <color theme="1"/>
            <rFont val="Aptos Narrow"/>
            <family val="2"/>
            <scheme val="minor"/>
          </rPr>
          <t>Flujo de Caja Operativo total del ejercicio 2022 segun el Estado de Flujo de Efectivo auditado (Aluar Jun_2022 Consolidado..pdf, pp. 3/5/8), pesos moneda de cierre del ejercicio: 23.470.364.498. Otras Partidas Operativas es el residual de esa cifra auditada menos Resultado Neto, Depreciacion y Amortizacion, y Variacion de Capital de Trabajo (filas 40 a 42), no un rubro desagregado por el estado contable. Ver 03_Modelo_y_Codigo/datos_auditados.py, diccionario FLUJO_EFECTIVO[2022]["fco"].</t>
        </r>
      </text>
    </comment>
    <comment ref="E43" authorId="0" shapeId="0" xr:uid="{00000000-0006-0000-0400-000004000000}">
      <text>
        <r>
          <rPr>
            <sz val="11"/>
            <color theme="1"/>
            <rFont val="Aptos Narrow"/>
            <family val="2"/>
            <scheme val="minor"/>
          </rPr>
          <t>Flujo de Caja Operativo total del ejercicio 2023 segun el Estado de Flujo de Efectivo auditado (Aluar Jun_2023 Consolidado..pdf, pp. 4/5/8), pesos moneda de cierre del ejercicio: 57.135.968.178. Otras Partidas Operativas es el residual de esa cifra auditada menos Resultado Neto, Depreciacion y Amortizacion, y Variacion de Capital de Trabajo (filas 40 a 42), no un rubro desagregado por el estado contable. Ver 03_Modelo_y_Codigo/datos_auditados.py, diccionario FLUJO_EFECTIVO[2023]["fco"].</t>
        </r>
      </text>
    </comment>
    <comment ref="F43" authorId="0" shapeId="0" xr:uid="{00000000-0006-0000-0400-000005000000}">
      <text>
        <r>
          <rPr>
            <sz val="11"/>
            <color theme="1"/>
            <rFont val="Aptos Narrow"/>
            <family val="2"/>
            <scheme val="minor"/>
          </rPr>
          <t>Flujo de Caja Operativo total del ejercicio 2024 segun el Estado de Flujo de Efectivo auditado (Aluar Jun_2024 Consolidado..pdf, pp. 4/5/8 (OCR Tesseract 400 dpi)), pesos moneda de cierre del ejercicio: 106.907.787.111. Otras Partidas Operativas es el residual de esa cifra auditada menos Resultado Neto, Depreciacion y Amortizacion, y Variacion de Capital de Trabajo (filas 40 a 42), no un rubro desagregado por el estado contable. Ver 03_Modelo_y_Codigo/datos_auditados.py, diccionario FLUJO_EFECTIVO[2024]["fco"].</t>
        </r>
      </text>
    </comment>
    <comment ref="G43" authorId="0" shapeId="0" xr:uid="{00000000-0006-0000-0400-000006000000}">
      <text>
        <r>
          <rPr>
            <sz val="11"/>
            <color theme="1"/>
            <rFont val="Aptos Narrow"/>
            <family val="2"/>
            <scheme val="minor"/>
          </rPr>
          <t>Flujo de Caja Operativo total del ejercicio 2025 segun el Estado de Flujo de Efectivo auditado (Aluar Jun_2025 Consolidado..pdf, pp. 3/4/7 (OCR Tesseract 400 dpi)), pesos moneda de cierre del ejercicio: 43.951.466.473. Otras Partidas Operativas es el residual de esa cifra auditada menos Resultado Neto, Depreciacion y Amortizacion, y Variacion de Capital de Trabajo (filas 40 a 42), no un rubro desagregado por el estado contable. Ver 03_Modelo_y_Codigo/datos_auditados.py, diccionario FLUJO_EFECTIVO[2025]["fco"].</t>
        </r>
      </text>
    </comment>
  </commentList>
</comments>
</file>

<file path=xl/sharedStrings.xml><?xml version="1.0" encoding="utf-8"?>
<sst xmlns="http://schemas.openxmlformats.org/spreadsheetml/2006/main" count="505" uniqueCount="417">
  <si>
    <t>ESTADISTICA DE LA ACCION — ALUA.BA homogeneizada a dolares (CCL)</t>
  </si>
  <si>
    <t>Ventana muestral</t>
  </si>
  <si>
    <t>2016-07-04 a 2026-07-23</t>
  </si>
  <si>
    <t>Retornos diarios, 10 anios</t>
  </si>
  <si>
    <t>Observaciones</t>
  </si>
  <si>
    <t>Ruedas con dato simultaneo en BYMA y NYSE</t>
  </si>
  <si>
    <t>Momentos de la distribucion</t>
  </si>
  <si>
    <t>Retorno diario medio</t>
  </si>
  <si>
    <t>Media aritmetica simple</t>
  </si>
  <si>
    <t>Volatilidad diaria</t>
  </si>
  <si>
    <t>Desvio estandar muestral</t>
  </si>
  <si>
    <t>Retorno anualizado</t>
  </si>
  <si>
    <t>(1 + media diaria)^252 - 1</t>
  </si>
  <si>
    <t>Volatilidad anualizada</t>
  </si>
  <si>
    <t>Desvio diario x raiz de 252</t>
  </si>
  <si>
    <t>Asimetria (skewness)</t>
  </si>
  <si>
    <t>Coeficiente de Fisher-Pearson insesgado</t>
  </si>
  <si>
    <t>Exceso de curtosis</t>
  </si>
  <si>
    <t>Curtosis - 3; positivo indica colas pesadas</t>
  </si>
  <si>
    <t>Maximo drawdown</t>
  </si>
  <si>
    <t>Peor caida acumulada pico a valle</t>
  </si>
  <si>
    <t>Test de normalidad de Jarque-Bera</t>
  </si>
  <si>
    <t>Estadistico JB</t>
  </si>
  <si>
    <t>JB = n/6 x (S^2 + K^2/4)</t>
  </si>
  <si>
    <t>p-value</t>
  </si>
  <si>
    <t>Hipotesis nula: los retornos son normales</t>
  </si>
  <si>
    <t>Conclusion</t>
  </si>
  <si>
    <t>Se rechaza la normalidad</t>
  </si>
  <si>
    <t>Justifica reportar el VaR historico junto al parametrico</t>
  </si>
  <si>
    <t>Regresion de mercado (Alexander, Sharpe y Bailey, Cap. 8)</t>
  </si>
  <si>
    <t>Beta OLS contra el S&amp;P 500</t>
  </si>
  <si>
    <t>Cov(r_ALUA_USD, r_SP500) / Var(r_SP500)</t>
  </si>
  <si>
    <t>Error estandar del beta</t>
  </si>
  <si>
    <t>Precision estadistica del estimador</t>
  </si>
  <si>
    <t>R cuadrado</t>
  </si>
  <si>
    <t>Proporcion de varianza explicada por el mercado</t>
  </si>
  <si>
    <t>Observaciones de la regresion</t>
  </si>
  <si>
    <t>Correlaciones de los retornos diarios</t>
  </si>
  <si>
    <t>ALUA contra Merval</t>
  </si>
  <si>
    <t>ALUA contra Ternium Argentina</t>
  </si>
  <si>
    <t>ALUA contra aluminio LME</t>
  </si>
  <si>
    <t>ALUA contra indice dolar (DXY)</t>
  </si>
  <si>
    <t>Valor a riesgo diario (Alexander, Sharpe y Bailey, Cap. 10)</t>
  </si>
  <si>
    <t>VaR 95% parametrico</t>
  </si>
  <si>
    <t>mu + z(0,05) x sigma, con z = -1,6449</t>
  </si>
  <si>
    <t>VaR 95% historico</t>
  </si>
  <si>
    <t>Percentil 5 empirico de la muestra</t>
  </si>
  <si>
    <t>CVaR 95% historico</t>
  </si>
  <si>
    <t>Media de los retornos por debajo del VaR</t>
  </si>
  <si>
    <t>VaR 99% parametrico</t>
  </si>
  <si>
    <t>mu + z(0,01) x sigma, con z = -2,3263</t>
  </si>
  <si>
    <t>VaR 99% historico</t>
  </si>
  <si>
    <t>Percentil 1 empirico de la muestra</t>
  </si>
  <si>
    <t>CVaR 99% historico</t>
  </si>
  <si>
    <t>CVaR 95% escalado a 21 ruedas</t>
  </si>
  <si>
    <t>CVaR diario x raiz de 21</t>
  </si>
  <si>
    <t>Fuente: Elaboracion propia en base a estados financieros de Aluar e informacion de mercado.</t>
  </si>
  <si>
    <t>TP 10, 11 Y 12</t>
  </si>
  <si>
    <t>VALUACIÓN DE EMPRESAS - MODELO DCF</t>
  </si>
  <si>
    <t>Alumno</t>
  </si>
  <si>
    <t>Trabajo Final — Economia y Tecnica Bursatil (UNCuyo)</t>
  </si>
  <si>
    <t>Empresa</t>
  </si>
  <si>
    <t>ALUAR ALUMINIO ARGENTINO S.A.I.C.</t>
  </si>
  <si>
    <t>Ticker</t>
  </si>
  <si>
    <t>ALUA.BA (BYMA)</t>
  </si>
  <si>
    <t>Fecha de corte de mercado</t>
  </si>
  <si>
    <t>2026-07-23</t>
  </si>
  <si>
    <t>Moneda del modelo</t>
  </si>
  <si>
    <t>Dolares estadounidenses (USD)</t>
  </si>
  <si>
    <t>Ultimo ejercicio auditado</t>
  </si>
  <si>
    <t>FY2025 (cerrado el 30 de junio de 2025)</t>
  </si>
  <si>
    <t>Horizonte explicito</t>
  </si>
  <si>
    <t>FY2026E a FY2030E</t>
  </si>
  <si>
    <t>Metodo</t>
  </si>
  <si>
    <t>Descuento de Flujos de Fondos Libres a la Firma (FCFF)</t>
  </si>
  <si>
    <t>Marco teorico</t>
  </si>
  <si>
    <t>Dumrauf, Caps. 6, 8, 10, 12 y 14 — Alexander, Sharpe y Bailey, Caps. 7, 8 y 10</t>
  </si>
  <si>
    <t>Estados contables auditados — Aluar Aluminio Argentino S.A.I.C.</t>
  </si>
  <si>
    <t>FY2020</t>
  </si>
  <si>
    <t>FY2021</t>
  </si>
  <si>
    <t>FY2022</t>
  </si>
  <si>
    <t>FY2023</t>
  </si>
  <si>
    <t>FY2024</t>
  </si>
  <si>
    <t>FY2025</t>
  </si>
  <si>
    <t>ESTADO DE RESULTADOS (ARS de cierre de cada ejercicio)</t>
  </si>
  <si>
    <t>Ventas netas</t>
  </si>
  <si>
    <t>Costo ventas</t>
  </si>
  <si>
    <t>Resultado bruto</t>
  </si>
  <si>
    <t>Otros resultados op</t>
  </si>
  <si>
    <t>Costos distribucion</t>
  </si>
  <si>
    <t>Gastos administracion</t>
  </si>
  <si>
    <t>Otras ganancias perdidas</t>
  </si>
  <si>
    <t>Resultado operativo</t>
  </si>
  <si>
    <t>Resultado financiero</t>
  </si>
  <si>
    <t>Resultado asociadas</t>
  </si>
  <si>
    <t>Resultado antes imp</t>
  </si>
  <si>
    <t>Impuesto ganancias</t>
  </si>
  <si>
    <t>Resultado ejercicio</t>
  </si>
  <si>
    <t>Resultado accionistas</t>
  </si>
  <si>
    <t>ESTADO DE SITUACION PATRIMONIAL (ARS de cierre)</t>
  </si>
  <si>
    <t>Efectivo</t>
  </si>
  <si>
    <t>Cuentas por cobrar</t>
  </si>
  <si>
    <t>Inventarios</t>
  </si>
  <si>
    <t>Otros creditos c</t>
  </si>
  <si>
    <t>Creditos impositivos c</t>
  </si>
  <si>
    <t>Otros activos fin c</t>
  </si>
  <si>
    <t>Otras inversiones c</t>
  </si>
  <si>
    <t>Activo corriente</t>
  </si>
  <si>
    <t>Ppe</t>
  </si>
  <si>
    <t>Intangibles</t>
  </si>
  <si>
    <t>Inversiones asociadas</t>
  </si>
  <si>
    <t>Otros creditos nc</t>
  </si>
  <si>
    <t>Creditos impositivos nc</t>
  </si>
  <si>
    <t>Activo imp diferido</t>
  </si>
  <si>
    <t>Activo no corriente</t>
  </si>
  <si>
    <t>Total activo</t>
  </si>
  <si>
    <t>Cuentas por pagar c</t>
  </si>
  <si>
    <t>Deuda financiera c</t>
  </si>
  <si>
    <t>Otros pasivos c</t>
  </si>
  <si>
    <t>Pasivo corriente</t>
  </si>
  <si>
    <t>Cuentas por pagar nc</t>
  </si>
  <si>
    <t>Deuda financiera nc</t>
  </si>
  <si>
    <t>Otros pasivos nc</t>
  </si>
  <si>
    <t>Pasivo no corriente</t>
  </si>
  <si>
    <t>Total pasivo</t>
  </si>
  <si>
    <t>Total patrimonio</t>
  </si>
  <si>
    <t>ESTADO DE FLUJOS DE EFECTIVO (ARS de cierre)</t>
  </si>
  <si>
    <t>Depreciacion</t>
  </si>
  <si>
    <t>Amortizacion</t>
  </si>
  <si>
    <t>Fco</t>
  </si>
  <si>
    <t>Capex</t>
  </si>
  <si>
    <t>Altas intangibles</t>
  </si>
  <si>
    <t>Otros inversion</t>
  </si>
  <si>
    <t>Fci</t>
  </si>
  <si>
    <t>Altas deuda</t>
  </si>
  <si>
    <t>Cancelacion deuda</t>
  </si>
  <si>
    <t>Intereses pagados</t>
  </si>
  <si>
    <t>Dividendos pagados</t>
  </si>
  <si>
    <t>Fcf</t>
  </si>
  <si>
    <t>Variacion efectivo</t>
  </si>
  <si>
    <t>MAGNITUDES FISICAS Y TIPO DE CAMBIO</t>
  </si>
  <si>
    <t>Volumen despachado (toneladas)</t>
  </si>
  <si>
    <t>Utilizacion de la capacidad informada</t>
  </si>
  <si>
    <t>Contado con liquidacion al cierre (ARS/USD)</t>
  </si>
  <si>
    <t>Capacidad instalada (toneladas anuales)</t>
  </si>
  <si>
    <t>Cada ejercicio se toma de la columna corriente de su propio informe auditado, en la moneda</t>
  </si>
  <si>
    <t xml:space="preserve">   de cierre de ese ejercicio. No se usan las columnas comparativas del informe siguiente:</t>
  </si>
  <si>
    <t xml:space="preserve">   bajo NIC 29 vienen re-expresadas al poder adquisitivo del cierre posterior y, convertidas</t>
  </si>
  <si>
    <t xml:space="preserve">   al tipo de cambio del ejercicio original, sobreestiman todas las magnitudes en dolares.</t>
  </si>
  <si>
    <t>Las identidades contables de los seis ejercicios se verifican en datos_auditados.verificar():</t>
  </si>
  <si>
    <t xml:space="preserve">   activo = corriente + no corriente, activo = pasivo + patrimonio, resultado bruto, EBIT, EBT,</t>
  </si>
  <si>
    <t xml:space="preserve">   resultado del ejercicio y variacion del efectivo = FCO + FCI + FCF.</t>
  </si>
  <si>
    <t>Fuente: Estados financieros consolidados auditados y Memoria Anual de Aluar, ejercicios</t>
  </si>
  <si>
    <t xml:space="preserve">   cerrados al 30 de junio de 2020 a 2025.</t>
  </si>
  <si>
    <t>CONTEXTO MACROECONOMICO Y DE RIESGO SOBERANO</t>
  </si>
  <si>
    <t>Ejercicio</t>
  </si>
  <si>
    <t>2026E</t>
  </si>
  <si>
    <t>2027E</t>
  </si>
  <si>
    <t>2028E</t>
  </si>
  <si>
    <t>2029E</t>
  </si>
  <si>
    <t>2030E</t>
  </si>
  <si>
    <t>Crecimiento del PBI (%)</t>
  </si>
  <si>
    <t>Inflacion minorista (%)</t>
  </si>
  <si>
    <t>PBI 2020-2025 INDEC; PBI 2026E-2027E FMI WEO Abril 2026 (2028E-2030E: convergencia propia del modelo, sin dato FMI/REM publicado a ese horizonte); Inflación 2026E-2028E consenso BCRA REM jun-2026 (2029E-2030E: convergencia propia del modelo, sin dato REM publicado a ese horizonte)</t>
  </si>
  <si>
    <t>Riesgo pais</t>
  </si>
  <si>
    <t>EMBI+ Argentina (puntos basicos)</t>
  </si>
  <si>
    <t>JPMorgan EMBI+ Argentina / BCRA serie 5 -- promedios anuales</t>
  </si>
  <si>
    <t>Tipo de cambio implicito (CCL de cierre del ejercicio)</t>
  </si>
  <si>
    <t>ARS por dolar</t>
  </si>
  <si>
    <t>Insumos de mercado a la fecha de corte</t>
  </si>
  <si>
    <t>Tasa libre de riesgo (US 10Y)</t>
  </si>
  <si>
    <t>^TNX (CBOE 10-Year Treasury Note Yield) — ultimo cierre al 23-jul-2026</t>
  </si>
  <si>
    <t>Prima por riesgo de mercado (ERP)</t>
  </si>
  <si>
    <t>Damodaran (NYU Stern) — ERP implicito de EE.UU., julio 2026</t>
  </si>
  <si>
    <t>Retorno esperado del mercado (Rm)</t>
  </si>
  <si>
    <t>Rm = Rf + ERP</t>
  </si>
  <si>
    <t>Riesgo pais (EMBI+ Argentina)</t>
  </si>
  <si>
    <t>J.P. Morgan EMBI+ Argentina — 441 pb, julio 2026</t>
  </si>
  <si>
    <t>Tipo de cambio CCL</t>
  </si>
  <si>
    <t>GGAL.BA 7,945.00 x 10 / GGAL 50.15</t>
  </si>
  <si>
    <t>Precio de ALUA.BA (ARS)</t>
  </si>
  <si>
    <t>Cierre de BYMA</t>
  </si>
  <si>
    <t>Aluminio LME (USD por tonelada)</t>
  </si>
  <si>
    <t>Futuro ALI=F</t>
  </si>
  <si>
    <t>Alicuota estatutaria</t>
  </si>
  <si>
    <t>Ley 20.628</t>
  </si>
  <si>
    <t>ESTADOS FINANCIEROS</t>
  </si>
  <si>
    <t>Dólar Promedio</t>
  </si>
  <si>
    <t>PESOS ($)</t>
  </si>
  <si>
    <t>Estado de Resultados</t>
  </si>
  <si>
    <t>Ventas Netas</t>
  </si>
  <si>
    <t>Costo de Ventas</t>
  </si>
  <si>
    <t>Ganancia Bruta</t>
  </si>
  <si>
    <t>Gastos de Administración y Comercialización</t>
  </si>
  <si>
    <t>Otros Ingresos/Egresos Netos</t>
  </si>
  <si>
    <t>EBIT (Resultado Operativo)</t>
  </si>
  <si>
    <t>Resultado Financiero</t>
  </si>
  <si>
    <t>Ganancia Antes de Impuestos (EBT)</t>
  </si>
  <si>
    <t>Impuesto a las Ganancias</t>
  </si>
  <si>
    <t>Resultado Neto del Ejercicio</t>
  </si>
  <si>
    <t>Estado de Situación Patrimonial</t>
  </si>
  <si>
    <t>Caja e Inversiones Corrientes</t>
  </si>
  <si>
    <t>Créditos por Ventas</t>
  </si>
  <si>
    <t>Bienes de Cambio</t>
  </si>
  <si>
    <t>Otros Créditos</t>
  </si>
  <si>
    <t>Activo Corriente</t>
  </si>
  <si>
    <t>Bienes de Uso</t>
  </si>
  <si>
    <t>Otros Activos No Corrientes</t>
  </si>
  <si>
    <t>Activo No Corriente</t>
  </si>
  <si>
    <t>Total Activo</t>
  </si>
  <si>
    <t>Deudas Comerciales</t>
  </si>
  <si>
    <t>Deuda Financiera Corriente</t>
  </si>
  <si>
    <t>Otros Pasivos Corrientes</t>
  </si>
  <si>
    <t>Pasivo Corriente</t>
  </si>
  <si>
    <t>Deuda Financiera No Corriente</t>
  </si>
  <si>
    <t>Otros Pasivos No Corrientes</t>
  </si>
  <si>
    <t>Pasivo No Corriente</t>
  </si>
  <si>
    <t>Total Pasivo</t>
  </si>
  <si>
    <t>Estado de Flujo de Efectivo</t>
  </si>
  <si>
    <t>Depreciación y Amortización</t>
  </si>
  <si>
    <t>Variación Capital de Trabajo</t>
  </si>
  <si>
    <t>Otras Partidas Operativas</t>
  </si>
  <si>
    <t>Flujo de Caja Operativo (FCO)</t>
  </si>
  <si>
    <t>CAPEX</t>
  </si>
  <si>
    <t>Otras Partidas de Inversión</t>
  </si>
  <si>
    <t>Flujo de Caja de Inversión (FCI)</t>
  </si>
  <si>
    <t>Variación de Deuda</t>
  </si>
  <si>
    <t>Dividendos</t>
  </si>
  <si>
    <t>Otras Partidas de Financiación</t>
  </si>
  <si>
    <t>Flujo de Caja de Financiación (FCF)</t>
  </si>
  <si>
    <t>Variación Neta de Efectivo</t>
  </si>
  <si>
    <t>Cifras en pesos, en moneda de cierre de cada ejercicio (NIC 29). Fila 2: CCL de cierre usado para convertir a dolares el bloque de abajo.</t>
  </si>
  <si>
    <t>Dólares (US$)</t>
  </si>
  <si>
    <t>Fuente: Estados Financieros Consolidados auditados por Price Waterhouse &amp; Co. S.R.L., ejercicios cerrados el 30 de junio de 2020 a 2025. Cada ejercicio se toma de la columna corriente de su propio informe (no del comparativo reexpresado).</t>
  </si>
  <si>
    <t>Filas 43 y 50: partida residual que cierra el flujo operativo y el de financiacion contra el total informado (incluye RECPAM, resultados financieros e impuestos pagados).</t>
  </si>
  <si>
    <t>Indicador</t>
  </si>
  <si>
    <t>Ratios de liquidez</t>
  </si>
  <si>
    <t>Liquidez corriente</t>
  </si>
  <si>
    <t>Liquidez seca</t>
  </si>
  <si>
    <t>Liquidez de CP</t>
  </si>
  <si>
    <t>Capital de Trabajo</t>
  </si>
  <si>
    <t>Liquidez en modelo Z</t>
  </si>
  <si>
    <t>Ratios de endeudamiento</t>
  </si>
  <si>
    <t>Endeudamiento sobre PN</t>
  </si>
  <si>
    <t>Endeudamiento sobre AT</t>
  </si>
  <si>
    <t>PT/PN</t>
  </si>
  <si>
    <t>Cobertura de intereses</t>
  </si>
  <si>
    <t>Cobertura de intereses (EBITDA)</t>
  </si>
  <si>
    <t>Rotacion de credito</t>
  </si>
  <si>
    <t>Dias de cobranza</t>
  </si>
  <si>
    <t>Rotacion de inventario</t>
  </si>
  <si>
    <t>Dias de venta</t>
  </si>
  <si>
    <t>Dias de pago</t>
  </si>
  <si>
    <t>Rotacion del activo</t>
  </si>
  <si>
    <t>Ratios de rentabilidad</t>
  </si>
  <si>
    <t>Margen neto</t>
  </si>
  <si>
    <t>ROA</t>
  </si>
  <si>
    <t>ROE</t>
  </si>
  <si>
    <t>ROIC</t>
  </si>
  <si>
    <t>Dupont</t>
  </si>
  <si>
    <t>Aperturas y aclaraciones</t>
  </si>
  <si>
    <t>Liquidez corriente = Activo corriente / Pasivo corriente.</t>
  </si>
  <si>
    <t>Liquidez seca = (Activo corriente - Inventarios) / Pasivo corriente.</t>
  </si>
  <si>
    <t>Liquidez de corto plazo = Efectivo y equivalentes / Pasivo corriente.</t>
  </si>
  <si>
    <t>Capital de trabajo = Activo corriente - Pasivo corriente, en millones de dolares.</t>
  </si>
  <si>
    <t>Liquidez en modelo Z = Capital de trabajo / Activo total (variable X1 de Altman).</t>
  </si>
  <si>
    <t>Endeudamiento sobre PN = Deuda financiera / Patrimonio neto.</t>
  </si>
  <si>
    <t>Endeudamiento sobre AT = Pasivo total / Activo total.</t>
  </si>
  <si>
    <t>PT/PN = Pasivo total / Patrimonio neto.</t>
  </si>
  <si>
    <t>Cobertura de intereses = EBIT / Intereses pagados del estado de flujo de efectivo.</t>
  </si>
  <si>
    <t>Rotacion de credito = Ventas / Cuentas por cobrar comerciales.</t>
  </si>
  <si>
    <t>Dias de venta = Inventarios x 365 / Costo de ventas.</t>
  </si>
  <si>
    <t>ROIC = NOPAT / Capital invertido, con Capital invertido = Deuda financiera + Patrimonio neto</t>
  </si>
  <si>
    <t xml:space="preserve">  y NOPAT = EBIT x (1 - 35%), alicuota estatutaria de la Ley 20.628.</t>
  </si>
  <si>
    <t>Dupont = Margen neto x Rotacion del activo x (Activo total / Patrimonio neto) = ROE.</t>
  </si>
  <si>
    <t>Variable</t>
  </si>
  <si>
    <t>PBI</t>
  </si>
  <si>
    <t>TC (EOP)</t>
  </si>
  <si>
    <t>Inflacion (AVG)</t>
  </si>
  <si>
    <t>Inflacion (EOP)</t>
  </si>
  <si>
    <t>Revenue Model</t>
  </si>
  <si>
    <t>Revenues</t>
  </si>
  <si>
    <t>Price</t>
  </si>
  <si>
    <t>Q (Cantidad)</t>
  </si>
  <si>
    <t>COGs</t>
  </si>
  <si>
    <t>SG&amp;A</t>
  </si>
  <si>
    <t>Ingresos = Precio realizado (USD por tonelada) x Cantidad despachada (toneladas). Los ingresos quedan expresados en dolares.</t>
  </si>
  <si>
    <t>Cantidad historica: 'Total solidificado mas despacho de aluminio liquido' de la Memoria Anual de cada ejercicio. Precio realizado historico: Ventas netas en dolares dividido esa cantidad.</t>
  </si>
  <si>
    <t>Cantidad proyectada: capacidad instalada de 460,000 toneladas por un factor de utilizacion del 94%. La utilizacion informada por la Memoria fue 84,4% / 68,3% / 79,4% / 94,5% / 96,4% / 96,8% entre FY2020 y FY2025.</t>
  </si>
  <si>
    <t>Precio realizado proyectado: reversion lineal desde el precio implicito de FY2026E (USD 3,680 por tonelada) hacia la media historica del LME mas el premium por producto elaborado (USD 3,233).</t>
  </si>
  <si>
    <t>Fila 3 (TC): historicos, CCL de cierre de cada ejercicio; proyectados, paridad de poder adquisitivo TC_t = TC_(t-1) x (1 + inflacion argentina) / (1 + 2% de EE.UU.).</t>
  </si>
  <si>
    <t>Fila 12 (COGs) y fila 15 (SG&amp;A) proyectadas: apertura del costo total de explotacion implicito en el margen EBITDA del modelo fisico, 90% costo de ventas y 10% gastos de comercializacion y administracion, proporcion mediana del periodo FY2020-FY2025.</t>
  </si>
  <si>
    <t>Dólar promedio</t>
  </si>
  <si>
    <t>Delta Working Capital</t>
  </si>
  <si>
    <t>Risk Free</t>
  </si>
  <si>
    <t>WACC</t>
  </si>
  <si>
    <t>Country Risk (EMBI+)</t>
  </si>
  <si>
    <t>Rm</t>
  </si>
  <si>
    <t>$</t>
  </si>
  <si>
    <t>Beta</t>
  </si>
  <si>
    <t>Ke</t>
  </si>
  <si>
    <t>Operating Costs</t>
  </si>
  <si>
    <t>Kd (Cost of Capital)</t>
  </si>
  <si>
    <t>Gross Income</t>
  </si>
  <si>
    <t>Tax Rate</t>
  </si>
  <si>
    <t>E/E+D</t>
  </si>
  <si>
    <t>EBIT</t>
  </si>
  <si>
    <t>Tax</t>
  </si>
  <si>
    <t>Perpetuity</t>
  </si>
  <si>
    <t>D&amp;A</t>
  </si>
  <si>
    <t>Beta OLS (S&amp;P 500)</t>
  </si>
  <si>
    <t>Beta ajustado por Blume</t>
  </si>
  <si>
    <t>D/E historico (mediana 6 ejercicios)</t>
  </si>
  <si>
    <t>Free Cash Flow to the Firm (FCFF)</t>
  </si>
  <si>
    <t>Beta desapalancado (Hamada)</t>
  </si>
  <si>
    <t>D/E objetivo (mediana 3 ejercicios)</t>
  </si>
  <si>
    <t>Beta apalancado (Hamada) = J8</t>
  </si>
  <si>
    <t>US$</t>
  </si>
  <si>
    <t>Lambda (ventas al mercado interno / ventas totales)</t>
  </si>
  <si>
    <t>Ke con Lambda = 1 (variante pre-cargada en la plantilla)</t>
  </si>
  <si>
    <t>WACC con Lambda = 1</t>
  </si>
  <si>
    <t>Discounted FCFF</t>
  </si>
  <si>
    <t>VAN</t>
  </si>
  <si>
    <t>5Y  VAN</t>
  </si>
  <si>
    <t>Market Cap</t>
  </si>
  <si>
    <t>Debt</t>
  </si>
  <si>
    <t>EV/EBITDA</t>
  </si>
  <si>
    <t>Net Debt</t>
  </si>
  <si>
    <t>Cash</t>
  </si>
  <si>
    <t>EV</t>
  </si>
  <si>
    <t>2025 Equity</t>
  </si>
  <si>
    <t>EBITDA 2025</t>
  </si>
  <si>
    <t>Q Shares</t>
  </si>
  <si>
    <t>Target Price</t>
  </si>
  <si>
    <t>Verificacion contra el motor en Python</t>
  </si>
  <si>
    <t>Market Price</t>
  </si>
  <si>
    <t>Upside</t>
  </si>
  <si>
    <t>VAN de los 5 anios explicitos</t>
  </si>
  <si>
    <t>Valor terminal descontado</t>
  </si>
  <si>
    <t>Ke (celda J9) = Rf + Beta x (Rm - Rf) + Lambda x Riesgo Pais. Es el CAPM ajustado por riesgo</t>
  </si>
  <si>
    <t>Enterprise Value</t>
  </si>
  <si>
    <t xml:space="preserve">   pais de Dumrauf (Cap. 6 y 8) con el spread soberano ponderado por la exposicion domestica</t>
  </si>
  <si>
    <t>Equity Value</t>
  </si>
  <si>
    <t xml:space="preserve">   de los ingresos: Lambda (celda J21) = ventas al mercado interno / ventas totales. Aluar exporta</t>
  </si>
  <si>
    <t>Precio objetivo (USD)</t>
  </si>
  <si>
    <t xml:space="preserve">   cerca del 80% de su produccion y factura al precio LME en dolares, de modo que solo una quinta</t>
  </si>
  <si>
    <t>Precio objetivo (ARS)</t>
  </si>
  <si>
    <t xml:space="preserve">   parte de su facturacion queda expuesta al ciclo argentino. La variante de la plantilla, que aplica</t>
  </si>
  <si>
    <t>Potencial</t>
  </si>
  <si>
    <t xml:space="preserve">   el spread completo (Lambda = 1), se conserva sin tocar en la celda testigo J22 y su WACC en J23.</t>
  </si>
  <si>
    <t>Beta (celda J8): OLS diario a 10 anios contra el S&amp;P 500 sobre ALUA homogeneizada a dolares,</t>
  </si>
  <si>
    <t xml:space="preserve">   ajustado por Blume (2/3 x beta + 1/3) y luego desapalancado y reapalancado por Hamada (Cap. 10).</t>
  </si>
  <si>
    <t>WACC (celda J13): la plantilla traia '=G31', un marcador roto que apuntaba al FCFF de 2030E.</t>
  </si>
  <si>
    <t xml:space="preserve">   Se reemplazo por la ecuacion de Dumrauf: Ke x E/(E+D) + Kd x (1 - t) x D/(E+D).</t>
  </si>
  <si>
    <t>Impuesto (fila 14): alicuota estatutaria plana del 35% los cinco anios (Ley 20.628).</t>
  </si>
  <si>
    <t>Descuento (fila 32): tal cual la plantilla. El flujo de FY2026E no se descuenta porque se percibe</t>
  </si>
  <si>
    <t xml:space="preserve">   el 30 de junio de 2026, practicamente en la fecha de valuacion; los siguientes llevan</t>
  </si>
  <si>
    <t xml:space="preserve">   exponentes 1, 2, 3 y 4.</t>
  </si>
  <si>
    <t>Perpetuidad (celda E37): valor presente del valor terminal de Gordon. El flujo terminal se</t>
  </si>
  <si>
    <t xml:space="preserve">   normaliza segun Dumrauf (Cap. 14): en estado estacionario CAPEX = D&amp;A y Delta NWC = 0, de modo</t>
  </si>
  <si>
    <t xml:space="preserve">   que el flujo terminal es el NOPAT de 2030E (celdas G26 + G27). Se descuenta por (1 + WACC)^4</t>
  </si>
  <si>
    <t xml:space="preserve">   para ser consistente con los exponentes de la fila 32. La celda E40 conserva su formula original.</t>
  </si>
  <si>
    <t>Crecimiento perpetuo g (celda J14) = 2,0%. La plantilla trae 2,5% pre-cargado. Dumrauf (Cap. 14)</t>
  </si>
  <si>
    <t xml:space="preserve">   exige que la tasa de crecimiento a perpetuidad converja de forma suavizada al crecimiento de</t>
  </si>
  <si>
    <t xml:space="preserve">   largo plazo de la economia y nunca lo supere. Con la capacidad instalada practicamente saturada</t>
  </si>
  <si>
    <t xml:space="preserve">   (96,8% de utilizacion en FY2025 sobre 460.000 toneladas), el crecimiento en volumen esta acotado</t>
  </si>
  <si>
    <t xml:space="preserve">   por la planta y solo queda el arrastre de precio: 2,0% es el techo prudente. Ver la hoja de riesgo</t>
  </si>
  <si>
    <t xml:space="preserve">   cuantitativo para el efecto de sostener el 2,5% de la plantilla.</t>
  </si>
  <si>
    <t>Deuda neta (celda E38): USD 456 millones al cierre del 1T26, informados en forma neta por la fuente.</t>
  </si>
  <si>
    <t>Bloque en pesos (filas 9 a 18): el modelo corre en dolares; los pesos se obtienen multiplicando por</t>
  </si>
  <si>
    <t xml:space="preserve">   la senda de tipo de cambio por paridad de poder adquisitivo de la hoja 6) Proyecciones.</t>
  </si>
  <si>
    <t>Riesgo cuantitativo</t>
  </si>
  <si>
    <t>SIMULACION DE MONTE CARLO SOBRE EL PRECIO OBJETIVO</t>
  </si>
  <si>
    <t>Corridas</t>
  </si>
  <si>
    <t>Semilla</t>
  </si>
  <si>
    <t>Desvio aplicado al WACC</t>
  </si>
  <si>
    <t>Desvio aplicado a g</t>
  </si>
  <si>
    <t>Coeficiente de variacion anual del margen EBITDA (historico)</t>
  </si>
  <si>
    <t>Desvio aplicado al shock de margen (error estandar de la media, n=6)</t>
  </si>
  <si>
    <t>Media</t>
  </si>
  <si>
    <t>Mediana</t>
  </si>
  <si>
    <t>Desvio estandar</t>
  </si>
  <si>
    <t>Percentil 5</t>
  </si>
  <si>
    <t>Percentil 25</t>
  </si>
  <si>
    <t>Percentil 75</t>
  </si>
  <si>
    <t>Percentil 95</t>
  </si>
  <si>
    <t>Probabilidad de que el valor supere al mercado</t>
  </si>
  <si>
    <t>Precio de mercado (ARS)</t>
  </si>
  <si>
    <t>VALOR A RIESGO Y PERDIDA ESPERADA EN LA COLA DE LA ACCION</t>
  </si>
  <si>
    <t>Parametrico</t>
  </si>
  <si>
    <t>Historico</t>
  </si>
  <si>
    <t>VaR diario al 95%</t>
  </si>
  <si>
    <t>CVaR diario al 95%</t>
  </si>
  <si>
    <t>VaR diario al 99%</t>
  </si>
  <si>
    <t>CVaR diario al 99%</t>
  </si>
  <si>
    <t>VaR a 21 ruedas al 95%</t>
  </si>
  <si>
    <t>CVaR a 21 ruedas al 95%</t>
  </si>
  <si>
    <t>Observaciones de la serie diaria</t>
  </si>
  <si>
    <t>PRECIO OBJETIVO SEGUN WACC Y CRECIMIENTO PERPETUO (ARS)</t>
  </si>
  <si>
    <t>SENSIBILIDAD AL PRECIO REALIZADO DEL ALUMINIO</t>
  </si>
  <si>
    <t>Precio realizado -20%</t>
  </si>
  <si>
    <t>Precio realizado -10%</t>
  </si>
  <si>
    <t>Precio realizado +0%</t>
  </si>
  <si>
    <t>Precio realizado +10%</t>
  </si>
  <si>
    <t>Precio realizado +20%</t>
  </si>
  <si>
    <t>ROBUSTEZ DE LOS DOS PARAMETROS QUE SE APARTAN DE LA PLANTILLA</t>
  </si>
  <si>
    <t>g</t>
  </si>
  <si>
    <t>Caso base: Lambda = 0,20 y g = 2,0%</t>
  </si>
  <si>
    <t>Sostener el g = 2,5% pre-cargado en la plantilla</t>
  </si>
  <si>
    <t>Lambda = 1: spread soberano completo (formula literal J22)</t>
  </si>
  <si>
    <t>Damodaran estricto: Lambda x prima pais en acciones</t>
  </si>
  <si>
    <t>La simulacion mueve el WACC, el crecimiento perpetuo y el margen EBITDA con normales</t>
  </si>
  <si>
    <t xml:space="preserve">   independientes y vuelve a resolver el descuento de flujos en cada corrida.</t>
  </si>
  <si>
    <t>El valor a riesgo se calcula sobre los retornos diarios de la accion homogeneizada a dolares:</t>
  </si>
  <si>
    <t xml:space="preserve">   el parametrico supone normalidad y el historico lee directamente el percentil empirico.</t>
  </si>
  <si>
    <t xml:space="preserve">   El test de Jarque-Bera rechaza la normalidad, de modo que el historico es el relevante.</t>
  </si>
  <si>
    <t>El precio objetivo del caso base es ARS 1,236 contra ARS 982 de mercado: +25.8%, dictamen COMPRAR.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</si>
</sst>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000"/>
    <numFmt numFmtId="166" formatCode="0.0"/>
    <numFmt numFmtId="167" formatCode="#,##0.0"/>
    <numFmt numFmtId="168" formatCode="0.0&quot;x&quot;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3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48"/>
      <color theme="0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22"/>
      <color theme="0"/>
      <name val="Aptos Narrow"/>
      <family val="2"/>
      <scheme val="minor"/>
    </font>
    <font>
      <b/>
      <sz val="11"/>
      <name val="Aptos Narrow"/>
      <family val="2"/>
    </font>
    <font>
      <sz val="11"/>
      <name val="Aptos Narrow"/>
      <family val="2"/>
    </font>
    <font>
      <b/>
      <sz val="11"/>
      <color rgb="FFFFFFFF"/>
      <name val="Aptos Narrow"/>
      <family val="2"/>
    </font>
    <font>
      <i/>
      <sz val="9"/>
      <color rgb="FF595959"/>
      <name val="Aptos Narrow"/>
      <family val="2"/>
    </font>
    <font>
      <sz val="10"/>
      <name val="Aptos Narrow"/>
      <family val="2"/>
    </font>
    <font>
      <b/>
      <sz val="1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1E568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8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/>
  </cellStyleXfs>
  <cellXfs count="110">
    <xf numFmtId="0" fontId="0" fillId="0" borderId="0" xfId="0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2" borderId="1" xfId="0" applyFill="1" applyBorder="1"/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2" fillId="0" borderId="1" xfId="0" applyFont="1" applyBorder="1"/>
    <xf numFmtId="0" fontId="0" fillId="0" borderId="4" xfId="0" applyBorder="1"/>
    <xf numFmtId="0" fontId="0" fillId="0" borderId="6" xfId="0" applyBorder="1"/>
    <xf numFmtId="0" fontId="3" fillId="0" borderId="6" xfId="0" applyFont="1" applyBorder="1"/>
    <xf numFmtId="0" fontId="3" fillId="2" borderId="10" xfId="0" applyFont="1" applyFill="1" applyBorder="1"/>
    <xf numFmtId="0" fontId="3" fillId="2" borderId="8" xfId="0" applyFont="1" applyFill="1" applyBorder="1"/>
    <xf numFmtId="0" fontId="6" fillId="0" borderId="1" xfId="0" applyFont="1" applyBorder="1" applyAlignment="1">
      <alignment horizontal="center"/>
    </xf>
    <xf numFmtId="10" fontId="7" fillId="0" borderId="11" xfId="0" applyNumberFormat="1" applyFont="1" applyBorder="1"/>
    <xf numFmtId="0" fontId="4" fillId="0" borderId="12" xfId="0" applyFont="1" applyBorder="1" applyAlignment="1">
      <alignment horizontal="center"/>
    </xf>
    <xf numFmtId="0" fontId="0" fillId="0" borderId="13" xfId="0" applyBorder="1"/>
    <xf numFmtId="0" fontId="8" fillId="4" borderId="13" xfId="0" applyFont="1" applyFill="1" applyBorder="1"/>
    <xf numFmtId="0" fontId="0" fillId="4" borderId="13" xfId="0" applyFill="1" applyBorder="1"/>
    <xf numFmtId="0" fontId="9" fillId="4" borderId="13" xfId="0" applyFont="1" applyFill="1" applyBorder="1"/>
    <xf numFmtId="0" fontId="0" fillId="0" borderId="14" xfId="0" applyBorder="1"/>
    <xf numFmtId="0" fontId="8" fillId="5" borderId="13" xfId="0" applyFont="1" applyFill="1" applyBorder="1" applyAlignment="1">
      <alignment horizontal="center"/>
    </xf>
    <xf numFmtId="0" fontId="9" fillId="6" borderId="0" xfId="0" applyFont="1" applyFill="1"/>
    <xf numFmtId="0" fontId="8" fillId="6" borderId="0" xfId="0" applyFont="1" applyFill="1"/>
    <xf numFmtId="0" fontId="8" fillId="6" borderId="13" xfId="0" applyFont="1" applyFill="1" applyBorder="1"/>
    <xf numFmtId="0" fontId="9" fillId="6" borderId="13" xfId="0" applyFont="1" applyFill="1" applyBorder="1"/>
    <xf numFmtId="0" fontId="0" fillId="6" borderId="13" xfId="0" applyFill="1" applyBorder="1"/>
    <xf numFmtId="0" fontId="11" fillId="4" borderId="13" xfId="0" applyFont="1" applyFill="1" applyBorder="1"/>
    <xf numFmtId="0" fontId="10" fillId="3" borderId="13" xfId="0" applyFont="1" applyFill="1" applyBorder="1"/>
    <xf numFmtId="0" fontId="11" fillId="6" borderId="13" xfId="0" applyFont="1" applyFill="1" applyBorder="1"/>
    <xf numFmtId="0" fontId="12" fillId="7" borderId="0" xfId="0" applyFont="1" applyFill="1"/>
    <xf numFmtId="0" fontId="9" fillId="7" borderId="0" xfId="0" applyFont="1" applyFill="1"/>
    <xf numFmtId="0" fontId="13" fillId="0" borderId="0" xfId="0" applyFont="1"/>
    <xf numFmtId="0" fontId="14" fillId="0" borderId="1" xfId="0" applyFont="1" applyBorder="1"/>
    <xf numFmtId="0" fontId="3" fillId="0" borderId="13" xfId="0" applyFont="1" applyBorder="1" applyAlignment="1">
      <alignment horizontal="right"/>
    </xf>
    <xf numFmtId="0" fontId="3" fillId="0" borderId="0" xfId="0" applyFont="1"/>
    <xf numFmtId="0" fontId="16" fillId="9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/>
    </xf>
    <xf numFmtId="0" fontId="0" fillId="8" borderId="0" xfId="0" applyFill="1"/>
    <xf numFmtId="10" fontId="15" fillId="8" borderId="7" xfId="0" applyNumberFormat="1" applyFont="1" applyFill="1" applyBorder="1" applyAlignment="1">
      <alignment horizontal="right"/>
    </xf>
    <xf numFmtId="0" fontId="18" fillId="0" borderId="0" xfId="0" applyFont="1"/>
    <xf numFmtId="0" fontId="5" fillId="0" borderId="1" xfId="0" applyFont="1" applyBorder="1"/>
    <xf numFmtId="0" fontId="8" fillId="7" borderId="1" xfId="0" applyFont="1" applyFill="1" applyBorder="1"/>
    <xf numFmtId="0" fontId="20" fillId="0" borderId="1" xfId="0" applyFont="1" applyBorder="1"/>
    <xf numFmtId="0" fontId="20" fillId="0" borderId="0" xfId="0" applyFont="1"/>
    <xf numFmtId="0" fontId="21" fillId="0" borderId="0" xfId="0" applyFont="1"/>
    <xf numFmtId="0" fontId="22" fillId="11" borderId="0" xfId="0" applyFont="1" applyFill="1"/>
    <xf numFmtId="0" fontId="24" fillId="0" borderId="0" xfId="0" applyFont="1"/>
    <xf numFmtId="3" fontId="24" fillId="0" borderId="0" xfId="0" applyNumberFormat="1" applyFont="1"/>
    <xf numFmtId="164" fontId="24" fillId="0" borderId="0" xfId="0" applyNumberFormat="1" applyFont="1"/>
    <xf numFmtId="4" fontId="24" fillId="0" borderId="0" xfId="0" applyNumberFormat="1" applyFont="1"/>
    <xf numFmtId="3" fontId="0" fillId="0" borderId="0" xfId="0" applyNumberFormat="1"/>
    <xf numFmtId="0" fontId="23" fillId="0" borderId="0" xfId="0" applyFont="1" applyAlignment="1">
      <alignment vertical="top"/>
    </xf>
    <xf numFmtId="10" fontId="21" fillId="0" borderId="0" xfId="0" applyNumberFormat="1" applyFont="1"/>
    <xf numFmtId="165" fontId="21" fillId="0" borderId="0" xfId="0" applyNumberFormat="1" applyFont="1"/>
    <xf numFmtId="166" fontId="0" fillId="0" borderId="0" xfId="0" applyNumberFormat="1"/>
    <xf numFmtId="4" fontId="0" fillId="0" borderId="0" xfId="0" applyNumberFormat="1"/>
    <xf numFmtId="10" fontId="0" fillId="0" borderId="0" xfId="0" applyNumberFormat="1"/>
    <xf numFmtId="167" fontId="0" fillId="0" borderId="0" xfId="0" applyNumberFormat="1"/>
    <xf numFmtId="4" fontId="15" fillId="8" borderId="13" xfId="0" applyNumberFormat="1" applyFont="1" applyFill="1" applyBorder="1" applyAlignment="1">
      <alignment horizontal="center"/>
    </xf>
    <xf numFmtId="3" fontId="0" fillId="8" borderId="0" xfId="0" applyNumberFormat="1" applyFill="1" applyAlignment="1">
      <alignment horizontal="center"/>
    </xf>
    <xf numFmtId="3" fontId="0" fillId="8" borderId="13" xfId="0" applyNumberFormat="1" applyFill="1" applyBorder="1" applyAlignment="1">
      <alignment horizontal="center"/>
    </xf>
    <xf numFmtId="3" fontId="0" fillId="8" borderId="14" xfId="0" applyNumberFormat="1" applyFill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22" fillId="7" borderId="1" xfId="0" applyFont="1" applyFill="1" applyBorder="1" applyAlignment="1">
      <alignment horizontal="center"/>
    </xf>
    <xf numFmtId="4" fontId="21" fillId="0" borderId="1" xfId="0" applyNumberFormat="1" applyFont="1" applyBorder="1"/>
    <xf numFmtId="167" fontId="21" fillId="0" borderId="1" xfId="0" applyNumberFormat="1" applyFont="1" applyBorder="1"/>
    <xf numFmtId="3" fontId="21" fillId="0" borderId="1" xfId="0" applyNumberFormat="1" applyFont="1" applyBorder="1"/>
    <xf numFmtId="164" fontId="21" fillId="0" borderId="1" xfId="0" applyNumberFormat="1" applyFont="1" applyBorder="1"/>
    <xf numFmtId="166" fontId="0" fillId="8" borderId="0" xfId="0" applyNumberFormat="1" applyFill="1"/>
    <xf numFmtId="4" fontId="0" fillId="8" borderId="0" xfId="0" applyNumberFormat="1" applyFill="1"/>
    <xf numFmtId="3" fontId="0" fillId="8" borderId="0" xfId="0" applyNumberFormat="1" applyFill="1"/>
    <xf numFmtId="4" fontId="15" fillId="8" borderId="1" xfId="0" applyNumberFormat="1" applyFont="1" applyFill="1" applyBorder="1" applyAlignment="1">
      <alignment horizontal="center"/>
    </xf>
    <xf numFmtId="3" fontId="15" fillId="8" borderId="1" xfId="0" applyNumberFormat="1" applyFont="1" applyFill="1" applyBorder="1" applyAlignment="1">
      <alignment horizontal="center"/>
    </xf>
    <xf numFmtId="10" fontId="15" fillId="8" borderId="5" xfId="0" applyNumberFormat="1" applyFont="1" applyFill="1" applyBorder="1"/>
    <xf numFmtId="10" fontId="15" fillId="8" borderId="7" xfId="0" applyNumberFormat="1" applyFont="1" applyFill="1" applyBorder="1"/>
    <xf numFmtId="165" fontId="15" fillId="8" borderId="7" xfId="0" applyNumberFormat="1" applyFont="1" applyFill="1" applyBorder="1"/>
    <xf numFmtId="10" fontId="6" fillId="0" borderId="7" xfId="1" applyNumberFormat="1" applyFont="1" applyBorder="1"/>
    <xf numFmtId="10" fontId="17" fillId="8" borderId="9" xfId="0" applyNumberFormat="1" applyFont="1" applyFill="1" applyBorder="1"/>
    <xf numFmtId="165" fontId="24" fillId="0" borderId="0" xfId="0" applyNumberFormat="1" applyFont="1"/>
    <xf numFmtId="2" fontId="24" fillId="0" borderId="0" xfId="0" applyNumberFormat="1" applyFont="1"/>
    <xf numFmtId="3" fontId="6" fillId="0" borderId="1" xfId="0" applyNumberFormat="1" applyFont="1" applyBorder="1" applyAlignment="1">
      <alignment horizontal="center"/>
    </xf>
    <xf numFmtId="10" fontId="24" fillId="0" borderId="0" xfId="0" applyNumberFormat="1" applyFont="1"/>
    <xf numFmtId="3" fontId="6" fillId="0" borderId="1" xfId="0" applyNumberFormat="1" applyFont="1" applyBorder="1"/>
    <xf numFmtId="3" fontId="15" fillId="8" borderId="1" xfId="0" applyNumberFormat="1" applyFont="1" applyFill="1" applyBorder="1"/>
    <xf numFmtId="168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/>
    <xf numFmtId="165" fontId="15" fillId="8" borderId="1" xfId="0" applyNumberFormat="1" applyFont="1" applyFill="1" applyBorder="1"/>
    <xf numFmtId="10" fontId="25" fillId="0" borderId="0" xfId="0" applyNumberFormat="1" applyFont="1"/>
    <xf numFmtId="164" fontId="6" fillId="0" borderId="1" xfId="1" applyNumberFormat="1" applyFont="1" applyBorder="1"/>
    <xf numFmtId="167" fontId="25" fillId="0" borderId="0" xfId="0" applyNumberFormat="1" applyFont="1"/>
    <xf numFmtId="165" fontId="25" fillId="0" borderId="0" xfId="0" applyNumberFormat="1" applyFont="1"/>
    <xf numFmtId="4" fontId="25" fillId="0" borderId="0" xfId="0" applyNumberFormat="1" applyFont="1"/>
    <xf numFmtId="164" fontId="25" fillId="0" borderId="0" xfId="0" applyNumberFormat="1" applyFont="1"/>
    <xf numFmtId="1" fontId="24" fillId="0" borderId="0" xfId="0" applyNumberFormat="1" applyFont="1"/>
    <xf numFmtId="0" fontId="25" fillId="0" borderId="0" xfId="0" applyFont="1"/>
    <xf numFmtId="3" fontId="25" fillId="0" borderId="0" xfId="0" applyNumberFormat="1" applyFont="1"/>
    <xf numFmtId="0" fontId="0" fillId="0" borderId="16" xfId="0" applyBorder="1" applyAlignment="1">
      <alignment horizontal="center" vertical="center"/>
    </xf>
    <xf numFmtId="0" fontId="0" fillId="0" borderId="15" xfId="0" applyBorder="1"/>
    <xf numFmtId="0" fontId="19" fillId="10" borderId="3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6096000" cy="24098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0</xdr:colOff>
      <xdr:row>17</xdr:row>
      <xdr:rowOff>0</xdr:rowOff>
    </xdr:from>
    <xdr:ext cx="6096000" cy="37052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0</xdr:colOff>
      <xdr:row>40</xdr:row>
      <xdr:rowOff>0</xdr:rowOff>
    </xdr:from>
    <xdr:ext cx="6096000" cy="27813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0</xdr:colOff>
      <xdr:row>58</xdr:row>
      <xdr:rowOff>0</xdr:rowOff>
    </xdr:from>
    <xdr:ext cx="6096000" cy="29718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6096000" cy="24955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0</xdr:colOff>
      <xdr:row>17</xdr:row>
      <xdr:rowOff>0</xdr:rowOff>
    </xdr:from>
    <xdr:ext cx="6096000" cy="326707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</xdr:row>
      <xdr:rowOff>0</xdr:rowOff>
    </xdr:from>
    <xdr:ext cx="6096000" cy="47434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13</xdr:col>
      <xdr:colOff>0</xdr:colOff>
      <xdr:row>30</xdr:row>
      <xdr:rowOff>0</xdr:rowOff>
    </xdr:from>
    <xdr:ext cx="6096000" cy="45339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6096000" cy="3724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8</xdr:col>
      <xdr:colOff>0</xdr:colOff>
      <xdr:row>24</xdr:row>
      <xdr:rowOff>0</xdr:rowOff>
    </xdr:from>
    <xdr:ext cx="6096000" cy="32861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6096000" cy="40671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8</xdr:col>
      <xdr:colOff>0</xdr:colOff>
      <xdr:row>26</xdr:row>
      <xdr:rowOff>0</xdr:rowOff>
    </xdr:from>
    <xdr:ext cx="6096000" cy="43529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</xdr:row>
      <xdr:rowOff>0</xdr:rowOff>
    </xdr:from>
    <xdr:ext cx="6096000" cy="2200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13</xdr:col>
      <xdr:colOff>0</xdr:colOff>
      <xdr:row>16</xdr:row>
      <xdr:rowOff>0</xdr:rowOff>
    </xdr:from>
    <xdr:ext cx="6096000" cy="44672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13</xdr:col>
      <xdr:colOff>0</xdr:colOff>
      <xdr:row>43</xdr:row>
      <xdr:rowOff>0</xdr:rowOff>
    </xdr:from>
    <xdr:ext cx="6096000" cy="3810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6096000" cy="46577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19</xdr:col>
      <xdr:colOff>0</xdr:colOff>
      <xdr:row>29</xdr:row>
      <xdr:rowOff>0</xdr:rowOff>
    </xdr:from>
    <xdr:ext cx="6096000" cy="3810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19</xdr:col>
      <xdr:colOff>0</xdr:colOff>
      <xdr:row>53</xdr:row>
      <xdr:rowOff>0</xdr:rowOff>
    </xdr:from>
    <xdr:ext cx="6096000" cy="471487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6096000" cy="26479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18</xdr:row>
      <xdr:rowOff>0</xdr:rowOff>
    </xdr:from>
    <xdr:ext cx="6096000" cy="33909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B4:F19"/>
  <sheetViews>
    <sheetView showGridLines="0" workbookViewId="0">
      <selection activeCell="F11" sqref="F11"/>
    </sheetView>
  </sheetViews>
  <sheetFormatPr baseColWidth="10" defaultRowHeight="14.4" x14ac:dyDescent="0.3"/>
  <cols>
    <col min="3" max="3" width="41.44140625" customWidth="1"/>
  </cols>
  <sheetData>
    <row r="4" spans="2:6" ht="63" customHeight="1" x14ac:dyDescent="1.2">
      <c r="B4" s="32" t="s">
        <v>57</v>
      </c>
      <c r="C4" s="33"/>
      <c r="D4" s="33"/>
      <c r="E4" s="33"/>
      <c r="F4" s="33"/>
    </row>
    <row r="6" spans="2:6" ht="36.6" customHeight="1" x14ac:dyDescent="0.7">
      <c r="B6" s="34" t="s">
        <v>58</v>
      </c>
    </row>
    <row r="9" spans="2:6" ht="18" customHeight="1" x14ac:dyDescent="0.35">
      <c r="B9" s="35" t="s">
        <v>59</v>
      </c>
      <c r="C9" s="46" t="s">
        <v>60</v>
      </c>
    </row>
    <row r="10" spans="2:6" ht="18" customHeight="1" x14ac:dyDescent="0.35">
      <c r="B10" s="35" t="s">
        <v>61</v>
      </c>
      <c r="C10" s="46" t="s">
        <v>62</v>
      </c>
    </row>
    <row r="11" spans="2:6" ht="18" customHeight="1" x14ac:dyDescent="0.35">
      <c r="B11" s="35" t="s">
        <v>63</v>
      </c>
      <c r="C11" s="46" t="s">
        <v>64</v>
      </c>
    </row>
    <row r="13" spans="2:6" x14ac:dyDescent="0.3">
      <c r="B13" s="47" t="s">
        <v>65</v>
      </c>
      <c r="C13" s="48" t="s">
        <v>66</v>
      </c>
    </row>
    <row r="14" spans="2:6" x14ac:dyDescent="0.3">
      <c r="B14" s="47" t="s">
        <v>67</v>
      </c>
      <c r="C14" s="48" t="s">
        <v>68</v>
      </c>
    </row>
    <row r="15" spans="2:6" x14ac:dyDescent="0.3">
      <c r="B15" s="47" t="s">
        <v>69</v>
      </c>
      <c r="C15" s="48" t="s">
        <v>70</v>
      </c>
    </row>
    <row r="16" spans="2:6" x14ac:dyDescent="0.3">
      <c r="B16" s="47" t="s">
        <v>71</v>
      </c>
      <c r="C16" s="48" t="s">
        <v>72</v>
      </c>
    </row>
    <row r="17" spans="2:3" x14ac:dyDescent="0.3">
      <c r="B17" s="47" t="s">
        <v>73</v>
      </c>
      <c r="C17" s="48" t="s">
        <v>74</v>
      </c>
    </row>
    <row r="18" spans="2:3" x14ac:dyDescent="0.3">
      <c r="B18" s="47"/>
      <c r="C18" s="48"/>
    </row>
    <row r="19" spans="2:3" x14ac:dyDescent="0.3">
      <c r="B19" s="47" t="s">
        <v>75</v>
      </c>
      <c r="C19" s="48" t="s">
        <v>76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workbookViewId="0"/>
  </sheetViews>
  <sheetFormatPr baseColWidth="10" defaultColWidth="8.88671875" defaultRowHeight="14.4" x14ac:dyDescent="0.3"/>
  <cols>
    <col min="1" max="1" width="46" customWidth="1"/>
    <col min="2" max="7" width="20" customWidth="1"/>
  </cols>
  <sheetData>
    <row r="1" spans="1:7" x14ac:dyDescent="0.3">
      <c r="A1" s="49" t="s">
        <v>77</v>
      </c>
      <c r="B1" s="49" t="s">
        <v>78</v>
      </c>
      <c r="C1" s="49" t="s">
        <v>79</v>
      </c>
      <c r="D1" s="49" t="s">
        <v>80</v>
      </c>
      <c r="E1" s="49" t="s">
        <v>81</v>
      </c>
      <c r="F1" s="49" t="s">
        <v>82</v>
      </c>
      <c r="G1" s="49" t="s">
        <v>83</v>
      </c>
    </row>
    <row r="3" spans="1:7" x14ac:dyDescent="0.3">
      <c r="A3" s="47" t="s">
        <v>84</v>
      </c>
    </row>
    <row r="4" spans="1:7" x14ac:dyDescent="0.3">
      <c r="A4" s="50" t="s">
        <v>85</v>
      </c>
      <c r="B4" s="51">
        <v>63409348048</v>
      </c>
      <c r="C4" s="51">
        <v>84727990356</v>
      </c>
      <c r="D4" s="51">
        <v>172191945319</v>
      </c>
      <c r="E4" s="51">
        <v>325816454929</v>
      </c>
      <c r="F4" s="51">
        <v>1236401592941</v>
      </c>
      <c r="G4" s="51">
        <v>1562412110649</v>
      </c>
    </row>
    <row r="5" spans="1:7" x14ac:dyDescent="0.3">
      <c r="A5" s="50" t="s">
        <v>86</v>
      </c>
      <c r="B5" s="51">
        <v>-54760342500</v>
      </c>
      <c r="C5" s="51">
        <v>-68373389110</v>
      </c>
      <c r="D5" s="51">
        <v>-117898237133</v>
      </c>
      <c r="E5" s="51">
        <v>-269627442436</v>
      </c>
      <c r="F5" s="51">
        <v>-1004361399758</v>
      </c>
      <c r="G5" s="51">
        <v>-1330677784788</v>
      </c>
    </row>
    <row r="6" spans="1:7" x14ac:dyDescent="0.3">
      <c r="A6" s="50" t="s">
        <v>87</v>
      </c>
      <c r="B6" s="51">
        <v>8649005548</v>
      </c>
      <c r="C6" s="51">
        <v>16354601246</v>
      </c>
      <c r="D6" s="51">
        <v>54293708186</v>
      </c>
      <c r="E6" s="51">
        <v>56189012493</v>
      </c>
      <c r="F6" s="51">
        <v>232040193183</v>
      </c>
      <c r="G6" s="51">
        <v>231734325861</v>
      </c>
    </row>
    <row r="7" spans="1:7" x14ac:dyDescent="0.3">
      <c r="A7" s="50" t="s">
        <v>88</v>
      </c>
      <c r="B7" s="51">
        <v>0</v>
      </c>
      <c r="C7" s="51">
        <v>0</v>
      </c>
      <c r="D7" s="51">
        <v>0</v>
      </c>
      <c r="E7" s="51">
        <v>0</v>
      </c>
      <c r="F7" s="51">
        <v>69358315372</v>
      </c>
      <c r="G7" s="51">
        <v>43157521696</v>
      </c>
    </row>
    <row r="8" spans="1:7" x14ac:dyDescent="0.3">
      <c r="A8" s="50" t="s">
        <v>89</v>
      </c>
      <c r="B8" s="51">
        <v>-3208310641</v>
      </c>
      <c r="C8" s="51">
        <v>-3652477359</v>
      </c>
      <c r="D8" s="51">
        <v>-7072608359</v>
      </c>
      <c r="E8" s="51">
        <v>-14244626233</v>
      </c>
      <c r="F8" s="51">
        <v>-55831798811</v>
      </c>
      <c r="G8" s="51">
        <v>-83210844083</v>
      </c>
    </row>
    <row r="9" spans="1:7" x14ac:dyDescent="0.3">
      <c r="A9" s="50" t="s">
        <v>90</v>
      </c>
      <c r="B9" s="51">
        <v>-1706887987</v>
      </c>
      <c r="C9" s="51">
        <v>-2587422482</v>
      </c>
      <c r="D9" s="51">
        <v>-4514399010</v>
      </c>
      <c r="E9" s="51">
        <v>-10963048835</v>
      </c>
      <c r="F9" s="51">
        <v>-38755109755</v>
      </c>
      <c r="G9" s="51">
        <v>-60925022982</v>
      </c>
    </row>
    <row r="10" spans="1:7" x14ac:dyDescent="0.3">
      <c r="A10" s="50" t="s">
        <v>91</v>
      </c>
      <c r="B10" s="51">
        <v>-30171482</v>
      </c>
      <c r="C10" s="51">
        <v>4335635</v>
      </c>
      <c r="D10" s="51">
        <v>-63699146</v>
      </c>
      <c r="E10" s="51">
        <v>187212424</v>
      </c>
      <c r="F10" s="51">
        <v>-845996116</v>
      </c>
      <c r="G10" s="51">
        <v>1186589783</v>
      </c>
    </row>
    <row r="11" spans="1:7" x14ac:dyDescent="0.3">
      <c r="A11" s="50" t="s">
        <v>92</v>
      </c>
      <c r="B11" s="51">
        <v>3703635438</v>
      </c>
      <c r="C11" s="51">
        <v>10119037040</v>
      </c>
      <c r="D11" s="51">
        <v>42643001671</v>
      </c>
      <c r="E11" s="51">
        <v>31168549849</v>
      </c>
      <c r="F11" s="51">
        <v>205965603873</v>
      </c>
      <c r="G11" s="51">
        <v>131942570275</v>
      </c>
    </row>
    <row r="12" spans="1:7" x14ac:dyDescent="0.3">
      <c r="A12" s="50" t="s">
        <v>93</v>
      </c>
      <c r="B12" s="51">
        <v>-6566063005</v>
      </c>
      <c r="C12" s="51">
        <v>2419331881</v>
      </c>
      <c r="D12" s="51">
        <v>9632037259</v>
      </c>
      <c r="E12" s="51">
        <v>44564001050</v>
      </c>
      <c r="F12" s="51">
        <v>4962718527</v>
      </c>
      <c r="G12" s="51">
        <v>-48050930393</v>
      </c>
    </row>
    <row r="13" spans="1:7" x14ac:dyDescent="0.3">
      <c r="A13" s="50" t="s">
        <v>94</v>
      </c>
      <c r="B13" s="51">
        <v>55902016</v>
      </c>
      <c r="C13" s="51">
        <v>8263359</v>
      </c>
      <c r="D13" s="51">
        <v>-110423361</v>
      </c>
      <c r="E13" s="51">
        <v>-109126134</v>
      </c>
      <c r="F13" s="51">
        <v>300555040</v>
      </c>
      <c r="G13" s="51">
        <v>-256815924</v>
      </c>
    </row>
    <row r="14" spans="1:7" x14ac:dyDescent="0.3">
      <c r="A14" s="50" t="s">
        <v>95</v>
      </c>
      <c r="B14" s="51">
        <v>-2806525551</v>
      </c>
      <c r="C14" s="51">
        <v>12546632280</v>
      </c>
      <c r="D14" s="51">
        <v>52164615569</v>
      </c>
      <c r="E14" s="51">
        <v>75623424765</v>
      </c>
      <c r="F14" s="51">
        <v>211228877440</v>
      </c>
      <c r="G14" s="51">
        <v>83634823958</v>
      </c>
    </row>
    <row r="15" spans="1:7" x14ac:dyDescent="0.3">
      <c r="A15" s="50" t="s">
        <v>96</v>
      </c>
      <c r="B15" s="51">
        <v>-576987122</v>
      </c>
      <c r="C15" s="51">
        <v>-7905027168</v>
      </c>
      <c r="D15" s="51">
        <v>-21779035241</v>
      </c>
      <c r="E15" s="51">
        <v>-5700597582</v>
      </c>
      <c r="F15" s="51">
        <v>-90078786044</v>
      </c>
      <c r="G15" s="51">
        <v>-70518972115</v>
      </c>
    </row>
    <row r="16" spans="1:7" x14ac:dyDescent="0.3">
      <c r="A16" s="50" t="s">
        <v>97</v>
      </c>
      <c r="B16" s="51">
        <v>-3383512673</v>
      </c>
      <c r="C16" s="51">
        <v>4641605112</v>
      </c>
      <c r="D16" s="51">
        <v>30385580328</v>
      </c>
      <c r="E16" s="51">
        <v>69922827183</v>
      </c>
      <c r="F16" s="51">
        <v>121150091396</v>
      </c>
      <c r="G16" s="51">
        <v>13115851843</v>
      </c>
    </row>
    <row r="17" spans="1:7" x14ac:dyDescent="0.3">
      <c r="A17" s="50" t="s">
        <v>98</v>
      </c>
      <c r="B17" s="51">
        <v>-3657833689</v>
      </c>
      <c r="C17" s="51">
        <v>4872789993</v>
      </c>
      <c r="D17" s="51">
        <v>29986923221</v>
      </c>
      <c r="E17" s="51">
        <v>66183247107</v>
      </c>
      <c r="F17" s="51">
        <v>122054902973</v>
      </c>
      <c r="G17" s="51">
        <v>7513255855</v>
      </c>
    </row>
    <row r="19" spans="1:7" x14ac:dyDescent="0.3">
      <c r="A19" s="47" t="s">
        <v>99</v>
      </c>
    </row>
    <row r="20" spans="1:7" x14ac:dyDescent="0.3">
      <c r="A20" s="50" t="s">
        <v>100</v>
      </c>
      <c r="B20" s="51">
        <v>1839369042</v>
      </c>
      <c r="C20" s="51">
        <v>7252917427</v>
      </c>
      <c r="D20" s="51">
        <v>20161189895</v>
      </c>
      <c r="E20" s="51">
        <v>29693029170</v>
      </c>
      <c r="F20" s="51">
        <v>266322192658</v>
      </c>
      <c r="G20" s="51">
        <v>98947674124</v>
      </c>
    </row>
    <row r="21" spans="1:7" x14ac:dyDescent="0.3">
      <c r="A21" s="50" t="s">
        <v>101</v>
      </c>
      <c r="B21" s="51">
        <v>2963245410</v>
      </c>
      <c r="C21" s="51">
        <v>3689394219</v>
      </c>
      <c r="D21" s="51">
        <v>18917452767</v>
      </c>
      <c r="E21" s="51">
        <v>15464292214</v>
      </c>
      <c r="F21" s="51">
        <v>88423622080</v>
      </c>
      <c r="G21" s="51">
        <v>80168140299</v>
      </c>
    </row>
    <row r="22" spans="1:7" x14ac:dyDescent="0.3">
      <c r="A22" s="50" t="s">
        <v>102</v>
      </c>
      <c r="B22" s="51">
        <v>25148031793</v>
      </c>
      <c r="C22" s="51">
        <v>36480731995</v>
      </c>
      <c r="D22" s="51">
        <v>77031996402</v>
      </c>
      <c r="E22" s="51">
        <v>181793434471</v>
      </c>
      <c r="F22" s="51">
        <v>756454320091</v>
      </c>
      <c r="G22" s="51">
        <v>1142056656056</v>
      </c>
    </row>
    <row r="23" spans="1:7" x14ac:dyDescent="0.3">
      <c r="A23" s="50" t="s">
        <v>103</v>
      </c>
      <c r="B23" s="51">
        <v>2825305007</v>
      </c>
      <c r="C23" s="51">
        <v>3668735416</v>
      </c>
      <c r="D23" s="51">
        <v>8736893481</v>
      </c>
      <c r="E23" s="51">
        <v>6533666474</v>
      </c>
      <c r="F23" s="51">
        <v>77810698453</v>
      </c>
      <c r="G23" s="51">
        <v>54742518963</v>
      </c>
    </row>
    <row r="24" spans="1:7" x14ac:dyDescent="0.3">
      <c r="A24" s="50" t="s">
        <v>104</v>
      </c>
      <c r="B24" s="51">
        <v>2191062408</v>
      </c>
      <c r="C24" s="51">
        <v>1399009335</v>
      </c>
      <c r="D24" s="51">
        <v>1104585898</v>
      </c>
      <c r="E24" s="51">
        <v>13030551476</v>
      </c>
      <c r="F24" s="51">
        <v>18080070469</v>
      </c>
      <c r="G24" s="51">
        <v>42823904159</v>
      </c>
    </row>
    <row r="25" spans="1:7" x14ac:dyDescent="0.3">
      <c r="A25" s="50" t="s">
        <v>105</v>
      </c>
      <c r="B25" s="51">
        <v>36642836</v>
      </c>
      <c r="C25" s="51">
        <v>910837</v>
      </c>
      <c r="D25" s="51">
        <v>1598589</v>
      </c>
      <c r="E25" s="51">
        <v>4331815</v>
      </c>
      <c r="F25" s="51">
        <v>11773861948</v>
      </c>
      <c r="G25" s="51">
        <v>19404759127</v>
      </c>
    </row>
    <row r="26" spans="1:7" x14ac:dyDescent="0.3">
      <c r="A26" s="50" t="s">
        <v>106</v>
      </c>
      <c r="B26" s="51">
        <v>0</v>
      </c>
      <c r="C26" s="51">
        <v>0</v>
      </c>
      <c r="D26" s="51">
        <v>0</v>
      </c>
      <c r="E26" s="51">
        <v>0</v>
      </c>
      <c r="F26" s="51">
        <v>0</v>
      </c>
      <c r="G26" s="51">
        <v>32020256411</v>
      </c>
    </row>
    <row r="27" spans="1:7" x14ac:dyDescent="0.3">
      <c r="A27" s="50" t="s">
        <v>107</v>
      </c>
      <c r="B27" s="51">
        <v>35003656496</v>
      </c>
      <c r="C27" s="51">
        <v>52491699229</v>
      </c>
      <c r="D27" s="51">
        <v>125953717032</v>
      </c>
      <c r="E27" s="51">
        <v>246519305620</v>
      </c>
      <c r="F27" s="51">
        <v>1218864765699</v>
      </c>
      <c r="G27" s="51">
        <v>1470163909139</v>
      </c>
    </row>
    <row r="28" spans="1:7" x14ac:dyDescent="0.3">
      <c r="A28" s="50" t="s">
        <v>108</v>
      </c>
      <c r="B28" s="51">
        <v>44175210057</v>
      </c>
      <c r="C28" s="51">
        <v>60199672377</v>
      </c>
      <c r="D28" s="51">
        <v>89916231377</v>
      </c>
      <c r="E28" s="51">
        <v>207445737487</v>
      </c>
      <c r="F28" s="51">
        <v>737899921734</v>
      </c>
      <c r="G28" s="51">
        <v>1259939797125</v>
      </c>
    </row>
    <row r="29" spans="1:7" x14ac:dyDescent="0.3">
      <c r="A29" s="50" t="s">
        <v>109</v>
      </c>
      <c r="B29" s="51">
        <v>1383549875</v>
      </c>
      <c r="C29" s="51">
        <v>1690086480</v>
      </c>
      <c r="D29" s="51">
        <v>2135899711</v>
      </c>
      <c r="E29" s="51">
        <v>3242978064</v>
      </c>
      <c r="F29" s="51">
        <v>6926605491</v>
      </c>
      <c r="G29" s="51">
        <v>2677009787</v>
      </c>
    </row>
    <row r="30" spans="1:7" x14ac:dyDescent="0.3">
      <c r="A30" s="50" t="s">
        <v>110</v>
      </c>
      <c r="B30" s="51">
        <v>179154769</v>
      </c>
      <c r="C30" s="51">
        <v>277353962</v>
      </c>
      <c r="D30" s="51">
        <v>344388827</v>
      </c>
      <c r="E30" s="51">
        <v>633308241</v>
      </c>
      <c r="F30" s="51">
        <v>2653483256</v>
      </c>
      <c r="G30" s="51">
        <v>3442673667</v>
      </c>
    </row>
    <row r="31" spans="1:7" x14ac:dyDescent="0.3">
      <c r="A31" s="50" t="s">
        <v>111</v>
      </c>
      <c r="B31" s="51">
        <v>222412710</v>
      </c>
      <c r="C31" s="51">
        <v>314326591</v>
      </c>
      <c r="D31" s="51">
        <v>304375359</v>
      </c>
      <c r="E31" s="51">
        <v>889239241</v>
      </c>
      <c r="F31" s="51">
        <v>2808147415</v>
      </c>
      <c r="G31" s="51">
        <v>21780377930</v>
      </c>
    </row>
    <row r="32" spans="1:7" x14ac:dyDescent="0.3">
      <c r="A32" s="50" t="s">
        <v>112</v>
      </c>
      <c r="B32" s="51">
        <v>19116441</v>
      </c>
      <c r="C32" s="51">
        <v>198624228</v>
      </c>
      <c r="D32" s="51">
        <v>307457623</v>
      </c>
      <c r="E32" s="51">
        <v>162765479</v>
      </c>
      <c r="F32" s="51">
        <v>94863121</v>
      </c>
      <c r="G32" s="51">
        <v>53887418251</v>
      </c>
    </row>
    <row r="33" spans="1:7" x14ac:dyDescent="0.3">
      <c r="A33" s="50" t="s">
        <v>113</v>
      </c>
      <c r="B33" s="51">
        <v>22050318</v>
      </c>
      <c r="C33" s="51">
        <v>0</v>
      </c>
      <c r="D33" s="51">
        <v>0</v>
      </c>
      <c r="E33" s="51">
        <v>51563967</v>
      </c>
      <c r="F33" s="51">
        <v>1079727342</v>
      </c>
      <c r="G33" s="51">
        <v>3831471042</v>
      </c>
    </row>
    <row r="34" spans="1:7" x14ac:dyDescent="0.3">
      <c r="A34" s="50" t="s">
        <v>114</v>
      </c>
      <c r="B34" s="51">
        <v>46001494170</v>
      </c>
      <c r="C34" s="51">
        <v>62680063638</v>
      </c>
      <c r="D34" s="51">
        <v>93008352897</v>
      </c>
      <c r="E34" s="51">
        <v>212425592479</v>
      </c>
      <c r="F34" s="51">
        <v>751462748359</v>
      </c>
      <c r="G34" s="51">
        <v>1345558747802</v>
      </c>
    </row>
    <row r="35" spans="1:7" x14ac:dyDescent="0.3">
      <c r="A35" s="50" t="s">
        <v>115</v>
      </c>
      <c r="B35" s="51">
        <v>81005150666</v>
      </c>
      <c r="C35" s="51">
        <v>115171762867</v>
      </c>
      <c r="D35" s="51">
        <v>218962069929</v>
      </c>
      <c r="E35" s="51">
        <v>458944898099</v>
      </c>
      <c r="F35" s="51">
        <v>1970327514058</v>
      </c>
      <c r="G35" s="51">
        <v>2815722656941</v>
      </c>
    </row>
    <row r="36" spans="1:7" x14ac:dyDescent="0.3">
      <c r="A36" s="50" t="s">
        <v>116</v>
      </c>
      <c r="B36" s="51">
        <v>4615356124</v>
      </c>
      <c r="C36" s="51">
        <v>4789321872</v>
      </c>
      <c r="D36" s="51">
        <v>11888382325</v>
      </c>
      <c r="E36" s="51">
        <v>29364578190</v>
      </c>
      <c r="F36" s="51">
        <v>107703695971</v>
      </c>
      <c r="G36" s="51">
        <v>111743862956</v>
      </c>
    </row>
    <row r="37" spans="1:7" x14ac:dyDescent="0.3">
      <c r="A37" s="50" t="s">
        <v>117</v>
      </c>
      <c r="B37" s="51">
        <v>11531280521</v>
      </c>
      <c r="C37" s="51">
        <v>6119068136</v>
      </c>
      <c r="D37" s="51">
        <v>11438716791</v>
      </c>
      <c r="E37" s="51">
        <v>45532934684</v>
      </c>
      <c r="F37" s="51">
        <v>83358417754</v>
      </c>
      <c r="G37" s="51">
        <v>433391263269</v>
      </c>
    </row>
    <row r="38" spans="1:7" x14ac:dyDescent="0.3">
      <c r="A38" s="50" t="s">
        <v>118</v>
      </c>
      <c r="B38" s="51">
        <v>2337811076</v>
      </c>
      <c r="C38" s="51">
        <v>2990271080</v>
      </c>
      <c r="D38" s="51">
        <v>19755544912</v>
      </c>
      <c r="E38" s="51">
        <v>9491032148</v>
      </c>
      <c r="F38" s="51">
        <v>56316326894</v>
      </c>
      <c r="G38" s="51">
        <v>56229216361</v>
      </c>
    </row>
    <row r="39" spans="1:7" x14ac:dyDescent="0.3">
      <c r="A39" s="50" t="s">
        <v>119</v>
      </c>
      <c r="B39" s="51">
        <v>18484447721</v>
      </c>
      <c r="C39" s="51">
        <v>13898661088</v>
      </c>
      <c r="D39" s="51">
        <v>43082644028</v>
      </c>
      <c r="E39" s="51">
        <v>84388545022</v>
      </c>
      <c r="F39" s="51">
        <v>247378440619</v>
      </c>
      <c r="G39" s="51">
        <v>601364342586</v>
      </c>
    </row>
    <row r="40" spans="1:7" x14ac:dyDescent="0.3">
      <c r="A40" s="50" t="s">
        <v>120</v>
      </c>
      <c r="B40" s="51">
        <v>623801384</v>
      </c>
      <c r="C40" s="51">
        <v>0</v>
      </c>
      <c r="D40" s="51">
        <v>0</v>
      </c>
      <c r="E40" s="51">
        <v>0</v>
      </c>
      <c r="F40" s="51">
        <v>0</v>
      </c>
      <c r="G40" s="51">
        <v>0</v>
      </c>
    </row>
    <row r="41" spans="1:7" x14ac:dyDescent="0.3">
      <c r="A41" s="50" t="s">
        <v>121</v>
      </c>
      <c r="B41" s="51">
        <v>17358044398</v>
      </c>
      <c r="C41" s="51">
        <v>23811203685</v>
      </c>
      <c r="D41" s="51">
        <v>23801570192</v>
      </c>
      <c r="E41" s="51">
        <v>69611275176</v>
      </c>
      <c r="F41" s="51">
        <v>468120057201</v>
      </c>
      <c r="G41" s="51">
        <v>417391464490</v>
      </c>
    </row>
    <row r="42" spans="1:7" x14ac:dyDescent="0.3">
      <c r="A42" s="50" t="s">
        <v>122</v>
      </c>
      <c r="B42" s="51">
        <v>8868653577</v>
      </c>
      <c r="C42" s="51">
        <v>19732650053</v>
      </c>
      <c r="D42" s="51">
        <v>32016679052</v>
      </c>
      <c r="E42" s="51">
        <v>31991505856</v>
      </c>
      <c r="F42" s="51">
        <v>120279464099</v>
      </c>
      <c r="G42" s="51">
        <v>210646455799</v>
      </c>
    </row>
    <row r="43" spans="1:7" x14ac:dyDescent="0.3">
      <c r="A43" s="50" t="s">
        <v>123</v>
      </c>
      <c r="B43" s="51">
        <v>26850499359</v>
      </c>
      <c r="C43" s="51">
        <v>43543853738</v>
      </c>
      <c r="D43" s="51">
        <v>55818249244</v>
      </c>
      <c r="E43" s="51">
        <v>101602781032</v>
      </c>
      <c r="F43" s="51">
        <v>588399521300</v>
      </c>
      <c r="G43" s="51">
        <v>628037920289</v>
      </c>
    </row>
    <row r="44" spans="1:7" x14ac:dyDescent="0.3">
      <c r="A44" s="50" t="s">
        <v>124</v>
      </c>
      <c r="B44" s="51">
        <v>45334947080</v>
      </c>
      <c r="C44" s="51">
        <v>57442514826</v>
      </c>
      <c r="D44" s="51">
        <v>98900893272</v>
      </c>
      <c r="E44" s="51">
        <v>185991326054</v>
      </c>
      <c r="F44" s="51">
        <v>835777961919</v>
      </c>
      <c r="G44" s="51">
        <v>1229402262875</v>
      </c>
    </row>
    <row r="45" spans="1:7" x14ac:dyDescent="0.3">
      <c r="A45" s="50" t="s">
        <v>125</v>
      </c>
      <c r="B45" s="51">
        <v>35670203586</v>
      </c>
      <c r="C45" s="51">
        <v>57729248041</v>
      </c>
      <c r="D45" s="51">
        <v>120061176657</v>
      </c>
      <c r="E45" s="51">
        <v>272953572045</v>
      </c>
      <c r="F45" s="51">
        <v>1134549552139</v>
      </c>
      <c r="G45" s="51">
        <v>1586320394066</v>
      </c>
    </row>
    <row r="47" spans="1:7" x14ac:dyDescent="0.3">
      <c r="A47" s="47" t="s">
        <v>126</v>
      </c>
    </row>
    <row r="48" spans="1:7" x14ac:dyDescent="0.3">
      <c r="A48" s="50" t="s">
        <v>127</v>
      </c>
      <c r="B48" s="51">
        <v>5008516569</v>
      </c>
      <c r="C48" s="51">
        <v>7680589089</v>
      </c>
      <c r="D48" s="51">
        <v>11638889080</v>
      </c>
      <c r="E48" s="51">
        <v>19503234438</v>
      </c>
      <c r="F48" s="51">
        <v>65258463496</v>
      </c>
      <c r="G48" s="51">
        <v>94401647331</v>
      </c>
    </row>
    <row r="49" spans="1:7" x14ac:dyDescent="0.3">
      <c r="A49" s="50" t="s">
        <v>128</v>
      </c>
      <c r="B49" s="51">
        <v>258001370</v>
      </c>
      <c r="C49" s="51">
        <v>388006517</v>
      </c>
      <c r="D49" s="51">
        <v>635547731</v>
      </c>
      <c r="E49" s="51">
        <v>1371786355</v>
      </c>
      <c r="F49" s="51">
        <v>5123435428</v>
      </c>
      <c r="G49" s="51">
        <v>7109275850</v>
      </c>
    </row>
    <row r="50" spans="1:7" x14ac:dyDescent="0.3">
      <c r="A50" s="50" t="s">
        <v>129</v>
      </c>
      <c r="B50" s="51">
        <v>18920408390</v>
      </c>
      <c r="C50" s="51">
        <v>16892256112</v>
      </c>
      <c r="D50" s="51">
        <v>23470364498</v>
      </c>
      <c r="E50" s="51">
        <v>57135968178</v>
      </c>
      <c r="F50" s="51">
        <v>106907787111</v>
      </c>
      <c r="G50" s="51">
        <v>43951466473</v>
      </c>
    </row>
    <row r="51" spans="1:7" x14ac:dyDescent="0.3">
      <c r="A51" s="50" t="s">
        <v>130</v>
      </c>
      <c r="B51" s="51">
        <v>-7931457989</v>
      </c>
      <c r="C51" s="51">
        <v>-1555450901</v>
      </c>
      <c r="D51" s="51">
        <v>-2921329114</v>
      </c>
      <c r="E51" s="51">
        <v>-33141554950</v>
      </c>
      <c r="F51" s="51">
        <v>-34543200226</v>
      </c>
      <c r="G51" s="51">
        <v>-348821496391</v>
      </c>
    </row>
    <row r="52" spans="1:7" x14ac:dyDescent="0.3">
      <c r="A52" s="50" t="s">
        <v>131</v>
      </c>
      <c r="B52" s="51">
        <v>0</v>
      </c>
      <c r="C52" s="51">
        <v>0</v>
      </c>
      <c r="D52" s="51">
        <v>0</v>
      </c>
      <c r="E52" s="51">
        <v>-10185981</v>
      </c>
      <c r="F52" s="51">
        <v>-1414203</v>
      </c>
      <c r="G52" s="51">
        <v>-129203516</v>
      </c>
    </row>
    <row r="53" spans="1:7" x14ac:dyDescent="0.3">
      <c r="A53" s="50" t="s">
        <v>132</v>
      </c>
      <c r="B53" s="51">
        <v>65838537</v>
      </c>
      <c r="C53" s="51">
        <v>0</v>
      </c>
      <c r="D53" s="51">
        <v>0</v>
      </c>
      <c r="E53" s="51">
        <v>0</v>
      </c>
      <c r="F53" s="51">
        <v>0</v>
      </c>
      <c r="G53" s="51">
        <v>0</v>
      </c>
    </row>
    <row r="54" spans="1:7" x14ac:dyDescent="0.3">
      <c r="A54" s="50" t="s">
        <v>133</v>
      </c>
      <c r="B54" s="51">
        <v>-7865619452</v>
      </c>
      <c r="C54" s="51">
        <v>-1555450901</v>
      </c>
      <c r="D54" s="51">
        <v>-2921329114</v>
      </c>
      <c r="E54" s="51">
        <v>-33151740931</v>
      </c>
      <c r="F54" s="51">
        <v>-34544614429</v>
      </c>
      <c r="G54" s="51">
        <v>-348950700207</v>
      </c>
    </row>
    <row r="55" spans="1:7" x14ac:dyDescent="0.3">
      <c r="A55" s="50" t="s">
        <v>134</v>
      </c>
      <c r="B55" s="51">
        <v>18779900162</v>
      </c>
      <c r="C55" s="51">
        <v>7469764735</v>
      </c>
      <c r="D55" s="51">
        <v>5690458302</v>
      </c>
      <c r="E55" s="51">
        <v>89023959113</v>
      </c>
      <c r="F55" s="51">
        <v>402325708771</v>
      </c>
      <c r="G55" s="51">
        <v>533524217717</v>
      </c>
    </row>
    <row r="56" spans="1:7" x14ac:dyDescent="0.3">
      <c r="A56" s="50" t="s">
        <v>135</v>
      </c>
      <c r="B56" s="51">
        <v>-26448369650</v>
      </c>
      <c r="C56" s="51">
        <v>-12192743745</v>
      </c>
      <c r="D56" s="51">
        <v>-8342977824</v>
      </c>
      <c r="E56" s="51">
        <v>-60949912278</v>
      </c>
      <c r="F56" s="51">
        <v>-258529327981</v>
      </c>
      <c r="G56" s="51">
        <v>-458075268932</v>
      </c>
    </row>
    <row r="57" spans="1:7" x14ac:dyDescent="0.3">
      <c r="A57" s="50" t="s">
        <v>136</v>
      </c>
      <c r="B57" s="51">
        <v>2044293453</v>
      </c>
      <c r="C57" s="51">
        <v>2456308232</v>
      </c>
      <c r="D57" s="51">
        <v>1504095316</v>
      </c>
      <c r="E57" s="51">
        <v>8060216409</v>
      </c>
      <c r="F57" s="51">
        <v>17707792075</v>
      </c>
      <c r="G57" s="51">
        <v>37426104537</v>
      </c>
    </row>
    <row r="58" spans="1:7" x14ac:dyDescent="0.3">
      <c r="A58" s="50" t="s">
        <v>137</v>
      </c>
      <c r="B58" s="51">
        <v>-5519136360</v>
      </c>
      <c r="C58" s="51">
        <v>-265084677</v>
      </c>
      <c r="D58" s="51">
        <v>-4882984193</v>
      </c>
      <c r="E58" s="51">
        <v>-55603571486</v>
      </c>
      <c r="F58" s="51">
        <v>-3133677232</v>
      </c>
      <c r="G58" s="51">
        <v>-9059413297</v>
      </c>
    </row>
    <row r="59" spans="1:7" x14ac:dyDescent="0.3">
      <c r="A59" s="50" t="s">
        <v>138</v>
      </c>
      <c r="B59" s="51">
        <v>-15231899301</v>
      </c>
      <c r="C59" s="51">
        <v>-7444371919</v>
      </c>
      <c r="D59" s="51">
        <v>-9039599031</v>
      </c>
      <c r="E59" s="51">
        <v>-35589741060</v>
      </c>
      <c r="F59" s="51">
        <v>122954911483</v>
      </c>
      <c r="G59" s="51">
        <v>28963430951</v>
      </c>
    </row>
    <row r="60" spans="1:7" x14ac:dyDescent="0.3">
      <c r="A60" s="50" t="s">
        <v>139</v>
      </c>
      <c r="B60" s="51">
        <v>-4177110363</v>
      </c>
      <c r="C60" s="51">
        <v>7892433292</v>
      </c>
      <c r="D60" s="51">
        <v>11509436353</v>
      </c>
      <c r="E60" s="51">
        <v>-11605513813</v>
      </c>
      <c r="F60" s="51">
        <v>195318084165</v>
      </c>
      <c r="G60" s="51">
        <v>-276035802783</v>
      </c>
    </row>
    <row r="62" spans="1:7" x14ac:dyDescent="0.3">
      <c r="A62" s="47" t="s">
        <v>140</v>
      </c>
    </row>
    <row r="63" spans="1:7" x14ac:dyDescent="0.3">
      <c r="A63" s="50" t="s">
        <v>141</v>
      </c>
      <c r="B63" s="51">
        <v>389696</v>
      </c>
      <c r="C63" s="51">
        <v>302735</v>
      </c>
      <c r="D63" s="51">
        <v>355817</v>
      </c>
      <c r="E63" s="51">
        <v>423709</v>
      </c>
      <c r="F63" s="51">
        <v>443425</v>
      </c>
      <c r="G63" s="51">
        <v>442437</v>
      </c>
    </row>
    <row r="64" spans="1:7" x14ac:dyDescent="0.3">
      <c r="A64" s="50" t="s">
        <v>142</v>
      </c>
      <c r="B64" s="52">
        <v>0.84409999999999996</v>
      </c>
      <c r="C64" s="52">
        <v>0.68320000000000003</v>
      </c>
      <c r="D64" s="52">
        <v>0.79400000000000004</v>
      </c>
      <c r="E64" s="52">
        <v>0.94499999999999995</v>
      </c>
      <c r="F64" s="52">
        <v>0.96399999999999997</v>
      </c>
      <c r="G64" s="52">
        <v>0.96799999999999997</v>
      </c>
    </row>
    <row r="65" spans="1:7" x14ac:dyDescent="0.3">
      <c r="A65" s="50" t="s">
        <v>143</v>
      </c>
      <c r="B65" s="53">
        <v>77</v>
      </c>
      <c r="C65" s="53">
        <v>165</v>
      </c>
      <c r="D65" s="53">
        <v>263</v>
      </c>
      <c r="E65" s="53">
        <v>503</v>
      </c>
      <c r="F65" s="53">
        <v>1350</v>
      </c>
      <c r="G65" s="53">
        <v>1430</v>
      </c>
    </row>
    <row r="66" spans="1:7" x14ac:dyDescent="0.3">
      <c r="A66" t="s">
        <v>144</v>
      </c>
      <c r="B66" s="54">
        <v>460000</v>
      </c>
    </row>
    <row r="68" spans="1:7" x14ac:dyDescent="0.3">
      <c r="A68" s="55" t="s">
        <v>145</v>
      </c>
    </row>
    <row r="69" spans="1:7" x14ac:dyDescent="0.3">
      <c r="A69" s="55" t="s">
        <v>146</v>
      </c>
    </row>
    <row r="70" spans="1:7" x14ac:dyDescent="0.3">
      <c r="A70" s="55" t="s">
        <v>147</v>
      </c>
    </row>
    <row r="71" spans="1:7" x14ac:dyDescent="0.3">
      <c r="A71" s="55" t="s">
        <v>148</v>
      </c>
    </row>
    <row r="72" spans="1:7" x14ac:dyDescent="0.3">
      <c r="A72" s="55" t="s">
        <v>149</v>
      </c>
    </row>
    <row r="73" spans="1:7" x14ac:dyDescent="0.3">
      <c r="A73" s="55" t="s">
        <v>150</v>
      </c>
    </row>
    <row r="74" spans="1:7" x14ac:dyDescent="0.3">
      <c r="A74" s="55" t="s">
        <v>151</v>
      </c>
    </row>
    <row r="75" spans="1:7" x14ac:dyDescent="0.3">
      <c r="A75" s="55" t="s">
        <v>152</v>
      </c>
    </row>
    <row r="76" spans="1:7" x14ac:dyDescent="0.3">
      <c r="A76" s="55" t="s">
        <v>153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1"/>
  <sheetViews>
    <sheetView tabSelected="1" topLeftCell="A19" workbookViewId="0"/>
  </sheetViews>
  <sheetFormatPr baseColWidth="10" defaultRowHeight="14.4" x14ac:dyDescent="0.3"/>
  <cols>
    <col min="1" max="1" width="46" customWidth="1"/>
    <col min="2" max="2" width="16" customWidth="1"/>
    <col min="3" max="3" width="62" customWidth="1"/>
  </cols>
  <sheetData>
    <row r="1" spans="1:3" x14ac:dyDescent="0.3">
      <c r="A1" s="49" t="s">
        <v>0</v>
      </c>
    </row>
    <row r="3" spans="1:3" x14ac:dyDescent="0.3">
      <c r="A3" s="48" t="s">
        <v>1</v>
      </c>
      <c r="B3" s="48" t="s">
        <v>2</v>
      </c>
      <c r="C3" s="55" t="s">
        <v>3</v>
      </c>
    </row>
    <row r="4" spans="1:3" x14ac:dyDescent="0.3">
      <c r="A4" s="48" t="s">
        <v>4</v>
      </c>
      <c r="B4" s="48">
        <v>2344</v>
      </c>
      <c r="C4" s="55" t="s">
        <v>5</v>
      </c>
    </row>
    <row r="6" spans="1:3" x14ac:dyDescent="0.3">
      <c r="A6" s="47" t="s">
        <v>6</v>
      </c>
    </row>
    <row r="7" spans="1:3" x14ac:dyDescent="0.3">
      <c r="A7" s="48" t="s">
        <v>7</v>
      </c>
      <c r="B7" s="56">
        <v>8.7415857730222359E-4</v>
      </c>
      <c r="C7" s="55" t="s">
        <v>8</v>
      </c>
    </row>
    <row r="8" spans="1:3" x14ac:dyDescent="0.3">
      <c r="A8" s="48" t="s">
        <v>9</v>
      </c>
      <c r="B8" s="56">
        <v>3.2797093803258959E-2</v>
      </c>
      <c r="C8" s="55" t="s">
        <v>10</v>
      </c>
    </row>
    <row r="9" spans="1:3" x14ac:dyDescent="0.3">
      <c r="A9" s="48" t="s">
        <v>11</v>
      </c>
      <c r="B9" s="56">
        <v>0.2463156690793136</v>
      </c>
      <c r="C9" s="55" t="s">
        <v>12</v>
      </c>
    </row>
    <row r="10" spans="1:3" x14ac:dyDescent="0.3">
      <c r="A10" s="48" t="s">
        <v>13</v>
      </c>
      <c r="B10" s="56">
        <v>0.52063772357448457</v>
      </c>
      <c r="C10" s="55" t="s">
        <v>14</v>
      </c>
    </row>
    <row r="11" spans="1:3" x14ac:dyDescent="0.3">
      <c r="A11" s="48" t="s">
        <v>15</v>
      </c>
      <c r="B11" s="57">
        <v>-0.39400522398819848</v>
      </c>
      <c r="C11" s="55" t="s">
        <v>16</v>
      </c>
    </row>
    <row r="12" spans="1:3" x14ac:dyDescent="0.3">
      <c r="A12" s="48" t="s">
        <v>17</v>
      </c>
      <c r="B12" s="57">
        <v>6.6761005372945448</v>
      </c>
      <c r="C12" s="55" t="s">
        <v>18</v>
      </c>
    </row>
    <row r="13" spans="1:3" x14ac:dyDescent="0.3">
      <c r="A13" s="48" t="s">
        <v>19</v>
      </c>
      <c r="B13" s="56">
        <v>-0.82887076294666229</v>
      </c>
      <c r="C13" s="55" t="s">
        <v>20</v>
      </c>
    </row>
    <row r="15" spans="1:3" x14ac:dyDescent="0.3">
      <c r="A15" s="47" t="s">
        <v>21</v>
      </c>
    </row>
    <row r="16" spans="1:3" x14ac:dyDescent="0.3">
      <c r="A16" s="48" t="s">
        <v>22</v>
      </c>
      <c r="B16" s="57">
        <v>4391.7349901815169</v>
      </c>
      <c r="C16" s="55" t="s">
        <v>23</v>
      </c>
    </row>
    <row r="17" spans="1:3" x14ac:dyDescent="0.3">
      <c r="A17" s="48" t="s">
        <v>24</v>
      </c>
      <c r="B17" s="57">
        <v>0</v>
      </c>
      <c r="C17" s="55" t="s">
        <v>25</v>
      </c>
    </row>
    <row r="18" spans="1:3" x14ac:dyDescent="0.3">
      <c r="A18" s="48" t="s">
        <v>26</v>
      </c>
      <c r="B18" s="48" t="s">
        <v>27</v>
      </c>
      <c r="C18" s="55" t="s">
        <v>28</v>
      </c>
    </row>
    <row r="20" spans="1:3" x14ac:dyDescent="0.3">
      <c r="A20" s="47" t="s">
        <v>29</v>
      </c>
    </row>
    <row r="21" spans="1:3" x14ac:dyDescent="0.3">
      <c r="A21" s="48" t="s">
        <v>30</v>
      </c>
      <c r="B21" s="57">
        <v>0.842028777153776</v>
      </c>
      <c r="C21" s="55" t="s">
        <v>31</v>
      </c>
    </row>
    <row r="22" spans="1:3" x14ac:dyDescent="0.3">
      <c r="A22" s="48" t="s">
        <v>32</v>
      </c>
      <c r="B22" s="57">
        <v>5.6346248553839698E-2</v>
      </c>
      <c r="C22" s="55" t="s">
        <v>33</v>
      </c>
    </row>
    <row r="23" spans="1:3" x14ac:dyDescent="0.3">
      <c r="A23" s="48" t="s">
        <v>34</v>
      </c>
      <c r="B23" s="57">
        <v>8.5980253045734534E-2</v>
      </c>
      <c r="C23" s="55" t="s">
        <v>35</v>
      </c>
    </row>
    <row r="24" spans="1:3" x14ac:dyDescent="0.3">
      <c r="A24" s="48" t="s">
        <v>36</v>
      </c>
      <c r="B24" s="48">
        <v>2376</v>
      </c>
    </row>
    <row r="26" spans="1:3" x14ac:dyDescent="0.3">
      <c r="A26" s="47" t="s">
        <v>37</v>
      </c>
    </row>
    <row r="27" spans="1:3" x14ac:dyDescent="0.3">
      <c r="A27" s="48" t="s">
        <v>38</v>
      </c>
      <c r="B27" s="57">
        <v>0.64898330077983746</v>
      </c>
    </row>
    <row r="28" spans="1:3" x14ac:dyDescent="0.3">
      <c r="A28" s="48" t="s">
        <v>39</v>
      </c>
      <c r="B28" s="57">
        <v>0.75967606519521302</v>
      </c>
    </row>
    <row r="29" spans="1:3" x14ac:dyDescent="0.3">
      <c r="A29" s="48" t="s">
        <v>40</v>
      </c>
      <c r="B29" s="57">
        <v>7.054701927283262E-2</v>
      </c>
    </row>
    <row r="30" spans="1:3" x14ac:dyDescent="0.3">
      <c r="A30" s="48" t="s">
        <v>41</v>
      </c>
      <c r="B30" s="57">
        <v>-6.2981864079435429E-2</v>
      </c>
    </row>
    <row r="32" spans="1:3" x14ac:dyDescent="0.3">
      <c r="A32" s="47" t="s">
        <v>42</v>
      </c>
    </row>
    <row r="33" spans="1:3" x14ac:dyDescent="0.3">
      <c r="A33" s="48" t="s">
        <v>43</v>
      </c>
      <c r="B33" s="56">
        <v>-5.3072260118455949E-2</v>
      </c>
      <c r="C33" s="55" t="s">
        <v>44</v>
      </c>
    </row>
    <row r="34" spans="1:3" x14ac:dyDescent="0.3">
      <c r="A34" s="48" t="s">
        <v>45</v>
      </c>
      <c r="B34" s="56">
        <v>-4.7270606470027912E-2</v>
      </c>
      <c r="C34" s="55" t="s">
        <v>46</v>
      </c>
    </row>
    <row r="35" spans="1:3" x14ac:dyDescent="0.3">
      <c r="A35" s="48" t="s">
        <v>47</v>
      </c>
      <c r="B35" s="56">
        <v>-7.1573137067630715E-2</v>
      </c>
      <c r="C35" s="55" t="s">
        <v>48</v>
      </c>
    </row>
    <row r="36" spans="1:3" x14ac:dyDescent="0.3">
      <c r="A36" s="48" t="s">
        <v>49</v>
      </c>
      <c r="B36" s="56">
        <v>-7.5423290866627288E-2</v>
      </c>
      <c r="C36" s="55" t="s">
        <v>50</v>
      </c>
    </row>
    <row r="37" spans="1:3" x14ac:dyDescent="0.3">
      <c r="A37" s="48" t="s">
        <v>51</v>
      </c>
      <c r="B37" s="56">
        <v>-8.2025132691481498E-2</v>
      </c>
      <c r="C37" s="55" t="s">
        <v>52</v>
      </c>
    </row>
    <row r="38" spans="1:3" x14ac:dyDescent="0.3">
      <c r="A38" s="48" t="s">
        <v>53</v>
      </c>
      <c r="B38" s="56">
        <v>-0.12190488543554889</v>
      </c>
      <c r="C38" s="55" t="s">
        <v>48</v>
      </c>
    </row>
    <row r="39" spans="1:3" x14ac:dyDescent="0.3">
      <c r="A39" s="48" t="s">
        <v>54</v>
      </c>
      <c r="B39" s="56">
        <v>-0.32798931833786737</v>
      </c>
      <c r="C39" s="55" t="s">
        <v>55</v>
      </c>
    </row>
    <row r="41" spans="1:3" x14ac:dyDescent="0.3">
      <c r="A41" s="55" t="s">
        <v>56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4"/>
  <sheetViews>
    <sheetView workbookViewId="0">
      <selection activeCell="E12" sqref="E12"/>
    </sheetView>
  </sheetViews>
  <sheetFormatPr baseColWidth="10" defaultRowHeight="14.4" x14ac:dyDescent="0.3"/>
  <cols>
    <col min="1" max="1" width="34" customWidth="1"/>
    <col min="2" max="3" width="11" customWidth="1"/>
    <col min="4" max="4" width="70" customWidth="1"/>
    <col min="5" max="12" width="11" customWidth="1"/>
  </cols>
  <sheetData>
    <row r="1" spans="1:12" x14ac:dyDescent="0.3">
      <c r="A1" s="49" t="s">
        <v>154</v>
      </c>
    </row>
    <row r="3" spans="1:12" x14ac:dyDescent="0.3">
      <c r="A3" s="47" t="s">
        <v>155</v>
      </c>
      <c r="B3" s="47">
        <v>2020</v>
      </c>
      <c r="C3" s="47">
        <v>2021</v>
      </c>
      <c r="D3" s="47">
        <v>2022</v>
      </c>
      <c r="E3" s="47">
        <v>2023</v>
      </c>
      <c r="F3" s="47">
        <v>2024</v>
      </c>
      <c r="G3" s="47">
        <v>2025</v>
      </c>
      <c r="H3" s="47" t="s">
        <v>156</v>
      </c>
      <c r="I3" s="47" t="s">
        <v>157</v>
      </c>
      <c r="J3" s="47" t="s">
        <v>158</v>
      </c>
      <c r="K3" s="47" t="s">
        <v>159</v>
      </c>
      <c r="L3" s="47" t="s">
        <v>160</v>
      </c>
    </row>
    <row r="4" spans="1:12" x14ac:dyDescent="0.3">
      <c r="A4" t="s">
        <v>161</v>
      </c>
      <c r="B4" s="58">
        <v>-9.9</v>
      </c>
      <c r="C4" s="58">
        <v>10.3</v>
      </c>
      <c r="D4" s="58">
        <v>5.2</v>
      </c>
      <c r="E4" s="58">
        <v>-1.6</v>
      </c>
      <c r="F4" s="58">
        <v>-3.5</v>
      </c>
      <c r="G4" s="58">
        <v>4.4000000000000004</v>
      </c>
      <c r="H4" s="58">
        <v>3.5</v>
      </c>
      <c r="I4" s="58">
        <v>4</v>
      </c>
      <c r="J4" s="58">
        <v>3.5</v>
      </c>
      <c r="K4" s="58">
        <v>3</v>
      </c>
      <c r="L4" s="58">
        <v>2.5</v>
      </c>
    </row>
    <row r="5" spans="1:12" x14ac:dyDescent="0.3">
      <c r="A5" t="s">
        <v>162</v>
      </c>
      <c r="B5" s="58">
        <v>36.1</v>
      </c>
      <c r="C5" s="58">
        <v>50.9</v>
      </c>
      <c r="D5" s="58">
        <v>94.8</v>
      </c>
      <c r="E5" s="58">
        <v>211.4</v>
      </c>
      <c r="F5" s="58">
        <v>120</v>
      </c>
      <c r="G5" s="58">
        <v>31.5</v>
      </c>
      <c r="H5" s="58">
        <v>30.5</v>
      </c>
      <c r="I5" s="58">
        <v>19.899999999999999</v>
      </c>
      <c r="J5" s="58">
        <v>13.9</v>
      </c>
      <c r="K5" s="58">
        <v>7</v>
      </c>
      <c r="L5" s="58">
        <v>5</v>
      </c>
    </row>
    <row r="7" spans="1:12" x14ac:dyDescent="0.3">
      <c r="A7" s="55" t="s">
        <v>163</v>
      </c>
    </row>
    <row r="9" spans="1:12" x14ac:dyDescent="0.3">
      <c r="A9" s="47" t="s">
        <v>164</v>
      </c>
      <c r="B9" s="47">
        <v>2020</v>
      </c>
      <c r="C9" s="47">
        <v>2021</v>
      </c>
      <c r="D9" s="47">
        <v>2022</v>
      </c>
      <c r="E9" s="47">
        <v>2023</v>
      </c>
      <c r="F9" s="47">
        <v>2024</v>
      </c>
      <c r="G9" s="47">
        <v>2025</v>
      </c>
      <c r="H9" s="47">
        <v>2026</v>
      </c>
    </row>
    <row r="10" spans="1:12" x14ac:dyDescent="0.3">
      <c r="A10" t="s">
        <v>165</v>
      </c>
      <c r="B10" s="54">
        <v>2150</v>
      </c>
      <c r="C10" s="54">
        <v>1650</v>
      </c>
      <c r="D10" s="54">
        <v>2400</v>
      </c>
      <c r="E10" s="54">
        <v>1950</v>
      </c>
      <c r="F10" s="54">
        <v>850</v>
      </c>
      <c r="G10" s="54">
        <v>600</v>
      </c>
      <c r="H10" s="54">
        <v>441</v>
      </c>
    </row>
    <row r="11" spans="1:12" x14ac:dyDescent="0.3">
      <c r="A11" s="55" t="s">
        <v>166</v>
      </c>
    </row>
    <row r="13" spans="1:12" x14ac:dyDescent="0.3">
      <c r="A13" s="47" t="s">
        <v>167</v>
      </c>
      <c r="B13" s="47">
        <v>2020</v>
      </c>
      <c r="C13" s="47">
        <v>2021</v>
      </c>
      <c r="D13" s="47">
        <v>2022</v>
      </c>
      <c r="E13" s="47">
        <v>2023</v>
      </c>
      <c r="F13" s="47">
        <v>2024</v>
      </c>
      <c r="G13" s="47">
        <v>2025</v>
      </c>
    </row>
    <row r="14" spans="1:12" x14ac:dyDescent="0.3">
      <c r="A14" t="s">
        <v>168</v>
      </c>
      <c r="B14" s="59">
        <v>77</v>
      </c>
      <c r="C14" s="59">
        <v>165</v>
      </c>
      <c r="D14" s="59">
        <v>263</v>
      </c>
      <c r="E14" s="59">
        <v>503</v>
      </c>
      <c r="F14" s="59">
        <v>1350</v>
      </c>
      <c r="G14" s="59">
        <v>1430</v>
      </c>
    </row>
    <row r="16" spans="1:12" x14ac:dyDescent="0.3">
      <c r="A16" s="47" t="s">
        <v>169</v>
      </c>
    </row>
    <row r="17" spans="1:4" x14ac:dyDescent="0.3">
      <c r="A17" t="s">
        <v>170</v>
      </c>
      <c r="B17" s="60">
        <v>4.7030000686645507E-2</v>
      </c>
      <c r="D17" s="55" t="s">
        <v>171</v>
      </c>
    </row>
    <row r="18" spans="1:4" x14ac:dyDescent="0.3">
      <c r="A18" t="s">
        <v>172</v>
      </c>
      <c r="B18" s="60">
        <v>4.1799999999999997E-2</v>
      </c>
      <c r="D18" s="55" t="s">
        <v>173</v>
      </c>
    </row>
    <row r="19" spans="1:4" x14ac:dyDescent="0.3">
      <c r="A19" t="s">
        <v>174</v>
      </c>
      <c r="B19" s="60">
        <v>8.8830000686645511E-2</v>
      </c>
      <c r="D19" s="55" t="s">
        <v>175</v>
      </c>
    </row>
    <row r="20" spans="1:4" x14ac:dyDescent="0.3">
      <c r="A20" t="s">
        <v>176</v>
      </c>
      <c r="B20" s="60">
        <v>4.41E-2</v>
      </c>
      <c r="D20" s="55" t="s">
        <v>177</v>
      </c>
    </row>
    <row r="21" spans="1:4" x14ac:dyDescent="0.3">
      <c r="A21" t="s">
        <v>178</v>
      </c>
      <c r="B21" s="59">
        <v>1584.2472100225441</v>
      </c>
      <c r="D21" s="55" t="s">
        <v>179</v>
      </c>
    </row>
    <row r="22" spans="1:4" x14ac:dyDescent="0.3">
      <c r="A22" t="s">
        <v>180</v>
      </c>
      <c r="B22" s="59">
        <v>982.5</v>
      </c>
      <c r="D22" s="55" t="s">
        <v>181</v>
      </c>
    </row>
    <row r="23" spans="1:4" x14ac:dyDescent="0.3">
      <c r="A23" t="s">
        <v>182</v>
      </c>
      <c r="B23" s="61">
        <v>3564.5</v>
      </c>
      <c r="D23" s="55" t="s">
        <v>183</v>
      </c>
    </row>
    <row r="24" spans="1:4" x14ac:dyDescent="0.3">
      <c r="A24" t="s">
        <v>184</v>
      </c>
      <c r="B24" s="60">
        <v>0.35</v>
      </c>
      <c r="D24" s="55" t="s">
        <v>185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5"/>
  <sheetViews>
    <sheetView showGridLines="0" zoomScale="61" zoomScaleNormal="145" workbookViewId="0">
      <pane ySplit="1" topLeftCell="A59" activePane="bottomLeft" state="frozen"/>
      <selection pane="bottomLeft" sqref="A1:F102"/>
    </sheetView>
  </sheetViews>
  <sheetFormatPr baseColWidth="10" defaultRowHeight="14.4" x14ac:dyDescent="0.3"/>
  <cols>
    <col min="1" max="1" width="34.5546875" bestFit="1" customWidth="1"/>
    <col min="6" max="7" width="13" customWidth="1"/>
  </cols>
  <sheetData>
    <row r="1" spans="1:7" ht="21" customHeight="1" x14ac:dyDescent="0.4">
      <c r="A1" s="30" t="s">
        <v>186</v>
      </c>
      <c r="B1" s="23">
        <v>2020</v>
      </c>
      <c r="C1" s="23">
        <v>2021</v>
      </c>
      <c r="D1" s="23">
        <v>2022</v>
      </c>
      <c r="E1" s="23">
        <v>2023</v>
      </c>
      <c r="F1" s="23">
        <v>2024</v>
      </c>
      <c r="G1" s="23">
        <v>2025</v>
      </c>
    </row>
    <row r="2" spans="1:7" x14ac:dyDescent="0.3">
      <c r="A2" s="36" t="s">
        <v>187</v>
      </c>
      <c r="B2" s="62">
        <v>77</v>
      </c>
      <c r="C2" s="62">
        <v>165</v>
      </c>
      <c r="D2" s="62">
        <v>263</v>
      </c>
      <c r="E2" s="62">
        <v>503</v>
      </c>
      <c r="F2" s="62">
        <v>1350</v>
      </c>
      <c r="G2" s="62">
        <v>1430</v>
      </c>
    </row>
    <row r="5" spans="1:7" ht="18" customHeight="1" x14ac:dyDescent="0.35">
      <c r="A5" s="29" t="s">
        <v>188</v>
      </c>
    </row>
    <row r="6" spans="1:7" x14ac:dyDescent="0.3">
      <c r="A6" s="19" t="s">
        <v>189</v>
      </c>
      <c r="B6" s="20"/>
      <c r="C6" s="20"/>
      <c r="D6" s="20"/>
      <c r="E6" s="20"/>
      <c r="F6" s="20"/>
      <c r="G6" s="20"/>
    </row>
    <row r="7" spans="1:7" x14ac:dyDescent="0.3">
      <c r="A7" t="s">
        <v>190</v>
      </c>
      <c r="B7" s="63">
        <v>63409348048</v>
      </c>
      <c r="C7" s="63">
        <v>84727990356</v>
      </c>
      <c r="D7" s="63">
        <v>172191945319</v>
      </c>
      <c r="E7" s="63">
        <v>325816454929</v>
      </c>
      <c r="F7" s="63">
        <v>1236401592941</v>
      </c>
      <c r="G7" s="63">
        <v>1562412110649</v>
      </c>
    </row>
    <row r="8" spans="1:7" x14ac:dyDescent="0.3">
      <c r="A8" t="s">
        <v>191</v>
      </c>
      <c r="B8" s="63">
        <v>-54760342500</v>
      </c>
      <c r="C8" s="63">
        <v>-68373389110</v>
      </c>
      <c r="D8" s="63">
        <v>-117898237133</v>
      </c>
      <c r="E8" s="63">
        <v>-269627442436</v>
      </c>
      <c r="F8" s="63">
        <v>-1004361399758</v>
      </c>
      <c r="G8" s="63">
        <v>-1330677784788</v>
      </c>
    </row>
    <row r="9" spans="1:7" x14ac:dyDescent="0.3">
      <c r="A9" s="18" t="s">
        <v>192</v>
      </c>
      <c r="B9" s="64">
        <f t="shared" ref="B9:G9" si="0">B7+B8</f>
        <v>8649005548</v>
      </c>
      <c r="C9" s="64">
        <f t="shared" si="0"/>
        <v>16354601246</v>
      </c>
      <c r="D9" s="64">
        <f t="shared" si="0"/>
        <v>54293708186</v>
      </c>
      <c r="E9" s="64">
        <f t="shared" si="0"/>
        <v>56189012493</v>
      </c>
      <c r="F9" s="64">
        <f t="shared" si="0"/>
        <v>232040193183</v>
      </c>
      <c r="G9" s="64">
        <f t="shared" si="0"/>
        <v>231734325861</v>
      </c>
    </row>
    <row r="10" spans="1:7" x14ac:dyDescent="0.3">
      <c r="A10" t="s">
        <v>193</v>
      </c>
      <c r="B10" s="63">
        <v>-4915198628</v>
      </c>
      <c r="C10" s="63">
        <v>-6239899841</v>
      </c>
      <c r="D10" s="63">
        <v>-11587007369</v>
      </c>
      <c r="E10" s="63">
        <v>-25207675068</v>
      </c>
      <c r="F10" s="63">
        <v>-94586908566</v>
      </c>
      <c r="G10" s="63">
        <v>-144135867065</v>
      </c>
    </row>
    <row r="11" spans="1:7" x14ac:dyDescent="0.3">
      <c r="A11" t="s">
        <v>194</v>
      </c>
      <c r="B11" s="63">
        <v>-30171482</v>
      </c>
      <c r="C11" s="63">
        <v>4335635</v>
      </c>
      <c r="D11" s="63">
        <v>-63699146</v>
      </c>
      <c r="E11" s="63">
        <v>187212424</v>
      </c>
      <c r="F11" s="63">
        <v>68512319256</v>
      </c>
      <c r="G11" s="63">
        <v>44344111479</v>
      </c>
    </row>
    <row r="12" spans="1:7" x14ac:dyDescent="0.3">
      <c r="A12" s="18" t="s">
        <v>195</v>
      </c>
      <c r="B12" s="64">
        <f t="shared" ref="B12:G12" si="1">B9+B10+B11</f>
        <v>3703635438</v>
      </c>
      <c r="C12" s="64">
        <f t="shared" si="1"/>
        <v>10119037040</v>
      </c>
      <c r="D12" s="64">
        <f t="shared" si="1"/>
        <v>42643001671</v>
      </c>
      <c r="E12" s="64">
        <f t="shared" si="1"/>
        <v>31168549849</v>
      </c>
      <c r="F12" s="64">
        <f t="shared" si="1"/>
        <v>205965603873</v>
      </c>
      <c r="G12" s="64">
        <f t="shared" si="1"/>
        <v>131942570275</v>
      </c>
    </row>
    <row r="13" spans="1:7" x14ac:dyDescent="0.3">
      <c r="A13" t="s">
        <v>196</v>
      </c>
      <c r="B13" s="63">
        <v>-6510160989</v>
      </c>
      <c r="C13" s="63">
        <v>2427595240</v>
      </c>
      <c r="D13" s="63">
        <v>9521613898</v>
      </c>
      <c r="E13" s="63">
        <v>44454874916</v>
      </c>
      <c r="F13" s="63">
        <v>5263273567</v>
      </c>
      <c r="G13" s="63">
        <v>-48307746317</v>
      </c>
    </row>
    <row r="14" spans="1:7" x14ac:dyDescent="0.3">
      <c r="A14" s="18" t="s">
        <v>197</v>
      </c>
      <c r="B14" s="64">
        <f t="shared" ref="B14:G14" si="2">B12+B13</f>
        <v>-2806525551</v>
      </c>
      <c r="C14" s="64">
        <f t="shared" si="2"/>
        <v>12546632280</v>
      </c>
      <c r="D14" s="64">
        <f t="shared" si="2"/>
        <v>52164615569</v>
      </c>
      <c r="E14" s="64">
        <f t="shared" si="2"/>
        <v>75623424765</v>
      </c>
      <c r="F14" s="64">
        <f t="shared" si="2"/>
        <v>211228877440</v>
      </c>
      <c r="G14" s="64">
        <f t="shared" si="2"/>
        <v>83634823958</v>
      </c>
    </row>
    <row r="15" spans="1:7" x14ac:dyDescent="0.3">
      <c r="A15" t="s">
        <v>198</v>
      </c>
      <c r="B15" s="63">
        <v>-576987122</v>
      </c>
      <c r="C15" s="63">
        <v>-7905027168</v>
      </c>
      <c r="D15" s="63">
        <v>-21779035241</v>
      </c>
      <c r="E15" s="63">
        <v>-5700597582</v>
      </c>
      <c r="F15" s="63">
        <v>-90078786044</v>
      </c>
      <c r="G15" s="63">
        <v>-70518972115</v>
      </c>
    </row>
    <row r="16" spans="1:7" ht="15" customHeight="1" thickBot="1" x14ac:dyDescent="0.35">
      <c r="A16" s="22" t="s">
        <v>199</v>
      </c>
      <c r="B16" s="65">
        <f t="shared" ref="B16:G16" si="3">B14+B15</f>
        <v>-3383512673</v>
      </c>
      <c r="C16" s="65">
        <f t="shared" si="3"/>
        <v>4641605112</v>
      </c>
      <c r="D16" s="65">
        <f t="shared" si="3"/>
        <v>30385580328</v>
      </c>
      <c r="E16" s="65">
        <f t="shared" si="3"/>
        <v>69922827183</v>
      </c>
      <c r="F16" s="65">
        <f t="shared" si="3"/>
        <v>121150091396</v>
      </c>
      <c r="G16" s="65">
        <f t="shared" si="3"/>
        <v>13115851843</v>
      </c>
    </row>
    <row r="19" spans="1:7" x14ac:dyDescent="0.3">
      <c r="A19" s="19" t="s">
        <v>200</v>
      </c>
      <c r="B19" s="21"/>
      <c r="C19" s="21"/>
      <c r="D19" s="21"/>
      <c r="E19" s="21"/>
      <c r="F19" s="21"/>
      <c r="G19" s="21"/>
    </row>
    <row r="20" spans="1:7" x14ac:dyDescent="0.3">
      <c r="A20" t="s">
        <v>201</v>
      </c>
      <c r="B20" s="63">
        <v>1876011878</v>
      </c>
      <c r="C20" s="63">
        <v>7253828264</v>
      </c>
      <c r="D20" s="63">
        <v>20162788484</v>
      </c>
      <c r="E20" s="63">
        <v>29697360985</v>
      </c>
      <c r="F20" s="63">
        <v>278096054606</v>
      </c>
      <c r="G20" s="63">
        <v>150372689662</v>
      </c>
    </row>
    <row r="21" spans="1:7" x14ac:dyDescent="0.3">
      <c r="A21" t="s">
        <v>202</v>
      </c>
      <c r="B21" s="63">
        <v>2963245410</v>
      </c>
      <c r="C21" s="63">
        <v>3689394219</v>
      </c>
      <c r="D21" s="63">
        <v>18917452767</v>
      </c>
      <c r="E21" s="63">
        <v>15464292214</v>
      </c>
      <c r="F21" s="63">
        <v>88423622080</v>
      </c>
      <c r="G21" s="63">
        <v>80168140299</v>
      </c>
    </row>
    <row r="22" spans="1:7" x14ac:dyDescent="0.3">
      <c r="A22" t="s">
        <v>203</v>
      </c>
      <c r="B22" s="63">
        <v>25148031793</v>
      </c>
      <c r="C22" s="63">
        <v>36480731995</v>
      </c>
      <c r="D22" s="63">
        <v>77031996402</v>
      </c>
      <c r="E22" s="63">
        <v>181793434471</v>
      </c>
      <c r="F22" s="63">
        <v>756454320091</v>
      </c>
      <c r="G22" s="63">
        <v>1142056656056</v>
      </c>
    </row>
    <row r="23" spans="1:7" x14ac:dyDescent="0.3">
      <c r="A23" t="s">
        <v>204</v>
      </c>
      <c r="B23" s="63">
        <v>5016367415</v>
      </c>
      <c r="C23" s="63">
        <v>5067744751</v>
      </c>
      <c r="D23" s="63">
        <v>9841479379</v>
      </c>
      <c r="E23" s="63">
        <v>19564217950</v>
      </c>
      <c r="F23" s="63">
        <v>95890768922</v>
      </c>
      <c r="G23" s="63">
        <v>97566423122</v>
      </c>
    </row>
    <row r="24" spans="1:7" x14ac:dyDescent="0.3">
      <c r="A24" s="18" t="s">
        <v>205</v>
      </c>
      <c r="B24" s="64">
        <f t="shared" ref="B24:G24" si="4">SUM(B20:B23)</f>
        <v>35003656496</v>
      </c>
      <c r="C24" s="64">
        <f t="shared" si="4"/>
        <v>52491699229</v>
      </c>
      <c r="D24" s="64">
        <f t="shared" si="4"/>
        <v>125953717032</v>
      </c>
      <c r="E24" s="64">
        <f t="shared" si="4"/>
        <v>246519305620</v>
      </c>
      <c r="F24" s="64">
        <f t="shared" si="4"/>
        <v>1218864765699</v>
      </c>
      <c r="G24" s="64">
        <f t="shared" si="4"/>
        <v>1470163909139</v>
      </c>
    </row>
    <row r="25" spans="1:7" x14ac:dyDescent="0.3">
      <c r="A25" t="s">
        <v>206</v>
      </c>
      <c r="B25" s="63">
        <v>44175210057</v>
      </c>
      <c r="C25" s="63">
        <v>60199672377</v>
      </c>
      <c r="D25" s="63">
        <v>89916231377</v>
      </c>
      <c r="E25" s="63">
        <v>207445737487</v>
      </c>
      <c r="F25" s="63">
        <v>737899921734</v>
      </c>
      <c r="G25" s="63">
        <v>1259939797125</v>
      </c>
    </row>
    <row r="26" spans="1:7" x14ac:dyDescent="0.3">
      <c r="A26" t="s">
        <v>207</v>
      </c>
      <c r="B26" s="63">
        <v>1826284113</v>
      </c>
      <c r="C26" s="63">
        <v>2480391261</v>
      </c>
      <c r="D26" s="63">
        <v>3092121520</v>
      </c>
      <c r="E26" s="63">
        <v>4979854992</v>
      </c>
      <c r="F26" s="63">
        <v>13562826625</v>
      </c>
      <c r="G26" s="63">
        <v>85618950677</v>
      </c>
    </row>
    <row r="27" spans="1:7" x14ac:dyDescent="0.3">
      <c r="A27" s="18" t="s">
        <v>208</v>
      </c>
      <c r="B27" s="64">
        <f t="shared" ref="B27:G27" si="5">B25+B26</f>
        <v>46001494170</v>
      </c>
      <c r="C27" s="64">
        <f t="shared" si="5"/>
        <v>62680063638</v>
      </c>
      <c r="D27" s="64">
        <f t="shared" si="5"/>
        <v>93008352897</v>
      </c>
      <c r="E27" s="64">
        <f t="shared" si="5"/>
        <v>212425592479</v>
      </c>
      <c r="F27" s="64">
        <f t="shared" si="5"/>
        <v>751462748359</v>
      </c>
      <c r="G27" s="64">
        <f t="shared" si="5"/>
        <v>1345558747802</v>
      </c>
    </row>
    <row r="28" spans="1:7" ht="15" customHeight="1" thickBot="1" x14ac:dyDescent="0.35">
      <c r="A28" s="22" t="s">
        <v>209</v>
      </c>
      <c r="B28" s="65">
        <f t="shared" ref="B28:G28" si="6">B24+B27</f>
        <v>81005150666</v>
      </c>
      <c r="C28" s="65">
        <f t="shared" si="6"/>
        <v>115171762867</v>
      </c>
      <c r="D28" s="65">
        <f t="shared" si="6"/>
        <v>218962069929</v>
      </c>
      <c r="E28" s="65">
        <f t="shared" si="6"/>
        <v>458944898099</v>
      </c>
      <c r="F28" s="65">
        <f t="shared" si="6"/>
        <v>1970327514058</v>
      </c>
      <c r="G28" s="65">
        <f t="shared" si="6"/>
        <v>2815722656941</v>
      </c>
    </row>
    <row r="29" spans="1:7" x14ac:dyDescent="0.3">
      <c r="A29" t="s">
        <v>210</v>
      </c>
      <c r="B29" s="63">
        <v>4615356124</v>
      </c>
      <c r="C29" s="63">
        <v>4789321872</v>
      </c>
      <c r="D29" s="63">
        <v>11888382325</v>
      </c>
      <c r="E29" s="63">
        <v>29364578190</v>
      </c>
      <c r="F29" s="63">
        <v>107703695971</v>
      </c>
      <c r="G29" s="63">
        <v>111743862956</v>
      </c>
    </row>
    <row r="30" spans="1:7" x14ac:dyDescent="0.3">
      <c r="A30" t="s">
        <v>211</v>
      </c>
      <c r="B30" s="63">
        <v>11531280521</v>
      </c>
      <c r="C30" s="63">
        <v>6119068136</v>
      </c>
      <c r="D30" s="63">
        <v>11438716791</v>
      </c>
      <c r="E30" s="63">
        <v>45532934684</v>
      </c>
      <c r="F30" s="63">
        <v>83358417754</v>
      </c>
      <c r="G30" s="63">
        <v>433391263269</v>
      </c>
    </row>
    <row r="31" spans="1:7" x14ac:dyDescent="0.3">
      <c r="A31" t="s">
        <v>212</v>
      </c>
      <c r="B31" s="63">
        <v>2337811076</v>
      </c>
      <c r="C31" s="63">
        <v>2990271080</v>
      </c>
      <c r="D31" s="63">
        <v>19755544912</v>
      </c>
      <c r="E31" s="63">
        <v>9491032148</v>
      </c>
      <c r="F31" s="63">
        <v>56316326894</v>
      </c>
      <c r="G31" s="63">
        <v>56229216361</v>
      </c>
    </row>
    <row r="32" spans="1:7" x14ac:dyDescent="0.3">
      <c r="A32" s="18" t="s">
        <v>213</v>
      </c>
      <c r="B32" s="64">
        <f t="shared" ref="B32:G32" si="7">SUM(B29:B31)</f>
        <v>18484447721</v>
      </c>
      <c r="C32" s="64">
        <f t="shared" si="7"/>
        <v>13898661088</v>
      </c>
      <c r="D32" s="64">
        <f t="shared" si="7"/>
        <v>43082644028</v>
      </c>
      <c r="E32" s="64">
        <f t="shared" si="7"/>
        <v>84388545022</v>
      </c>
      <c r="F32" s="64">
        <f t="shared" si="7"/>
        <v>247378440619</v>
      </c>
      <c r="G32" s="64">
        <f t="shared" si="7"/>
        <v>601364342586</v>
      </c>
    </row>
    <row r="33" spans="1:7" x14ac:dyDescent="0.3">
      <c r="A33" t="s">
        <v>214</v>
      </c>
      <c r="B33" s="63">
        <v>17358044398</v>
      </c>
      <c r="C33" s="63">
        <v>23811203685</v>
      </c>
      <c r="D33" s="63">
        <v>23801570192</v>
      </c>
      <c r="E33" s="63">
        <v>69611275176</v>
      </c>
      <c r="F33" s="63">
        <v>468120057201</v>
      </c>
      <c r="G33" s="63">
        <v>417391464490</v>
      </c>
    </row>
    <row r="34" spans="1:7" x14ac:dyDescent="0.3">
      <c r="A34" t="s">
        <v>215</v>
      </c>
      <c r="B34" s="63">
        <v>9492454961</v>
      </c>
      <c r="C34" s="63">
        <v>19732650053</v>
      </c>
      <c r="D34" s="63">
        <v>32016679052</v>
      </c>
      <c r="E34" s="63">
        <v>31991505856</v>
      </c>
      <c r="F34" s="63">
        <v>120279464099</v>
      </c>
      <c r="G34" s="63">
        <v>210646455799</v>
      </c>
    </row>
    <row r="35" spans="1:7" x14ac:dyDescent="0.3">
      <c r="A35" s="18" t="s">
        <v>216</v>
      </c>
      <c r="B35" s="64">
        <f t="shared" ref="B35:G35" si="8">B33+B34</f>
        <v>26850499359</v>
      </c>
      <c r="C35" s="64">
        <f t="shared" si="8"/>
        <v>43543853738</v>
      </c>
      <c r="D35" s="64">
        <f t="shared" si="8"/>
        <v>55818249244</v>
      </c>
      <c r="E35" s="64">
        <f t="shared" si="8"/>
        <v>101602781032</v>
      </c>
      <c r="F35" s="64">
        <f t="shared" si="8"/>
        <v>588399521300</v>
      </c>
      <c r="G35" s="64">
        <f t="shared" si="8"/>
        <v>628037920289</v>
      </c>
    </row>
    <row r="36" spans="1:7" ht="15" customHeight="1" thickBot="1" x14ac:dyDescent="0.35">
      <c r="A36" s="22" t="s">
        <v>217</v>
      </c>
      <c r="B36" s="65">
        <f t="shared" ref="B36:G36" si="9">B32+B35</f>
        <v>45334947080</v>
      </c>
      <c r="C36" s="65">
        <f t="shared" si="9"/>
        <v>57442514826</v>
      </c>
      <c r="D36" s="65">
        <f t="shared" si="9"/>
        <v>98900893272</v>
      </c>
      <c r="E36" s="65">
        <f t="shared" si="9"/>
        <v>185991326054</v>
      </c>
      <c r="F36" s="65">
        <f t="shared" si="9"/>
        <v>835777961919</v>
      </c>
      <c r="G36" s="65">
        <f t="shared" si="9"/>
        <v>1229402262875</v>
      </c>
    </row>
    <row r="39" spans="1:7" x14ac:dyDescent="0.3">
      <c r="A39" s="19" t="s">
        <v>218</v>
      </c>
      <c r="B39" s="21"/>
      <c r="C39" s="21"/>
      <c r="D39" s="21"/>
      <c r="E39" s="21"/>
      <c r="F39" s="21"/>
      <c r="G39" s="21"/>
    </row>
    <row r="40" spans="1:7" x14ac:dyDescent="0.3">
      <c r="A40" t="s">
        <v>199</v>
      </c>
      <c r="B40" s="63">
        <v>-3383512673</v>
      </c>
      <c r="C40" s="63">
        <v>4641605112</v>
      </c>
      <c r="D40" s="63">
        <v>30385580328</v>
      </c>
      <c r="E40" s="63">
        <v>69922827183</v>
      </c>
      <c r="F40" s="63">
        <v>121150091396</v>
      </c>
      <c r="G40" s="63">
        <v>13115851843</v>
      </c>
    </row>
    <row r="41" spans="1:7" x14ac:dyDescent="0.3">
      <c r="A41" t="s">
        <v>219</v>
      </c>
      <c r="B41" s="63">
        <v>5266517939</v>
      </c>
      <c r="C41" s="63">
        <v>8068595606</v>
      </c>
      <c r="D41" s="63">
        <v>12274436811</v>
      </c>
      <c r="E41" s="63">
        <v>20875020793</v>
      </c>
      <c r="F41" s="63">
        <v>70381898924</v>
      </c>
      <c r="G41" s="63">
        <v>101510923181</v>
      </c>
    </row>
    <row r="42" spans="1:7" x14ac:dyDescent="0.3">
      <c r="A42" t="s">
        <v>220</v>
      </c>
      <c r="B42" s="63">
        <v>0</v>
      </c>
      <c r="C42" s="63">
        <v>-11283800595</v>
      </c>
      <c r="D42" s="63">
        <v>-36688723298</v>
      </c>
      <c r="E42" s="63">
        <v>-103819332986</v>
      </c>
      <c r="F42" s="63">
        <v>-598782353931</v>
      </c>
      <c r="G42" s="63">
        <v>-375069451932</v>
      </c>
    </row>
    <row r="43" spans="1:7" x14ac:dyDescent="0.3">
      <c r="A43" t="s">
        <v>221</v>
      </c>
      <c r="B43" s="63">
        <f>18920408390-B40-B41-B42</f>
        <v>17037403124</v>
      </c>
      <c r="C43" s="63">
        <f>16892256112-C40-C41-C42</f>
        <v>15465855989</v>
      </c>
      <c r="D43" s="63">
        <f>23470364498-D40-D41-D42</f>
        <v>17499070657</v>
      </c>
      <c r="E43" s="63">
        <f>57135968178-E40-E41-E42</f>
        <v>70157453188</v>
      </c>
      <c r="F43" s="63">
        <f>106907787111-F40-F41-F42</f>
        <v>514158150722</v>
      </c>
      <c r="G43" s="63">
        <f>43951466473-G40-G41-G42</f>
        <v>304394143381</v>
      </c>
    </row>
    <row r="44" spans="1:7" x14ac:dyDescent="0.3">
      <c r="A44" s="18" t="s">
        <v>222</v>
      </c>
      <c r="B44" s="64">
        <f t="shared" ref="B44:G44" si="10">SUM(B40:B43)</f>
        <v>18920408390</v>
      </c>
      <c r="C44" s="64">
        <f t="shared" si="10"/>
        <v>16892256112</v>
      </c>
      <c r="D44" s="64">
        <f t="shared" si="10"/>
        <v>23470364498</v>
      </c>
      <c r="E44" s="64">
        <f t="shared" si="10"/>
        <v>57135968178</v>
      </c>
      <c r="F44" s="64">
        <f t="shared" si="10"/>
        <v>106907787111</v>
      </c>
      <c r="G44" s="64">
        <f t="shared" si="10"/>
        <v>43951466473</v>
      </c>
    </row>
    <row r="45" spans="1:7" x14ac:dyDescent="0.3">
      <c r="A45" t="s">
        <v>223</v>
      </c>
      <c r="B45" s="63">
        <v>-7931457989</v>
      </c>
      <c r="C45" s="63">
        <v>-1555450901</v>
      </c>
      <c r="D45" s="63">
        <v>-2921329114</v>
      </c>
      <c r="E45" s="63">
        <v>-33141554950</v>
      </c>
      <c r="F45" s="63">
        <v>-34543200226</v>
      </c>
      <c r="G45" s="63">
        <v>-348821496391</v>
      </c>
    </row>
    <row r="46" spans="1:7" x14ac:dyDescent="0.3">
      <c r="A46" t="s">
        <v>224</v>
      </c>
      <c r="B46" s="63">
        <v>65838537</v>
      </c>
      <c r="C46" s="63">
        <v>0</v>
      </c>
      <c r="D46" s="63">
        <v>0</v>
      </c>
      <c r="E46" s="63">
        <v>-10185981</v>
      </c>
      <c r="F46" s="63">
        <v>-1414203</v>
      </c>
      <c r="G46" s="63">
        <v>-129203516</v>
      </c>
    </row>
    <row r="47" spans="1:7" x14ac:dyDescent="0.3">
      <c r="A47" s="18" t="s">
        <v>225</v>
      </c>
      <c r="B47" s="64">
        <f t="shared" ref="B47:G47" si="11">B45+B46</f>
        <v>-7865619452</v>
      </c>
      <c r="C47" s="64">
        <f t="shared" si="11"/>
        <v>-1555450901</v>
      </c>
      <c r="D47" s="64">
        <f t="shared" si="11"/>
        <v>-2921329114</v>
      </c>
      <c r="E47" s="64">
        <f t="shared" si="11"/>
        <v>-33151740931</v>
      </c>
      <c r="F47" s="64">
        <f t="shared" si="11"/>
        <v>-34544614429</v>
      </c>
      <c r="G47" s="64">
        <f t="shared" si="11"/>
        <v>-348950699907</v>
      </c>
    </row>
    <row r="48" spans="1:7" x14ac:dyDescent="0.3">
      <c r="A48" t="s">
        <v>226</v>
      </c>
      <c r="B48" s="63">
        <v>-9712762941</v>
      </c>
      <c r="C48" s="63">
        <v>-7179287242</v>
      </c>
      <c r="D48" s="63">
        <v>-4156614838</v>
      </c>
      <c r="E48" s="63">
        <v>20013830426</v>
      </c>
      <c r="F48" s="63">
        <v>126088588715</v>
      </c>
      <c r="G48" s="63">
        <v>38022844248</v>
      </c>
    </row>
    <row r="49" spans="1:7" x14ac:dyDescent="0.3">
      <c r="A49" t="s">
        <v>227</v>
      </c>
      <c r="B49" s="63">
        <v>-5519136360</v>
      </c>
      <c r="C49" s="63">
        <v>-265084677</v>
      </c>
      <c r="D49" s="63">
        <v>-4882984193</v>
      </c>
      <c r="E49" s="63">
        <v>-55603571486</v>
      </c>
      <c r="F49" s="63">
        <v>-3133677232</v>
      </c>
      <c r="G49" s="63">
        <v>-9059413297</v>
      </c>
    </row>
    <row r="50" spans="1:7" x14ac:dyDescent="0.3">
      <c r="A50" t="s">
        <v>228</v>
      </c>
      <c r="B50" s="63">
        <v>0</v>
      </c>
      <c r="C50" s="63">
        <v>0</v>
      </c>
      <c r="D50" s="63">
        <v>0</v>
      </c>
      <c r="E50" s="63">
        <v>0</v>
      </c>
      <c r="F50" s="63">
        <v>0</v>
      </c>
      <c r="G50" s="63">
        <v>0</v>
      </c>
    </row>
    <row r="51" spans="1:7" x14ac:dyDescent="0.3">
      <c r="A51" s="18" t="s">
        <v>229</v>
      </c>
      <c r="B51" s="64">
        <f t="shared" ref="B51:G51" si="12">SUM(B48:B50)</f>
        <v>-15231899301</v>
      </c>
      <c r="C51" s="64">
        <f t="shared" si="12"/>
        <v>-7444371919</v>
      </c>
      <c r="D51" s="64">
        <f t="shared" si="12"/>
        <v>-9039599031</v>
      </c>
      <c r="E51" s="64">
        <f t="shared" si="12"/>
        <v>-35589741060</v>
      </c>
      <c r="F51" s="64">
        <f t="shared" si="12"/>
        <v>122954911483</v>
      </c>
      <c r="G51" s="64">
        <f t="shared" si="12"/>
        <v>28963430951</v>
      </c>
    </row>
    <row r="52" spans="1:7" ht="15" customHeight="1" thickBot="1" x14ac:dyDescent="0.35">
      <c r="A52" s="22" t="s">
        <v>230</v>
      </c>
      <c r="B52" s="65">
        <f t="shared" ref="B52:G52" si="13">B44+B47+B51</f>
        <v>-4177110363</v>
      </c>
      <c r="C52" s="65">
        <f t="shared" si="13"/>
        <v>7892433292</v>
      </c>
      <c r="D52" s="65">
        <f t="shared" si="13"/>
        <v>11509436353</v>
      </c>
      <c r="E52" s="65">
        <f t="shared" si="13"/>
        <v>-11605513813</v>
      </c>
      <c r="F52" s="65">
        <f t="shared" si="13"/>
        <v>195318084165</v>
      </c>
      <c r="G52" s="65">
        <f t="shared" si="13"/>
        <v>-276035802483</v>
      </c>
    </row>
    <row r="54" spans="1:7" x14ac:dyDescent="0.3">
      <c r="A54" s="55" t="s">
        <v>231</v>
      </c>
    </row>
    <row r="55" spans="1:7" ht="18" customHeight="1" x14ac:dyDescent="0.35">
      <c r="A55" s="31" t="s">
        <v>232</v>
      </c>
    </row>
    <row r="56" spans="1:7" x14ac:dyDescent="0.3">
      <c r="A56" s="26" t="s">
        <v>189</v>
      </c>
      <c r="B56" s="28"/>
      <c r="C56" s="28"/>
      <c r="D56" s="28"/>
      <c r="E56" s="28"/>
      <c r="F56" s="28"/>
      <c r="G56" s="28"/>
    </row>
    <row r="57" spans="1:7" x14ac:dyDescent="0.3">
      <c r="A57" t="s">
        <v>190</v>
      </c>
      <c r="B57" s="66">
        <f t="shared" ref="B57:G66" si="14">B7/B$2</f>
        <v>823498026.59740257</v>
      </c>
      <c r="C57" s="66">
        <f t="shared" si="14"/>
        <v>513502971.85454547</v>
      </c>
      <c r="D57" s="66">
        <f t="shared" si="14"/>
        <v>654722225.54752851</v>
      </c>
      <c r="E57" s="66">
        <f t="shared" si="14"/>
        <v>647746431.27037776</v>
      </c>
      <c r="F57" s="66">
        <f t="shared" si="14"/>
        <v>915853031.80814815</v>
      </c>
      <c r="G57" s="66">
        <f t="shared" si="14"/>
        <v>1092595881.5727272</v>
      </c>
    </row>
    <row r="58" spans="1:7" x14ac:dyDescent="0.3">
      <c r="A58" t="s">
        <v>191</v>
      </c>
      <c r="B58" s="66">
        <f t="shared" si="14"/>
        <v>-711173279.22077918</v>
      </c>
      <c r="C58" s="66">
        <f t="shared" si="14"/>
        <v>-414384176.42424244</v>
      </c>
      <c r="D58" s="66">
        <f t="shared" si="14"/>
        <v>-448282270.46768063</v>
      </c>
      <c r="E58" s="66">
        <f t="shared" si="14"/>
        <v>-536038652.95427436</v>
      </c>
      <c r="F58" s="66">
        <f t="shared" si="14"/>
        <v>-743971407.2281481</v>
      </c>
      <c r="G58" s="66">
        <f t="shared" si="14"/>
        <v>-930543905.44615388</v>
      </c>
    </row>
    <row r="59" spans="1:7" x14ac:dyDescent="0.3">
      <c r="A59" s="18" t="s">
        <v>192</v>
      </c>
      <c r="B59" s="67">
        <f t="shared" si="14"/>
        <v>112324747.37662338</v>
      </c>
      <c r="C59" s="67">
        <f t="shared" si="14"/>
        <v>99118795.430303037</v>
      </c>
      <c r="D59" s="67">
        <f t="shared" si="14"/>
        <v>206439955.0798479</v>
      </c>
      <c r="E59" s="67">
        <f t="shared" si="14"/>
        <v>111707778.31610338</v>
      </c>
      <c r="F59" s="67">
        <f t="shared" si="14"/>
        <v>171881624.58000001</v>
      </c>
      <c r="G59" s="67">
        <f t="shared" si="14"/>
        <v>162051976.12657341</v>
      </c>
    </row>
    <row r="60" spans="1:7" x14ac:dyDescent="0.3">
      <c r="A60" t="s">
        <v>193</v>
      </c>
      <c r="B60" s="66">
        <f t="shared" si="14"/>
        <v>-63833748.415584415</v>
      </c>
      <c r="C60" s="66">
        <f t="shared" si="14"/>
        <v>-37817574.793939397</v>
      </c>
      <c r="D60" s="66">
        <f t="shared" si="14"/>
        <v>-44057062.239543729</v>
      </c>
      <c r="E60" s="66">
        <f t="shared" si="14"/>
        <v>-50114662.16302187</v>
      </c>
      <c r="F60" s="66">
        <f t="shared" si="14"/>
        <v>-70064376.715555549</v>
      </c>
      <c r="G60" s="66">
        <f t="shared" si="14"/>
        <v>-100794312.63286713</v>
      </c>
    </row>
    <row r="61" spans="1:7" x14ac:dyDescent="0.3">
      <c r="A61" t="s">
        <v>194</v>
      </c>
      <c r="B61" s="66">
        <f t="shared" si="14"/>
        <v>-391837.42857142858</v>
      </c>
      <c r="C61" s="66">
        <f t="shared" si="14"/>
        <v>26276.575757575756</v>
      </c>
      <c r="D61" s="66">
        <f t="shared" si="14"/>
        <v>-242202.07604562739</v>
      </c>
      <c r="E61" s="66">
        <f t="shared" si="14"/>
        <v>372191.69781312125</v>
      </c>
      <c r="F61" s="66">
        <f t="shared" si="14"/>
        <v>50749866.115555555</v>
      </c>
      <c r="G61" s="66">
        <f t="shared" si="14"/>
        <v>31009868.167132866</v>
      </c>
    </row>
    <row r="62" spans="1:7" x14ac:dyDescent="0.3">
      <c r="A62" s="18" t="s">
        <v>195</v>
      </c>
      <c r="B62" s="67">
        <f t="shared" si="14"/>
        <v>48099161.532467529</v>
      </c>
      <c r="C62" s="67">
        <f t="shared" si="14"/>
        <v>61327497.212121211</v>
      </c>
      <c r="D62" s="67">
        <f t="shared" si="14"/>
        <v>162140690.76425856</v>
      </c>
      <c r="E62" s="67">
        <f t="shared" si="14"/>
        <v>61965307.85089463</v>
      </c>
      <c r="F62" s="67">
        <f t="shared" si="14"/>
        <v>152567113.97999999</v>
      </c>
      <c r="G62" s="67">
        <f t="shared" si="14"/>
        <v>92267531.660839155</v>
      </c>
    </row>
    <row r="63" spans="1:7" x14ac:dyDescent="0.3">
      <c r="A63" t="s">
        <v>196</v>
      </c>
      <c r="B63" s="66">
        <f t="shared" si="14"/>
        <v>-84547545.311688319</v>
      </c>
      <c r="C63" s="66">
        <f t="shared" si="14"/>
        <v>14712698.424242424</v>
      </c>
      <c r="D63" s="66">
        <f t="shared" si="14"/>
        <v>36203855.125475287</v>
      </c>
      <c r="E63" s="66">
        <f t="shared" si="14"/>
        <v>88379472.99403578</v>
      </c>
      <c r="F63" s="66">
        <f t="shared" si="14"/>
        <v>3898721.1607407406</v>
      </c>
      <c r="G63" s="66">
        <f t="shared" si="14"/>
        <v>-33781640.781118885</v>
      </c>
    </row>
    <row r="64" spans="1:7" x14ac:dyDescent="0.3">
      <c r="A64" s="18" t="s">
        <v>197</v>
      </c>
      <c r="B64" s="67">
        <f t="shared" si="14"/>
        <v>-36448383.779220782</v>
      </c>
      <c r="C64" s="67">
        <f t="shared" si="14"/>
        <v>76040195.63636364</v>
      </c>
      <c r="D64" s="67">
        <f t="shared" si="14"/>
        <v>198344545.88973385</v>
      </c>
      <c r="E64" s="67">
        <f t="shared" si="14"/>
        <v>150344780.84493041</v>
      </c>
      <c r="F64" s="67">
        <f t="shared" si="14"/>
        <v>156465835.14074075</v>
      </c>
      <c r="G64" s="67">
        <f t="shared" si="14"/>
        <v>58485890.879720278</v>
      </c>
    </row>
    <row r="65" spans="1:7" x14ac:dyDescent="0.3">
      <c r="A65" t="s">
        <v>198</v>
      </c>
      <c r="B65" s="66">
        <f t="shared" si="14"/>
        <v>-7493339.2467532465</v>
      </c>
      <c r="C65" s="66">
        <f t="shared" si="14"/>
        <v>-47909255.563636363</v>
      </c>
      <c r="D65" s="66">
        <f t="shared" si="14"/>
        <v>-82810019.927756652</v>
      </c>
      <c r="E65" s="66">
        <f t="shared" si="14"/>
        <v>-11333195.98807157</v>
      </c>
      <c r="F65" s="66">
        <f t="shared" si="14"/>
        <v>-66725026.699259259</v>
      </c>
      <c r="G65" s="66">
        <f t="shared" si="14"/>
        <v>-49313966.513986014</v>
      </c>
    </row>
    <row r="66" spans="1:7" ht="15" customHeight="1" thickBot="1" x14ac:dyDescent="0.35">
      <c r="A66" s="22" t="s">
        <v>199</v>
      </c>
      <c r="B66" s="68">
        <f t="shared" si="14"/>
        <v>-43941723.025974028</v>
      </c>
      <c r="C66" s="68">
        <f t="shared" si="14"/>
        <v>28130940.072727274</v>
      </c>
      <c r="D66" s="68">
        <f t="shared" si="14"/>
        <v>115534525.96197718</v>
      </c>
      <c r="E66" s="68">
        <f t="shared" si="14"/>
        <v>139011584.85685885</v>
      </c>
      <c r="F66" s="68">
        <f t="shared" si="14"/>
        <v>89740808.441481486</v>
      </c>
      <c r="G66" s="68">
        <f t="shared" si="14"/>
        <v>9171924.3657342661</v>
      </c>
    </row>
    <row r="69" spans="1:7" x14ac:dyDescent="0.3">
      <c r="A69" s="26" t="s">
        <v>200</v>
      </c>
      <c r="B69" s="27"/>
      <c r="C69" s="27"/>
      <c r="D69" s="27"/>
      <c r="E69" s="27"/>
      <c r="F69" s="27"/>
      <c r="G69" s="27"/>
    </row>
    <row r="70" spans="1:7" x14ac:dyDescent="0.3">
      <c r="A70" t="s">
        <v>201</v>
      </c>
      <c r="B70" s="66">
        <f t="shared" ref="B70:G79" si="15">B20/B$2</f>
        <v>24363790.623376623</v>
      </c>
      <c r="C70" s="66">
        <f t="shared" si="15"/>
        <v>43962595.539393939</v>
      </c>
      <c r="D70" s="66">
        <f t="shared" si="15"/>
        <v>76664594.996197715</v>
      </c>
      <c r="E70" s="66">
        <f t="shared" si="15"/>
        <v>59040479.095427439</v>
      </c>
      <c r="F70" s="66">
        <f t="shared" si="15"/>
        <v>205997077.48592591</v>
      </c>
      <c r="G70" s="66">
        <f t="shared" si="15"/>
        <v>105155727.03636363</v>
      </c>
    </row>
    <row r="71" spans="1:7" x14ac:dyDescent="0.3">
      <c r="A71" t="s">
        <v>202</v>
      </c>
      <c r="B71" s="66">
        <f t="shared" si="15"/>
        <v>38483706.623376623</v>
      </c>
      <c r="C71" s="66">
        <f t="shared" si="15"/>
        <v>22359964.963636365</v>
      </c>
      <c r="D71" s="66">
        <f t="shared" si="15"/>
        <v>71929478.20152092</v>
      </c>
      <c r="E71" s="66">
        <f t="shared" si="15"/>
        <v>30744119.709741551</v>
      </c>
      <c r="F71" s="66">
        <f t="shared" si="15"/>
        <v>65498979.318518519</v>
      </c>
      <c r="G71" s="66">
        <f t="shared" si="15"/>
        <v>56061636.57272727</v>
      </c>
    </row>
    <row r="72" spans="1:7" x14ac:dyDescent="0.3">
      <c r="A72" t="s">
        <v>203</v>
      </c>
      <c r="B72" s="66">
        <f t="shared" si="15"/>
        <v>326597815.49350649</v>
      </c>
      <c r="C72" s="66">
        <f t="shared" si="15"/>
        <v>221095345.42424244</v>
      </c>
      <c r="D72" s="66">
        <f t="shared" si="15"/>
        <v>292897324.72243345</v>
      </c>
      <c r="E72" s="66">
        <f t="shared" si="15"/>
        <v>361418358.78926444</v>
      </c>
      <c r="F72" s="66">
        <f t="shared" si="15"/>
        <v>560336533.40074074</v>
      </c>
      <c r="G72" s="66">
        <f t="shared" si="15"/>
        <v>798641018.22097898</v>
      </c>
    </row>
    <row r="73" spans="1:7" x14ac:dyDescent="0.3">
      <c r="A73" t="s">
        <v>204</v>
      </c>
      <c r="B73" s="66">
        <f t="shared" si="15"/>
        <v>65147628.766233765</v>
      </c>
      <c r="C73" s="66">
        <f t="shared" si="15"/>
        <v>30713604.551515151</v>
      </c>
      <c r="D73" s="66">
        <f t="shared" si="15"/>
        <v>37420073.684410647</v>
      </c>
      <c r="E73" s="66">
        <f t="shared" si="15"/>
        <v>38895065.506958254</v>
      </c>
      <c r="F73" s="66">
        <f t="shared" si="15"/>
        <v>71030199.201481476</v>
      </c>
      <c r="G73" s="66">
        <f t="shared" si="15"/>
        <v>68228267.91748251</v>
      </c>
    </row>
    <row r="74" spans="1:7" x14ac:dyDescent="0.3">
      <c r="A74" s="18" t="s">
        <v>205</v>
      </c>
      <c r="B74" s="67">
        <f t="shared" si="15"/>
        <v>454592941.50649351</v>
      </c>
      <c r="C74" s="67">
        <f t="shared" si="15"/>
        <v>318131510.4787879</v>
      </c>
      <c r="D74" s="67">
        <f t="shared" si="15"/>
        <v>478911471.60456276</v>
      </c>
      <c r="E74" s="67">
        <f t="shared" si="15"/>
        <v>490098023.10139167</v>
      </c>
      <c r="F74" s="67">
        <f t="shared" si="15"/>
        <v>902862789.40666664</v>
      </c>
      <c r="G74" s="67">
        <f t="shared" si="15"/>
        <v>1028086649.7475524</v>
      </c>
    </row>
    <row r="75" spans="1:7" x14ac:dyDescent="0.3">
      <c r="A75" t="s">
        <v>206</v>
      </c>
      <c r="B75" s="66">
        <f t="shared" si="15"/>
        <v>573704026.71428573</v>
      </c>
      <c r="C75" s="66">
        <f t="shared" si="15"/>
        <v>364846499.25454545</v>
      </c>
      <c r="D75" s="66">
        <f t="shared" si="15"/>
        <v>341886811.31939161</v>
      </c>
      <c r="E75" s="66">
        <f t="shared" si="15"/>
        <v>412416973.13518888</v>
      </c>
      <c r="F75" s="66">
        <f t="shared" si="15"/>
        <v>546592534.61777782</v>
      </c>
      <c r="G75" s="66">
        <f t="shared" si="15"/>
        <v>881076781.2062937</v>
      </c>
    </row>
    <row r="76" spans="1:7" x14ac:dyDescent="0.3">
      <c r="A76" t="s">
        <v>207</v>
      </c>
      <c r="B76" s="66">
        <f t="shared" si="15"/>
        <v>23717975.493506495</v>
      </c>
      <c r="C76" s="66">
        <f t="shared" si="15"/>
        <v>15032674.309090909</v>
      </c>
      <c r="D76" s="66">
        <f t="shared" si="15"/>
        <v>11757116.045627376</v>
      </c>
      <c r="E76" s="66">
        <f t="shared" si="15"/>
        <v>9900308.1351888664</v>
      </c>
      <c r="F76" s="66">
        <f t="shared" si="15"/>
        <v>10046538.240740741</v>
      </c>
      <c r="G76" s="66">
        <f t="shared" si="15"/>
        <v>59873392.081818178</v>
      </c>
    </row>
    <row r="77" spans="1:7" x14ac:dyDescent="0.3">
      <c r="A77" s="18" t="s">
        <v>208</v>
      </c>
      <c r="B77" s="67">
        <f t="shared" si="15"/>
        <v>597422002.20779216</v>
      </c>
      <c r="C77" s="67">
        <f t="shared" si="15"/>
        <v>379879173.56363636</v>
      </c>
      <c r="D77" s="67">
        <f t="shared" si="15"/>
        <v>353643927.36501902</v>
      </c>
      <c r="E77" s="67">
        <f t="shared" si="15"/>
        <v>422317281.27037776</v>
      </c>
      <c r="F77" s="67">
        <f t="shared" si="15"/>
        <v>556639072.85851848</v>
      </c>
      <c r="G77" s="67">
        <f t="shared" si="15"/>
        <v>940950173.28811193</v>
      </c>
    </row>
    <row r="78" spans="1:7" ht="15" customHeight="1" thickBot="1" x14ac:dyDescent="0.35">
      <c r="A78" s="22" t="s">
        <v>209</v>
      </c>
      <c r="B78" s="68">
        <f t="shared" si="15"/>
        <v>1052014943.7142857</v>
      </c>
      <c r="C78" s="68">
        <f t="shared" si="15"/>
        <v>698010684.0424242</v>
      </c>
      <c r="D78" s="68">
        <f t="shared" si="15"/>
        <v>832555398.96958172</v>
      </c>
      <c r="E78" s="68">
        <f t="shared" si="15"/>
        <v>912415304.37176943</v>
      </c>
      <c r="F78" s="68">
        <f t="shared" si="15"/>
        <v>1459501862.2651851</v>
      </c>
      <c r="G78" s="68">
        <f t="shared" si="15"/>
        <v>1969036823.0356643</v>
      </c>
    </row>
    <row r="79" spans="1:7" x14ac:dyDescent="0.3">
      <c r="A79" t="s">
        <v>210</v>
      </c>
      <c r="B79" s="66">
        <f t="shared" si="15"/>
        <v>59939689.922077924</v>
      </c>
      <c r="C79" s="66">
        <f t="shared" si="15"/>
        <v>29026193.163636364</v>
      </c>
      <c r="D79" s="66">
        <f t="shared" si="15"/>
        <v>45202974.619771861</v>
      </c>
      <c r="E79" s="66">
        <f t="shared" si="15"/>
        <v>58378883.081510931</v>
      </c>
      <c r="F79" s="66">
        <f t="shared" si="15"/>
        <v>79780515.534074068</v>
      </c>
      <c r="G79" s="66">
        <f t="shared" si="15"/>
        <v>78142561.507692307</v>
      </c>
    </row>
    <row r="80" spans="1:7" x14ac:dyDescent="0.3">
      <c r="A80" t="s">
        <v>211</v>
      </c>
      <c r="B80" s="66">
        <f t="shared" ref="B80:G89" si="16">B30/B$2</f>
        <v>149756889.88311687</v>
      </c>
      <c r="C80" s="66">
        <f t="shared" si="16"/>
        <v>37085261.43030303</v>
      </c>
      <c r="D80" s="66">
        <f t="shared" si="16"/>
        <v>43493219.737642586</v>
      </c>
      <c r="E80" s="66">
        <f t="shared" si="16"/>
        <v>90522732.970178932</v>
      </c>
      <c r="F80" s="66">
        <f t="shared" si="16"/>
        <v>61746976.114074074</v>
      </c>
      <c r="G80" s="66">
        <f t="shared" si="16"/>
        <v>303070813.4748252</v>
      </c>
    </row>
    <row r="81" spans="1:7" x14ac:dyDescent="0.3">
      <c r="A81" t="s">
        <v>212</v>
      </c>
      <c r="B81" s="66">
        <f t="shared" si="16"/>
        <v>30361182.805194806</v>
      </c>
      <c r="C81" s="66">
        <f t="shared" si="16"/>
        <v>18122855.030303031</v>
      </c>
      <c r="D81" s="66">
        <f t="shared" si="16"/>
        <v>75116140.349809885</v>
      </c>
      <c r="E81" s="66">
        <f t="shared" si="16"/>
        <v>18868851.188866798</v>
      </c>
      <c r="F81" s="66">
        <f t="shared" si="16"/>
        <v>41715797.699259259</v>
      </c>
      <c r="G81" s="66">
        <f t="shared" si="16"/>
        <v>39321130.322377622</v>
      </c>
    </row>
    <row r="82" spans="1:7" x14ac:dyDescent="0.3">
      <c r="A82" s="18" t="s">
        <v>213</v>
      </c>
      <c r="B82" s="67">
        <f t="shared" si="16"/>
        <v>240057762.61038962</v>
      </c>
      <c r="C82" s="67">
        <f t="shared" si="16"/>
        <v>84234309.624242425</v>
      </c>
      <c r="D82" s="67">
        <f t="shared" si="16"/>
        <v>163812334.70722434</v>
      </c>
      <c r="E82" s="67">
        <f t="shared" si="16"/>
        <v>167770467.24055666</v>
      </c>
      <c r="F82" s="67">
        <f t="shared" si="16"/>
        <v>183243289.3474074</v>
      </c>
      <c r="G82" s="67">
        <f t="shared" si="16"/>
        <v>420534505.3048951</v>
      </c>
    </row>
    <row r="83" spans="1:7" x14ac:dyDescent="0.3">
      <c r="A83" t="s">
        <v>214</v>
      </c>
      <c r="B83" s="66">
        <f t="shared" si="16"/>
        <v>225429148.02597404</v>
      </c>
      <c r="C83" s="66">
        <f t="shared" si="16"/>
        <v>144310325.36363637</v>
      </c>
      <c r="D83" s="66">
        <f t="shared" si="16"/>
        <v>90500266.889733836</v>
      </c>
      <c r="E83" s="66">
        <f t="shared" si="16"/>
        <v>138392197.16898608</v>
      </c>
      <c r="F83" s="66">
        <f t="shared" si="16"/>
        <v>346755597.92666668</v>
      </c>
      <c r="G83" s="66">
        <f t="shared" si="16"/>
        <v>291882143</v>
      </c>
    </row>
    <row r="84" spans="1:7" x14ac:dyDescent="0.3">
      <c r="A84" t="s">
        <v>215</v>
      </c>
      <c r="B84" s="66">
        <f t="shared" si="16"/>
        <v>123278635.85714285</v>
      </c>
      <c r="C84" s="66">
        <f t="shared" si="16"/>
        <v>119591818.5030303</v>
      </c>
      <c r="D84" s="66">
        <f t="shared" si="16"/>
        <v>121736422.25095057</v>
      </c>
      <c r="E84" s="66">
        <f t="shared" si="16"/>
        <v>63601403.292246521</v>
      </c>
      <c r="F84" s="66">
        <f t="shared" si="16"/>
        <v>89095899.332592592</v>
      </c>
      <c r="G84" s="66">
        <f t="shared" si="16"/>
        <v>147305213.84545454</v>
      </c>
    </row>
    <row r="85" spans="1:7" x14ac:dyDescent="0.3">
      <c r="A85" s="18" t="s">
        <v>216</v>
      </c>
      <c r="B85" s="67">
        <f t="shared" si="16"/>
        <v>348707783.8831169</v>
      </c>
      <c r="C85" s="67">
        <f t="shared" si="16"/>
        <v>263902143.86666667</v>
      </c>
      <c r="D85" s="67">
        <f t="shared" si="16"/>
        <v>212236689.1406844</v>
      </c>
      <c r="E85" s="67">
        <f t="shared" si="16"/>
        <v>201993600.4612326</v>
      </c>
      <c r="F85" s="67">
        <f t="shared" si="16"/>
        <v>435851497.25925928</v>
      </c>
      <c r="G85" s="67">
        <f t="shared" si="16"/>
        <v>439187356.84545457</v>
      </c>
    </row>
    <row r="86" spans="1:7" ht="15" customHeight="1" thickBot="1" x14ac:dyDescent="0.35">
      <c r="A86" s="22" t="s">
        <v>217</v>
      </c>
      <c r="B86" s="68">
        <f t="shared" si="16"/>
        <v>588765546.49350655</v>
      </c>
      <c r="C86" s="68">
        <f t="shared" si="16"/>
        <v>348136453.4909091</v>
      </c>
      <c r="D86" s="68">
        <f t="shared" si="16"/>
        <v>376049023.84790874</v>
      </c>
      <c r="E86" s="68">
        <f t="shared" si="16"/>
        <v>369764067.70178926</v>
      </c>
      <c r="F86" s="68">
        <f t="shared" si="16"/>
        <v>619094786.60666668</v>
      </c>
      <c r="G86" s="68">
        <f t="shared" si="16"/>
        <v>859721862.15034962</v>
      </c>
    </row>
    <row r="89" spans="1:7" x14ac:dyDescent="0.3">
      <c r="A89" s="25" t="s">
        <v>218</v>
      </c>
      <c r="B89" s="24"/>
      <c r="C89" s="24"/>
      <c r="D89" s="24"/>
      <c r="E89" s="24"/>
      <c r="F89" s="24"/>
      <c r="G89" s="24"/>
    </row>
    <row r="90" spans="1:7" x14ac:dyDescent="0.3">
      <c r="A90" t="s">
        <v>199</v>
      </c>
      <c r="B90" s="66">
        <f t="shared" ref="B90:G102" si="17">B40/B$2</f>
        <v>-43941723.025974028</v>
      </c>
      <c r="C90" s="66">
        <f t="shared" si="17"/>
        <v>28130940.072727274</v>
      </c>
      <c r="D90" s="66">
        <f t="shared" si="17"/>
        <v>115534525.96197718</v>
      </c>
      <c r="E90" s="66">
        <f t="shared" si="17"/>
        <v>139011584.85685885</v>
      </c>
      <c r="F90" s="66">
        <f t="shared" si="17"/>
        <v>89740808.441481486</v>
      </c>
      <c r="G90" s="66">
        <f t="shared" si="17"/>
        <v>9171924.3657342661</v>
      </c>
    </row>
    <row r="91" spans="1:7" x14ac:dyDescent="0.3">
      <c r="A91" t="s">
        <v>219</v>
      </c>
      <c r="B91" s="66">
        <f t="shared" si="17"/>
        <v>68396336.870129868</v>
      </c>
      <c r="C91" s="66">
        <f t="shared" si="17"/>
        <v>48900579.43030303</v>
      </c>
      <c r="D91" s="66">
        <f t="shared" si="17"/>
        <v>46670862.39923954</v>
      </c>
      <c r="E91" s="66">
        <f t="shared" si="17"/>
        <v>41501035.373757452</v>
      </c>
      <c r="F91" s="66">
        <f t="shared" si="17"/>
        <v>52134739.943703704</v>
      </c>
      <c r="G91" s="66">
        <f t="shared" si="17"/>
        <v>70986659.56713286</v>
      </c>
    </row>
    <row r="92" spans="1:7" x14ac:dyDescent="0.3">
      <c r="A92" t="s">
        <v>220</v>
      </c>
      <c r="B92" s="66">
        <f t="shared" si="17"/>
        <v>0</v>
      </c>
      <c r="C92" s="66">
        <f t="shared" si="17"/>
        <v>-68386670.272727266</v>
      </c>
      <c r="D92" s="66">
        <f t="shared" si="17"/>
        <v>-139500849.04182509</v>
      </c>
      <c r="E92" s="66">
        <f t="shared" si="17"/>
        <v>-206400264.38568589</v>
      </c>
      <c r="F92" s="66">
        <f t="shared" si="17"/>
        <v>-443542484.39333332</v>
      </c>
      <c r="G92" s="66">
        <f t="shared" si="17"/>
        <v>-262286330.02237761</v>
      </c>
    </row>
    <row r="93" spans="1:7" x14ac:dyDescent="0.3">
      <c r="A93" t="s">
        <v>221</v>
      </c>
      <c r="B93" s="66">
        <f t="shared" si="17"/>
        <v>221264975.63636363</v>
      </c>
      <c r="C93" s="66">
        <f t="shared" si="17"/>
        <v>93732460.539393947</v>
      </c>
      <c r="D93" s="66">
        <f t="shared" si="17"/>
        <v>66536390.330798477</v>
      </c>
      <c r="E93" s="66">
        <f t="shared" si="17"/>
        <v>139478038.14711729</v>
      </c>
      <c r="F93" s="66">
        <f t="shared" si="17"/>
        <v>380857889.42370373</v>
      </c>
      <c r="G93" s="66">
        <f t="shared" si="17"/>
        <v>212863037.32937062</v>
      </c>
    </row>
    <row r="94" spans="1:7" x14ac:dyDescent="0.3">
      <c r="A94" s="18" t="s">
        <v>222</v>
      </c>
      <c r="B94" s="67">
        <f t="shared" si="17"/>
        <v>245719589.48051947</v>
      </c>
      <c r="C94" s="67">
        <f t="shared" si="17"/>
        <v>102377309.76969697</v>
      </c>
      <c r="D94" s="67">
        <f t="shared" si="17"/>
        <v>89240929.650190115</v>
      </c>
      <c r="E94" s="67">
        <f t="shared" si="17"/>
        <v>113590393.99204771</v>
      </c>
      <c r="F94" s="67">
        <f t="shared" si="17"/>
        <v>79190953.415555552</v>
      </c>
      <c r="G94" s="67">
        <f t="shared" si="17"/>
        <v>30735291.23986014</v>
      </c>
    </row>
    <row r="95" spans="1:7" x14ac:dyDescent="0.3">
      <c r="A95" t="s">
        <v>223</v>
      </c>
      <c r="B95" s="66">
        <f t="shared" si="17"/>
        <v>-103005947.90909091</v>
      </c>
      <c r="C95" s="66">
        <f t="shared" si="17"/>
        <v>-9426975.1575757582</v>
      </c>
      <c r="D95" s="66">
        <f t="shared" si="17"/>
        <v>-11107715.262357414</v>
      </c>
      <c r="E95" s="66">
        <f t="shared" si="17"/>
        <v>-65887783.200795226</v>
      </c>
      <c r="F95" s="66">
        <f t="shared" si="17"/>
        <v>-25587555.722962964</v>
      </c>
      <c r="G95" s="66">
        <f t="shared" si="17"/>
        <v>-243931116.35734266</v>
      </c>
    </row>
    <row r="96" spans="1:7" x14ac:dyDescent="0.3">
      <c r="A96" t="s">
        <v>224</v>
      </c>
      <c r="B96" s="66">
        <f t="shared" si="17"/>
        <v>855045.93506493501</v>
      </c>
      <c r="C96" s="66">
        <f t="shared" si="17"/>
        <v>0</v>
      </c>
      <c r="D96" s="66">
        <f t="shared" si="17"/>
        <v>0</v>
      </c>
      <c r="E96" s="66">
        <f t="shared" si="17"/>
        <v>-20250.459244532802</v>
      </c>
      <c r="F96" s="66">
        <f t="shared" si="17"/>
        <v>-1047.5577777777778</v>
      </c>
      <c r="G96" s="66">
        <f t="shared" si="17"/>
        <v>-90352.109090909085</v>
      </c>
    </row>
    <row r="97" spans="1:7" x14ac:dyDescent="0.3">
      <c r="A97" s="18" t="s">
        <v>225</v>
      </c>
      <c r="B97" s="67">
        <f t="shared" si="17"/>
        <v>-102150901.97402598</v>
      </c>
      <c r="C97" s="67">
        <f t="shared" si="17"/>
        <v>-9426975.1575757582</v>
      </c>
      <c r="D97" s="67">
        <f t="shared" si="17"/>
        <v>-11107715.262357414</v>
      </c>
      <c r="E97" s="67">
        <f t="shared" si="17"/>
        <v>-65908033.66003976</v>
      </c>
      <c r="F97" s="67">
        <f t="shared" si="17"/>
        <v>-25588603.280740742</v>
      </c>
      <c r="G97" s="67">
        <f t="shared" si="17"/>
        <v>-244021468.46643355</v>
      </c>
    </row>
    <row r="98" spans="1:7" x14ac:dyDescent="0.3">
      <c r="A98" t="s">
        <v>226</v>
      </c>
      <c r="B98" s="66">
        <f t="shared" si="17"/>
        <v>-126139778.45454545</v>
      </c>
      <c r="C98" s="66">
        <f t="shared" si="17"/>
        <v>-43510831.769696973</v>
      </c>
      <c r="D98" s="66">
        <f t="shared" si="17"/>
        <v>-15804619.155893536</v>
      </c>
      <c r="E98" s="66">
        <f t="shared" si="17"/>
        <v>39788927.288270377</v>
      </c>
      <c r="F98" s="66">
        <f t="shared" si="17"/>
        <v>93398954.603703707</v>
      </c>
      <c r="G98" s="66">
        <f t="shared" si="17"/>
        <v>26589401.572027974</v>
      </c>
    </row>
    <row r="99" spans="1:7" x14ac:dyDescent="0.3">
      <c r="A99" t="s">
        <v>227</v>
      </c>
      <c r="B99" s="66">
        <f t="shared" si="17"/>
        <v>-71677095.584415585</v>
      </c>
      <c r="C99" s="66">
        <f t="shared" si="17"/>
        <v>-1606573.8</v>
      </c>
      <c r="D99" s="66">
        <f t="shared" si="17"/>
        <v>-18566479.821292777</v>
      </c>
      <c r="E99" s="66">
        <f t="shared" si="17"/>
        <v>-110543879.69383697</v>
      </c>
      <c r="F99" s="66">
        <f t="shared" si="17"/>
        <v>-2321242.394074074</v>
      </c>
      <c r="G99" s="66">
        <f t="shared" si="17"/>
        <v>-6335254.0538461534</v>
      </c>
    </row>
    <row r="100" spans="1:7" x14ac:dyDescent="0.3">
      <c r="A100" t="s">
        <v>228</v>
      </c>
      <c r="B100" s="66">
        <f t="shared" si="17"/>
        <v>0</v>
      </c>
      <c r="C100" s="66">
        <f t="shared" si="17"/>
        <v>0</v>
      </c>
      <c r="D100" s="66">
        <f t="shared" si="17"/>
        <v>0</v>
      </c>
      <c r="E100" s="66">
        <f t="shared" si="17"/>
        <v>0</v>
      </c>
      <c r="F100" s="66">
        <f t="shared" si="17"/>
        <v>0</v>
      </c>
      <c r="G100" s="66">
        <f t="shared" si="17"/>
        <v>0</v>
      </c>
    </row>
    <row r="101" spans="1:7" x14ac:dyDescent="0.3">
      <c r="A101" s="18" t="s">
        <v>229</v>
      </c>
      <c r="B101" s="67">
        <f t="shared" si="17"/>
        <v>-197816874.03896105</v>
      </c>
      <c r="C101" s="67">
        <f t="shared" si="17"/>
        <v>-45117405.56969697</v>
      </c>
      <c r="D101" s="67">
        <f t="shared" si="17"/>
        <v>-34371098.977186315</v>
      </c>
      <c r="E101" s="67">
        <f t="shared" si="17"/>
        <v>-70754952.405566603</v>
      </c>
      <c r="F101" s="67">
        <f t="shared" si="17"/>
        <v>91077712.209629625</v>
      </c>
      <c r="G101" s="67">
        <f t="shared" si="17"/>
        <v>20254147.518181819</v>
      </c>
    </row>
    <row r="102" spans="1:7" ht="15" customHeight="1" thickBot="1" x14ac:dyDescent="0.35">
      <c r="A102" s="22" t="s">
        <v>230</v>
      </c>
      <c r="B102" s="68">
        <f t="shared" si="17"/>
        <v>-54248186.532467529</v>
      </c>
      <c r="C102" s="68">
        <f t="shared" si="17"/>
        <v>47832929.042424239</v>
      </c>
      <c r="D102" s="68">
        <f t="shared" si="17"/>
        <v>43762115.410646386</v>
      </c>
      <c r="E102" s="68">
        <f t="shared" si="17"/>
        <v>-23072592.073558647</v>
      </c>
      <c r="F102" s="68">
        <f t="shared" si="17"/>
        <v>144680062.34444445</v>
      </c>
      <c r="G102" s="68">
        <f t="shared" si="17"/>
        <v>-193032029.70839161</v>
      </c>
    </row>
    <row r="104" spans="1:7" x14ac:dyDescent="0.3">
      <c r="A104" s="55" t="s">
        <v>233</v>
      </c>
    </row>
    <row r="105" spans="1:7" x14ac:dyDescent="0.3">
      <c r="A105" s="55" t="s">
        <v>234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3"/>
  <sheetViews>
    <sheetView showGridLines="0" zoomScale="102" zoomScaleNormal="130" workbookViewId="0">
      <selection sqref="A1:G25"/>
    </sheetView>
  </sheetViews>
  <sheetFormatPr baseColWidth="10" defaultRowHeight="14.4" x14ac:dyDescent="0.3"/>
  <cols>
    <col min="1" max="1" width="30" bestFit="1" customWidth="1"/>
  </cols>
  <sheetData>
    <row r="1" spans="1:7" x14ac:dyDescent="0.3">
      <c r="A1" s="45" t="s">
        <v>235</v>
      </c>
      <c r="B1" s="69">
        <v>2025</v>
      </c>
      <c r="C1" s="69">
        <v>2024</v>
      </c>
      <c r="D1" s="69">
        <v>2023</v>
      </c>
      <c r="E1" s="69">
        <v>2022</v>
      </c>
      <c r="F1" s="69">
        <v>2021</v>
      </c>
      <c r="G1" s="69">
        <v>2020</v>
      </c>
    </row>
    <row r="2" spans="1:7" x14ac:dyDescent="0.3">
      <c r="A2" s="1" t="s">
        <v>236</v>
      </c>
      <c r="B2" s="5"/>
      <c r="C2" s="5"/>
      <c r="D2" s="5"/>
      <c r="E2" s="5"/>
      <c r="F2" s="5"/>
      <c r="G2" s="5"/>
    </row>
    <row r="3" spans="1:7" x14ac:dyDescent="0.3">
      <c r="A3" s="3" t="s">
        <v>237</v>
      </c>
      <c r="B3" s="70">
        <v>2.4447141358880198</v>
      </c>
      <c r="C3" s="70">
        <v>4.9271260771517076</v>
      </c>
      <c r="D3" s="70">
        <v>2.9212413314595329</v>
      </c>
      <c r="E3" s="70">
        <v>2.923537305420274</v>
      </c>
      <c r="F3" s="70">
        <v>3.776745032967308</v>
      </c>
      <c r="G3" s="70">
        <v>1.8936814896683489</v>
      </c>
    </row>
    <row r="4" spans="1:7" x14ac:dyDescent="0.3">
      <c r="A4" s="3" t="s">
        <v>238</v>
      </c>
      <c r="B4" s="70">
        <v>0.54560476876973796</v>
      </c>
      <c r="C4" s="70">
        <v>1.869243109670101</v>
      </c>
      <c r="D4" s="70">
        <v>0.76699830684515347</v>
      </c>
      <c r="E4" s="70">
        <v>1.1355319928415979</v>
      </c>
      <c r="F4" s="70">
        <v>1.151979110262912</v>
      </c>
      <c r="G4" s="70">
        <v>0.53318469947052416</v>
      </c>
    </row>
    <row r="5" spans="1:7" x14ac:dyDescent="0.3">
      <c r="A5" s="3" t="s">
        <v>239</v>
      </c>
      <c r="B5" s="70">
        <v>0.16453864507247479</v>
      </c>
      <c r="C5" s="70">
        <v>1.076578023499535</v>
      </c>
      <c r="D5" s="70">
        <v>0.35186089726110409</v>
      </c>
      <c r="E5" s="70">
        <v>0.4679654731008841</v>
      </c>
      <c r="F5" s="70">
        <v>0.52184288695708358</v>
      </c>
      <c r="G5" s="70">
        <v>9.9509007234785313E-2</v>
      </c>
    </row>
    <row r="6" spans="1:7" x14ac:dyDescent="0.3">
      <c r="A6" s="3" t="s">
        <v>240</v>
      </c>
      <c r="B6" s="71">
        <v>607.55214444265732</v>
      </c>
      <c r="C6" s="71">
        <v>719.61950005925928</v>
      </c>
      <c r="D6" s="71">
        <v>322.32755586083499</v>
      </c>
      <c r="E6" s="71">
        <v>315.09913689733838</v>
      </c>
      <c r="F6" s="71">
        <v>233.89720085454539</v>
      </c>
      <c r="G6" s="71">
        <v>214.5351788961039</v>
      </c>
    </row>
    <row r="7" spans="1:7" x14ac:dyDescent="0.3">
      <c r="A7" s="3" t="s">
        <v>241</v>
      </c>
      <c r="B7" s="70">
        <v>0.30855296220717399</v>
      </c>
      <c r="C7" s="70">
        <v>0.49305829520655142</v>
      </c>
      <c r="D7" s="70">
        <v>0.35326846701981729</v>
      </c>
      <c r="E7" s="70">
        <v>0.3784722761840511</v>
      </c>
      <c r="F7" s="70">
        <v>0.33509114717265481</v>
      </c>
      <c r="G7" s="70">
        <v>0.20392788161226821</v>
      </c>
    </row>
    <row r="8" spans="1:7" x14ac:dyDescent="0.3">
      <c r="A8" s="1" t="s">
        <v>242</v>
      </c>
      <c r="B8" s="5"/>
      <c r="C8" s="5"/>
      <c r="D8" s="5"/>
      <c r="E8" s="5"/>
      <c r="F8" s="5"/>
      <c r="G8" s="5"/>
    </row>
    <row r="9" spans="1:7" x14ac:dyDescent="0.3">
      <c r="A9" s="3" t="s">
        <v>243</v>
      </c>
      <c r="B9" s="70">
        <v>0.53632464850199901</v>
      </c>
      <c r="C9" s="70">
        <v>0.48607702846938788</v>
      </c>
      <c r="D9" s="70">
        <v>0.42184540395396242</v>
      </c>
      <c r="E9" s="70">
        <v>0.29351942038413598</v>
      </c>
      <c r="F9" s="70">
        <v>0.51845940899391529</v>
      </c>
      <c r="G9" s="70">
        <v>0.80990075790704519</v>
      </c>
    </row>
    <row r="10" spans="1:7" x14ac:dyDescent="0.3">
      <c r="A10" s="3" t="s">
        <v>244</v>
      </c>
      <c r="B10" s="70">
        <v>0.43662051013597419</v>
      </c>
      <c r="C10" s="70">
        <v>0.42418225191286518</v>
      </c>
      <c r="D10" s="70">
        <v>0.40525851104216742</v>
      </c>
      <c r="E10" s="70">
        <v>0.45168048193949439</v>
      </c>
      <c r="F10" s="70">
        <v>0.49875519307917898</v>
      </c>
      <c r="G10" s="70">
        <v>0.55965511707921889</v>
      </c>
    </row>
    <row r="11" spans="1:7" x14ac:dyDescent="0.3">
      <c r="A11" s="3" t="s">
        <v>245</v>
      </c>
      <c r="B11" s="70">
        <v>0.77500249475065996</v>
      </c>
      <c r="C11" s="70">
        <v>0.73666060714869874</v>
      </c>
      <c r="D11" s="70">
        <v>0.68140279191267328</v>
      </c>
      <c r="E11" s="70">
        <v>0.82375415622110448</v>
      </c>
      <c r="F11" s="70">
        <v>0.99503313788538594</v>
      </c>
      <c r="G11" s="70">
        <v>1.2709472479095481</v>
      </c>
    </row>
    <row r="12" spans="1:7" x14ac:dyDescent="0.3">
      <c r="A12" s="3" t="s">
        <v>246</v>
      </c>
      <c r="B12" s="70">
        <v>3.5254155330154551</v>
      </c>
      <c r="C12" s="70">
        <v>11.631354321343309</v>
      </c>
      <c r="D12" s="70">
        <v>3.8669619111215598</v>
      </c>
      <c r="E12" s="70">
        <v>28.35126286039176</v>
      </c>
      <c r="F12" s="70">
        <v>4.1196120699236412</v>
      </c>
      <c r="G12" s="70">
        <v>1.8116946138847709</v>
      </c>
    </row>
    <row r="13" spans="1:7" x14ac:dyDescent="0.3">
      <c r="A13" s="3" t="s">
        <v>247</v>
      </c>
      <c r="B13" s="70">
        <v>6.2377182008136707</v>
      </c>
      <c r="C13" s="70">
        <v>15.605983039926789</v>
      </c>
      <c r="D13" s="70">
        <v>6.4568453253796498</v>
      </c>
      <c r="E13" s="70">
        <v>36.511940365619758</v>
      </c>
      <c r="F13" s="70">
        <v>7.4044586135637722</v>
      </c>
      <c r="G13" s="70">
        <v>4.387899087499548</v>
      </c>
    </row>
    <row r="14" spans="1:7" x14ac:dyDescent="0.3">
      <c r="A14" s="3" t="s">
        <v>248</v>
      </c>
      <c r="B14" s="70">
        <v>19.489189905387999</v>
      </c>
      <c r="C14" s="70">
        <v>13.982706926689611</v>
      </c>
      <c r="D14" s="70">
        <v>21.06895358806235</v>
      </c>
      <c r="E14" s="70">
        <v>9.1022796483137114</v>
      </c>
      <c r="F14" s="70">
        <v>22.965285173283888</v>
      </c>
      <c r="G14" s="70">
        <v>21.398615124489471</v>
      </c>
    </row>
    <row r="15" spans="1:7" x14ac:dyDescent="0.3">
      <c r="A15" s="3" t="s">
        <v>249</v>
      </c>
      <c r="B15" s="72">
        <v>18.728331027196351</v>
      </c>
      <c r="C15" s="72">
        <v>26.103672337099709</v>
      </c>
      <c r="D15" s="72">
        <v>17.324068728634369</v>
      </c>
      <c r="E15" s="72">
        <v>40.099844665574508</v>
      </c>
      <c r="F15" s="72">
        <v>15.89355399882488</v>
      </c>
      <c r="G15" s="72">
        <v>17.05717860135158</v>
      </c>
    </row>
    <row r="16" spans="1:7" x14ac:dyDescent="0.3">
      <c r="A16" s="3" t="s">
        <v>250</v>
      </c>
      <c r="B16" s="70">
        <v>1.165159169408799</v>
      </c>
      <c r="C16" s="70">
        <v>1.327722471909708</v>
      </c>
      <c r="D16" s="70">
        <v>1.4831528059337671</v>
      </c>
      <c r="E16" s="70">
        <v>1.5305099522247221</v>
      </c>
      <c r="F16" s="70">
        <v>1.874232927107141</v>
      </c>
      <c r="G16" s="70">
        <v>2.1775200123312488</v>
      </c>
    </row>
    <row r="17" spans="1:7" x14ac:dyDescent="0.3">
      <c r="A17" s="3" t="s">
        <v>251</v>
      </c>
      <c r="B17" s="72">
        <v>313.26192127484228</v>
      </c>
      <c r="C17" s="72">
        <v>274.90684817212463</v>
      </c>
      <c r="D17" s="72">
        <v>246.09736673100409</v>
      </c>
      <c r="E17" s="72">
        <v>238.48260474846469</v>
      </c>
      <c r="F17" s="72">
        <v>194.74633847318731</v>
      </c>
      <c r="G17" s="72">
        <v>167.6218808245219</v>
      </c>
    </row>
    <row r="18" spans="1:7" x14ac:dyDescent="0.3">
      <c r="A18" s="3" t="s">
        <v>252</v>
      </c>
      <c r="B18" s="72">
        <v>30.650928756158649</v>
      </c>
      <c r="C18" s="72">
        <v>39.141138875794269</v>
      </c>
      <c r="D18" s="72">
        <v>39.751410103198573</v>
      </c>
      <c r="E18" s="72">
        <v>36.805126642647913</v>
      </c>
      <c r="F18" s="72">
        <v>25.56700064213037</v>
      </c>
      <c r="G18" s="72">
        <v>34.921119976924913</v>
      </c>
    </row>
    <row r="19" spans="1:7" x14ac:dyDescent="0.3">
      <c r="A19" s="3" t="s">
        <v>253</v>
      </c>
      <c r="B19" s="70">
        <v>0.55488849613704638</v>
      </c>
      <c r="C19" s="70">
        <v>0.62751069764770306</v>
      </c>
      <c r="D19" s="70">
        <v>0.70992499596044623</v>
      </c>
      <c r="E19" s="70">
        <v>0.78640079249723227</v>
      </c>
      <c r="F19" s="70">
        <v>0.73566634951870646</v>
      </c>
      <c r="G19" s="70">
        <v>0.78278168149392235</v>
      </c>
    </row>
    <row r="20" spans="1:7" x14ac:dyDescent="0.3">
      <c r="A20" s="1" t="s">
        <v>254</v>
      </c>
      <c r="B20" s="5"/>
      <c r="C20" s="5"/>
      <c r="D20" s="5"/>
      <c r="E20" s="5"/>
      <c r="F20" s="5"/>
      <c r="G20" s="5"/>
    </row>
    <row r="21" spans="1:7" x14ac:dyDescent="0.3">
      <c r="A21" s="3" t="s">
        <v>255</v>
      </c>
      <c r="B21" s="73">
        <v>8.3946173699024212E-3</v>
      </c>
      <c r="C21" s="73">
        <v>9.7986036323216855E-2</v>
      </c>
      <c r="D21" s="73">
        <v>0.21460802892302411</v>
      </c>
      <c r="E21" s="73">
        <v>0.17646342441690971</v>
      </c>
      <c r="F21" s="73">
        <v>5.4782428952905117E-2</v>
      </c>
      <c r="G21" s="73">
        <v>-5.3359840104943643E-2</v>
      </c>
    </row>
    <row r="22" spans="1:7" x14ac:dyDescent="0.3">
      <c r="A22" s="3" t="s">
        <v>256</v>
      </c>
      <c r="B22" s="73">
        <v>4.6580766080310827E-3</v>
      </c>
      <c r="C22" s="73">
        <v>6.1487286012914977E-2</v>
      </c>
      <c r="D22" s="73">
        <v>0.1523556040662572</v>
      </c>
      <c r="E22" s="73">
        <v>0.13877097680823319</v>
      </c>
      <c r="F22" s="73">
        <v>4.0301589525551601E-2</v>
      </c>
      <c r="G22" s="73">
        <v>-4.1769105361594609E-2</v>
      </c>
    </row>
    <row r="23" spans="1:7" x14ac:dyDescent="0.3">
      <c r="A23" s="3" t="s">
        <v>257</v>
      </c>
      <c r="B23" s="73">
        <v>8.2680975999948631E-3</v>
      </c>
      <c r="C23" s="73">
        <v>0.1067825474591146</v>
      </c>
      <c r="D23" s="73">
        <v>0.2561711380405467</v>
      </c>
      <c r="E23" s="73">
        <v>0.25308414571687782</v>
      </c>
      <c r="F23" s="73">
        <v>8.0403006612930011E-2</v>
      </c>
      <c r="G23" s="73">
        <v>-9.4855434868557242E-2</v>
      </c>
    </row>
    <row r="24" spans="1:7" x14ac:dyDescent="0.3">
      <c r="A24" s="3" t="s">
        <v>258</v>
      </c>
      <c r="B24" s="73">
        <v>3.5190415173949427E-2</v>
      </c>
      <c r="C24" s="73">
        <v>7.9404161951090749E-2</v>
      </c>
      <c r="D24" s="73">
        <v>5.2202198380018598E-2</v>
      </c>
      <c r="E24" s="73">
        <v>0.1784783635420347</v>
      </c>
      <c r="F24" s="73">
        <v>7.5033197607682331E-2</v>
      </c>
      <c r="G24" s="73">
        <v>3.7289043003366343E-2</v>
      </c>
    </row>
    <row r="25" spans="1:7" x14ac:dyDescent="0.3">
      <c r="A25" s="3" t="s">
        <v>259</v>
      </c>
      <c r="B25" s="73">
        <v>8.2680975999948614E-3</v>
      </c>
      <c r="C25" s="73">
        <v>0.1067825474591146</v>
      </c>
      <c r="D25" s="73">
        <v>0.2561711380405467</v>
      </c>
      <c r="E25" s="73">
        <v>0.25308414571687782</v>
      </c>
      <c r="F25" s="73">
        <v>8.0403006612930011E-2</v>
      </c>
      <c r="G25" s="73">
        <v>-9.4855434868557256E-2</v>
      </c>
    </row>
    <row r="27" spans="1:7" x14ac:dyDescent="0.3">
      <c r="A27" s="47" t="s">
        <v>260</v>
      </c>
    </row>
    <row r="28" spans="1:7" x14ac:dyDescent="0.3">
      <c r="A28" s="55" t="s">
        <v>261</v>
      </c>
    </row>
    <row r="29" spans="1:7" x14ac:dyDescent="0.3">
      <c r="A29" s="55" t="s">
        <v>262</v>
      </c>
    </row>
    <row r="30" spans="1:7" x14ac:dyDescent="0.3">
      <c r="A30" s="55" t="s">
        <v>263</v>
      </c>
    </row>
    <row r="31" spans="1:7" x14ac:dyDescent="0.3">
      <c r="A31" s="55" t="s">
        <v>264</v>
      </c>
    </row>
    <row r="32" spans="1:7" x14ac:dyDescent="0.3">
      <c r="A32" s="55" t="s">
        <v>265</v>
      </c>
    </row>
    <row r="33" spans="1:1" x14ac:dyDescent="0.3">
      <c r="A33" s="55" t="s">
        <v>266</v>
      </c>
    </row>
    <row r="34" spans="1:1" x14ac:dyDescent="0.3">
      <c r="A34" s="55" t="s">
        <v>267</v>
      </c>
    </row>
    <row r="35" spans="1:1" x14ac:dyDescent="0.3">
      <c r="A35" s="55" t="s">
        <v>268</v>
      </c>
    </row>
    <row r="36" spans="1:1" x14ac:dyDescent="0.3">
      <c r="A36" s="55" t="s">
        <v>269</v>
      </c>
    </row>
    <row r="37" spans="1:1" x14ac:dyDescent="0.3">
      <c r="A37" s="55" t="s">
        <v>270</v>
      </c>
    </row>
    <row r="38" spans="1:1" x14ac:dyDescent="0.3">
      <c r="A38" s="55" t="s">
        <v>271</v>
      </c>
    </row>
    <row r="39" spans="1:1" x14ac:dyDescent="0.3">
      <c r="A39" s="55" t="s">
        <v>272</v>
      </c>
    </row>
    <row r="40" spans="1:1" x14ac:dyDescent="0.3">
      <c r="A40" s="55" t="s">
        <v>273</v>
      </c>
    </row>
    <row r="41" spans="1:1" x14ac:dyDescent="0.3">
      <c r="A41" s="55" t="s">
        <v>274</v>
      </c>
    </row>
    <row r="43" spans="1:1" x14ac:dyDescent="0.3">
      <c r="A43" s="55" t="s">
        <v>56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5"/>
  <sheetViews>
    <sheetView showGridLines="0" zoomScale="71" workbookViewId="0">
      <pane ySplit="1" topLeftCell="A2" activePane="bottomLeft" state="frozen"/>
      <selection pane="bottomLeft" sqref="A1:L18"/>
    </sheetView>
  </sheetViews>
  <sheetFormatPr baseColWidth="10" defaultRowHeight="14.4" x14ac:dyDescent="0.3"/>
  <cols>
    <col min="1" max="1" width="16.88671875" customWidth="1"/>
  </cols>
  <sheetData>
    <row r="1" spans="1:12" x14ac:dyDescent="0.3">
      <c r="A1" s="39" t="s">
        <v>275</v>
      </c>
      <c r="B1" s="40">
        <v>2020</v>
      </c>
      <c r="C1" s="40">
        <v>2021</v>
      </c>
      <c r="D1" s="40">
        <v>2022</v>
      </c>
      <c r="E1" s="40">
        <v>2023</v>
      </c>
      <c r="F1" s="40">
        <v>2024</v>
      </c>
      <c r="G1" s="40">
        <v>2025</v>
      </c>
      <c r="H1" s="40" t="s">
        <v>156</v>
      </c>
      <c r="I1" s="40" t="s">
        <v>157</v>
      </c>
      <c r="J1" s="40" t="s">
        <v>158</v>
      </c>
      <c r="K1" s="40" t="s">
        <v>159</v>
      </c>
      <c r="L1" s="40" t="s">
        <v>160</v>
      </c>
    </row>
    <row r="2" spans="1:12" x14ac:dyDescent="0.3">
      <c r="A2" s="43" t="s">
        <v>276</v>
      </c>
      <c r="B2" s="74">
        <v>-9.9</v>
      </c>
      <c r="C2" s="74">
        <v>10.3</v>
      </c>
      <c r="D2" s="74">
        <v>5.2</v>
      </c>
      <c r="E2" s="74">
        <v>-1.6</v>
      </c>
      <c r="F2" s="74">
        <v>-3.5</v>
      </c>
      <c r="G2" s="74">
        <v>4.4000000000000004</v>
      </c>
      <c r="H2" s="74">
        <v>3.5</v>
      </c>
      <c r="I2" s="74">
        <v>4</v>
      </c>
      <c r="J2" s="74">
        <v>3.5</v>
      </c>
      <c r="K2" s="74">
        <v>3</v>
      </c>
      <c r="L2" s="74">
        <v>2.5</v>
      </c>
    </row>
    <row r="3" spans="1:12" x14ac:dyDescent="0.3">
      <c r="A3" s="43" t="s">
        <v>277</v>
      </c>
      <c r="B3" s="75">
        <v>77</v>
      </c>
      <c r="C3" s="75">
        <v>165</v>
      </c>
      <c r="D3" s="75">
        <v>263</v>
      </c>
      <c r="E3" s="75">
        <v>503</v>
      </c>
      <c r="F3" s="75">
        <v>1350</v>
      </c>
      <c r="G3" s="75">
        <v>1430</v>
      </c>
      <c r="H3" s="75">
        <v>1584.2472100225441</v>
      </c>
      <c r="I3" s="75">
        <v>1862.2670635461091</v>
      </c>
      <c r="J3" s="75">
        <v>2079.5315542931539</v>
      </c>
      <c r="K3" s="75">
        <v>2181.469375582034</v>
      </c>
      <c r="L3" s="75">
        <v>2245.6302395697421</v>
      </c>
    </row>
    <row r="4" spans="1:12" x14ac:dyDescent="0.3">
      <c r="A4" s="43" t="s">
        <v>278</v>
      </c>
      <c r="B4" s="74">
        <v>36.1</v>
      </c>
      <c r="C4" s="74">
        <v>50.9</v>
      </c>
      <c r="D4" s="74">
        <v>94.8</v>
      </c>
      <c r="E4" s="74">
        <v>211.4</v>
      </c>
      <c r="F4" s="74">
        <v>120</v>
      </c>
      <c r="G4" s="74">
        <v>31.5</v>
      </c>
      <c r="H4" s="74">
        <v>30.5</v>
      </c>
      <c r="I4" s="74">
        <v>19.899999999999999</v>
      </c>
      <c r="J4" s="74">
        <v>13.9</v>
      </c>
      <c r="K4" s="74">
        <v>7</v>
      </c>
      <c r="L4" s="74">
        <v>5</v>
      </c>
    </row>
    <row r="5" spans="1:12" x14ac:dyDescent="0.3">
      <c r="A5" s="43" t="s">
        <v>279</v>
      </c>
      <c r="B5" s="74">
        <v>36.1</v>
      </c>
      <c r="C5" s="74">
        <v>50.9</v>
      </c>
      <c r="D5" s="74">
        <v>94.8</v>
      </c>
      <c r="E5" s="74">
        <v>211.4</v>
      </c>
      <c r="F5" s="74">
        <v>120</v>
      </c>
      <c r="G5" s="74">
        <v>31.5</v>
      </c>
      <c r="H5" s="74">
        <v>30.5</v>
      </c>
      <c r="I5" s="74">
        <v>19.899999999999999</v>
      </c>
      <c r="J5" s="74">
        <v>13.9</v>
      </c>
      <c r="K5" s="74">
        <v>7</v>
      </c>
      <c r="L5" s="74">
        <v>5</v>
      </c>
    </row>
    <row r="7" spans="1:12" ht="15.6" customHeight="1" x14ac:dyDescent="0.3">
      <c r="A7" s="38" t="s">
        <v>280</v>
      </c>
    </row>
    <row r="8" spans="1:12" x14ac:dyDescent="0.3">
      <c r="A8" s="37" t="s">
        <v>281</v>
      </c>
      <c r="B8" s="66">
        <f t="shared" ref="B8:L8" si="0">B9*B10</f>
        <v>823498026.59740257</v>
      </c>
      <c r="C8" s="66">
        <f t="shared" si="0"/>
        <v>513502971.85454541</v>
      </c>
      <c r="D8" s="66">
        <f t="shared" si="0"/>
        <v>654722225.54752839</v>
      </c>
      <c r="E8" s="66">
        <f t="shared" si="0"/>
        <v>647746431.27037764</v>
      </c>
      <c r="F8" s="66">
        <f t="shared" si="0"/>
        <v>915853031.80814791</v>
      </c>
      <c r="G8" s="66">
        <f t="shared" si="0"/>
        <v>1092595881.5727272</v>
      </c>
      <c r="H8" s="66">
        <f t="shared" si="0"/>
        <v>1591424177.486449</v>
      </c>
      <c r="I8" s="66">
        <f t="shared" si="0"/>
        <v>1543033813.1148367</v>
      </c>
      <c r="J8" s="66">
        <f t="shared" si="0"/>
        <v>1494643448.7432246</v>
      </c>
      <c r="K8" s="66">
        <f t="shared" si="0"/>
        <v>1446253084.3716123</v>
      </c>
      <c r="L8" s="66">
        <f t="shared" si="0"/>
        <v>1397862720</v>
      </c>
    </row>
    <row r="9" spans="1:12" x14ac:dyDescent="0.3">
      <c r="A9" t="s">
        <v>282</v>
      </c>
      <c r="B9" s="76">
        <v>2113.1805987164421</v>
      </c>
      <c r="C9" s="76">
        <v>1696.2127664609161</v>
      </c>
      <c r="D9" s="76">
        <v>1840.0532452005621</v>
      </c>
      <c r="E9" s="76">
        <v>1528.7530622912841</v>
      </c>
      <c r="F9" s="76">
        <v>2065.4068485271418</v>
      </c>
      <c r="G9" s="76">
        <v>2469.4948242862311</v>
      </c>
      <c r="H9" s="54">
        <v>3680.4444437706961</v>
      </c>
      <c r="I9" s="54">
        <v>3568.5333328280221</v>
      </c>
      <c r="J9" s="54">
        <v>3456.6222218853482</v>
      </c>
      <c r="K9" s="54">
        <v>3344.7111109426742</v>
      </c>
      <c r="L9" s="54">
        <v>3232.8</v>
      </c>
    </row>
    <row r="10" spans="1:12" x14ac:dyDescent="0.3">
      <c r="A10" t="s">
        <v>283</v>
      </c>
      <c r="B10" s="76">
        <v>389696</v>
      </c>
      <c r="C10" s="76">
        <v>302735</v>
      </c>
      <c r="D10" s="76">
        <v>355817</v>
      </c>
      <c r="E10" s="76">
        <v>423709</v>
      </c>
      <c r="F10" s="76">
        <v>443425</v>
      </c>
      <c r="G10" s="76">
        <v>442437</v>
      </c>
      <c r="H10" s="54">
        <v>432400</v>
      </c>
      <c r="I10" s="54">
        <v>432400</v>
      </c>
      <c r="J10" s="54">
        <v>432400</v>
      </c>
      <c r="K10" s="54">
        <v>432400</v>
      </c>
      <c r="L10" s="54">
        <v>432400</v>
      </c>
    </row>
    <row r="12" spans="1:12" x14ac:dyDescent="0.3">
      <c r="A12" s="37" t="s">
        <v>284</v>
      </c>
      <c r="B12" s="54">
        <v>-711173279.22077918</v>
      </c>
      <c r="C12" s="54">
        <v>-414384176.42424238</v>
      </c>
      <c r="D12" s="54">
        <v>-448282270.46768057</v>
      </c>
      <c r="E12" s="54">
        <v>-536038652.9542743</v>
      </c>
      <c r="F12" s="54">
        <v>-743971407.2281481</v>
      </c>
      <c r="G12" s="54">
        <v>-930543905.44615388</v>
      </c>
      <c r="H12" s="54">
        <v>-1196402036.523519</v>
      </c>
      <c r="I12" s="54">
        <v>-1169155385.6064489</v>
      </c>
      <c r="J12" s="54">
        <v>-1141908734.6893799</v>
      </c>
      <c r="K12" s="54">
        <v>-1114662083.77231</v>
      </c>
      <c r="L12" s="54">
        <v>-1087415432.8552411</v>
      </c>
    </row>
    <row r="13" spans="1:12" x14ac:dyDescent="0.3">
      <c r="B13" s="41"/>
      <c r="C13" s="41"/>
      <c r="D13" s="41"/>
      <c r="E13" s="41"/>
      <c r="F13" s="41"/>
      <c r="G13" s="41"/>
    </row>
    <row r="14" spans="1:12" x14ac:dyDescent="0.3">
      <c r="B14" s="41"/>
      <c r="C14" s="41"/>
      <c r="D14" s="41"/>
      <c r="E14" s="41"/>
      <c r="F14" s="41"/>
      <c r="G14" s="41"/>
    </row>
    <row r="15" spans="1:12" x14ac:dyDescent="0.3">
      <c r="A15" s="37" t="s">
        <v>285</v>
      </c>
      <c r="B15" s="54">
        <v>-63833748.415584423</v>
      </c>
      <c r="C15" s="54">
        <v>-37817574.793939397</v>
      </c>
      <c r="D15" s="54">
        <v>-44057062.239543729</v>
      </c>
      <c r="E15" s="54">
        <v>-50114662.16302187</v>
      </c>
      <c r="F15" s="54">
        <v>-70064376.715555549</v>
      </c>
      <c r="G15" s="54">
        <v>-100794312.6328671</v>
      </c>
      <c r="H15" s="54">
        <v>-112262420.58976419</v>
      </c>
      <c r="I15" s="54">
        <v>-109705775.84030961</v>
      </c>
      <c r="J15" s="54">
        <v>-107149131.0908552</v>
      </c>
      <c r="K15" s="54">
        <v>-104592486.34140059</v>
      </c>
      <c r="L15" s="54">
        <v>-102035841.5919461</v>
      </c>
    </row>
    <row r="16" spans="1:12" x14ac:dyDescent="0.3">
      <c r="B16" s="41"/>
      <c r="C16" s="41"/>
      <c r="D16" s="41"/>
      <c r="E16" s="41"/>
      <c r="F16" s="41"/>
      <c r="G16" s="41"/>
    </row>
    <row r="17" spans="1:7" x14ac:dyDescent="0.3">
      <c r="B17" s="41"/>
      <c r="C17" s="41"/>
      <c r="D17" s="41"/>
      <c r="E17" s="41"/>
      <c r="F17" s="41"/>
      <c r="G17" s="41"/>
    </row>
    <row r="19" spans="1:7" x14ac:dyDescent="0.3">
      <c r="A19" s="55" t="s">
        <v>286</v>
      </c>
    </row>
    <row r="20" spans="1:7" x14ac:dyDescent="0.3">
      <c r="A20" s="55" t="s">
        <v>287</v>
      </c>
    </row>
    <row r="21" spans="1:7" x14ac:dyDescent="0.3">
      <c r="A21" s="55" t="s">
        <v>288</v>
      </c>
    </row>
    <row r="22" spans="1:7" x14ac:dyDescent="0.3">
      <c r="A22" s="55" t="s">
        <v>289</v>
      </c>
    </row>
    <row r="23" spans="1:7" x14ac:dyDescent="0.3">
      <c r="A23" s="55" t="s">
        <v>290</v>
      </c>
    </row>
    <row r="24" spans="1:7" x14ac:dyDescent="0.3">
      <c r="A24" s="55" t="s">
        <v>291</v>
      </c>
    </row>
    <row r="25" spans="1:7" x14ac:dyDescent="0.3">
      <c r="A25" s="55" t="s">
        <v>56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</sheetPr>
  <dimension ref="B1:R74"/>
  <sheetViews>
    <sheetView showGridLines="0" zoomScale="98" zoomScaleNormal="98" workbookViewId="0">
      <pane ySplit="1" topLeftCell="A2" activePane="bottomLeft" state="frozen"/>
      <selection pane="bottomLeft" activeCell="G46" sqref="G46"/>
    </sheetView>
  </sheetViews>
  <sheetFormatPr baseColWidth="10" defaultRowHeight="14.4" x14ac:dyDescent="0.3"/>
  <cols>
    <col min="2" max="2" width="30.6640625" bestFit="1" customWidth="1"/>
    <col min="5" max="5" width="17.33203125" bestFit="1" customWidth="1"/>
    <col min="9" max="9" width="18.5546875" bestFit="1" customWidth="1"/>
    <col min="10" max="10" width="14.88671875" bestFit="1" customWidth="1"/>
  </cols>
  <sheetData>
    <row r="1" spans="2:12" x14ac:dyDescent="0.3">
      <c r="B1" s="2"/>
      <c r="C1" s="7" t="s">
        <v>156</v>
      </c>
      <c r="D1" s="7" t="s">
        <v>157</v>
      </c>
      <c r="E1" s="7" t="s">
        <v>158</v>
      </c>
      <c r="F1" s="7" t="s">
        <v>159</v>
      </c>
      <c r="G1" s="7" t="s">
        <v>160</v>
      </c>
    </row>
    <row r="2" spans="2:12" x14ac:dyDescent="0.3">
      <c r="B2" s="9" t="s">
        <v>292</v>
      </c>
      <c r="C2" s="77">
        <v>1584.2472100225441</v>
      </c>
      <c r="D2" s="77">
        <v>1862.2670635461091</v>
      </c>
      <c r="E2" s="77">
        <v>2079.5315542931539</v>
      </c>
      <c r="F2" s="77">
        <v>2181.469375582034</v>
      </c>
      <c r="G2" s="77">
        <v>2245.6302395697421</v>
      </c>
    </row>
    <row r="3" spans="2:12" x14ac:dyDescent="0.3">
      <c r="B3" s="44" t="s">
        <v>293</v>
      </c>
      <c r="C3" s="78">
        <v>390517292857.90778</v>
      </c>
      <c r="D3" s="78">
        <v>-44531476287.580002</v>
      </c>
      <c r="E3" s="78">
        <v>-49726815187.797417</v>
      </c>
      <c r="F3" s="78">
        <v>-52164404167.591667</v>
      </c>
      <c r="G3" s="78">
        <v>-53698651348.991173</v>
      </c>
    </row>
    <row r="4" spans="2:12" ht="15" customHeight="1" thickBot="1" x14ac:dyDescent="0.35"/>
    <row r="5" spans="2:12" x14ac:dyDescent="0.3">
      <c r="I5" s="10" t="s">
        <v>294</v>
      </c>
      <c r="J5" s="79">
        <v>4.7030000686645507E-2</v>
      </c>
      <c r="K5" s="104" t="s">
        <v>295</v>
      </c>
      <c r="L5" s="105"/>
    </row>
    <row r="6" spans="2:12" x14ac:dyDescent="0.3">
      <c r="I6" s="11" t="s">
        <v>296</v>
      </c>
      <c r="J6" s="80">
        <v>4.41E-2</v>
      </c>
      <c r="K6" s="106"/>
      <c r="L6" s="107"/>
    </row>
    <row r="7" spans="2:12" ht="15" customHeight="1" thickBot="1" x14ac:dyDescent="0.35">
      <c r="I7" s="11" t="s">
        <v>297</v>
      </c>
      <c r="J7" s="80">
        <v>8.8830000686645511E-2</v>
      </c>
      <c r="K7" s="106"/>
      <c r="L7" s="107"/>
    </row>
    <row r="8" spans="2:12" ht="15" customHeight="1" thickBot="1" x14ac:dyDescent="0.35">
      <c r="B8" s="8" t="s">
        <v>298</v>
      </c>
      <c r="I8" s="11" t="s">
        <v>299</v>
      </c>
      <c r="J8" s="81">
        <v>0.88758739619233185</v>
      </c>
      <c r="K8" s="106"/>
      <c r="L8" s="107"/>
    </row>
    <row r="9" spans="2:12" x14ac:dyDescent="0.3">
      <c r="B9" s="4" t="s">
        <v>281</v>
      </c>
      <c r="C9" s="78">
        <v>2521209313145.3291</v>
      </c>
      <c r="D9" s="78">
        <v>2873541048101.7222</v>
      </c>
      <c r="E9" s="78">
        <v>3108158214079.0791</v>
      </c>
      <c r="F9" s="78">
        <v>3154956812897.7319</v>
      </c>
      <c r="G9" s="78">
        <v>3139082794799.2109</v>
      </c>
      <c r="I9" s="12" t="s">
        <v>300</v>
      </c>
      <c r="J9" s="82">
        <f>J5+(J8*(J7-J5))+$J$21*J6</f>
        <v>9.295115384748498E-2</v>
      </c>
      <c r="K9" s="106"/>
      <c r="L9" s="107"/>
    </row>
    <row r="10" spans="2:12" x14ac:dyDescent="0.3">
      <c r="B10" s="3" t="s">
        <v>301</v>
      </c>
      <c r="C10" s="78">
        <v>-1895396588427.675</v>
      </c>
      <c r="D10" s="78">
        <v>-2177279566782.4399</v>
      </c>
      <c r="E10" s="78">
        <v>-2374635245909.5361</v>
      </c>
      <c r="F10" s="78">
        <v>-2431601199871.751</v>
      </c>
      <c r="G10" s="78">
        <v>-2441932978994.5488</v>
      </c>
      <c r="I10" s="12" t="s">
        <v>302</v>
      </c>
      <c r="J10" s="80">
        <v>3.8049936495323608E-2</v>
      </c>
      <c r="K10" s="106"/>
      <c r="L10" s="107"/>
    </row>
    <row r="11" spans="2:12" x14ac:dyDescent="0.3">
      <c r="B11" s="1" t="s">
        <v>303</v>
      </c>
      <c r="C11" s="15">
        <f>C9+C10</f>
        <v>625812724717.65405</v>
      </c>
      <c r="D11" s="15">
        <f>D9+D10</f>
        <v>696261481319.28223</v>
      </c>
      <c r="E11" s="15">
        <f>E9+E10</f>
        <v>733522968169.54297</v>
      </c>
      <c r="F11" s="15">
        <f>F9+F10</f>
        <v>723355613025.98096</v>
      </c>
      <c r="G11" s="15">
        <f>G9+G10</f>
        <v>697149815804.66211</v>
      </c>
      <c r="I11" s="11" t="s">
        <v>304</v>
      </c>
      <c r="J11" s="80">
        <v>0.35</v>
      </c>
      <c r="K11" s="106"/>
      <c r="L11" s="107"/>
    </row>
    <row r="12" spans="2:12" x14ac:dyDescent="0.3">
      <c r="B12" s="3" t="s">
        <v>285</v>
      </c>
      <c r="C12" s="78">
        <v>-177851426609.7113</v>
      </c>
      <c r="D12" s="78">
        <v>-204301453028.181</v>
      </c>
      <c r="E12" s="78">
        <v>-222819999118.52701</v>
      </c>
      <c r="F12" s="78">
        <v>-228165305869.74771</v>
      </c>
      <c r="G12" s="78">
        <v>-229134771398.8222</v>
      </c>
      <c r="I12" s="11" t="s">
        <v>305</v>
      </c>
      <c r="J12" s="42">
        <v>0.67291262891666404</v>
      </c>
      <c r="K12" s="106"/>
      <c r="L12" s="107"/>
    </row>
    <row r="13" spans="2:12" ht="15" customHeight="1" thickBot="1" x14ac:dyDescent="0.35">
      <c r="B13" s="1" t="s">
        <v>306</v>
      </c>
      <c r="C13" s="15">
        <f>C11+C12</f>
        <v>447961298107.94275</v>
      </c>
      <c r="D13" s="15">
        <f>D11+D12</f>
        <v>491960028291.1012</v>
      </c>
      <c r="E13" s="15">
        <f>E11+E12</f>
        <v>510702969051.01599</v>
      </c>
      <c r="F13" s="15">
        <f>F11+F12</f>
        <v>495190307156.23328</v>
      </c>
      <c r="G13" s="15">
        <f>G11+G12</f>
        <v>468015044405.8399</v>
      </c>
      <c r="I13" s="13" t="s">
        <v>295</v>
      </c>
      <c r="J13" s="16">
        <f>J9*J12+J10*(1-J11)*(1-J12)</f>
        <v>7.0637680200141537E-2</v>
      </c>
      <c r="K13" s="108"/>
      <c r="L13" s="109"/>
    </row>
    <row r="14" spans="2:12" ht="15" customHeight="1" thickBot="1" x14ac:dyDescent="0.35">
      <c r="B14" s="3" t="s">
        <v>307</v>
      </c>
      <c r="C14" s="15">
        <f>-C13*$J$11</f>
        <v>-156786454337.77994</v>
      </c>
      <c r="D14" s="15">
        <f>-D13*$J$11</f>
        <v>-172186009901.88541</v>
      </c>
      <c r="E14" s="15">
        <f>-E13*$J$11</f>
        <v>-178746039167.85559</v>
      </c>
      <c r="F14" s="15">
        <f>-F13*$J$11</f>
        <v>-173316607504.68164</v>
      </c>
      <c r="G14" s="15">
        <f>-G13*$J$11</f>
        <v>-163805265542.04395</v>
      </c>
      <c r="I14" s="14" t="s">
        <v>308</v>
      </c>
      <c r="J14" s="83">
        <v>0.02</v>
      </c>
    </row>
    <row r="15" spans="2:12" x14ac:dyDescent="0.3">
      <c r="B15" s="3" t="s">
        <v>309</v>
      </c>
      <c r="C15" s="78">
        <v>171762553604.86511</v>
      </c>
      <c r="D15" s="78">
        <v>195765875422.14182</v>
      </c>
      <c r="E15" s="78">
        <v>211749650881.67831</v>
      </c>
      <c r="F15" s="78">
        <v>214937901375.72141</v>
      </c>
      <c r="G15" s="78">
        <v>213856451346.8183</v>
      </c>
      <c r="I15" s="50" t="s">
        <v>310</v>
      </c>
      <c r="J15" s="84">
        <v>0.842028777153776</v>
      </c>
    </row>
    <row r="16" spans="2:12" x14ac:dyDescent="0.3">
      <c r="B16" s="3" t="s">
        <v>293</v>
      </c>
      <c r="C16" s="15">
        <f>C3*-1</f>
        <v>-390517292857.90778</v>
      </c>
      <c r="D16" s="15">
        <f>D3*-1</f>
        <v>44531476287.580002</v>
      </c>
      <c r="E16" s="15">
        <f>E3*-1</f>
        <v>49726815187.797417</v>
      </c>
      <c r="F16" s="15">
        <f>F3*-1</f>
        <v>52164404167.591667</v>
      </c>
      <c r="G16" s="15">
        <f>G3*-1</f>
        <v>53698651348.991173</v>
      </c>
      <c r="I16" s="50" t="s">
        <v>311</v>
      </c>
      <c r="J16" s="84">
        <v>0.89468585143585067</v>
      </c>
    </row>
    <row r="17" spans="2:10" x14ac:dyDescent="0.3">
      <c r="B17" s="3" t="s">
        <v>130</v>
      </c>
      <c r="C17" s="78">
        <v>-163446188486.34171</v>
      </c>
      <c r="D17" s="78">
        <v>-186287322247.48889</v>
      </c>
      <c r="E17" s="78">
        <v>-201497198449.5668</v>
      </c>
      <c r="F17" s="78">
        <v>-204531080866.0441</v>
      </c>
      <c r="G17" s="78">
        <v>-203501992269.29849</v>
      </c>
      <c r="I17" s="50" t="s">
        <v>312</v>
      </c>
      <c r="J17" s="84">
        <v>0.50226821873165151</v>
      </c>
    </row>
    <row r="18" spans="2:10" x14ac:dyDescent="0.3">
      <c r="B18" s="1" t="s">
        <v>313</v>
      </c>
      <c r="C18" s="15">
        <f>SUM(C13:C17)</f>
        <v>-91026083969.221527</v>
      </c>
      <c r="D18" s="15">
        <f>SUM(D13:D17)</f>
        <v>373784047851.44873</v>
      </c>
      <c r="E18" s="15">
        <f>SUM(E13:E17)</f>
        <v>391936197503.06934</v>
      </c>
      <c r="F18" s="15">
        <f>SUM(F13:F17)</f>
        <v>384444924328.82068</v>
      </c>
      <c r="G18" s="15">
        <f>SUM(G13:G17)</f>
        <v>368262889290.30701</v>
      </c>
      <c r="I18" s="50" t="s">
        <v>314</v>
      </c>
      <c r="J18" s="84">
        <v>0.67448409892984518</v>
      </c>
    </row>
    <row r="19" spans="2:10" x14ac:dyDescent="0.3">
      <c r="I19" s="50" t="s">
        <v>315</v>
      </c>
      <c r="J19" s="84">
        <v>0.48607702846938788</v>
      </c>
    </row>
    <row r="20" spans="2:10" ht="15" customHeight="1" thickBot="1" x14ac:dyDescent="0.35">
      <c r="I20" s="50" t="s">
        <v>316</v>
      </c>
      <c r="J20" s="84">
        <v>0.88758739619233185</v>
      </c>
    </row>
    <row r="21" spans="2:10" x14ac:dyDescent="0.3">
      <c r="B21" s="17" t="s">
        <v>317</v>
      </c>
      <c r="I21" s="50" t="s">
        <v>318</v>
      </c>
      <c r="J21" s="85">
        <v>0.2</v>
      </c>
    </row>
    <row r="22" spans="2:10" x14ac:dyDescent="0.3">
      <c r="B22" s="3" t="s">
        <v>281</v>
      </c>
      <c r="C22" s="86">
        <f t="shared" ref="C22:G23" si="0">C9/C$2</f>
        <v>1591424177.4864492</v>
      </c>
      <c r="D22" s="86">
        <f t="shared" si="0"/>
        <v>1543033813.1148365</v>
      </c>
      <c r="E22" s="86">
        <f t="shared" si="0"/>
        <v>1494643448.7432253</v>
      </c>
      <c r="F22" s="86">
        <f t="shared" si="0"/>
        <v>1446253084.3716123</v>
      </c>
      <c r="G22" s="86">
        <f t="shared" si="0"/>
        <v>1397862719.9999998</v>
      </c>
      <c r="I22" s="50" t="s">
        <v>319</v>
      </c>
      <c r="J22" s="87">
        <f>J5+J6+(J8*(J7-J5))</f>
        <v>0.12823115384748499</v>
      </c>
    </row>
    <row r="23" spans="2:10" x14ac:dyDescent="0.3">
      <c r="B23" s="3" t="s">
        <v>301</v>
      </c>
      <c r="C23" s="86">
        <f t="shared" si="0"/>
        <v>-1196402036.523519</v>
      </c>
      <c r="D23" s="86">
        <f t="shared" si="0"/>
        <v>-1169155385.6064487</v>
      </c>
      <c r="E23" s="86">
        <f t="shared" si="0"/>
        <v>-1141908734.6893804</v>
      </c>
      <c r="F23" s="86">
        <f t="shared" si="0"/>
        <v>-1114662083.7723105</v>
      </c>
      <c r="G23" s="86">
        <f t="shared" si="0"/>
        <v>-1087415432.8552406</v>
      </c>
      <c r="I23" s="50" t="s">
        <v>320</v>
      </c>
      <c r="J23" s="87">
        <f>J22*J12+J10*(1-J11)*(1-J12)</f>
        <v>9.4378037748321444E-2</v>
      </c>
    </row>
    <row r="24" spans="2:10" x14ac:dyDescent="0.3">
      <c r="B24" s="1" t="s">
        <v>303</v>
      </c>
      <c r="C24" s="86">
        <f>C22+C23</f>
        <v>395022140.9629302</v>
      </c>
      <c r="D24" s="86">
        <f>D22+D23</f>
        <v>373878427.5083878</v>
      </c>
      <c r="E24" s="86">
        <f>E22+E23</f>
        <v>352734714.05384493</v>
      </c>
      <c r="F24" s="86">
        <f>F22+F23</f>
        <v>331591000.59930182</v>
      </c>
      <c r="G24" s="86">
        <f>G22+G23</f>
        <v>310447287.14475918</v>
      </c>
    </row>
    <row r="25" spans="2:10" x14ac:dyDescent="0.3">
      <c r="B25" s="3" t="s">
        <v>285</v>
      </c>
      <c r="C25" s="86">
        <f>C12/C$2</f>
        <v>-112262420.58976418</v>
      </c>
      <c r="D25" s="86">
        <f>D12/D$2</f>
        <v>-109705775.84030958</v>
      </c>
      <c r="E25" s="86">
        <f>E12/E$2</f>
        <v>-107149131.0908552</v>
      </c>
      <c r="F25" s="86">
        <f>F12/F$2</f>
        <v>-104592486.34140065</v>
      </c>
      <c r="G25" s="86">
        <f>G12/G$2</f>
        <v>-102035841.59194611</v>
      </c>
    </row>
    <row r="26" spans="2:10" x14ac:dyDescent="0.3">
      <c r="B26" s="1" t="s">
        <v>306</v>
      </c>
      <c r="C26" s="86">
        <f>C24+C25</f>
        <v>282759720.37316602</v>
      </c>
      <c r="D26" s="86">
        <f>D24+D25</f>
        <v>264172651.66807824</v>
      </c>
      <c r="E26" s="86">
        <f>E24+E25</f>
        <v>245585582.96298975</v>
      </c>
      <c r="F26" s="86">
        <f>F24+F25</f>
        <v>226998514.25790116</v>
      </c>
      <c r="G26" s="86">
        <f>G24+G25</f>
        <v>208411445.55281305</v>
      </c>
    </row>
    <row r="27" spans="2:10" x14ac:dyDescent="0.3">
      <c r="B27" s="3" t="s">
        <v>307</v>
      </c>
      <c r="C27" s="86">
        <f t="shared" ref="C27:G30" si="1">C14/C$2</f>
        <v>-98965902.130608037</v>
      </c>
      <c r="D27" s="86">
        <f t="shared" si="1"/>
        <v>-92460428.083827376</v>
      </c>
      <c r="E27" s="86">
        <f t="shared" si="1"/>
        <v>-85954954.037046343</v>
      </c>
      <c r="F27" s="86">
        <f t="shared" si="1"/>
        <v>-79449479.990265429</v>
      </c>
      <c r="G27" s="86">
        <f t="shared" si="1"/>
        <v>-72944005.943484575</v>
      </c>
    </row>
    <row r="28" spans="2:10" x14ac:dyDescent="0.3">
      <c r="B28" s="3" t="s">
        <v>309</v>
      </c>
      <c r="C28" s="86">
        <f t="shared" si="1"/>
        <v>108419034.93232025</v>
      </c>
      <c r="D28" s="86">
        <f t="shared" si="1"/>
        <v>105122342.14644086</v>
      </c>
      <c r="E28" s="86">
        <f t="shared" si="1"/>
        <v>101825649.36056158</v>
      </c>
      <c r="F28" s="86">
        <f t="shared" si="1"/>
        <v>98528956.574682236</v>
      </c>
      <c r="G28" s="86">
        <f t="shared" si="1"/>
        <v>95232263.788802877</v>
      </c>
    </row>
    <row r="29" spans="2:10" x14ac:dyDescent="0.3">
      <c r="B29" s="3" t="s">
        <v>293</v>
      </c>
      <c r="C29" s="86">
        <f t="shared" si="1"/>
        <v>-246500224.45193428</v>
      </c>
      <c r="D29" s="86">
        <f t="shared" si="1"/>
        <v>23912508.124792606</v>
      </c>
      <c r="E29" s="86">
        <f t="shared" si="1"/>
        <v>23912508.124792498</v>
      </c>
      <c r="F29" s="86">
        <f t="shared" si="1"/>
        <v>23912508.124792617</v>
      </c>
      <c r="G29" s="86">
        <f t="shared" si="1"/>
        <v>23912508.124792494</v>
      </c>
    </row>
    <row r="30" spans="2:10" x14ac:dyDescent="0.3">
      <c r="B30" s="3" t="s">
        <v>130</v>
      </c>
      <c r="C30" s="86">
        <f t="shared" si="1"/>
        <v>-103169623.68771717</v>
      </c>
      <c r="D30" s="86">
        <f t="shared" si="1"/>
        <v>-100032549.51669636</v>
      </c>
      <c r="E30" s="86">
        <f t="shared" si="1"/>
        <v>-96895475.345675617</v>
      </c>
      <c r="F30" s="86">
        <f t="shared" si="1"/>
        <v>-93758401.174654827</v>
      </c>
      <c r="G30" s="86">
        <f t="shared" si="1"/>
        <v>-90621327.003633976</v>
      </c>
    </row>
    <row r="31" spans="2:10" x14ac:dyDescent="0.3">
      <c r="B31" s="1" t="s">
        <v>313</v>
      </c>
      <c r="C31" s="86">
        <f>SUM(C26:C30)</f>
        <v>-57456994.964773208</v>
      </c>
      <c r="D31" s="86">
        <f>SUM(D26:D30)</f>
        <v>200714524.338788</v>
      </c>
      <c r="E31" s="86">
        <f>SUM(E26:E30)</f>
        <v>188473311.06562188</v>
      </c>
      <c r="F31" s="86">
        <f>SUM(F26:F30)</f>
        <v>176232097.79245573</v>
      </c>
      <c r="G31" s="86">
        <f>SUM(G26:G30)</f>
        <v>163990884.51928988</v>
      </c>
    </row>
    <row r="32" spans="2:10" x14ac:dyDescent="0.3">
      <c r="B32" s="3" t="s">
        <v>321</v>
      </c>
      <c r="C32" s="86">
        <f>C31</f>
        <v>-57456994.964773208</v>
      </c>
      <c r="D32" s="86">
        <f>D31/(1+$J$13)</f>
        <v>187471941.30255818</v>
      </c>
      <c r="E32" s="86">
        <f>E31/(1+$J$13)^2</f>
        <v>164423849.73488352</v>
      </c>
      <c r="F32" s="86">
        <f>F31/(1+$J$13)^3</f>
        <v>143600991.67967731</v>
      </c>
      <c r="G32" s="86">
        <f>G31/(1+$J$13)^4</f>
        <v>124810065.91219366</v>
      </c>
    </row>
    <row r="33" spans="2:18" x14ac:dyDescent="0.3">
      <c r="B33" s="1" t="s">
        <v>322</v>
      </c>
      <c r="C33" s="86">
        <f>SUM(C32:G32)</f>
        <v>562849853.66453946</v>
      </c>
      <c r="D33" s="54"/>
      <c r="E33" s="54"/>
      <c r="F33" s="54"/>
      <c r="G33" s="54"/>
    </row>
    <row r="36" spans="2:18" x14ac:dyDescent="0.3">
      <c r="D36" s="3" t="s">
        <v>323</v>
      </c>
      <c r="E36" s="88">
        <f>C33</f>
        <v>562849853.66453946</v>
      </c>
      <c r="I36" s="3" t="s">
        <v>324</v>
      </c>
      <c r="J36" s="88">
        <f>E41*E43</f>
        <v>1736471418.4731641</v>
      </c>
      <c r="M36" s="6">
        <v>2025</v>
      </c>
      <c r="N36" s="6" t="s">
        <v>156</v>
      </c>
      <c r="O36" s="6" t="s">
        <v>157</v>
      </c>
      <c r="P36" s="6" t="s">
        <v>158</v>
      </c>
      <c r="Q36" s="6" t="s">
        <v>159</v>
      </c>
      <c r="R36" s="6" t="s">
        <v>160</v>
      </c>
    </row>
    <row r="37" spans="2:18" ht="15" customHeight="1" thickBot="1" x14ac:dyDescent="0.35">
      <c r="D37" s="3" t="s">
        <v>308</v>
      </c>
      <c r="E37" s="88">
        <f>((G26+G27)*(1+$J$14))/($J$13-$J$14)/(1+$J$13)^4</f>
        <v>2076783366.8168819</v>
      </c>
      <c r="I37" s="3" t="s">
        <v>325</v>
      </c>
      <c r="J37" s="89">
        <v>456000000</v>
      </c>
      <c r="L37" s="3" t="s">
        <v>326</v>
      </c>
      <c r="M37" s="90">
        <f>$J$39/J40</f>
        <v>13.429801721975672</v>
      </c>
      <c r="N37" s="90">
        <f>$J$39/(C26+C28)</f>
        <v>5.604781417030126</v>
      </c>
      <c r="O37" s="90">
        <f>$J$39/(D26+D28)</f>
        <v>5.9369107493895452</v>
      </c>
      <c r="P37" s="90">
        <f>$J$39/(E26+E28)</f>
        <v>6.3108823621202603</v>
      </c>
      <c r="Q37" s="90">
        <f>$J$39/(F26+F28)</f>
        <v>6.7351348654711147</v>
      </c>
      <c r="R37" s="90">
        <f>$J$39/(G26+G28)</f>
        <v>7.2205395699685413</v>
      </c>
    </row>
    <row r="38" spans="2:18" x14ac:dyDescent="0.3">
      <c r="C38" s="102" t="s">
        <v>327</v>
      </c>
      <c r="D38" s="3" t="s">
        <v>325</v>
      </c>
      <c r="E38" s="89">
        <v>456000000</v>
      </c>
      <c r="I38" s="3" t="s">
        <v>328</v>
      </c>
      <c r="J38" s="89">
        <v>0</v>
      </c>
    </row>
    <row r="39" spans="2:18" ht="15" customHeight="1" thickBot="1" x14ac:dyDescent="0.35">
      <c r="C39" s="103"/>
      <c r="D39" s="3" t="s">
        <v>328</v>
      </c>
      <c r="E39" s="89">
        <v>0</v>
      </c>
      <c r="I39" s="3" t="s">
        <v>329</v>
      </c>
      <c r="J39" s="88">
        <f>J36+J37-J38</f>
        <v>2192471418.4731641</v>
      </c>
    </row>
    <row r="40" spans="2:18" x14ac:dyDescent="0.3">
      <c r="D40" s="3" t="s">
        <v>330</v>
      </c>
      <c r="E40" s="88">
        <f>E36+E37-E38+E39</f>
        <v>2183633220.4814215</v>
      </c>
      <c r="I40" s="3" t="s">
        <v>331</v>
      </c>
      <c r="J40" s="89">
        <v>163254191.227972</v>
      </c>
    </row>
    <row r="41" spans="2:18" x14ac:dyDescent="0.3">
      <c r="D41" s="3" t="s">
        <v>332</v>
      </c>
      <c r="E41" s="89">
        <v>2800000000</v>
      </c>
    </row>
    <row r="42" spans="2:18" x14ac:dyDescent="0.3">
      <c r="D42" s="3" t="s">
        <v>333</v>
      </c>
      <c r="E42" s="91">
        <f>E40/E41</f>
        <v>0.77986900731479336</v>
      </c>
      <c r="I42" s="47" t="s">
        <v>334</v>
      </c>
    </row>
    <row r="43" spans="2:18" x14ac:dyDescent="0.3">
      <c r="D43" s="3" t="s">
        <v>335</v>
      </c>
      <c r="E43" s="92">
        <v>0.62016836374041573</v>
      </c>
      <c r="F43">
        <v>1584.2532379303641</v>
      </c>
      <c r="I43" s="50" t="s">
        <v>295</v>
      </c>
      <c r="J43" s="93">
        <v>7.0637680200141537E-2</v>
      </c>
    </row>
    <row r="44" spans="2:18" x14ac:dyDescent="0.3">
      <c r="D44" s="3" t="s">
        <v>336</v>
      </c>
      <c r="E44" s="94">
        <f>(E42/E43)-1</f>
        <v>0.2575117547292749</v>
      </c>
      <c r="F44">
        <f>F43*E42</f>
        <v>1235.5100000000002</v>
      </c>
      <c r="I44" s="50" t="s">
        <v>300</v>
      </c>
      <c r="J44" s="93">
        <v>9.295115384748498E-2</v>
      </c>
    </row>
    <row r="45" spans="2:18" x14ac:dyDescent="0.3">
      <c r="I45" s="50" t="s">
        <v>337</v>
      </c>
      <c r="J45" s="95">
        <v>562.84985366453907</v>
      </c>
    </row>
    <row r="46" spans="2:18" x14ac:dyDescent="0.3">
      <c r="I46" s="50" t="s">
        <v>338</v>
      </c>
      <c r="J46" s="95">
        <v>2076.7833668168801</v>
      </c>
    </row>
    <row r="47" spans="2:18" x14ac:dyDescent="0.3">
      <c r="B47" s="55" t="s">
        <v>339</v>
      </c>
      <c r="I47" s="50" t="s">
        <v>340</v>
      </c>
      <c r="J47" s="95">
        <v>2639.6332204814189</v>
      </c>
    </row>
    <row r="48" spans="2:18" x14ac:dyDescent="0.3">
      <c r="B48" s="55" t="s">
        <v>341</v>
      </c>
      <c r="I48" s="50" t="s">
        <v>342</v>
      </c>
      <c r="J48" s="95">
        <v>2183.6332204814189</v>
      </c>
    </row>
    <row r="49" spans="2:10" x14ac:dyDescent="0.3">
      <c r="B49" s="55" t="s">
        <v>343</v>
      </c>
      <c r="I49" s="50" t="s">
        <v>344</v>
      </c>
      <c r="J49" s="96">
        <v>0.77986900731479247</v>
      </c>
    </row>
    <row r="50" spans="2:10" x14ac:dyDescent="0.3">
      <c r="B50" s="55" t="s">
        <v>345</v>
      </c>
      <c r="I50" s="50" t="s">
        <v>346</v>
      </c>
      <c r="J50" s="97">
        <v>1235.5052990215111</v>
      </c>
    </row>
    <row r="51" spans="2:10" x14ac:dyDescent="0.3">
      <c r="B51" s="55" t="s">
        <v>347</v>
      </c>
      <c r="I51" s="50" t="s">
        <v>348</v>
      </c>
      <c r="J51" s="98">
        <v>0.25751175472927362</v>
      </c>
    </row>
    <row r="52" spans="2:10" x14ac:dyDescent="0.3">
      <c r="B52" s="55" t="s">
        <v>349</v>
      </c>
    </row>
    <row r="53" spans="2:10" x14ac:dyDescent="0.3">
      <c r="B53" s="55" t="s">
        <v>350</v>
      </c>
    </row>
    <row r="54" spans="2:10" x14ac:dyDescent="0.3">
      <c r="B54" s="55" t="s">
        <v>351</v>
      </c>
    </row>
    <row r="55" spans="2:10" x14ac:dyDescent="0.3">
      <c r="B55" s="55" t="s">
        <v>352</v>
      </c>
    </row>
    <row r="56" spans="2:10" x14ac:dyDescent="0.3">
      <c r="B56" s="55" t="s">
        <v>353</v>
      </c>
    </row>
    <row r="57" spans="2:10" x14ac:dyDescent="0.3">
      <c r="B57" s="55" t="s">
        <v>354</v>
      </c>
    </row>
    <row r="58" spans="2:10" x14ac:dyDescent="0.3">
      <c r="B58" s="55" t="s">
        <v>355</v>
      </c>
    </row>
    <row r="59" spans="2:10" x14ac:dyDescent="0.3">
      <c r="B59" s="55" t="s">
        <v>356</v>
      </c>
    </row>
    <row r="60" spans="2:10" x14ac:dyDescent="0.3">
      <c r="B60" s="55" t="s">
        <v>357</v>
      </c>
    </row>
    <row r="61" spans="2:10" x14ac:dyDescent="0.3">
      <c r="B61" s="55" t="s">
        <v>358</v>
      </c>
    </row>
    <row r="62" spans="2:10" x14ac:dyDescent="0.3">
      <c r="B62" s="55" t="s">
        <v>359</v>
      </c>
    </row>
    <row r="63" spans="2:10" x14ac:dyDescent="0.3">
      <c r="B63" s="55" t="s">
        <v>360</v>
      </c>
    </row>
    <row r="64" spans="2:10" x14ac:dyDescent="0.3">
      <c r="B64" s="55" t="s">
        <v>361</v>
      </c>
    </row>
    <row r="65" spans="2:2" x14ac:dyDescent="0.3">
      <c r="B65" s="55" t="s">
        <v>362</v>
      </c>
    </row>
    <row r="66" spans="2:2" x14ac:dyDescent="0.3">
      <c r="B66" s="55" t="s">
        <v>363</v>
      </c>
    </row>
    <row r="67" spans="2:2" x14ac:dyDescent="0.3">
      <c r="B67" s="55" t="s">
        <v>364</v>
      </c>
    </row>
    <row r="68" spans="2:2" x14ac:dyDescent="0.3">
      <c r="B68" s="55" t="s">
        <v>365</v>
      </c>
    </row>
    <row r="69" spans="2:2" x14ac:dyDescent="0.3">
      <c r="B69" s="55" t="s">
        <v>366</v>
      </c>
    </row>
    <row r="70" spans="2:2" x14ac:dyDescent="0.3">
      <c r="B70" s="55" t="s">
        <v>367</v>
      </c>
    </row>
    <row r="71" spans="2:2" x14ac:dyDescent="0.3">
      <c r="B71" s="55" t="s">
        <v>368</v>
      </c>
    </row>
    <row r="72" spans="2:2" x14ac:dyDescent="0.3">
      <c r="B72" s="55" t="s">
        <v>369</v>
      </c>
    </row>
    <row r="73" spans="2:2" x14ac:dyDescent="0.3">
      <c r="B73" s="55" t="s">
        <v>370</v>
      </c>
    </row>
    <row r="74" spans="2:2" x14ac:dyDescent="0.3">
      <c r="B74" s="55" t="s">
        <v>56</v>
      </c>
    </row>
  </sheetData>
  <mergeCells count="2">
    <mergeCell ref="C38:C39"/>
    <mergeCell ref="K5:L1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8"/>
  <sheetViews>
    <sheetView showGridLines="0" workbookViewId="0"/>
  </sheetViews>
  <sheetFormatPr baseColWidth="10" defaultColWidth="8.88671875" defaultRowHeight="14.4" x14ac:dyDescent="0.3"/>
  <cols>
    <col min="1" max="1" width="52" customWidth="1"/>
    <col min="2" max="6" width="17" customWidth="1"/>
  </cols>
  <sheetData>
    <row r="1" spans="1:2" x14ac:dyDescent="0.3">
      <c r="A1" s="49" t="s">
        <v>371</v>
      </c>
    </row>
    <row r="3" spans="1:2" x14ac:dyDescent="0.3">
      <c r="A3" s="47" t="s">
        <v>372</v>
      </c>
    </row>
    <row r="4" spans="1:2" x14ac:dyDescent="0.3">
      <c r="A4" s="50" t="s">
        <v>373</v>
      </c>
      <c r="B4" s="51">
        <v>19995</v>
      </c>
    </row>
    <row r="5" spans="1:2" x14ac:dyDescent="0.3">
      <c r="A5" s="50" t="s">
        <v>374</v>
      </c>
      <c r="B5" s="99">
        <v>42</v>
      </c>
    </row>
    <row r="6" spans="1:2" x14ac:dyDescent="0.3">
      <c r="A6" s="50" t="s">
        <v>375</v>
      </c>
      <c r="B6" s="87">
        <v>4.5185587203847386E-3</v>
      </c>
    </row>
    <row r="7" spans="1:2" x14ac:dyDescent="0.3">
      <c r="A7" s="50" t="s">
        <v>376</v>
      </c>
      <c r="B7" s="87">
        <v>5.0000000000000001E-3</v>
      </c>
    </row>
    <row r="8" spans="1:2" x14ac:dyDescent="0.3">
      <c r="A8" s="50" t="s">
        <v>377</v>
      </c>
      <c r="B8" s="52">
        <v>0.333332007957717</v>
      </c>
    </row>
    <row r="9" spans="1:2" x14ac:dyDescent="0.3">
      <c r="A9" s="50" t="s">
        <v>378</v>
      </c>
      <c r="B9" s="52">
        <v>0.13608222240562479</v>
      </c>
    </row>
    <row r="10" spans="1:2" x14ac:dyDescent="0.3">
      <c r="A10" s="50" t="s">
        <v>379</v>
      </c>
      <c r="B10" s="53">
        <v>1260.489012976195</v>
      </c>
    </row>
    <row r="11" spans="1:2" x14ac:dyDescent="0.3">
      <c r="A11" s="50" t="s">
        <v>380</v>
      </c>
      <c r="B11" s="53">
        <v>1237.353035056135</v>
      </c>
    </row>
    <row r="12" spans="1:2" x14ac:dyDescent="0.3">
      <c r="A12" s="50" t="s">
        <v>381</v>
      </c>
      <c r="B12" s="53">
        <v>293.07307367349131</v>
      </c>
    </row>
    <row r="13" spans="1:2" x14ac:dyDescent="0.3">
      <c r="A13" s="50" t="s">
        <v>382</v>
      </c>
      <c r="B13" s="53">
        <v>843.77299093493491</v>
      </c>
    </row>
    <row r="14" spans="1:2" x14ac:dyDescent="0.3">
      <c r="A14" s="50" t="s">
        <v>383</v>
      </c>
      <c r="B14" s="53">
        <v>1068.047190255478</v>
      </c>
    </row>
    <row r="15" spans="1:2" x14ac:dyDescent="0.3">
      <c r="A15" s="50" t="s">
        <v>384</v>
      </c>
      <c r="B15" s="53">
        <v>1420.5217252893819</v>
      </c>
    </row>
    <row r="16" spans="1:2" x14ac:dyDescent="0.3">
      <c r="A16" s="50" t="s">
        <v>385</v>
      </c>
      <c r="B16" s="53">
        <v>1737.213366013121</v>
      </c>
    </row>
    <row r="17" spans="1:6" x14ac:dyDescent="0.3">
      <c r="A17" s="50" t="s">
        <v>386</v>
      </c>
      <c r="B17" s="52">
        <v>0.85211302825706425</v>
      </c>
    </row>
    <row r="18" spans="1:6" x14ac:dyDescent="0.3">
      <c r="A18" s="50" t="s">
        <v>387</v>
      </c>
      <c r="B18" s="53">
        <v>982.5</v>
      </c>
    </row>
    <row r="20" spans="1:6" x14ac:dyDescent="0.3">
      <c r="A20" s="47" t="s">
        <v>388</v>
      </c>
    </row>
    <row r="21" spans="1:6" x14ac:dyDescent="0.3">
      <c r="B21" s="100" t="s">
        <v>389</v>
      </c>
      <c r="C21" s="100" t="s">
        <v>390</v>
      </c>
    </row>
    <row r="22" spans="1:6" x14ac:dyDescent="0.3">
      <c r="A22" s="50" t="s">
        <v>391</v>
      </c>
      <c r="B22" s="60">
        <v>-5.3072260118455949E-2</v>
      </c>
      <c r="C22" s="60">
        <v>-4.7270606470027912E-2</v>
      </c>
    </row>
    <row r="23" spans="1:6" x14ac:dyDescent="0.3">
      <c r="A23" s="50" t="s">
        <v>392</v>
      </c>
      <c r="B23" s="60">
        <v>-6.6776826859702446E-2</v>
      </c>
      <c r="C23" s="60">
        <v>-7.1573137067630715E-2</v>
      </c>
    </row>
    <row r="24" spans="1:6" x14ac:dyDescent="0.3">
      <c r="A24" s="50" t="s">
        <v>393</v>
      </c>
      <c r="B24" s="60">
        <v>-7.5423290866627288E-2</v>
      </c>
      <c r="C24" s="60">
        <v>-8.2025132691481498E-2</v>
      </c>
    </row>
    <row r="25" spans="1:6" x14ac:dyDescent="0.3">
      <c r="A25" s="50" t="s">
        <v>394</v>
      </c>
      <c r="B25" s="60">
        <v>-8.6537122213158943E-2</v>
      </c>
      <c r="C25" s="60">
        <v>-0.12190488543554889</v>
      </c>
    </row>
    <row r="26" spans="1:6" x14ac:dyDescent="0.3">
      <c r="A26" s="50" t="s">
        <v>395</v>
      </c>
      <c r="C26" s="60">
        <v>-0.21662113229537219</v>
      </c>
    </row>
    <row r="27" spans="1:6" x14ac:dyDescent="0.3">
      <c r="A27" s="50" t="s">
        <v>396</v>
      </c>
      <c r="C27" s="60">
        <v>-0.32798931833786737</v>
      </c>
    </row>
    <row r="28" spans="1:6" x14ac:dyDescent="0.3">
      <c r="A28" t="s">
        <v>397</v>
      </c>
      <c r="B28" s="54">
        <v>2344</v>
      </c>
    </row>
    <row r="30" spans="1:6" x14ac:dyDescent="0.3">
      <c r="A30" s="47" t="s">
        <v>398</v>
      </c>
    </row>
    <row r="31" spans="1:6" x14ac:dyDescent="0.3">
      <c r="B31" s="93">
        <v>0.01</v>
      </c>
      <c r="C31" s="93">
        <v>1.4999999999999999E-2</v>
      </c>
      <c r="D31" s="93">
        <v>0.02</v>
      </c>
      <c r="E31" s="93">
        <v>2.5000000000000001E-2</v>
      </c>
      <c r="F31" s="93">
        <v>0.03</v>
      </c>
    </row>
    <row r="32" spans="1:6" x14ac:dyDescent="0.3">
      <c r="A32" s="93">
        <v>5.5637680200141537E-2</v>
      </c>
      <c r="B32" s="51">
        <v>1438.199315864372</v>
      </c>
      <c r="C32" s="51">
        <v>1613.8592544185119</v>
      </c>
      <c r="D32" s="51">
        <v>1838.8097016611071</v>
      </c>
      <c r="E32" s="51">
        <v>2137.182955647912</v>
      </c>
      <c r="F32" s="51">
        <v>2551.9369631418781</v>
      </c>
    </row>
    <row r="33" spans="1:6" x14ac:dyDescent="0.3">
      <c r="A33" s="93">
        <v>6.3137680200141544E-2</v>
      </c>
      <c r="B33" s="51">
        <v>1206.6759193605931</v>
      </c>
      <c r="C33" s="51">
        <v>1331.3607344975769</v>
      </c>
      <c r="D33" s="51">
        <v>1484.9494718108349</v>
      </c>
      <c r="E33" s="51">
        <v>1678.810385225848</v>
      </c>
      <c r="F33" s="51">
        <v>1931.1729536282221</v>
      </c>
    </row>
    <row r="34" spans="1:6" x14ac:dyDescent="0.3">
      <c r="A34" s="93">
        <v>7.0637680200141537E-2</v>
      </c>
      <c r="B34" s="51">
        <v>1032.1029845362409</v>
      </c>
      <c r="C34" s="51">
        <v>1124.664548172816</v>
      </c>
      <c r="D34" s="51">
        <v>1235.5052990215111</v>
      </c>
      <c r="E34" s="51">
        <v>1370.633163142091</v>
      </c>
      <c r="F34" s="51">
        <v>1539.012891900386</v>
      </c>
    </row>
    <row r="35" spans="1:6" x14ac:dyDescent="0.3">
      <c r="A35" s="93">
        <v>7.8137680200141529E-2</v>
      </c>
      <c r="B35" s="51">
        <v>895.68547181829092</v>
      </c>
      <c r="C35" s="51">
        <v>966.7693654024456</v>
      </c>
      <c r="D35" s="51">
        <v>1050.080078725442</v>
      </c>
      <c r="E35" s="51">
        <v>1149.0690664874439</v>
      </c>
      <c r="F35" s="51">
        <v>1268.62177633793</v>
      </c>
    </row>
    <row r="36" spans="1:6" x14ac:dyDescent="0.3">
      <c r="A36" s="93">
        <v>8.5637680200141536E-2</v>
      </c>
      <c r="B36" s="51">
        <v>786.08253676976619</v>
      </c>
      <c r="C36" s="51">
        <v>842.14091024168738</v>
      </c>
      <c r="D36" s="51">
        <v>906.73986182377166</v>
      </c>
      <c r="E36" s="51">
        <v>981.99208235824085</v>
      </c>
      <c r="F36" s="51">
        <v>1070.769708744243</v>
      </c>
    </row>
    <row r="38" spans="1:6" x14ac:dyDescent="0.3">
      <c r="A38" s="47" t="s">
        <v>399</v>
      </c>
    </row>
    <row r="39" spans="1:6" x14ac:dyDescent="0.3">
      <c r="A39" s="50" t="s">
        <v>400</v>
      </c>
      <c r="B39" s="51">
        <v>521.56186366573456</v>
      </c>
    </row>
    <row r="40" spans="1:6" x14ac:dyDescent="0.3">
      <c r="A40" s="50" t="s">
        <v>401</v>
      </c>
      <c r="B40" s="51">
        <v>878.53358134362338</v>
      </c>
    </row>
    <row r="41" spans="1:6" x14ac:dyDescent="0.3">
      <c r="A41" s="50" t="s">
        <v>402</v>
      </c>
      <c r="B41" s="51">
        <v>1235.5052990215111</v>
      </c>
    </row>
    <row r="42" spans="1:6" x14ac:dyDescent="0.3">
      <c r="A42" s="50" t="s">
        <v>403</v>
      </c>
      <c r="B42" s="51">
        <v>1592.4770166994001</v>
      </c>
    </row>
    <row r="43" spans="1:6" x14ac:dyDescent="0.3">
      <c r="A43" s="50" t="s">
        <v>404</v>
      </c>
      <c r="B43" s="51">
        <v>1949.448734377288</v>
      </c>
    </row>
    <row r="45" spans="1:6" x14ac:dyDescent="0.3">
      <c r="A45" s="47" t="s">
        <v>405</v>
      </c>
    </row>
    <row r="46" spans="1:6" x14ac:dyDescent="0.3">
      <c r="B46" s="100" t="s">
        <v>300</v>
      </c>
      <c r="C46" s="100" t="s">
        <v>295</v>
      </c>
      <c r="D46" s="100" t="s">
        <v>406</v>
      </c>
      <c r="E46" s="100" t="s">
        <v>346</v>
      </c>
      <c r="F46" s="100" t="s">
        <v>348</v>
      </c>
    </row>
    <row r="47" spans="1:6" x14ac:dyDescent="0.3">
      <c r="A47" s="100" t="s">
        <v>407</v>
      </c>
      <c r="B47" s="93">
        <v>9.295115384748498E-2</v>
      </c>
      <c r="C47" s="93">
        <v>7.0637680200141537E-2</v>
      </c>
      <c r="D47" s="93">
        <v>0.02</v>
      </c>
      <c r="E47" s="101">
        <v>1235.5052990215111</v>
      </c>
      <c r="F47" s="98">
        <v>0.25751175472927362</v>
      </c>
    </row>
    <row r="48" spans="1:6" x14ac:dyDescent="0.3">
      <c r="A48" s="50" t="s">
        <v>408</v>
      </c>
      <c r="B48" s="87">
        <v>9.295115384748498E-2</v>
      </c>
      <c r="C48" s="87">
        <v>7.0637680200141537E-2</v>
      </c>
      <c r="D48" s="87">
        <v>2.5000000000000001E-2</v>
      </c>
      <c r="E48" s="51">
        <v>1370.633163142091</v>
      </c>
      <c r="F48" s="52">
        <v>0.39504647648050017</v>
      </c>
    </row>
    <row r="49" spans="1:6" x14ac:dyDescent="0.3">
      <c r="A49" s="50" t="s">
        <v>409</v>
      </c>
      <c r="B49" s="87">
        <v>0.12823115384748501</v>
      </c>
      <c r="C49" s="87">
        <v>9.4378037748321444E-2</v>
      </c>
      <c r="D49" s="87">
        <v>0.02</v>
      </c>
      <c r="E49" s="51">
        <v>775.8581053701497</v>
      </c>
      <c r="F49" s="52">
        <v>-0.21032253906346091</v>
      </c>
    </row>
    <row r="50" spans="1:6" x14ac:dyDescent="0.3">
      <c r="A50" s="50" t="s">
        <v>410</v>
      </c>
      <c r="B50" s="87">
        <v>0.1081839626266997</v>
      </c>
      <c r="C50" s="87">
        <v>8.088802960154777E-2</v>
      </c>
      <c r="D50" s="87">
        <v>0.02</v>
      </c>
      <c r="E50" s="51">
        <v>993.45058423881983</v>
      </c>
      <c r="F50" s="52">
        <v>1.114563281304815E-2</v>
      </c>
    </row>
    <row r="52" spans="1:6" x14ac:dyDescent="0.3">
      <c r="A52" s="55" t="s">
        <v>411</v>
      </c>
    </row>
    <row r="53" spans="1:6" x14ac:dyDescent="0.3">
      <c r="A53" s="55" t="s">
        <v>412</v>
      </c>
    </row>
    <row r="54" spans="1:6" x14ac:dyDescent="0.3">
      <c r="A54" s="55" t="s">
        <v>413</v>
      </c>
    </row>
    <row r="55" spans="1:6" x14ac:dyDescent="0.3">
      <c r="A55" s="55" t="s">
        <v>414</v>
      </c>
    </row>
    <row r="56" spans="1:6" x14ac:dyDescent="0.3">
      <c r="A56" s="55" t="s">
        <v>415</v>
      </c>
    </row>
    <row r="57" spans="1:6" x14ac:dyDescent="0.3">
      <c r="A57" s="55" t="s">
        <v>416</v>
      </c>
    </row>
    <row r="58" spans="1:6" x14ac:dyDescent="0.3">
      <c r="A58" s="55" t="s">
        <v>56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A</vt:lpstr>
      <vt:lpstr>Datos Crudos</vt:lpstr>
      <vt:lpstr>1) Estadistica</vt:lpstr>
      <vt:lpstr>3) Macro</vt:lpstr>
      <vt:lpstr>4) Estados Financieros</vt:lpstr>
      <vt:lpstr>5) Ratios</vt:lpstr>
      <vt:lpstr>6) Proyecciones</vt:lpstr>
      <vt:lpstr>FCFF</vt:lpstr>
      <vt:lpstr>7) Riesgo Cuantitativo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Vega</dc:creator>
  <cp:lastModifiedBy>Federico Chillon</cp:lastModifiedBy>
  <dcterms:created xsi:type="dcterms:W3CDTF">2025-05-12T22:06:56Z</dcterms:created>
  <dcterms:modified xsi:type="dcterms:W3CDTF">2026-08-12T11:28:14Z</dcterms:modified>
</cp:coreProperties>
</file>