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Datos Crudos" sheetId="2" state="visible" r:id="rId2"/>
    <sheet xmlns:r="http://schemas.openxmlformats.org/officeDocument/2006/relationships" name="1) Estadistica" sheetId="3" state="visible" r:id="rId3"/>
    <sheet xmlns:r="http://schemas.openxmlformats.org/officeDocument/2006/relationships" name="3) Macro" sheetId="4" state="visible" r:id="rId4"/>
    <sheet xmlns:r="http://schemas.openxmlformats.org/officeDocument/2006/relationships" name="4) Financial Statements" sheetId="5" state="visible" r:id="rId5"/>
    <sheet xmlns:r="http://schemas.openxmlformats.org/officeDocument/2006/relationships" name="5) Ratios" sheetId="6" state="visible" r:id="rId6"/>
    <sheet xmlns:r="http://schemas.openxmlformats.org/officeDocument/2006/relationships" name="6) Proyecciones" sheetId="7" state="visible" r:id="rId7"/>
    <sheet xmlns:r="http://schemas.openxmlformats.org/officeDocument/2006/relationships" name="FCFF" sheetId="8" state="visible" r:id="rId8"/>
    <sheet xmlns:r="http://schemas.openxmlformats.org/officeDocument/2006/relationships" name="7) Riesgo Cuantitativo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00"/>
    <numFmt numFmtId="166" formatCode="0.0"/>
    <numFmt numFmtId="167" formatCode="#,##0.0"/>
    <numFmt numFmtId="168" formatCode="0.0&quot;x&quot;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color theme="3"/>
      <sz val="11"/>
      <scheme val="minor"/>
    </font>
    <font>
      <name val="Aptos Narrow"/>
      <family val="2"/>
      <color rgb="FF0070C0"/>
      <sz val="11"/>
      <scheme val="minor"/>
    </font>
    <font>
      <name val="Aptos Narrow"/>
      <family val="2"/>
      <b val="1"/>
      <color rgb="FF0070C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"/>
      <sz val="16"/>
      <scheme val="minor"/>
    </font>
    <font>
      <name val="Aptos Narrow"/>
      <family val="2"/>
      <b val="1"/>
      <color theme="0"/>
      <sz val="14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0"/>
      <sz val="48"/>
      <scheme val="minor"/>
    </font>
    <font>
      <name val="Aptos Narrow"/>
      <family val="2"/>
      <b val="1"/>
      <color theme="1"/>
      <sz val="2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sz val="11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b val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0"/>
      <sz val="22"/>
      <scheme val="minor"/>
    </font>
    <font>
      <name val="Aptos Narrow"/>
      <b val="1"/>
      <sz val="11"/>
    </font>
    <font>
      <name val="Aptos Narrow"/>
      <sz val="11"/>
    </font>
    <font>
      <name val="Aptos Narrow"/>
      <b val="1"/>
      <color rgb="FFFFFFFF"/>
      <sz val="11"/>
    </font>
    <font>
      <name val="Aptos Narrow"/>
      <i val="1"/>
      <color rgb="FF595959"/>
      <sz val="9"/>
    </font>
    <font>
      <name val="Aptos Narrow"/>
      <sz val="10"/>
    </font>
    <font>
      <name val="Aptos Narrow"/>
      <b val="1"/>
      <sz val="10"/>
    </font>
  </fonts>
  <fills count="1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1E568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8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1" fillId="0" borderId="0"/>
    <xf numFmtId="9" fontId="1" fillId="0" borderId="0"/>
  </cellStyleXfs>
  <cellXfs count="138">
    <xf numFmtId="0" fontId="0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0" fillId="2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2" fillId="0" borderId="1" pivotButton="0" quotePrefix="0" xfId="0"/>
    <xf numFmtId="0" fontId="0" fillId="0" borderId="4" pivotButton="0" quotePrefix="0" xfId="0"/>
    <xf numFmtId="0" fontId="0" fillId="0" borderId="6" pivotButton="0" quotePrefix="0" xfId="0"/>
    <xf numFmtId="0" fontId="3" fillId="0" borderId="6" pivotButton="0" quotePrefix="0" xfId="0"/>
    <xf numFmtId="0" fontId="3" fillId="2" borderId="10" pivotButton="0" quotePrefix="0" xfId="0"/>
    <xf numFmtId="0" fontId="3" fillId="2" borderId="8" pivotButton="0" quotePrefix="0" xfId="0"/>
    <xf numFmtId="0" fontId="6" fillId="0" borderId="1" applyAlignment="1" pivotButton="0" quotePrefix="0" xfId="0">
      <alignment horizontal="center"/>
    </xf>
    <xf numFmtId="10" fontId="7" fillId="0" borderId="11" pivotButton="0" quotePrefix="0" xfId="0"/>
    <xf numFmtId="164" fontId="6" fillId="0" borderId="7" pivotButton="0" quotePrefix="0" xfId="1"/>
    <xf numFmtId="2" fontId="6" fillId="0" borderId="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2" fontId="6" fillId="0" borderId="1" pivotButton="0" quotePrefix="0" xfId="0"/>
    <xf numFmtId="0" fontId="6" fillId="0" borderId="1" pivotButton="0" quotePrefix="0" xfId="0"/>
    <xf numFmtId="10" fontId="6" fillId="0" borderId="1" pivotButton="0" quotePrefix="0" xfId="1"/>
    <xf numFmtId="0" fontId="0" fillId="0" borderId="13" pivotButton="0" quotePrefix="0" xfId="0"/>
    <xf numFmtId="0" fontId="8" fillId="4" borderId="13" pivotButton="0" quotePrefix="0" xfId="0"/>
    <xf numFmtId="0" fontId="0" fillId="4" borderId="13" pivotButton="0" quotePrefix="0" xfId="0"/>
    <xf numFmtId="0" fontId="9" fillId="4" borderId="13" pivotButton="0" quotePrefix="0" xfId="0"/>
    <xf numFmtId="0" fontId="0" fillId="0" borderId="14" pivotButton="0" quotePrefix="0" xfId="0"/>
    <xf numFmtId="0" fontId="8" fillId="5" borderId="13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9" fillId="6" borderId="0" pivotButton="0" quotePrefix="0" xfId="0"/>
    <xf numFmtId="0" fontId="8" fillId="6" borderId="0" pivotButton="0" quotePrefix="0" xfId="0"/>
    <xf numFmtId="0" fontId="8" fillId="6" borderId="13" pivotButton="0" quotePrefix="0" xfId="0"/>
    <xf numFmtId="0" fontId="9" fillId="6" borderId="13" pivotButton="0" quotePrefix="0" xfId="0"/>
    <xf numFmtId="0" fontId="0" fillId="6" borderId="13" pivotButton="0" quotePrefix="0" xfId="0"/>
    <xf numFmtId="0" fontId="11" fillId="4" borderId="13" pivotButton="0" quotePrefix="0" xfId="0"/>
    <xf numFmtId="0" fontId="10" fillId="3" borderId="13" pivotButton="0" quotePrefix="0" xfId="0"/>
    <xf numFmtId="0" fontId="11" fillId="6" borderId="13" pivotButton="0" quotePrefix="0" xfId="0"/>
    <xf numFmtId="0" fontId="13" fillId="7" borderId="0" pivotButton="0" quotePrefix="0" xfId="0"/>
    <xf numFmtId="0" fontId="9" fillId="7" borderId="0" pivotButton="0" quotePrefix="0" xfId="0"/>
    <xf numFmtId="0" fontId="14" fillId="0" borderId="0" pivotButton="0" quotePrefix="0" xfId="0"/>
    <xf numFmtId="0" fontId="12" fillId="0" borderId="1" pivotButton="0" quotePrefix="0" xfId="0"/>
    <xf numFmtId="0" fontId="15" fillId="0" borderId="1" pivotButton="0" quotePrefix="0" xfId="0"/>
    <xf numFmtId="0" fontId="3" fillId="0" borderId="13" applyAlignment="1" pivotButton="0" quotePrefix="0" xfId="0">
      <alignment horizontal="right"/>
    </xf>
    <xf numFmtId="0" fontId="16" fillId="8" borderId="13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8" borderId="13" applyAlignment="1" pivotButton="0" quotePrefix="0" xfId="0">
      <alignment horizontal="center"/>
    </xf>
    <xf numFmtId="0" fontId="0" fillId="8" borderId="14" applyAlignment="1" pivotButton="0" quotePrefix="0" xfId="0">
      <alignment horizontal="center"/>
    </xf>
    <xf numFmtId="0" fontId="3" fillId="0" borderId="0" pivotButton="0" quotePrefix="0" xfId="0"/>
    <xf numFmtId="0" fontId="17" fillId="9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horizontal="center"/>
    </xf>
    <xf numFmtId="0" fontId="0" fillId="8" borderId="0" pivotButton="0" quotePrefix="0" xfId="0"/>
    <xf numFmtId="0" fontId="16" fillId="8" borderId="1" applyAlignment="1" pivotButton="0" quotePrefix="0" xfId="0">
      <alignment horizontal="center"/>
    </xf>
    <xf numFmtId="164" fontId="16" fillId="8" borderId="5" pivotButton="0" quotePrefix="0" xfId="0"/>
    <xf numFmtId="164" fontId="16" fillId="8" borderId="7" pivotButton="0" quotePrefix="0" xfId="0"/>
    <xf numFmtId="0" fontId="16" fillId="8" borderId="7" pivotButton="0" quotePrefix="0" xfId="0"/>
    <xf numFmtId="9" fontId="16" fillId="8" borderId="7" pivotButton="0" quotePrefix="0" xfId="0"/>
    <xf numFmtId="10" fontId="16" fillId="8" borderId="7" applyAlignment="1" pivotButton="0" quotePrefix="0" xfId="0">
      <alignment horizontal="right"/>
    </xf>
    <xf numFmtId="164" fontId="18" fillId="8" borderId="9" pivotButton="0" quotePrefix="0" xfId="0"/>
    <xf numFmtId="0" fontId="16" fillId="8" borderId="1" pivotButton="0" quotePrefix="0" xfId="0"/>
    <xf numFmtId="0" fontId="19" fillId="0" borderId="0" pivotButton="0" quotePrefix="0" xfId="0"/>
    <xf numFmtId="0" fontId="5" fillId="0" borderId="1" pivotButton="0" quotePrefix="0" xfId="0"/>
    <xf numFmtId="0" fontId="8" fillId="7" borderId="1" pivotButton="0" quotePrefix="0" xfId="0"/>
    <xf numFmtId="0" fontId="8" fillId="7" borderId="1" applyAlignment="1" pivotButton="0" quotePrefix="0" xfId="0">
      <alignment horizont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0" fillId="10" borderId="4" applyAlignment="1" pivotButton="0" quotePrefix="0" xfId="0">
      <alignment horizontal="center" vertical="center"/>
    </xf>
    <xf numFmtId="0" fontId="20" fillId="10" borderId="5" applyAlignment="1" pivotButton="0" quotePrefix="0" xfId="0">
      <alignment horizontal="center" vertical="center"/>
    </xf>
    <xf numFmtId="0" fontId="20" fillId="10" borderId="6" applyAlignment="1" pivotButton="0" quotePrefix="0" xfId="0">
      <alignment horizontal="center" vertical="center"/>
    </xf>
    <xf numFmtId="0" fontId="20" fillId="10" borderId="7" applyAlignment="1" pivotButton="0" quotePrefix="0" xfId="0">
      <alignment horizontal="center" vertical="center"/>
    </xf>
    <xf numFmtId="0" fontId="20" fillId="10" borderId="8" applyAlignment="1" pivotButton="0" quotePrefix="0" xfId="0">
      <alignment horizontal="center" vertical="center"/>
    </xf>
    <xf numFmtId="0" fontId="20" fillId="10" borderId="9" applyAlignment="1" pivotButton="0" quotePrefix="0" xfId="0">
      <alignment horizontal="center" vertical="center"/>
    </xf>
    <xf numFmtId="0" fontId="21" fillId="0" borderId="1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11" borderId="0" pivotButton="0" quotePrefix="0" xfId="0"/>
    <xf numFmtId="0" fontId="25" fillId="0" borderId="0" pivotButton="0" quotePrefix="0" xfId="0"/>
    <xf numFmtId="3" fontId="25" fillId="0" borderId="0" pivotButton="0" quotePrefix="0" xfId="0"/>
    <xf numFmtId="164" fontId="25" fillId="0" borderId="0" pivotButton="0" quotePrefix="0" xfId="0"/>
    <xf numFmtId="4" fontId="25" fillId="0" borderId="0" pivotButton="0" quotePrefix="0" xfId="0"/>
    <xf numFmtId="3" fontId="0" fillId="0" borderId="0" pivotButton="0" quotePrefix="0" xfId="0"/>
    <xf numFmtId="0" fontId="24" fillId="0" borderId="0" applyAlignment="1" pivotButton="0" quotePrefix="0" xfId="0">
      <alignment vertical="top"/>
    </xf>
    <xf numFmtId="10" fontId="22" fillId="0" borderId="0" pivotButton="0" quotePrefix="0" xfId="0"/>
    <xf numFmtId="165" fontId="22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  <xf numFmtId="4" fontId="16" fillId="8" borderId="13" applyAlignment="1" pivotButton="0" quotePrefix="0" xfId="0">
      <alignment horizontal="center"/>
    </xf>
    <xf numFmtId="3" fontId="0" fillId="8" borderId="0" applyAlignment="1" pivotButton="0" quotePrefix="0" xfId="0">
      <alignment horizontal="center"/>
    </xf>
    <xf numFmtId="3" fontId="0" fillId="8" borderId="13" applyAlignment="1" pivotButton="0" quotePrefix="0" xfId="0">
      <alignment horizontal="center"/>
    </xf>
    <xf numFmtId="3" fontId="0" fillId="8" borderId="14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3" fontId="0" fillId="0" borderId="13" applyAlignment="1" pivotButton="0" quotePrefix="0" xfId="0">
      <alignment horizontal="center"/>
    </xf>
    <xf numFmtId="3" fontId="0" fillId="0" borderId="14" applyAlignment="1" pivotButton="0" quotePrefix="0" xfId="0">
      <alignment horizontal="center"/>
    </xf>
    <xf numFmtId="0" fontId="23" fillId="7" borderId="1" applyAlignment="1" pivotButton="0" quotePrefix="0" xfId="0">
      <alignment horizontal="center"/>
    </xf>
    <xf numFmtId="4" fontId="22" fillId="0" borderId="1" pivotButton="0" quotePrefix="0" xfId="0"/>
    <xf numFmtId="167" fontId="22" fillId="0" borderId="1" pivotButton="0" quotePrefix="0" xfId="0"/>
    <xf numFmtId="3" fontId="22" fillId="0" borderId="1" pivotButton="0" quotePrefix="0" xfId="0"/>
    <xf numFmtId="164" fontId="22" fillId="0" borderId="1" pivotButton="0" quotePrefix="0" xfId="0"/>
    <xf numFmtId="166" fontId="0" fillId="8" borderId="0" pivotButton="0" quotePrefix="0" xfId="0"/>
    <xf numFmtId="4" fontId="0" fillId="8" borderId="0" pivotButton="0" quotePrefix="0" xfId="0"/>
    <xf numFmtId="3" fontId="0" fillId="8" borderId="0" pivotButton="0" quotePrefix="0" xfId="0"/>
    <xf numFmtId="4" fontId="16" fillId="8" borderId="1" applyAlignment="1" pivotButton="0" quotePrefix="0" xfId="0">
      <alignment horizontal="center"/>
    </xf>
    <xf numFmtId="3" fontId="16" fillId="8" borderId="1" applyAlignment="1" pivotButton="0" quotePrefix="0" xfId="0">
      <alignment horizontal="center"/>
    </xf>
    <xf numFmtId="10" fontId="16" fillId="8" borderId="5" pivotButton="0" quotePrefix="0" xfId="0"/>
    <xf numFmtId="0" fontId="20" fillId="10" borderId="3" applyAlignment="1" pivotButton="0" quotePrefix="0" xfId="0">
      <alignment horizontal="center" vertical="center"/>
    </xf>
    <xf numFmtId="0" fontId="0" fillId="0" borderId="5" pivotButton="0" quotePrefix="0" xfId="0"/>
    <xf numFmtId="10" fontId="16" fillId="8" borderId="7" pivotButton="0" quotePrefix="0" xfId="0"/>
    <xf numFmtId="0" fontId="0" fillId="0" borderId="7" pivotButton="0" quotePrefix="0" xfId="0"/>
    <xf numFmtId="165" fontId="16" fillId="8" borderId="7" pivotButton="0" quotePrefix="0" xfId="0"/>
    <xf numFmtId="10" fontId="6" fillId="0" borderId="7" pivotButton="0" quotePrefix="0" xfId="1"/>
    <xf numFmtId="0" fontId="0" fillId="0" borderId="8" pivotButton="0" quotePrefix="0" xfId="0"/>
    <xf numFmtId="0" fontId="0" fillId="0" borderId="9" pivotButton="0" quotePrefix="0" xfId="0"/>
    <xf numFmtId="10" fontId="18" fillId="8" borderId="9" pivotButton="0" quotePrefix="0" xfId="0"/>
    <xf numFmtId="165" fontId="25" fillId="0" borderId="0" pivotButton="0" quotePrefix="0" xfId="0"/>
    <xf numFmtId="2" fontId="25" fillId="0" borderId="0" pivotButton="0" quotePrefix="0" xfId="0"/>
    <xf numFmtId="3" fontId="6" fillId="0" borderId="1" applyAlignment="1" pivotButton="0" quotePrefix="0" xfId="0">
      <alignment horizontal="center"/>
    </xf>
    <xf numFmtId="10" fontId="25" fillId="0" borderId="0" pivotButton="0" quotePrefix="0" xfId="0"/>
    <xf numFmtId="3" fontId="6" fillId="0" borderId="1" pivotButton="0" quotePrefix="0" xfId="0"/>
    <xf numFmtId="3" fontId="16" fillId="8" borderId="1" pivotButton="0" quotePrefix="0" xfId="0"/>
    <xf numFmtId="168" fontId="6" fillId="0" borderId="1" applyAlignment="1" pivotButton="0" quotePrefix="0" xfId="0">
      <alignment horizontal="center"/>
    </xf>
    <xf numFmtId="0" fontId="0" fillId="0" borderId="17" applyAlignment="1" pivotButton="0" quotePrefix="0" xfId="0">
      <alignment horizontal="center" vertical="center"/>
    </xf>
    <xf numFmtId="0" fontId="0" fillId="0" borderId="16" pivotButton="0" quotePrefix="0" xfId="0"/>
    <xf numFmtId="165" fontId="6" fillId="0" borderId="1" pivotButton="0" quotePrefix="0" xfId="0"/>
    <xf numFmtId="165" fontId="16" fillId="8" borderId="1" pivotButton="0" quotePrefix="0" xfId="0"/>
    <xf numFmtId="10" fontId="26" fillId="0" borderId="0" pivotButton="0" quotePrefix="0" xfId="0"/>
    <xf numFmtId="164" fontId="6" fillId="0" borderId="1" pivotButton="0" quotePrefix="0" xfId="1"/>
    <xf numFmtId="167" fontId="26" fillId="0" borderId="0" pivotButton="0" quotePrefix="0" xfId="0"/>
    <xf numFmtId="165" fontId="26" fillId="0" borderId="0" pivotButton="0" quotePrefix="0" xfId="0"/>
    <xf numFmtId="4" fontId="26" fillId="0" borderId="0" pivotButton="0" quotePrefix="0" xfId="0"/>
    <xf numFmtId="164" fontId="26" fillId="0" borderId="0" pivotButton="0" quotePrefix="0" xfId="0"/>
    <xf numFmtId="1" fontId="25" fillId="0" borderId="0" pivotButton="0" quotePrefix="0" xfId="0"/>
    <xf numFmtId="0" fontId="26" fillId="0" borderId="0" pivotButton="0" quotePrefix="0" xfId="0"/>
    <xf numFmtId="3" fontId="26" fillId="0" borderId="0" pivotButton="0" quotePrefix="0" xfId="0"/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/Relationships>
</file>

<file path=xl/drawings/_rels/drawing7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png" Id="rId2"/><Relationship Type="http://schemas.openxmlformats.org/officeDocument/2006/relationships/image" Target="/xl/media/image18.png" Id="rId3"/></Relationships>
</file>

<file path=xl/drawings/_rels/drawing8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096000" cy="2409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6096000" cy="37052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</row>
      <rowOff>0</rowOff>
    </from>
    <ext cx="6096000" cy="2781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58</row>
      <rowOff>0</rowOff>
    </from>
    <ext cx="6096000" cy="2971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6096000" cy="2495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6096000" cy="32670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1</row>
      <rowOff>0</rowOff>
    </from>
    <ext cx="6096000" cy="4743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30</row>
      <rowOff>0</rowOff>
    </from>
    <ext cx="6096000" cy="45339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1</row>
      <rowOff>0</rowOff>
    </from>
    <ext cx="6096000" cy="3724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</row>
      <rowOff>0</rowOff>
    </from>
    <ext cx="6096000" cy="3286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1</row>
      <rowOff>0</rowOff>
    </from>
    <ext cx="6096000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26</row>
      <rowOff>0</rowOff>
    </from>
    <ext cx="6096000" cy="4352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13</col>
      <colOff>0</colOff>
      <row>1</row>
      <rowOff>0</rowOff>
    </from>
    <ext cx="6096000" cy="2200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16</row>
      <rowOff>0</rowOff>
    </from>
    <ext cx="6096000" cy="44672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43</row>
      <rowOff>0</rowOff>
    </from>
    <ext cx="6096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19</col>
      <colOff>0</colOff>
      <row>1</row>
      <rowOff>0</rowOff>
    </from>
    <ext cx="6096000" cy="4657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29</row>
      <rowOff>0</rowOff>
    </from>
    <ext cx="6096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53</row>
      <rowOff>0</rowOff>
    </from>
    <ext cx="6096000" cy="4714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7</col>
      <colOff>0</colOff>
      <row>1</row>
      <rowOff>0</rowOff>
    </from>
    <ext cx="6096000" cy="264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18</row>
      <rowOff>0</rowOff>
    </from>
    <ext cx="6096000" cy="33909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F19"/>
  <sheetViews>
    <sheetView showGridLines="0" tabSelected="1" workbookViewId="0">
      <selection activeCell="F11" sqref="F11"/>
    </sheetView>
  </sheetViews>
  <sheetFormatPr baseColWidth="10" defaultRowHeight="14.4"/>
  <cols>
    <col width="41.44140625" customWidth="1" min="3" max="3"/>
  </cols>
  <sheetData>
    <row r="1"/>
    <row r="2"/>
    <row r="3"/>
    <row r="4" ht="63" customHeight="1">
      <c r="B4" s="40" t="inlineStr">
        <is>
          <t>TP 10, 11 Y 12</t>
        </is>
      </c>
      <c r="C4" s="41" t="n"/>
      <c r="D4" s="41" t="n"/>
      <c r="E4" s="41" t="n"/>
      <c r="F4" s="41" t="n"/>
    </row>
    <row r="5"/>
    <row r="6" ht="36.6" customHeight="1">
      <c r="B6" s="42" t="inlineStr">
        <is>
          <t>VALUACIÓN DE EMPRESAS - MODELO DCF</t>
        </is>
      </c>
    </row>
    <row r="7"/>
    <row r="8"/>
    <row r="9" ht="18" customHeight="1">
      <c r="B9" s="44" t="inlineStr">
        <is>
          <t>Alumno</t>
        </is>
      </c>
      <c r="C9" s="75" t="inlineStr">
        <is>
          <t>Trabajo Final — Economia y Tecnica Bursatil (UNCuyo)</t>
        </is>
      </c>
    </row>
    <row r="10" ht="18" customHeight="1">
      <c r="B10" s="44" t="inlineStr">
        <is>
          <t>Empresa</t>
        </is>
      </c>
      <c r="C10" s="75" t="inlineStr">
        <is>
          <t>ALUAR ALUMINIO ARGENTINO S.A.I.C.</t>
        </is>
      </c>
    </row>
    <row r="11" ht="18" customHeight="1">
      <c r="B11" s="44" t="inlineStr">
        <is>
          <t>Ticker</t>
        </is>
      </c>
      <c r="C11" s="75" t="inlineStr">
        <is>
          <t>ALUA.BA (BYMA)</t>
        </is>
      </c>
    </row>
    <row r="12"/>
    <row r="13">
      <c r="B13" s="76" t="inlineStr">
        <is>
          <t>Fecha de corte de mercado</t>
        </is>
      </c>
      <c r="C13" s="77" t="inlineStr">
        <is>
          <t>2026-07-23</t>
        </is>
      </c>
    </row>
    <row r="14">
      <c r="B14" s="76" t="inlineStr">
        <is>
          <t>Moneda del modelo</t>
        </is>
      </c>
      <c r="C14" s="77" t="inlineStr">
        <is>
          <t>Dolares estadounidenses (USD)</t>
        </is>
      </c>
    </row>
    <row r="15">
      <c r="B15" s="76" t="inlineStr">
        <is>
          <t>Ultimo ejercicio auditado</t>
        </is>
      </c>
      <c r="C15" s="77" t="inlineStr">
        <is>
          <t>FY2025 (cerrado el 30 de junio de 2025)</t>
        </is>
      </c>
    </row>
    <row r="16">
      <c r="B16" s="76" t="inlineStr">
        <is>
          <t>Horizonte explicito</t>
        </is>
      </c>
      <c r="C16" s="77" t="inlineStr">
        <is>
          <t>FY2026E a FY2030E</t>
        </is>
      </c>
    </row>
    <row r="17">
      <c r="B17" s="76" t="inlineStr">
        <is>
          <t>Metodo</t>
        </is>
      </c>
      <c r="C17" s="77" t="inlineStr">
        <is>
          <t>Descuento de Flujos de Fondos Libres a la Firma (FCFF)</t>
        </is>
      </c>
    </row>
    <row r="18">
      <c r="B18" s="76" t="n"/>
      <c r="C18" s="77" t="n"/>
    </row>
    <row r="19">
      <c r="B19" s="76" t="inlineStr">
        <is>
          <t>Marco teorico</t>
        </is>
      </c>
      <c r="C19" s="77" t="inlineStr">
        <is>
          <t>Dumrauf, Caps. 6, 8, 10, 12 y 14 — Alexander, Sharpe y Bailey, Caps. 7, 8 y 10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78" t="inlineStr">
        <is>
          <t>Estados contables auditados — Aluar Aluminio Argentino S.A.I.C.</t>
        </is>
      </c>
      <c r="B1" s="78" t="inlineStr">
        <is>
          <t>FY2020</t>
        </is>
      </c>
      <c r="C1" s="78" t="inlineStr">
        <is>
          <t>FY2021</t>
        </is>
      </c>
      <c r="D1" s="78" t="inlineStr">
        <is>
          <t>FY2022</t>
        </is>
      </c>
      <c r="E1" s="78" t="inlineStr">
        <is>
          <t>FY2023</t>
        </is>
      </c>
      <c r="F1" s="78" t="inlineStr">
        <is>
          <t>FY2024</t>
        </is>
      </c>
      <c r="G1" s="78" t="inlineStr">
        <is>
          <t>FY2025</t>
        </is>
      </c>
    </row>
    <row r="3">
      <c r="A3" s="76" t="inlineStr">
        <is>
          <t>ESTADO DE RESULTADOS (ARS de cierre de cada ejercicio)</t>
        </is>
      </c>
    </row>
    <row r="4">
      <c r="A4" s="79" t="inlineStr">
        <is>
          <t>Ventas netas</t>
        </is>
      </c>
      <c r="B4" s="80" t="n">
        <v>63409348048</v>
      </c>
      <c r="C4" s="80" t="n">
        <v>84727990356</v>
      </c>
      <c r="D4" s="80" t="n">
        <v>172191945319</v>
      </c>
      <c r="E4" s="80" t="n">
        <v>325816454929</v>
      </c>
      <c r="F4" s="80" t="n">
        <v>1236401592941</v>
      </c>
      <c r="G4" s="80" t="n">
        <v>1562412110649</v>
      </c>
    </row>
    <row r="5">
      <c r="A5" s="79" t="inlineStr">
        <is>
          <t>Costo ventas</t>
        </is>
      </c>
      <c r="B5" s="80" t="n">
        <v>-54760342500</v>
      </c>
      <c r="C5" s="80" t="n">
        <v>-68373389110</v>
      </c>
      <c r="D5" s="80" t="n">
        <v>-117898237133</v>
      </c>
      <c r="E5" s="80" t="n">
        <v>-269627442436</v>
      </c>
      <c r="F5" s="80" t="n">
        <v>-1004361399758</v>
      </c>
      <c r="G5" s="80" t="n">
        <v>-1330677784788</v>
      </c>
    </row>
    <row r="6">
      <c r="A6" s="79" t="inlineStr">
        <is>
          <t>Resultado bruto</t>
        </is>
      </c>
      <c r="B6" s="80" t="n">
        <v>8649005548</v>
      </c>
      <c r="C6" s="80" t="n">
        <v>16354601246</v>
      </c>
      <c r="D6" s="80" t="n">
        <v>54293708186</v>
      </c>
      <c r="E6" s="80" t="n">
        <v>56189012493</v>
      </c>
      <c r="F6" s="80" t="n">
        <v>232040193183</v>
      </c>
      <c r="G6" s="80" t="n">
        <v>231734325861</v>
      </c>
    </row>
    <row r="7">
      <c r="A7" s="79" t="inlineStr">
        <is>
          <t>Otros resultados op</t>
        </is>
      </c>
      <c r="B7" s="80" t="n">
        <v>0</v>
      </c>
      <c r="C7" s="80" t="n">
        <v>0</v>
      </c>
      <c r="D7" s="80" t="n">
        <v>0</v>
      </c>
      <c r="E7" s="80" t="n">
        <v>0</v>
      </c>
      <c r="F7" s="80" t="n">
        <v>69358315372</v>
      </c>
      <c r="G7" s="80" t="n">
        <v>43157521696</v>
      </c>
    </row>
    <row r="8">
      <c r="A8" s="79" t="inlineStr">
        <is>
          <t>Costos distribucion</t>
        </is>
      </c>
      <c r="B8" s="80" t="n">
        <v>-3208310641</v>
      </c>
      <c r="C8" s="80" t="n">
        <v>-3652477359</v>
      </c>
      <c r="D8" s="80" t="n">
        <v>-7072608359</v>
      </c>
      <c r="E8" s="80" t="n">
        <v>-14244626233</v>
      </c>
      <c r="F8" s="80" t="n">
        <v>-55831798811</v>
      </c>
      <c r="G8" s="80" t="n">
        <v>-83210844083</v>
      </c>
    </row>
    <row r="9">
      <c r="A9" s="79" t="inlineStr">
        <is>
          <t>Gastos administracion</t>
        </is>
      </c>
      <c r="B9" s="80" t="n">
        <v>-1706887987</v>
      </c>
      <c r="C9" s="80" t="n">
        <v>-2587422482</v>
      </c>
      <c r="D9" s="80" t="n">
        <v>-4514399010</v>
      </c>
      <c r="E9" s="80" t="n">
        <v>-10963048835</v>
      </c>
      <c r="F9" s="80" t="n">
        <v>-38755109755</v>
      </c>
      <c r="G9" s="80" t="n">
        <v>-60925022982</v>
      </c>
    </row>
    <row r="10">
      <c r="A10" s="79" t="inlineStr">
        <is>
          <t>Otras ganancias perdidas</t>
        </is>
      </c>
      <c r="B10" s="80" t="n">
        <v>-30171482</v>
      </c>
      <c r="C10" s="80" t="n">
        <v>4335635</v>
      </c>
      <c r="D10" s="80" t="n">
        <v>-63699146</v>
      </c>
      <c r="E10" s="80" t="n">
        <v>187212424</v>
      </c>
      <c r="F10" s="80" t="n">
        <v>-845996116</v>
      </c>
      <c r="G10" s="80" t="n">
        <v>1186589783</v>
      </c>
    </row>
    <row r="11">
      <c r="A11" s="79" t="inlineStr">
        <is>
          <t>Resultado operativo</t>
        </is>
      </c>
      <c r="B11" s="80" t="n">
        <v>3703635438</v>
      </c>
      <c r="C11" s="80" t="n">
        <v>10119037040</v>
      </c>
      <c r="D11" s="80" t="n">
        <v>42643001671</v>
      </c>
      <c r="E11" s="80" t="n">
        <v>31168549849</v>
      </c>
      <c r="F11" s="80" t="n">
        <v>205965603873</v>
      </c>
      <c r="G11" s="80" t="n">
        <v>131942570275</v>
      </c>
    </row>
    <row r="12">
      <c r="A12" s="79" t="inlineStr">
        <is>
          <t>Resultado financiero</t>
        </is>
      </c>
      <c r="B12" s="80" t="n">
        <v>-6566063005</v>
      </c>
      <c r="C12" s="80" t="n">
        <v>2419331881</v>
      </c>
      <c r="D12" s="80" t="n">
        <v>9632037259</v>
      </c>
      <c r="E12" s="80" t="n">
        <v>44564001050</v>
      </c>
      <c r="F12" s="80" t="n">
        <v>4962718527</v>
      </c>
      <c r="G12" s="80" t="n">
        <v>-48050930393</v>
      </c>
    </row>
    <row r="13">
      <c r="A13" s="79" t="inlineStr">
        <is>
          <t>Resultado asociadas</t>
        </is>
      </c>
      <c r="B13" s="80" t="n">
        <v>55902016</v>
      </c>
      <c r="C13" s="80" t="n">
        <v>8263359</v>
      </c>
      <c r="D13" s="80" t="n">
        <v>-110423361</v>
      </c>
      <c r="E13" s="80" t="n">
        <v>-109126134</v>
      </c>
      <c r="F13" s="80" t="n">
        <v>300555040</v>
      </c>
      <c r="G13" s="80" t="n">
        <v>-256815924</v>
      </c>
    </row>
    <row r="14">
      <c r="A14" s="79" t="inlineStr">
        <is>
          <t>Resultado antes imp</t>
        </is>
      </c>
      <c r="B14" s="80" t="n">
        <v>-2806525551</v>
      </c>
      <c r="C14" s="80" t="n">
        <v>12546632280</v>
      </c>
      <c r="D14" s="80" t="n">
        <v>52164615569</v>
      </c>
      <c r="E14" s="80" t="n">
        <v>75623424765</v>
      </c>
      <c r="F14" s="80" t="n">
        <v>211228877440</v>
      </c>
      <c r="G14" s="80" t="n">
        <v>83634823958</v>
      </c>
    </row>
    <row r="15">
      <c r="A15" s="79" t="inlineStr">
        <is>
          <t>Impuesto ganancias</t>
        </is>
      </c>
      <c r="B15" s="80" t="n">
        <v>-576987122</v>
      </c>
      <c r="C15" s="80" t="n">
        <v>-7905027168</v>
      </c>
      <c r="D15" s="80" t="n">
        <v>-21779035241</v>
      </c>
      <c r="E15" s="80" t="n">
        <v>-5700597582</v>
      </c>
      <c r="F15" s="80" t="n">
        <v>-90078786044</v>
      </c>
      <c r="G15" s="80" t="n">
        <v>-70518972115</v>
      </c>
    </row>
    <row r="16">
      <c r="A16" s="79" t="inlineStr">
        <is>
          <t>Resultado ejercicio</t>
        </is>
      </c>
      <c r="B16" s="80" t="n">
        <v>-3383512673</v>
      </c>
      <c r="C16" s="80" t="n">
        <v>4641605112</v>
      </c>
      <c r="D16" s="80" t="n">
        <v>30385580328</v>
      </c>
      <c r="E16" s="80" t="n">
        <v>69922827183</v>
      </c>
      <c r="F16" s="80" t="n">
        <v>121150091396</v>
      </c>
      <c r="G16" s="80" t="n">
        <v>13115851843</v>
      </c>
    </row>
    <row r="17">
      <c r="A17" s="79" t="inlineStr">
        <is>
          <t>Resultado accionistas</t>
        </is>
      </c>
      <c r="B17" s="80" t="n">
        <v>-3657833689</v>
      </c>
      <c r="C17" s="80" t="n">
        <v>4872789993</v>
      </c>
      <c r="D17" s="80" t="n">
        <v>29986923221</v>
      </c>
      <c r="E17" s="80" t="n">
        <v>66183247107</v>
      </c>
      <c r="F17" s="80" t="n">
        <v>122054902973</v>
      </c>
      <c r="G17" s="80" t="n">
        <v>7513255855</v>
      </c>
    </row>
    <row r="19">
      <c r="A19" s="76" t="inlineStr">
        <is>
          <t>ESTADO DE SITUACION PATRIMONIAL (ARS de cierre)</t>
        </is>
      </c>
    </row>
    <row r="20">
      <c r="A20" s="79" t="inlineStr">
        <is>
          <t>Efectivo</t>
        </is>
      </c>
      <c r="B20" s="80" t="n">
        <v>1839369042</v>
      </c>
      <c r="C20" s="80" t="n">
        <v>7252917427</v>
      </c>
      <c r="D20" s="80" t="n">
        <v>20161189895</v>
      </c>
      <c r="E20" s="80" t="n">
        <v>29693029170</v>
      </c>
      <c r="F20" s="80" t="n">
        <v>266322192658</v>
      </c>
      <c r="G20" s="80" t="n">
        <v>98947674124</v>
      </c>
    </row>
    <row r="21">
      <c r="A21" s="79" t="inlineStr">
        <is>
          <t>Cuentas por cobrar</t>
        </is>
      </c>
      <c r="B21" s="80" t="n">
        <v>2963245410</v>
      </c>
      <c r="C21" s="80" t="n">
        <v>3689394219</v>
      </c>
      <c r="D21" s="80" t="n">
        <v>18917452767</v>
      </c>
      <c r="E21" s="80" t="n">
        <v>15464292214</v>
      </c>
      <c r="F21" s="80" t="n">
        <v>88423622080</v>
      </c>
      <c r="G21" s="80" t="n">
        <v>80168140299</v>
      </c>
    </row>
    <row r="22">
      <c r="A22" s="79" t="inlineStr">
        <is>
          <t>Inventarios</t>
        </is>
      </c>
      <c r="B22" s="80" t="n">
        <v>25148031793</v>
      </c>
      <c r="C22" s="80" t="n">
        <v>36480731995</v>
      </c>
      <c r="D22" s="80" t="n">
        <v>77031996402</v>
      </c>
      <c r="E22" s="80" t="n">
        <v>181793434471</v>
      </c>
      <c r="F22" s="80" t="n">
        <v>756454320091</v>
      </c>
      <c r="G22" s="80" t="n">
        <v>1142056656056</v>
      </c>
    </row>
    <row r="23">
      <c r="A23" s="79" t="inlineStr">
        <is>
          <t>Otros creditos c</t>
        </is>
      </c>
      <c r="B23" s="80" t="n">
        <v>2825305007</v>
      </c>
      <c r="C23" s="80" t="n">
        <v>3668735416</v>
      </c>
      <c r="D23" s="80" t="n">
        <v>8736893481</v>
      </c>
      <c r="E23" s="80" t="n">
        <v>6533666474</v>
      </c>
      <c r="F23" s="80" t="n">
        <v>77810698453</v>
      </c>
      <c r="G23" s="80" t="n">
        <v>54742518963</v>
      </c>
    </row>
    <row r="24">
      <c r="A24" s="79" t="inlineStr">
        <is>
          <t>Creditos impositivos c</t>
        </is>
      </c>
      <c r="B24" s="80" t="n">
        <v>2191062408</v>
      </c>
      <c r="C24" s="80" t="n">
        <v>1399009335</v>
      </c>
      <c r="D24" s="80" t="n">
        <v>1104585898</v>
      </c>
      <c r="E24" s="80" t="n">
        <v>13030551476</v>
      </c>
      <c r="F24" s="80" t="n">
        <v>18080070469</v>
      </c>
      <c r="G24" s="80" t="n">
        <v>42823904159</v>
      </c>
    </row>
    <row r="25">
      <c r="A25" s="79" t="inlineStr">
        <is>
          <t>Otros activos fin c</t>
        </is>
      </c>
      <c r="B25" s="80" t="n">
        <v>36642836</v>
      </c>
      <c r="C25" s="80" t="n">
        <v>910837</v>
      </c>
      <c r="D25" s="80" t="n">
        <v>1598589</v>
      </c>
      <c r="E25" s="80" t="n">
        <v>4331815</v>
      </c>
      <c r="F25" s="80" t="n">
        <v>11773861948</v>
      </c>
      <c r="G25" s="80" t="n">
        <v>19404759127</v>
      </c>
    </row>
    <row r="26">
      <c r="A26" s="79" t="inlineStr">
        <is>
          <t>Otras inversiones c</t>
        </is>
      </c>
      <c r="B26" s="80" t="n">
        <v>0</v>
      </c>
      <c r="C26" s="80" t="n">
        <v>0</v>
      </c>
      <c r="D26" s="80" t="n">
        <v>0</v>
      </c>
      <c r="E26" s="80" t="n">
        <v>0</v>
      </c>
      <c r="F26" s="80" t="n">
        <v>0</v>
      </c>
      <c r="G26" s="80" t="n">
        <v>32020256411</v>
      </c>
    </row>
    <row r="27">
      <c r="A27" s="79" t="inlineStr">
        <is>
          <t>Activo corriente</t>
        </is>
      </c>
      <c r="B27" s="80" t="n">
        <v>35003656496</v>
      </c>
      <c r="C27" s="80" t="n">
        <v>52491699229</v>
      </c>
      <c r="D27" s="80" t="n">
        <v>125953717032</v>
      </c>
      <c r="E27" s="80" t="n">
        <v>246519305620</v>
      </c>
      <c r="F27" s="80" t="n">
        <v>1218864765699</v>
      </c>
      <c r="G27" s="80" t="n">
        <v>1470163909139</v>
      </c>
    </row>
    <row r="28">
      <c r="A28" s="79" t="inlineStr">
        <is>
          <t>Ppe</t>
        </is>
      </c>
      <c r="B28" s="80" t="n">
        <v>44175210057</v>
      </c>
      <c r="C28" s="80" t="n">
        <v>60199672377</v>
      </c>
      <c r="D28" s="80" t="n">
        <v>89916231377</v>
      </c>
      <c r="E28" s="80" t="n">
        <v>207445737487</v>
      </c>
      <c r="F28" s="80" t="n">
        <v>737899921734</v>
      </c>
      <c r="G28" s="80" t="n">
        <v>1259939797125</v>
      </c>
    </row>
    <row r="29">
      <c r="A29" s="79" t="inlineStr">
        <is>
          <t>Intangibles</t>
        </is>
      </c>
      <c r="B29" s="80" t="n">
        <v>1383549875</v>
      </c>
      <c r="C29" s="80" t="n">
        <v>1690086480</v>
      </c>
      <c r="D29" s="80" t="n">
        <v>2135899711</v>
      </c>
      <c r="E29" s="80" t="n">
        <v>3242978064</v>
      </c>
      <c r="F29" s="80" t="n">
        <v>6926605491</v>
      </c>
      <c r="G29" s="80" t="n">
        <v>2677009787</v>
      </c>
    </row>
    <row r="30">
      <c r="A30" s="79" t="inlineStr">
        <is>
          <t>Inversiones asociadas</t>
        </is>
      </c>
      <c r="B30" s="80" t="n">
        <v>179154769</v>
      </c>
      <c r="C30" s="80" t="n">
        <v>277353962</v>
      </c>
      <c r="D30" s="80" t="n">
        <v>344388827</v>
      </c>
      <c r="E30" s="80" t="n">
        <v>633308241</v>
      </c>
      <c r="F30" s="80" t="n">
        <v>2653483256</v>
      </c>
      <c r="G30" s="80" t="n">
        <v>3442673667</v>
      </c>
    </row>
    <row r="31">
      <c r="A31" s="79" t="inlineStr">
        <is>
          <t>Otros creditos nc</t>
        </is>
      </c>
      <c r="B31" s="80" t="n">
        <v>222412710</v>
      </c>
      <c r="C31" s="80" t="n">
        <v>314326591</v>
      </c>
      <c r="D31" s="80" t="n">
        <v>304375359</v>
      </c>
      <c r="E31" s="80" t="n">
        <v>889239241</v>
      </c>
      <c r="F31" s="80" t="n">
        <v>2808147415</v>
      </c>
      <c r="G31" s="80" t="n">
        <v>21780377930</v>
      </c>
    </row>
    <row r="32">
      <c r="A32" s="79" t="inlineStr">
        <is>
          <t>Creditos impositivos nc</t>
        </is>
      </c>
      <c r="B32" s="80" t="n">
        <v>19116441</v>
      </c>
      <c r="C32" s="80" t="n">
        <v>198624228</v>
      </c>
      <c r="D32" s="80" t="n">
        <v>307457623</v>
      </c>
      <c r="E32" s="80" t="n">
        <v>162765479</v>
      </c>
      <c r="F32" s="80" t="n">
        <v>94863121</v>
      </c>
      <c r="G32" s="80" t="n">
        <v>53887418251</v>
      </c>
    </row>
    <row r="33">
      <c r="A33" s="79" t="inlineStr">
        <is>
          <t>Activo imp diferido</t>
        </is>
      </c>
      <c r="B33" s="80" t="n">
        <v>22050318</v>
      </c>
      <c r="C33" s="80" t="n">
        <v>0</v>
      </c>
      <c r="D33" s="80" t="n">
        <v>0</v>
      </c>
      <c r="E33" s="80" t="n">
        <v>51563967</v>
      </c>
      <c r="F33" s="80" t="n">
        <v>1079727342</v>
      </c>
      <c r="G33" s="80" t="n">
        <v>3831471042</v>
      </c>
    </row>
    <row r="34">
      <c r="A34" s="79" t="inlineStr">
        <is>
          <t>Activo no corriente</t>
        </is>
      </c>
      <c r="B34" s="80" t="n">
        <v>46001494170</v>
      </c>
      <c r="C34" s="80" t="n">
        <v>62680063638</v>
      </c>
      <c r="D34" s="80" t="n">
        <v>93008352897</v>
      </c>
      <c r="E34" s="80" t="n">
        <v>212425592479</v>
      </c>
      <c r="F34" s="80" t="n">
        <v>751462748359</v>
      </c>
      <c r="G34" s="80" t="n">
        <v>1345558747802</v>
      </c>
    </row>
    <row r="35">
      <c r="A35" s="79" t="inlineStr">
        <is>
          <t>Total activo</t>
        </is>
      </c>
      <c r="B35" s="80" t="n">
        <v>81005150666</v>
      </c>
      <c r="C35" s="80" t="n">
        <v>115171762867</v>
      </c>
      <c r="D35" s="80" t="n">
        <v>218962069929</v>
      </c>
      <c r="E35" s="80" t="n">
        <v>458944898099</v>
      </c>
      <c r="F35" s="80" t="n">
        <v>1970327514058</v>
      </c>
      <c r="G35" s="80" t="n">
        <v>2815722656941</v>
      </c>
    </row>
    <row r="36">
      <c r="A36" s="79" t="inlineStr">
        <is>
          <t>Cuentas por pagar c</t>
        </is>
      </c>
      <c r="B36" s="80" t="n">
        <v>4615356124</v>
      </c>
      <c r="C36" s="80" t="n">
        <v>4789321872</v>
      </c>
      <c r="D36" s="80" t="n">
        <v>11888382325</v>
      </c>
      <c r="E36" s="80" t="n">
        <v>29364578190</v>
      </c>
      <c r="F36" s="80" t="n">
        <v>107703695971</v>
      </c>
      <c r="G36" s="80" t="n">
        <v>111743862956</v>
      </c>
    </row>
    <row r="37">
      <c r="A37" s="79" t="inlineStr">
        <is>
          <t>Deuda financiera c</t>
        </is>
      </c>
      <c r="B37" s="80" t="n">
        <v>11531280521</v>
      </c>
      <c r="C37" s="80" t="n">
        <v>6119068136</v>
      </c>
      <c r="D37" s="80" t="n">
        <v>11438716791</v>
      </c>
      <c r="E37" s="80" t="n">
        <v>45532934684</v>
      </c>
      <c r="F37" s="80" t="n">
        <v>83358417754</v>
      </c>
      <c r="G37" s="80" t="n">
        <v>433391263269</v>
      </c>
    </row>
    <row r="38">
      <c r="A38" s="79" t="inlineStr">
        <is>
          <t>Otros pasivos c</t>
        </is>
      </c>
      <c r="B38" s="80" t="n">
        <v>2337811076</v>
      </c>
      <c r="C38" s="80" t="n">
        <v>2990271080</v>
      </c>
      <c r="D38" s="80" t="n">
        <v>19755544912</v>
      </c>
      <c r="E38" s="80" t="n">
        <v>9491032148</v>
      </c>
      <c r="F38" s="80" t="n">
        <v>56316326894</v>
      </c>
      <c r="G38" s="80" t="n">
        <v>56229216361</v>
      </c>
    </row>
    <row r="39">
      <c r="A39" s="79" t="inlineStr">
        <is>
          <t>Pasivo corriente</t>
        </is>
      </c>
      <c r="B39" s="80" t="n">
        <v>18484447721</v>
      </c>
      <c r="C39" s="80" t="n">
        <v>13898661088</v>
      </c>
      <c r="D39" s="80" t="n">
        <v>43082644028</v>
      </c>
      <c r="E39" s="80" t="n">
        <v>84388545022</v>
      </c>
      <c r="F39" s="80" t="n">
        <v>247378440619</v>
      </c>
      <c r="G39" s="80" t="n">
        <v>601364342586</v>
      </c>
    </row>
    <row r="40">
      <c r="A40" s="79" t="inlineStr">
        <is>
          <t>Cuentas por pagar nc</t>
        </is>
      </c>
      <c r="B40" s="80" t="n">
        <v>623801384</v>
      </c>
      <c r="C40" s="80" t="n">
        <v>0</v>
      </c>
      <c r="D40" s="80" t="n">
        <v>0</v>
      </c>
      <c r="E40" s="80" t="n">
        <v>0</v>
      </c>
      <c r="F40" s="80" t="n">
        <v>0</v>
      </c>
      <c r="G40" s="80" t="n">
        <v>0</v>
      </c>
    </row>
    <row r="41">
      <c r="A41" s="79" t="inlineStr">
        <is>
          <t>Deuda financiera nc</t>
        </is>
      </c>
      <c r="B41" s="80" t="n">
        <v>17358044398</v>
      </c>
      <c r="C41" s="80" t="n">
        <v>23811203685</v>
      </c>
      <c r="D41" s="80" t="n">
        <v>23801570192</v>
      </c>
      <c r="E41" s="80" t="n">
        <v>69611275176</v>
      </c>
      <c r="F41" s="80" t="n">
        <v>468120057201</v>
      </c>
      <c r="G41" s="80" t="n">
        <v>417391464490</v>
      </c>
    </row>
    <row r="42">
      <c r="A42" s="79" t="inlineStr">
        <is>
          <t>Otros pasivos nc</t>
        </is>
      </c>
      <c r="B42" s="80" t="n">
        <v>8868653577</v>
      </c>
      <c r="C42" s="80" t="n">
        <v>19732650053</v>
      </c>
      <c r="D42" s="80" t="n">
        <v>32016679052</v>
      </c>
      <c r="E42" s="80" t="n">
        <v>31991505856</v>
      </c>
      <c r="F42" s="80" t="n">
        <v>120279464099</v>
      </c>
      <c r="G42" s="80" t="n">
        <v>210646455799</v>
      </c>
    </row>
    <row r="43">
      <c r="A43" s="79" t="inlineStr">
        <is>
          <t>Pasivo no corriente</t>
        </is>
      </c>
      <c r="B43" s="80" t="n">
        <v>26850499359</v>
      </c>
      <c r="C43" s="80" t="n">
        <v>43543853738</v>
      </c>
      <c r="D43" s="80" t="n">
        <v>55818249244</v>
      </c>
      <c r="E43" s="80" t="n">
        <v>101602781032</v>
      </c>
      <c r="F43" s="80" t="n">
        <v>588399521300</v>
      </c>
      <c r="G43" s="80" t="n">
        <v>628037920289</v>
      </c>
    </row>
    <row r="44">
      <c r="A44" s="79" t="inlineStr">
        <is>
          <t>Total pasivo</t>
        </is>
      </c>
      <c r="B44" s="80" t="n">
        <v>45334947080</v>
      </c>
      <c r="C44" s="80" t="n">
        <v>57442514826</v>
      </c>
      <c r="D44" s="80" t="n">
        <v>98900893272</v>
      </c>
      <c r="E44" s="80" t="n">
        <v>185991326054</v>
      </c>
      <c r="F44" s="80" t="n">
        <v>835777961919</v>
      </c>
      <c r="G44" s="80" t="n">
        <v>1229402262875</v>
      </c>
    </row>
    <row r="45">
      <c r="A45" s="79" t="inlineStr">
        <is>
          <t>Total patrimonio</t>
        </is>
      </c>
      <c r="B45" s="80" t="n">
        <v>35670203586</v>
      </c>
      <c r="C45" s="80" t="n">
        <v>57729248041</v>
      </c>
      <c r="D45" s="80" t="n">
        <v>120061176657</v>
      </c>
      <c r="E45" s="80" t="n">
        <v>272953572045</v>
      </c>
      <c r="F45" s="80" t="n">
        <v>1134549552139</v>
      </c>
      <c r="G45" s="80" t="n">
        <v>1586320394066</v>
      </c>
    </row>
    <row r="47">
      <c r="A47" s="76" t="inlineStr">
        <is>
          <t>ESTADO DE FLUJOS DE EFECTIVO (ARS de cierre)</t>
        </is>
      </c>
    </row>
    <row r="48">
      <c r="A48" s="79" t="inlineStr">
        <is>
          <t>Depreciacion</t>
        </is>
      </c>
      <c r="B48" s="80" t="n">
        <v>5008516569</v>
      </c>
      <c r="C48" s="80" t="n">
        <v>7680589089</v>
      </c>
      <c r="D48" s="80" t="n">
        <v>11638889080</v>
      </c>
      <c r="E48" s="80" t="n">
        <v>19503234438</v>
      </c>
      <c r="F48" s="80" t="n">
        <v>65258463496</v>
      </c>
      <c r="G48" s="80" t="n">
        <v>94401647331</v>
      </c>
    </row>
    <row r="49">
      <c r="A49" s="79" t="inlineStr">
        <is>
          <t>Amortizacion</t>
        </is>
      </c>
      <c r="B49" s="80" t="n">
        <v>258001370</v>
      </c>
      <c r="C49" s="80" t="n">
        <v>388006517</v>
      </c>
      <c r="D49" s="80" t="n">
        <v>635547731</v>
      </c>
      <c r="E49" s="80" t="n">
        <v>1371786355</v>
      </c>
      <c r="F49" s="80" t="n">
        <v>5123435428</v>
      </c>
      <c r="G49" s="80" t="n">
        <v>7109275850</v>
      </c>
    </row>
    <row r="50">
      <c r="A50" s="79" t="inlineStr">
        <is>
          <t>Fco</t>
        </is>
      </c>
      <c r="B50" s="80" t="n">
        <v>18920408390</v>
      </c>
      <c r="C50" s="80" t="n">
        <v>16892256112</v>
      </c>
      <c r="D50" s="80" t="n">
        <v>23470364498</v>
      </c>
      <c r="E50" s="80" t="n">
        <v>57135968178</v>
      </c>
      <c r="F50" s="80" t="n">
        <v>106907787111</v>
      </c>
      <c r="G50" s="80" t="n">
        <v>43951466473</v>
      </c>
    </row>
    <row r="51">
      <c r="A51" s="79" t="inlineStr">
        <is>
          <t>Capex</t>
        </is>
      </c>
      <c r="B51" s="80" t="n">
        <v>-7931457989</v>
      </c>
      <c r="C51" s="80" t="n">
        <v>-1555450901</v>
      </c>
      <c r="D51" s="80" t="n">
        <v>-2921329114</v>
      </c>
      <c r="E51" s="80" t="n">
        <v>-33141554950</v>
      </c>
      <c r="F51" s="80" t="n">
        <v>-34543200226</v>
      </c>
      <c r="G51" s="80" t="n">
        <v>-348821496391</v>
      </c>
    </row>
    <row r="52">
      <c r="A52" s="79" t="inlineStr">
        <is>
          <t>Altas intangibles</t>
        </is>
      </c>
      <c r="B52" s="80" t="n">
        <v>0</v>
      </c>
      <c r="C52" s="80" t="n">
        <v>0</v>
      </c>
      <c r="D52" s="80" t="n">
        <v>0</v>
      </c>
      <c r="E52" s="80" t="n">
        <v>-10185981</v>
      </c>
      <c r="F52" s="80" t="n">
        <v>-1414203</v>
      </c>
      <c r="G52" s="80" t="n">
        <v>-129203516</v>
      </c>
    </row>
    <row r="53">
      <c r="A53" s="79" t="inlineStr">
        <is>
          <t>Otros inversion</t>
        </is>
      </c>
      <c r="B53" s="80" t="n">
        <v>65838537</v>
      </c>
      <c r="C53" s="80" t="n">
        <v>0</v>
      </c>
      <c r="D53" s="80" t="n">
        <v>0</v>
      </c>
      <c r="E53" s="80" t="n">
        <v>0</v>
      </c>
      <c r="F53" s="80" t="n">
        <v>0</v>
      </c>
      <c r="G53" s="80" t="n">
        <v>0</v>
      </c>
    </row>
    <row r="54">
      <c r="A54" s="79" t="inlineStr">
        <is>
          <t>Fci</t>
        </is>
      </c>
      <c r="B54" s="80" t="n">
        <v>-7865619452</v>
      </c>
      <c r="C54" s="80" t="n">
        <v>-1555450901</v>
      </c>
      <c r="D54" s="80" t="n">
        <v>-2921329114</v>
      </c>
      <c r="E54" s="80" t="n">
        <v>-33151740931</v>
      </c>
      <c r="F54" s="80" t="n">
        <v>-34544614429</v>
      </c>
      <c r="G54" s="80" t="n">
        <v>-348950700207</v>
      </c>
    </row>
    <row r="55">
      <c r="A55" s="79" t="inlineStr">
        <is>
          <t>Altas deuda</t>
        </is>
      </c>
      <c r="B55" s="80" t="n">
        <v>18779900162</v>
      </c>
      <c r="C55" s="80" t="n">
        <v>7469764735</v>
      </c>
      <c r="D55" s="80" t="n">
        <v>5690458302</v>
      </c>
      <c r="E55" s="80" t="n">
        <v>89023959113</v>
      </c>
      <c r="F55" s="80" t="n">
        <v>402325708771</v>
      </c>
      <c r="G55" s="80" t="n">
        <v>533524217717</v>
      </c>
    </row>
    <row r="56">
      <c r="A56" s="79" t="inlineStr">
        <is>
          <t>Cancelacion deuda</t>
        </is>
      </c>
      <c r="B56" s="80" t="n">
        <v>-26448369650</v>
      </c>
      <c r="C56" s="80" t="n">
        <v>-12192743745</v>
      </c>
      <c r="D56" s="80" t="n">
        <v>-8342977824</v>
      </c>
      <c r="E56" s="80" t="n">
        <v>-60949912278</v>
      </c>
      <c r="F56" s="80" t="n">
        <v>-258529327981</v>
      </c>
      <c r="G56" s="80" t="n">
        <v>-458075268932</v>
      </c>
    </row>
    <row r="57">
      <c r="A57" s="79" t="inlineStr">
        <is>
          <t>Intereses pagados</t>
        </is>
      </c>
      <c r="B57" s="80" t="n">
        <v>2044293453</v>
      </c>
      <c r="C57" s="80" t="n">
        <v>2456308232</v>
      </c>
      <c r="D57" s="80" t="n">
        <v>1504095316</v>
      </c>
      <c r="E57" s="80" t="n">
        <v>8060216409</v>
      </c>
      <c r="F57" s="80" t="n">
        <v>17707792075</v>
      </c>
      <c r="G57" s="80" t="n">
        <v>37426104537</v>
      </c>
    </row>
    <row r="58">
      <c r="A58" s="79" t="inlineStr">
        <is>
          <t>Dividendos pagados</t>
        </is>
      </c>
      <c r="B58" s="80" t="n">
        <v>-5519136360</v>
      </c>
      <c r="C58" s="80" t="n">
        <v>-265084677</v>
      </c>
      <c r="D58" s="80" t="n">
        <v>-4882984193</v>
      </c>
      <c r="E58" s="80" t="n">
        <v>-55603571486</v>
      </c>
      <c r="F58" s="80" t="n">
        <v>-3133677232</v>
      </c>
      <c r="G58" s="80" t="n">
        <v>-9059413297</v>
      </c>
    </row>
    <row r="59">
      <c r="A59" s="79" t="inlineStr">
        <is>
          <t>Fcf</t>
        </is>
      </c>
      <c r="B59" s="80" t="n">
        <v>-15231899301</v>
      </c>
      <c r="C59" s="80" t="n">
        <v>-7444371919</v>
      </c>
      <c r="D59" s="80" t="n">
        <v>-9039599031</v>
      </c>
      <c r="E59" s="80" t="n">
        <v>-35589741060</v>
      </c>
      <c r="F59" s="80" t="n">
        <v>122954911483</v>
      </c>
      <c r="G59" s="80" t="n">
        <v>28963430951</v>
      </c>
    </row>
    <row r="60">
      <c r="A60" s="79" t="inlineStr">
        <is>
          <t>Variacion efectivo</t>
        </is>
      </c>
      <c r="B60" s="80" t="n">
        <v>-4177110363</v>
      </c>
      <c r="C60" s="80" t="n">
        <v>7892433292</v>
      </c>
      <c r="D60" s="80" t="n">
        <v>11509436353</v>
      </c>
      <c r="E60" s="80" t="n">
        <v>-11605513813</v>
      </c>
      <c r="F60" s="80" t="n">
        <v>195318084165</v>
      </c>
      <c r="G60" s="80" t="n">
        <v>-276035802783</v>
      </c>
    </row>
    <row r="62">
      <c r="A62" s="76" t="inlineStr">
        <is>
          <t>MAGNITUDES FISICAS Y TIPO DE CAMBIO</t>
        </is>
      </c>
    </row>
    <row r="63">
      <c r="A63" s="79" t="inlineStr">
        <is>
          <t>Volumen despachado (toneladas)</t>
        </is>
      </c>
      <c r="B63" s="80" t="n">
        <v>389696</v>
      </c>
      <c r="C63" s="80" t="n">
        <v>302735</v>
      </c>
      <c r="D63" s="80" t="n">
        <v>355817</v>
      </c>
      <c r="E63" s="80" t="n">
        <v>423709</v>
      </c>
      <c r="F63" s="80" t="n">
        <v>443425</v>
      </c>
      <c r="G63" s="80" t="n">
        <v>442437</v>
      </c>
    </row>
    <row r="64">
      <c r="A64" s="79" t="inlineStr">
        <is>
          <t>Utilizacion de la capacidad informada</t>
        </is>
      </c>
      <c r="B64" s="81" t="n">
        <v>0.8441</v>
      </c>
      <c r="C64" s="81" t="n">
        <v>0.6832</v>
      </c>
      <c r="D64" s="81" t="n">
        <v>0.794</v>
      </c>
      <c r="E64" s="81" t="n">
        <v>0.945</v>
      </c>
      <c r="F64" s="81" t="n">
        <v>0.964</v>
      </c>
      <c r="G64" s="81" t="n">
        <v>0.968</v>
      </c>
    </row>
    <row r="65">
      <c r="A65" s="79" t="inlineStr">
        <is>
          <t>Contado con liquidacion al cierre (ARS/USD)</t>
        </is>
      </c>
      <c r="B65" s="82" t="n">
        <v>77</v>
      </c>
      <c r="C65" s="82" t="n">
        <v>165</v>
      </c>
      <c r="D65" s="82" t="n">
        <v>263</v>
      </c>
      <c r="E65" s="82" t="n">
        <v>503</v>
      </c>
      <c r="F65" s="82" t="n">
        <v>1350</v>
      </c>
      <c r="G65" s="82" t="n">
        <v>1430</v>
      </c>
    </row>
    <row r="66">
      <c r="A66" t="inlineStr">
        <is>
          <t>Capacidad instalada (toneladas anuales)</t>
        </is>
      </c>
      <c r="B66" s="83" t="n">
        <v>460000</v>
      </c>
    </row>
    <row r="68">
      <c r="A68" s="84" t="inlineStr">
        <is>
          <t>Cada ejercicio se toma de la columna corriente de su propio informe auditado, en la moneda</t>
        </is>
      </c>
    </row>
    <row r="69">
      <c r="A69" s="84" t="inlineStr">
        <is>
          <t xml:space="preserve">   de cierre de ese ejercicio. No se usan las columnas comparativas del informe siguiente:</t>
        </is>
      </c>
    </row>
    <row r="70">
      <c r="A70" s="84" t="inlineStr">
        <is>
          <t xml:space="preserve">   bajo NIC 29 vienen re-expresadas al poder adquisitivo del cierre posterior y, convertidas</t>
        </is>
      </c>
    </row>
    <row r="71">
      <c r="A71" s="84" t="inlineStr">
        <is>
          <t xml:space="preserve">   al tipo de cambio del ejercicio original, sobreestiman todas las magnitudes en dolares.</t>
        </is>
      </c>
    </row>
    <row r="72">
      <c r="A72" s="84" t="inlineStr">
        <is>
          <t>Las identidades contables de los seis ejercicios se verifican en datos_auditados.verificar():</t>
        </is>
      </c>
    </row>
    <row r="73">
      <c r="A73" s="84" t="inlineStr">
        <is>
          <t xml:space="preserve">   activo = corriente + no corriente, activo = pasivo + patrimonio, resultado bruto, EBIT, EBT,</t>
        </is>
      </c>
    </row>
    <row r="74">
      <c r="A74" s="84" t="inlineStr">
        <is>
          <t xml:space="preserve">   resultado del ejercicio y variacion del efectivo = FCO + FCI + FCF.</t>
        </is>
      </c>
    </row>
    <row r="75">
      <c r="A75" s="84" t="inlineStr">
        <is>
          <t>Fuente: Estados financieros consolidados auditados y Memoria Anual de Aluar, ejercicios</t>
        </is>
      </c>
    </row>
    <row r="76">
      <c r="A76" s="84" t="inlineStr">
        <is>
          <t xml:space="preserve">   cerrados al 30 de junio de 2020 a 2025.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10" defaultRowHeight="14.4"/>
  <cols>
    <col width="46" customWidth="1" min="1" max="1"/>
    <col width="16" customWidth="1" min="2" max="2"/>
    <col width="62" customWidth="1" min="3" max="3"/>
  </cols>
  <sheetData>
    <row r="1">
      <c r="A1" s="78" t="inlineStr">
        <is>
          <t>ESTADISTICA DE LA ACCION — ALUA.BA homogeneizada a dolares (CCL)</t>
        </is>
      </c>
    </row>
    <row r="2"/>
    <row r="3">
      <c r="A3" s="77" t="inlineStr">
        <is>
          <t>Ventana muestral</t>
        </is>
      </c>
      <c r="B3" s="77" t="inlineStr">
        <is>
          <t>2016-07-04 a 2026-07-23</t>
        </is>
      </c>
      <c r="C3" s="84" t="inlineStr">
        <is>
          <t>Retornos diarios, 10 anios</t>
        </is>
      </c>
    </row>
    <row r="4">
      <c r="A4" s="77" t="inlineStr">
        <is>
          <t>Observaciones</t>
        </is>
      </c>
      <c r="B4" s="77" t="n">
        <v>2344</v>
      </c>
      <c r="C4" s="84" t="inlineStr">
        <is>
          <t>Ruedas con dato simultaneo en BYMA y NYSE</t>
        </is>
      </c>
    </row>
    <row r="5"/>
    <row r="6">
      <c r="A6" s="76" t="inlineStr">
        <is>
          <t>Momentos de la distribucion</t>
        </is>
      </c>
    </row>
    <row r="7">
      <c r="A7" s="77" t="inlineStr">
        <is>
          <t>Retorno diario medio</t>
        </is>
      </c>
      <c r="B7" s="85" t="n">
        <v>0.0008741585773022236</v>
      </c>
      <c r="C7" s="84" t="inlineStr">
        <is>
          <t>Media aritmetica simple</t>
        </is>
      </c>
    </row>
    <row r="8">
      <c r="A8" s="77" t="inlineStr">
        <is>
          <t>Volatilidad diaria</t>
        </is>
      </c>
      <c r="B8" s="85" t="n">
        <v>0.03279709380325896</v>
      </c>
      <c r="C8" s="84" t="inlineStr">
        <is>
          <t>Desvio estandar muestral</t>
        </is>
      </c>
    </row>
    <row r="9">
      <c r="A9" s="77" t="inlineStr">
        <is>
          <t>Retorno anualizado</t>
        </is>
      </c>
      <c r="B9" s="85" t="n">
        <v>0.2463156690793136</v>
      </c>
      <c r="C9" s="84" t="inlineStr">
        <is>
          <t>(1 + media diaria)^252 - 1</t>
        </is>
      </c>
    </row>
    <row r="10">
      <c r="A10" s="77" t="inlineStr">
        <is>
          <t>Volatilidad anualizada</t>
        </is>
      </c>
      <c r="B10" s="85" t="n">
        <v>0.5206377235744846</v>
      </c>
      <c r="C10" s="84" t="inlineStr">
        <is>
          <t>Desvio diario x raiz de 252</t>
        </is>
      </c>
    </row>
    <row r="11">
      <c r="A11" s="77" t="inlineStr">
        <is>
          <t>Asimetria (skewness)</t>
        </is>
      </c>
      <c r="B11" s="86" t="n">
        <v>-0.3940052239881985</v>
      </c>
      <c r="C11" s="84" t="inlineStr">
        <is>
          <t>Coeficiente de Fisher-Pearson insesgado</t>
        </is>
      </c>
    </row>
    <row r="12">
      <c r="A12" s="77" t="inlineStr">
        <is>
          <t>Exceso de curtosis</t>
        </is>
      </c>
      <c r="B12" s="86" t="n">
        <v>6.676100537294545</v>
      </c>
      <c r="C12" s="84" t="inlineStr">
        <is>
          <t>Curtosis - 3; positivo indica colas pesadas</t>
        </is>
      </c>
    </row>
    <row r="13">
      <c r="A13" s="77" t="inlineStr">
        <is>
          <t>Maximo drawdown</t>
        </is>
      </c>
      <c r="B13" s="85" t="n">
        <v>-0.8288707629466623</v>
      </c>
      <c r="C13" s="84" t="inlineStr">
        <is>
          <t>Peor caida acumulada pico a valle</t>
        </is>
      </c>
    </row>
    <row r="14"/>
    <row r="15">
      <c r="A15" s="76" t="inlineStr">
        <is>
          <t>Test de normalidad de Jarque-Bera</t>
        </is>
      </c>
    </row>
    <row r="16">
      <c r="A16" s="77" t="inlineStr">
        <is>
          <t>Estadistico JB</t>
        </is>
      </c>
      <c r="B16" s="86" t="n">
        <v>4391.734990181517</v>
      </c>
      <c r="C16" s="84" t="inlineStr">
        <is>
          <t>JB = n/6 x (S^2 + K^2/4)</t>
        </is>
      </c>
    </row>
    <row r="17">
      <c r="A17" s="77" t="inlineStr">
        <is>
          <t>p-value</t>
        </is>
      </c>
      <c r="B17" s="86" t="n">
        <v>0</v>
      </c>
      <c r="C17" s="84" t="inlineStr">
        <is>
          <t>Hipotesis nula: los retornos son normales</t>
        </is>
      </c>
    </row>
    <row r="18">
      <c r="A18" s="77" t="inlineStr">
        <is>
          <t>Conclusion</t>
        </is>
      </c>
      <c r="B18" s="77" t="inlineStr">
        <is>
          <t>Se rechaza la normalidad</t>
        </is>
      </c>
      <c r="C18" s="84" t="inlineStr">
        <is>
          <t>Justifica reportar el VaR historico junto al parametrico</t>
        </is>
      </c>
    </row>
    <row r="19"/>
    <row r="20">
      <c r="A20" s="76" t="inlineStr">
        <is>
          <t>Regresion de mercado (Alexander, Sharpe y Bailey, Cap. 8)</t>
        </is>
      </c>
    </row>
    <row r="21">
      <c r="A21" s="77" t="inlineStr">
        <is>
          <t>Beta OLS contra el S&amp;P 500</t>
        </is>
      </c>
      <c r="B21" s="86" t="n">
        <v>0.842028777153776</v>
      </c>
      <c r="C21" s="84" t="inlineStr">
        <is>
          <t>Cov(r_ALUA_USD, r_SP500) / Var(r_SP500)</t>
        </is>
      </c>
    </row>
    <row r="22">
      <c r="A22" s="77" t="inlineStr">
        <is>
          <t>Error estandar del beta</t>
        </is>
      </c>
      <c r="B22" s="86" t="n">
        <v>0.0563462485538397</v>
      </c>
      <c r="C22" s="84" t="inlineStr">
        <is>
          <t>Precision estadistica del estimador</t>
        </is>
      </c>
    </row>
    <row r="23">
      <c r="A23" s="77" t="inlineStr">
        <is>
          <t>R cuadrado</t>
        </is>
      </c>
      <c r="B23" s="86" t="n">
        <v>0.08598025304573453</v>
      </c>
      <c r="C23" s="84" t="inlineStr">
        <is>
          <t>Proporcion de varianza explicada por el mercado</t>
        </is>
      </c>
    </row>
    <row r="24">
      <c r="A24" s="77" t="inlineStr">
        <is>
          <t>Observaciones de la regresion</t>
        </is>
      </c>
      <c r="B24" s="77" t="n">
        <v>2376</v>
      </c>
    </row>
    <row r="25"/>
    <row r="26">
      <c r="A26" s="76" t="inlineStr">
        <is>
          <t>Correlaciones de los retornos diarios</t>
        </is>
      </c>
    </row>
    <row r="27">
      <c r="A27" s="77" t="inlineStr">
        <is>
          <t>ALUA contra Merval</t>
        </is>
      </c>
      <c r="B27" s="86" t="n">
        <v>0.6489833007798375</v>
      </c>
    </row>
    <row r="28">
      <c r="A28" s="77" t="inlineStr">
        <is>
          <t>ALUA contra Ternium Argentina</t>
        </is>
      </c>
      <c r="B28" s="86" t="n">
        <v>0.759676065195213</v>
      </c>
    </row>
    <row r="29">
      <c r="A29" s="77" t="inlineStr">
        <is>
          <t>ALUA contra aluminio LME</t>
        </is>
      </c>
      <c r="B29" s="86" t="n">
        <v>0.07054701927283262</v>
      </c>
    </row>
    <row r="30">
      <c r="A30" s="77" t="inlineStr">
        <is>
          <t>ALUA contra indice dolar (DXY)</t>
        </is>
      </c>
      <c r="B30" s="86" t="n">
        <v>-0.06298186407943543</v>
      </c>
    </row>
    <row r="31"/>
    <row r="32">
      <c r="A32" s="76" t="inlineStr">
        <is>
          <t>Valor a riesgo diario (Alexander, Sharpe y Bailey, Cap. 10)</t>
        </is>
      </c>
    </row>
    <row r="33">
      <c r="A33" s="77" t="inlineStr">
        <is>
          <t>VaR 95% parametrico</t>
        </is>
      </c>
      <c r="B33" s="85" t="n">
        <v>-0.05307226011845595</v>
      </c>
      <c r="C33" s="84" t="inlineStr">
        <is>
          <t>mu + z(0,05) x sigma, con z = -1,6449</t>
        </is>
      </c>
    </row>
    <row r="34">
      <c r="A34" s="77" t="inlineStr">
        <is>
          <t>VaR 95% historico</t>
        </is>
      </c>
      <c r="B34" s="85" t="n">
        <v>-0.04727060647002791</v>
      </c>
      <c r="C34" s="84" t="inlineStr">
        <is>
          <t>Percentil 5 empirico de la muestra</t>
        </is>
      </c>
    </row>
    <row r="35">
      <c r="A35" s="77" t="inlineStr">
        <is>
          <t>CVaR 95% historico</t>
        </is>
      </c>
      <c r="B35" s="85" t="n">
        <v>-0.07157313706763072</v>
      </c>
      <c r="C35" s="84" t="inlineStr">
        <is>
          <t>Media de los retornos por debajo del VaR</t>
        </is>
      </c>
    </row>
    <row r="36">
      <c r="A36" s="77" t="inlineStr">
        <is>
          <t>VaR 99% parametrico</t>
        </is>
      </c>
      <c r="B36" s="85" t="n">
        <v>-0.07542329086662729</v>
      </c>
      <c r="C36" s="84" t="inlineStr">
        <is>
          <t>mu + z(0,01) x sigma, con z = -2,3263</t>
        </is>
      </c>
    </row>
    <row r="37">
      <c r="A37" s="77" t="inlineStr">
        <is>
          <t>VaR 99% historico</t>
        </is>
      </c>
      <c r="B37" s="85" t="n">
        <v>-0.0820251326914815</v>
      </c>
      <c r="C37" s="84" t="inlineStr">
        <is>
          <t>Percentil 1 empirico de la muestra</t>
        </is>
      </c>
    </row>
    <row r="38">
      <c r="A38" s="77" t="inlineStr">
        <is>
          <t>CVaR 99% historico</t>
        </is>
      </c>
      <c r="B38" s="85" t="n">
        <v>-0.1219048854355489</v>
      </c>
      <c r="C38" s="84" t="inlineStr">
        <is>
          <t>Media de los retornos por debajo del VaR</t>
        </is>
      </c>
    </row>
    <row r="39">
      <c r="A39" s="77" t="inlineStr">
        <is>
          <t>CVaR 95% escalado a 21 ruedas</t>
        </is>
      </c>
      <c r="B39" s="85" t="n">
        <v>-0.3279893183378674</v>
      </c>
      <c r="C39" s="84" t="inlineStr">
        <is>
          <t>CVaR diario x raiz de 21</t>
        </is>
      </c>
    </row>
    <row r="40"/>
    <row r="41">
      <c r="A41" s="84" t="inlineStr">
        <is>
          <t>Fuente: Elaboracion propia en base a estados financieros de Aluar e informacion de mercado.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E12" sqref="E12"/>
    </sheetView>
  </sheetViews>
  <sheetFormatPr baseColWidth="10" defaultRowHeight="14.4"/>
  <cols>
    <col width="34" customWidth="1" min="1" max="1"/>
    <col width="11" customWidth="1" min="2" max="2"/>
    <col width="11" customWidth="1" min="3" max="3"/>
    <col width="7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78" t="inlineStr">
        <is>
          <t>CONTEXTO MACROECONOMICO Y DE RIESGO SOBERANO</t>
        </is>
      </c>
    </row>
    <row r="2"/>
    <row r="3">
      <c r="A3" s="76" t="inlineStr">
        <is>
          <t>Ejercicio</t>
        </is>
      </c>
      <c r="B3" s="76" t="n">
        <v>2020</v>
      </c>
      <c r="C3" s="76" t="n">
        <v>2021</v>
      </c>
      <c r="D3" s="76" t="n">
        <v>2022</v>
      </c>
      <c r="E3" s="76" t="n">
        <v>2023</v>
      </c>
      <c r="F3" s="76" t="n">
        <v>2024</v>
      </c>
      <c r="G3" s="76" t="n">
        <v>2025</v>
      </c>
      <c r="H3" s="76" t="inlineStr">
        <is>
          <t>2026E</t>
        </is>
      </c>
      <c r="I3" s="76" t="inlineStr">
        <is>
          <t>2027E</t>
        </is>
      </c>
      <c r="J3" s="76" t="inlineStr">
        <is>
          <t>2028E</t>
        </is>
      </c>
      <c r="K3" s="76" t="inlineStr">
        <is>
          <t>2029E</t>
        </is>
      </c>
      <c r="L3" s="76" t="inlineStr">
        <is>
          <t>2030E</t>
        </is>
      </c>
    </row>
    <row r="4">
      <c r="A4" t="inlineStr">
        <is>
          <t>Crecimiento del PBI (%)</t>
        </is>
      </c>
      <c r="B4" s="87" t="n">
        <v>-9.9</v>
      </c>
      <c r="C4" s="87" t="n">
        <v>10.3</v>
      </c>
      <c r="D4" s="87" t="n">
        <v>5.2</v>
      </c>
      <c r="E4" s="87" t="n">
        <v>-1.6</v>
      </c>
      <c r="F4" s="87" t="n">
        <v>-3.5</v>
      </c>
      <c r="G4" s="87" t="n">
        <v>4.4</v>
      </c>
      <c r="H4" s="87" t="n">
        <v>3.5</v>
      </c>
      <c r="I4" s="87" t="n">
        <v>4</v>
      </c>
      <c r="J4" s="87" t="n">
        <v>3.5</v>
      </c>
      <c r="K4" s="87" t="n">
        <v>3</v>
      </c>
      <c r="L4" s="87" t="n">
        <v>2.5</v>
      </c>
    </row>
    <row r="5">
      <c r="A5" t="inlineStr">
        <is>
          <t>Inflacion minorista (%)</t>
        </is>
      </c>
      <c r="B5" s="87" t="n">
        <v>36.1</v>
      </c>
      <c r="C5" s="87" t="n">
        <v>50.9</v>
      </c>
      <c r="D5" s="87" t="n">
        <v>94.8</v>
      </c>
      <c r="E5" s="87" t="n">
        <v>211.4</v>
      </c>
      <c r="F5" s="87" t="n">
        <v>120</v>
      </c>
      <c r="G5" s="87" t="n">
        <v>31.5</v>
      </c>
      <c r="H5" s="87" t="n">
        <v>30.5</v>
      </c>
      <c r="I5" s="87" t="n">
        <v>19.9</v>
      </c>
      <c r="J5" s="87" t="n">
        <v>13.9</v>
      </c>
      <c r="K5" s="87" t="n">
        <v>7</v>
      </c>
      <c r="L5" s="87" t="n">
        <v>5</v>
      </c>
    </row>
    <row r="6"/>
    <row r="7">
      <c r="A7" s="84" t="inlineStr">
        <is>
          <t>PBI 2020-2025 INDEC; PBI 2026E-2027E FMI WEO Abril 2026 (2028E-2030E: convergencia propia del modelo, sin dato FMI/REM publicado a ese horizonte); Inflación 2026E-2028E consenso BCRA REM jun-2026 (2029E-2030E: convergencia propia del modelo, sin dato REM publicado a ese horizonte)</t>
        </is>
      </c>
    </row>
    <row r="8"/>
    <row r="9">
      <c r="A9" s="76" t="inlineStr">
        <is>
          <t>Riesgo pais</t>
        </is>
      </c>
      <c r="B9" s="76" t="n">
        <v>2020</v>
      </c>
      <c r="C9" s="76" t="n">
        <v>2021</v>
      </c>
      <c r="D9" s="76" t="n">
        <v>2022</v>
      </c>
      <c r="E9" s="76" t="n">
        <v>2023</v>
      </c>
      <c r="F9" s="76" t="n">
        <v>2024</v>
      </c>
      <c r="G9" s="76" t="n">
        <v>2025</v>
      </c>
      <c r="H9" s="76" t="n">
        <v>2026</v>
      </c>
    </row>
    <row r="10">
      <c r="A10" t="inlineStr">
        <is>
          <t>EMBI+ Argentina (puntos basicos)</t>
        </is>
      </c>
      <c r="B10" s="83" t="n">
        <v>2150</v>
      </c>
      <c r="C10" s="83" t="n">
        <v>1650</v>
      </c>
      <c r="D10" s="83" t="n">
        <v>2400</v>
      </c>
      <c r="E10" s="83" t="n">
        <v>1950</v>
      </c>
      <c r="F10" s="83" t="n">
        <v>850</v>
      </c>
      <c r="G10" s="83" t="n">
        <v>600</v>
      </c>
      <c r="H10" s="83" t="n">
        <v>441</v>
      </c>
    </row>
    <row r="11">
      <c r="A11" s="84" t="inlineStr">
        <is>
          <t>JPMorgan EMBI+ Argentina / BCRA serie 5 -- promedios anuales</t>
        </is>
      </c>
    </row>
    <row r="12"/>
    <row r="13">
      <c r="A13" s="76" t="inlineStr">
        <is>
          <t>Tipo de cambio implicito (CCL de cierre del ejercicio)</t>
        </is>
      </c>
      <c r="B13" s="76" t="n">
        <v>2020</v>
      </c>
      <c r="C13" s="76" t="n">
        <v>2021</v>
      </c>
      <c r="D13" s="76" t="n">
        <v>2022</v>
      </c>
      <c r="E13" s="76" t="n">
        <v>2023</v>
      </c>
      <c r="F13" s="76" t="n">
        <v>2024</v>
      </c>
      <c r="G13" s="76" t="n">
        <v>2025</v>
      </c>
    </row>
    <row r="14">
      <c r="A14" t="inlineStr">
        <is>
          <t>ARS por dolar</t>
        </is>
      </c>
      <c r="B14" s="88" t="n">
        <v>77</v>
      </c>
      <c r="C14" s="88" t="n">
        <v>165</v>
      </c>
      <c r="D14" s="88" t="n">
        <v>263</v>
      </c>
      <c r="E14" s="88" t="n">
        <v>503</v>
      </c>
      <c r="F14" s="88" t="n">
        <v>1350</v>
      </c>
      <c r="G14" s="88" t="n">
        <v>1430</v>
      </c>
    </row>
    <row r="15"/>
    <row r="16">
      <c r="A16" s="76" t="inlineStr">
        <is>
          <t>Insumos de mercado a la fecha de corte</t>
        </is>
      </c>
    </row>
    <row r="17">
      <c r="A17" t="inlineStr">
        <is>
          <t>Tasa libre de riesgo (US 10Y)</t>
        </is>
      </c>
      <c r="B17" s="89" t="n">
        <v>0.04703000068664551</v>
      </c>
      <c r="D17" s="84" t="inlineStr">
        <is>
          <t>^TNX (CBOE 10-Year Treasury Note Yield) — ultimo cierre al 23-jul-2026</t>
        </is>
      </c>
    </row>
    <row r="18">
      <c r="A18" t="inlineStr">
        <is>
          <t>Prima por riesgo de mercado (ERP)</t>
        </is>
      </c>
      <c r="B18" s="89" t="n">
        <v>0.0418</v>
      </c>
      <c r="D18" s="84" t="inlineStr">
        <is>
          <t>Damodaran (NYU Stern) — ERP implicito de EE.UU., julio 2026</t>
        </is>
      </c>
    </row>
    <row r="19">
      <c r="A19" t="inlineStr">
        <is>
          <t>Retorno esperado del mercado (Rm)</t>
        </is>
      </c>
      <c r="B19" s="89" t="n">
        <v>0.08883000068664551</v>
      </c>
      <c r="D19" s="84" t="inlineStr">
        <is>
          <t>Rm = Rf + ERP</t>
        </is>
      </c>
    </row>
    <row r="20">
      <c r="A20" t="inlineStr">
        <is>
          <t>Riesgo pais (EMBI+ Argentina)</t>
        </is>
      </c>
      <c r="B20" s="89" t="n">
        <v>0.0441</v>
      </c>
      <c r="D20" s="84" t="inlineStr">
        <is>
          <t>J.P. Morgan EMBI+ Argentina — 441 pb, julio 2026</t>
        </is>
      </c>
    </row>
    <row r="21">
      <c r="A21" t="inlineStr">
        <is>
          <t>Tipo de cambio CCL</t>
        </is>
      </c>
      <c r="B21" s="88" t="n">
        <v>1584.247210022544</v>
      </c>
      <c r="D21" s="84" t="inlineStr">
        <is>
          <t>GGAL.BA 7,945.00 x 10 / GGAL 50.15</t>
        </is>
      </c>
    </row>
    <row r="22">
      <c r="A22" t="inlineStr">
        <is>
          <t>Precio de ALUA.BA (ARS)</t>
        </is>
      </c>
      <c r="B22" s="88" t="n">
        <v>982.5</v>
      </c>
      <c r="D22" s="84" t="inlineStr">
        <is>
          <t>Cierre de BYMA</t>
        </is>
      </c>
    </row>
    <row r="23">
      <c r="A23" t="inlineStr">
        <is>
          <t>Aluminio LME (USD por tonelada)</t>
        </is>
      </c>
      <c r="B23" s="90" t="n">
        <v>3564.5</v>
      </c>
      <c r="D23" s="84" t="inlineStr">
        <is>
          <t>Futuro ALI=F</t>
        </is>
      </c>
    </row>
    <row r="24">
      <c r="A24" t="inlineStr">
        <is>
          <t>Alicuota estatutaria</t>
        </is>
      </c>
      <c r="B24" s="89" t="n">
        <v>0.35</v>
      </c>
      <c r="D24" s="84" t="inlineStr">
        <is>
          <t>Ley 20.628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5"/>
  <sheetViews>
    <sheetView showGridLines="0" zoomScale="61" zoomScaleNormal="145" workbookViewId="0">
      <pane ySplit="1" topLeftCell="A59" activePane="bottomLeft" state="frozen"/>
      <selection pane="bottomLeft" activeCell="A1" sqref="A1:F102"/>
    </sheetView>
  </sheetViews>
  <sheetFormatPr baseColWidth="10" defaultRowHeight="14.4"/>
  <cols>
    <col width="34.5546875" bestFit="1" customWidth="1" min="1" max="1"/>
    <col width="13" customWidth="1" min="6" max="6"/>
    <col width="13" customWidth="1" min="7" max="7"/>
  </cols>
  <sheetData>
    <row r="1" ht="21" customHeight="1">
      <c r="A1" s="38" t="inlineStr">
        <is>
          <t>FINANCIAL STATEMENTS</t>
        </is>
      </c>
      <c r="B1" s="28" t="n">
        <v>2020</v>
      </c>
      <c r="C1" s="28" t="n">
        <v>2021</v>
      </c>
      <c r="D1" s="28" t="n">
        <v>2022</v>
      </c>
      <c r="E1" s="28" t="n">
        <v>2023</v>
      </c>
      <c r="F1" s="28" t="n">
        <v>2024</v>
      </c>
      <c r="G1" s="28" t="n">
        <v>2025</v>
      </c>
    </row>
    <row r="2">
      <c r="A2" s="45" t="inlineStr">
        <is>
          <t>Dólar Promedio</t>
        </is>
      </c>
      <c r="B2" s="91" t="n">
        <v>77</v>
      </c>
      <c r="C2" s="91" t="n">
        <v>165</v>
      </c>
      <c r="D2" s="91" t="n">
        <v>263</v>
      </c>
      <c r="E2" s="91" t="n">
        <v>503</v>
      </c>
      <c r="F2" s="91" t="n">
        <v>1350</v>
      </c>
      <c r="G2" s="91" t="n">
        <v>1430</v>
      </c>
    </row>
    <row r="3"/>
    <row r="4"/>
    <row r="5" ht="18" customHeight="1">
      <c r="A5" s="37" t="inlineStr">
        <is>
          <t>PESOS ($)</t>
        </is>
      </c>
    </row>
    <row r="6">
      <c r="A6" s="24" t="inlineStr">
        <is>
          <t>Income Statement</t>
        </is>
      </c>
      <c r="B6" s="25" t="n"/>
      <c r="C6" s="25" t="n"/>
      <c r="D6" s="25" t="n"/>
      <c r="E6" s="25" t="n"/>
      <c r="F6" s="25" t="n"/>
      <c r="G6" s="25" t="n"/>
    </row>
    <row r="7">
      <c r="A7" t="inlineStr">
        <is>
          <t>Revenues</t>
        </is>
      </c>
      <c r="B7" s="92" t="n">
        <v>63409348048</v>
      </c>
      <c r="C7" s="92" t="n">
        <v>84727990356</v>
      </c>
      <c r="D7" s="92" t="n">
        <v>172191945319</v>
      </c>
      <c r="E7" s="92" t="n">
        <v>325816454929</v>
      </c>
      <c r="F7" s="92" t="n">
        <v>1236401592941</v>
      </c>
      <c r="G7" s="92" t="n">
        <v>1562412110649</v>
      </c>
    </row>
    <row r="8">
      <c r="A8" t="inlineStr">
        <is>
          <t>Operating Costs</t>
        </is>
      </c>
      <c r="B8" s="92" t="n">
        <v>-54760342500</v>
      </c>
      <c r="C8" s="92" t="n">
        <v>-68373389110</v>
      </c>
      <c r="D8" s="92" t="n">
        <v>-117898237133</v>
      </c>
      <c r="E8" s="92" t="n">
        <v>-269627442436</v>
      </c>
      <c r="F8" s="92" t="n">
        <v>-1004361399758</v>
      </c>
      <c r="G8" s="92" t="n">
        <v>-1330677784788</v>
      </c>
    </row>
    <row r="9">
      <c r="A9" s="23" t="inlineStr">
        <is>
          <t>Gross Income</t>
        </is>
      </c>
      <c r="B9" s="93">
        <f>B7+B8</f>
        <v/>
      </c>
      <c r="C9" s="93">
        <f>C7+C8</f>
        <v/>
      </c>
      <c r="D9" s="93">
        <f>D7+D8</f>
        <v/>
      </c>
      <c r="E9" s="93">
        <f>E7+E8</f>
        <v/>
      </c>
      <c r="F9" s="93">
        <f>F7+F8</f>
        <v/>
      </c>
      <c r="G9" s="93">
        <f>G7+G8</f>
        <v/>
      </c>
    </row>
    <row r="10">
      <c r="A10" t="inlineStr">
        <is>
          <t>SG&amp;A</t>
        </is>
      </c>
      <c r="B10" s="92" t="n">
        <v>-4915198628</v>
      </c>
      <c r="C10" s="92" t="n">
        <v>-6239899841</v>
      </c>
      <c r="D10" s="92" t="n">
        <v>-11587007369</v>
      </c>
      <c r="E10" s="92" t="n">
        <v>-25207675068</v>
      </c>
      <c r="F10" s="92" t="n">
        <v>-94586908566</v>
      </c>
      <c r="G10" s="92" t="n">
        <v>-144135867065</v>
      </c>
    </row>
    <row r="11">
      <c r="A11" t="inlineStr">
        <is>
          <t>Others</t>
        </is>
      </c>
      <c r="B11" s="92" t="n">
        <v>-30171482</v>
      </c>
      <c r="C11" s="92" t="n">
        <v>4335635</v>
      </c>
      <c r="D11" s="92" t="n">
        <v>-63699146</v>
      </c>
      <c r="E11" s="92" t="n">
        <v>187212424</v>
      </c>
      <c r="F11" s="92" t="n">
        <v>68512319256</v>
      </c>
      <c r="G11" s="92" t="n">
        <v>44344111479</v>
      </c>
    </row>
    <row r="12">
      <c r="A12" s="23" t="inlineStr">
        <is>
          <t>EBIT</t>
        </is>
      </c>
      <c r="B12" s="93">
        <f>B9+B10+B11</f>
        <v/>
      </c>
      <c r="C12" s="93">
        <f>C9+C10+C11</f>
        <v/>
      </c>
      <c r="D12" s="93">
        <f>D9+D10+D11</f>
        <v/>
      </c>
      <c r="E12" s="93">
        <f>E9+E10+E11</f>
        <v/>
      </c>
      <c r="F12" s="93">
        <f>F9+F10+F11</f>
        <v/>
      </c>
      <c r="G12" s="93">
        <f>G9+G10+G11</f>
        <v/>
      </c>
    </row>
    <row r="13">
      <c r="A13" t="inlineStr">
        <is>
          <t>Net Financial Results</t>
        </is>
      </c>
      <c r="B13" s="92" t="n">
        <v>-6510160989</v>
      </c>
      <c r="C13" s="92" t="n">
        <v>2427595240</v>
      </c>
      <c r="D13" s="92" t="n">
        <v>9521613898</v>
      </c>
      <c r="E13" s="92" t="n">
        <v>44454874916</v>
      </c>
      <c r="F13" s="92" t="n">
        <v>5263273567</v>
      </c>
      <c r="G13" s="92" t="n">
        <v>-48307746317</v>
      </c>
    </row>
    <row r="14">
      <c r="A14" s="23" t="inlineStr">
        <is>
          <t>Earnings Before Taxes</t>
        </is>
      </c>
      <c r="B14" s="93">
        <f>B12+B13</f>
        <v/>
      </c>
      <c r="C14" s="93">
        <f>C12+C13</f>
        <v/>
      </c>
      <c r="D14" s="93">
        <f>D12+D13</f>
        <v/>
      </c>
      <c r="E14" s="93">
        <f>E12+E13</f>
        <v/>
      </c>
      <c r="F14" s="93">
        <f>F12+F13</f>
        <v/>
      </c>
      <c r="G14" s="93">
        <f>G12+G13</f>
        <v/>
      </c>
    </row>
    <row r="15">
      <c r="A15" t="inlineStr">
        <is>
          <t>Income Tax</t>
        </is>
      </c>
      <c r="B15" s="92" t="n">
        <v>-576987122</v>
      </c>
      <c r="C15" s="92" t="n">
        <v>-7905027168</v>
      </c>
      <c r="D15" s="92" t="n">
        <v>-21779035241</v>
      </c>
      <c r="E15" s="92" t="n">
        <v>-5700597582</v>
      </c>
      <c r="F15" s="92" t="n">
        <v>-90078786044</v>
      </c>
      <c r="G15" s="92" t="n">
        <v>-70518972115</v>
      </c>
    </row>
    <row r="16" ht="15" customHeight="1" thickBot="1">
      <c r="A16" s="27" t="inlineStr">
        <is>
          <t>Net Income</t>
        </is>
      </c>
      <c r="B16" s="94">
        <f>B14+B15</f>
        <v/>
      </c>
      <c r="C16" s="94">
        <f>C14+C15</f>
        <v/>
      </c>
      <c r="D16" s="94">
        <f>D14+D15</f>
        <v/>
      </c>
      <c r="E16" s="94">
        <f>E14+E15</f>
        <v/>
      </c>
      <c r="F16" s="94">
        <f>F14+F15</f>
        <v/>
      </c>
      <c r="G16" s="94">
        <f>G14+G15</f>
        <v/>
      </c>
    </row>
    <row r="17"/>
    <row r="18"/>
    <row r="19">
      <c r="A19" s="24" t="inlineStr">
        <is>
          <t>Balance Sheet</t>
        </is>
      </c>
      <c r="B19" s="26" t="n"/>
      <c r="C19" s="26" t="n"/>
      <c r="D19" s="26" t="n"/>
      <c r="E19" s="26" t="n"/>
      <c r="F19" s="26" t="n"/>
      <c r="G19" s="26" t="n"/>
    </row>
    <row r="20">
      <c r="A20" t="inlineStr">
        <is>
          <t>Cash &amp; ST Investments</t>
        </is>
      </c>
      <c r="B20" s="92" t="n">
        <v>1876011878</v>
      </c>
      <c r="C20" s="92" t="n">
        <v>7253828264</v>
      </c>
      <c r="D20" s="92" t="n">
        <v>20162788484</v>
      </c>
      <c r="E20" s="92" t="n">
        <v>29697360985</v>
      </c>
      <c r="F20" s="92" t="n">
        <v>278096054606</v>
      </c>
      <c r="G20" s="92" t="n">
        <v>150372689662</v>
      </c>
    </row>
    <row r="21">
      <c r="A21" t="inlineStr">
        <is>
          <t>Receivables</t>
        </is>
      </c>
      <c r="B21" s="92" t="n">
        <v>2963245410</v>
      </c>
      <c r="C21" s="92" t="n">
        <v>3689394219</v>
      </c>
      <c r="D21" s="92" t="n">
        <v>18917452767</v>
      </c>
      <c r="E21" s="92" t="n">
        <v>15464292214</v>
      </c>
      <c r="F21" s="92" t="n">
        <v>88423622080</v>
      </c>
      <c r="G21" s="92" t="n">
        <v>80168140299</v>
      </c>
    </row>
    <row r="22">
      <c r="A22" t="inlineStr">
        <is>
          <t>Inventories</t>
        </is>
      </c>
      <c r="B22" s="92" t="n">
        <v>25148031793</v>
      </c>
      <c r="C22" s="92" t="n">
        <v>36480731995</v>
      </c>
      <c r="D22" s="92" t="n">
        <v>77031996402</v>
      </c>
      <c r="E22" s="92" t="n">
        <v>181793434471</v>
      </c>
      <c r="F22" s="92" t="n">
        <v>756454320091</v>
      </c>
      <c r="G22" s="92" t="n">
        <v>1142056656056</v>
      </c>
    </row>
    <row r="23">
      <c r="A23" t="inlineStr">
        <is>
          <t>Other receivables</t>
        </is>
      </c>
      <c r="B23" s="92" t="n">
        <v>5016367415</v>
      </c>
      <c r="C23" s="92" t="n">
        <v>5067744751</v>
      </c>
      <c r="D23" s="92" t="n">
        <v>9841479379</v>
      </c>
      <c r="E23" s="92" t="n">
        <v>19564217950</v>
      </c>
      <c r="F23" s="92" t="n">
        <v>95890768922</v>
      </c>
      <c r="G23" s="92" t="n">
        <v>97566423122</v>
      </c>
    </row>
    <row r="24">
      <c r="A24" s="23" t="inlineStr">
        <is>
          <t>Current Assets</t>
        </is>
      </c>
      <c r="B24" s="93">
        <f>SUM(B20:B23)</f>
        <v/>
      </c>
      <c r="C24" s="93">
        <f>SUM(C20:C23)</f>
        <v/>
      </c>
      <c r="D24" s="93">
        <f>SUM(D20:D23)</f>
        <v/>
      </c>
      <c r="E24" s="93">
        <f>SUM(E20:E23)</f>
        <v/>
      </c>
      <c r="F24" s="93">
        <f>SUM(F20:F23)</f>
        <v/>
      </c>
      <c r="G24" s="93">
        <f>SUM(G20:G23)</f>
        <v/>
      </c>
    </row>
    <row r="25">
      <c r="A25" t="inlineStr">
        <is>
          <t>Fixed Assets</t>
        </is>
      </c>
      <c r="B25" s="92" t="n">
        <v>44175210057</v>
      </c>
      <c r="C25" s="92" t="n">
        <v>60199672377</v>
      </c>
      <c r="D25" s="92" t="n">
        <v>89916231377</v>
      </c>
      <c r="E25" s="92" t="n">
        <v>207445737487</v>
      </c>
      <c r="F25" s="92" t="n">
        <v>737899921734</v>
      </c>
      <c r="G25" s="92" t="n">
        <v>1259939797125</v>
      </c>
    </row>
    <row r="26">
      <c r="A26" t="inlineStr">
        <is>
          <t>Other</t>
        </is>
      </c>
      <c r="B26" s="92" t="n">
        <v>1826284113</v>
      </c>
      <c r="C26" s="92" t="n">
        <v>2480391261</v>
      </c>
      <c r="D26" s="92" t="n">
        <v>3092121520</v>
      </c>
      <c r="E26" s="92" t="n">
        <v>4979854992</v>
      </c>
      <c r="F26" s="92" t="n">
        <v>13562826625</v>
      </c>
      <c r="G26" s="92" t="n">
        <v>85618950677</v>
      </c>
    </row>
    <row r="27">
      <c r="A27" s="23" t="inlineStr">
        <is>
          <t>Non Current Assets</t>
        </is>
      </c>
      <c r="B27" s="93">
        <f>B25+B26</f>
        <v/>
      </c>
      <c r="C27" s="93">
        <f>C25+C26</f>
        <v/>
      </c>
      <c r="D27" s="93">
        <f>D25+D26</f>
        <v/>
      </c>
      <c r="E27" s="93">
        <f>E25+E26</f>
        <v/>
      </c>
      <c r="F27" s="93">
        <f>F25+F26</f>
        <v/>
      </c>
      <c r="G27" s="93">
        <f>G25+G26</f>
        <v/>
      </c>
    </row>
    <row r="28" ht="15" customHeight="1" thickBot="1">
      <c r="A28" s="27" t="inlineStr">
        <is>
          <t>Total Assets</t>
        </is>
      </c>
      <c r="B28" s="94">
        <f>B24+B27</f>
        <v/>
      </c>
      <c r="C28" s="94">
        <f>C24+C27</f>
        <v/>
      </c>
      <c r="D28" s="94">
        <f>D24+D27</f>
        <v/>
      </c>
      <c r="E28" s="94">
        <f>E24+E27</f>
        <v/>
      </c>
      <c r="F28" s="94">
        <f>F24+F27</f>
        <v/>
      </c>
      <c r="G28" s="94">
        <f>G24+G27</f>
        <v/>
      </c>
    </row>
    <row r="29">
      <c r="A29" t="inlineStr">
        <is>
          <t>Payables</t>
        </is>
      </c>
      <c r="B29" s="92" t="n">
        <v>4615356124</v>
      </c>
      <c r="C29" s="92" t="n">
        <v>4789321872</v>
      </c>
      <c r="D29" s="92" t="n">
        <v>11888382325</v>
      </c>
      <c r="E29" s="92" t="n">
        <v>29364578190</v>
      </c>
      <c r="F29" s="92" t="n">
        <v>107703695971</v>
      </c>
      <c r="G29" s="92" t="n">
        <v>111743862956</v>
      </c>
    </row>
    <row r="30">
      <c r="A30" t="inlineStr">
        <is>
          <t>Loans</t>
        </is>
      </c>
      <c r="B30" s="92" t="n">
        <v>11531280521</v>
      </c>
      <c r="C30" s="92" t="n">
        <v>6119068136</v>
      </c>
      <c r="D30" s="92" t="n">
        <v>11438716791</v>
      </c>
      <c r="E30" s="92" t="n">
        <v>45532934684</v>
      </c>
      <c r="F30" s="92" t="n">
        <v>83358417754</v>
      </c>
      <c r="G30" s="92" t="n">
        <v>433391263269</v>
      </c>
    </row>
    <row r="31">
      <c r="A31" t="inlineStr">
        <is>
          <t>Other</t>
        </is>
      </c>
      <c r="B31" s="92" t="n">
        <v>2337811076</v>
      </c>
      <c r="C31" s="92" t="n">
        <v>2990271080</v>
      </c>
      <c r="D31" s="92" t="n">
        <v>19755544912</v>
      </c>
      <c r="E31" s="92" t="n">
        <v>9491032148</v>
      </c>
      <c r="F31" s="92" t="n">
        <v>56316326894</v>
      </c>
      <c r="G31" s="92" t="n">
        <v>56229216361</v>
      </c>
    </row>
    <row r="32">
      <c r="A32" s="23" t="inlineStr">
        <is>
          <t>Current Liabilities</t>
        </is>
      </c>
      <c r="B32" s="93">
        <f>SUM(B29:B31)</f>
        <v/>
      </c>
      <c r="C32" s="93">
        <f>SUM(C29:C31)</f>
        <v/>
      </c>
      <c r="D32" s="93">
        <f>SUM(D29:D31)</f>
        <v/>
      </c>
      <c r="E32" s="93">
        <f>SUM(E29:E31)</f>
        <v/>
      </c>
      <c r="F32" s="93">
        <f>SUM(F29:F31)</f>
        <v/>
      </c>
      <c r="G32" s="93">
        <f>SUM(G29:G31)</f>
        <v/>
      </c>
    </row>
    <row r="33">
      <c r="A33" t="inlineStr">
        <is>
          <t>Loans</t>
        </is>
      </c>
      <c r="B33" s="92" t="n">
        <v>17358044398</v>
      </c>
      <c r="C33" s="92" t="n">
        <v>23811203685</v>
      </c>
      <c r="D33" s="92" t="n">
        <v>23801570192</v>
      </c>
      <c r="E33" s="92" t="n">
        <v>69611275176</v>
      </c>
      <c r="F33" s="92" t="n">
        <v>468120057201</v>
      </c>
      <c r="G33" s="92" t="n">
        <v>417391464490</v>
      </c>
    </row>
    <row r="34">
      <c r="A34" t="inlineStr">
        <is>
          <t>Other</t>
        </is>
      </c>
      <c r="B34" s="92" t="n">
        <v>9492454961</v>
      </c>
      <c r="C34" s="92" t="n">
        <v>19732650053</v>
      </c>
      <c r="D34" s="92" t="n">
        <v>32016679052</v>
      </c>
      <c r="E34" s="92" t="n">
        <v>31991505856</v>
      </c>
      <c r="F34" s="92" t="n">
        <v>120279464099</v>
      </c>
      <c r="G34" s="92" t="n">
        <v>210646455799</v>
      </c>
    </row>
    <row r="35">
      <c r="A35" s="23" t="inlineStr">
        <is>
          <t>Non Current Liabilities</t>
        </is>
      </c>
      <c r="B35" s="93">
        <f>B33+B34</f>
        <v/>
      </c>
      <c r="C35" s="93">
        <f>C33+C34</f>
        <v/>
      </c>
      <c r="D35" s="93">
        <f>D33+D34</f>
        <v/>
      </c>
      <c r="E35" s="93">
        <f>E33+E34</f>
        <v/>
      </c>
      <c r="F35" s="93">
        <f>F33+F34</f>
        <v/>
      </c>
      <c r="G35" s="93">
        <f>G33+G34</f>
        <v/>
      </c>
    </row>
    <row r="36" ht="15" customHeight="1" thickBot="1">
      <c r="A36" s="27" t="inlineStr">
        <is>
          <t>Total Liabilities</t>
        </is>
      </c>
      <c r="B36" s="94">
        <f>B32+B35</f>
        <v/>
      </c>
      <c r="C36" s="94">
        <f>C32+C35</f>
        <v/>
      </c>
      <c r="D36" s="94">
        <f>D32+D35</f>
        <v/>
      </c>
      <c r="E36" s="94">
        <f>E32+E35</f>
        <v/>
      </c>
      <c r="F36" s="94">
        <f>F32+F35</f>
        <v/>
      </c>
      <c r="G36" s="94">
        <f>G32+G35</f>
        <v/>
      </c>
    </row>
    <row r="37"/>
    <row r="38"/>
    <row r="39">
      <c r="A39" s="24" t="inlineStr">
        <is>
          <t>Cash Flow</t>
        </is>
      </c>
      <c r="B39" s="26" t="n"/>
      <c r="C39" s="26" t="n"/>
      <c r="D39" s="26" t="n"/>
      <c r="E39" s="26" t="n"/>
      <c r="F39" s="26" t="n"/>
      <c r="G39" s="26" t="n"/>
    </row>
    <row r="40">
      <c r="A40" t="inlineStr">
        <is>
          <t>Net Income</t>
        </is>
      </c>
      <c r="B40" s="92" t="n">
        <v>-3383512673</v>
      </c>
      <c r="C40" s="92" t="n">
        <v>4641605112</v>
      </c>
      <c r="D40" s="92" t="n">
        <v>30385580328</v>
      </c>
      <c r="E40" s="92" t="n">
        <v>69922827183</v>
      </c>
      <c r="F40" s="92" t="n">
        <v>121150091396</v>
      </c>
      <c r="G40" s="92" t="n">
        <v>13115851843</v>
      </c>
    </row>
    <row r="41">
      <c r="A41" t="inlineStr">
        <is>
          <t>D&amp;A</t>
        </is>
      </c>
      <c r="B41" s="92" t="n">
        <v>5266517939</v>
      </c>
      <c r="C41" s="92" t="n">
        <v>8068595606</v>
      </c>
      <c r="D41" s="92" t="n">
        <v>12274436811</v>
      </c>
      <c r="E41" s="92" t="n">
        <v>20875020793</v>
      </c>
      <c r="F41" s="92" t="n">
        <v>70381898924</v>
      </c>
      <c r="G41" s="92" t="n">
        <v>101510923181</v>
      </c>
    </row>
    <row r="42">
      <c r="A42" t="inlineStr">
        <is>
          <t>Working Capital</t>
        </is>
      </c>
      <c r="B42" s="92" t="n">
        <v>0</v>
      </c>
      <c r="C42" s="92" t="n">
        <v>-11283800595</v>
      </c>
      <c r="D42" s="92" t="n">
        <v>-36688723298</v>
      </c>
      <c r="E42" s="92" t="n">
        <v>-103819332986</v>
      </c>
      <c r="F42" s="92" t="n">
        <v>-598782353931</v>
      </c>
      <c r="G42" s="92" t="n">
        <v>-375069451932</v>
      </c>
    </row>
    <row r="43">
      <c r="A43" t="inlineStr">
        <is>
          <t>Other</t>
        </is>
      </c>
      <c r="B43" s="92">
        <f>18920408390-B40-B41-B42</f>
        <v/>
      </c>
      <c r="C43" s="92">
        <f>16892256112-C40-C41-C42</f>
        <v/>
      </c>
      <c r="D43" s="92">
        <f>23470364498-D40-D41-D42</f>
        <v/>
      </c>
      <c r="E43" s="92">
        <f>57135968178-E40-E41-E42</f>
        <v/>
      </c>
      <c r="F43" s="92">
        <f>106907787111-F40-F41-F42</f>
        <v/>
      </c>
      <c r="G43" s="92">
        <f>43951466473-G40-G41-G42</f>
        <v/>
      </c>
    </row>
    <row r="44">
      <c r="A44" s="23" t="inlineStr">
        <is>
          <t>Cash Flow from Operating Activities (CFO)</t>
        </is>
      </c>
      <c r="B44" s="93">
        <f>SUM(B40:B43)</f>
        <v/>
      </c>
      <c r="C44" s="93">
        <f>SUM(C40:C43)</f>
        <v/>
      </c>
      <c r="D44" s="93">
        <f>SUM(D40:D43)</f>
        <v/>
      </c>
      <c r="E44" s="93">
        <f>SUM(E40:E43)</f>
        <v/>
      </c>
      <c r="F44" s="93">
        <f>SUM(F40:F43)</f>
        <v/>
      </c>
      <c r="G44" s="93">
        <f>SUM(G40:G43)</f>
        <v/>
      </c>
    </row>
    <row r="45">
      <c r="A45" t="inlineStr">
        <is>
          <t>CAPEX</t>
        </is>
      </c>
      <c r="B45" s="92" t="n">
        <v>-7931457989</v>
      </c>
      <c r="C45" s="92" t="n">
        <v>-1555450901</v>
      </c>
      <c r="D45" s="92" t="n">
        <v>-2921329114</v>
      </c>
      <c r="E45" s="92" t="n">
        <v>-33141554950</v>
      </c>
      <c r="F45" s="92" t="n">
        <v>-34543200226</v>
      </c>
      <c r="G45" s="92" t="n">
        <v>-348821496391</v>
      </c>
    </row>
    <row r="46">
      <c r="A46" t="inlineStr">
        <is>
          <t>Other</t>
        </is>
      </c>
      <c r="B46" s="92" t="n">
        <v>65838537</v>
      </c>
      <c r="C46" s="92" t="n">
        <v>0</v>
      </c>
      <c r="D46" s="92" t="n">
        <v>0</v>
      </c>
      <c r="E46" s="92" t="n">
        <v>-10185981</v>
      </c>
      <c r="F46" s="92" t="n">
        <v>-1414203</v>
      </c>
      <c r="G46" s="92" t="n">
        <v>-129203516</v>
      </c>
    </row>
    <row r="47">
      <c r="A47" s="23" t="inlineStr">
        <is>
          <t>Cash Flow from Investing Activities (CFI)</t>
        </is>
      </c>
      <c r="B47" s="93">
        <f>B45+B46</f>
        <v/>
      </c>
      <c r="C47" s="93">
        <f>C45+C46</f>
        <v/>
      </c>
      <c r="D47" s="93">
        <f>D45+D46</f>
        <v/>
      </c>
      <c r="E47" s="93">
        <f>E45+E46</f>
        <v/>
      </c>
      <c r="F47" s="93">
        <f>F45+F46</f>
        <v/>
      </c>
      <c r="G47" s="93">
        <f>G45+G46</f>
        <v/>
      </c>
    </row>
    <row r="48">
      <c r="A48" t="inlineStr">
        <is>
          <t>Debt</t>
        </is>
      </c>
      <c r="B48" s="92" t="n">
        <v>-9712762941</v>
      </c>
      <c r="C48" s="92" t="n">
        <v>-7179287242</v>
      </c>
      <c r="D48" s="92" t="n">
        <v>-4156614838</v>
      </c>
      <c r="E48" s="92" t="n">
        <v>20013830426</v>
      </c>
      <c r="F48" s="92" t="n">
        <v>126088588715</v>
      </c>
      <c r="G48" s="92" t="n">
        <v>38022844248</v>
      </c>
    </row>
    <row r="49">
      <c r="A49" t="inlineStr">
        <is>
          <t>Dividends</t>
        </is>
      </c>
      <c r="B49" s="92" t="n">
        <v>-5519136360</v>
      </c>
      <c r="C49" s="92" t="n">
        <v>-265084677</v>
      </c>
      <c r="D49" s="92" t="n">
        <v>-4882984193</v>
      </c>
      <c r="E49" s="92" t="n">
        <v>-55603571486</v>
      </c>
      <c r="F49" s="92" t="n">
        <v>-3133677232</v>
      </c>
      <c r="G49" s="92" t="n">
        <v>-9059413297</v>
      </c>
    </row>
    <row r="50">
      <c r="A50" t="inlineStr">
        <is>
          <t>Other</t>
        </is>
      </c>
      <c r="B50" s="92" t="n">
        <v>0</v>
      </c>
      <c r="C50" s="92" t="n">
        <v>0</v>
      </c>
      <c r="D50" s="92" t="n">
        <v>0</v>
      </c>
      <c r="E50" s="92" t="n">
        <v>0</v>
      </c>
      <c r="F50" s="92" t="n">
        <v>0</v>
      </c>
      <c r="G50" s="92" t="n">
        <v>0</v>
      </c>
    </row>
    <row r="51">
      <c r="A51" s="23" t="inlineStr">
        <is>
          <t>Cash Flow from Financing Activities (CFF)</t>
        </is>
      </c>
      <c r="B51" s="93">
        <f>SUM(B48:B50)</f>
        <v/>
      </c>
      <c r="C51" s="93">
        <f>SUM(C48:C50)</f>
        <v/>
      </c>
      <c r="D51" s="93">
        <f>SUM(D48:D50)</f>
        <v/>
      </c>
      <c r="E51" s="93">
        <f>SUM(E48:E50)</f>
        <v/>
      </c>
      <c r="F51" s="93">
        <f>SUM(F48:F50)</f>
        <v/>
      </c>
      <c r="G51" s="93">
        <f>SUM(G48:G50)</f>
        <v/>
      </c>
    </row>
    <row r="52" ht="15" customHeight="1" thickBot="1">
      <c r="A52" s="27" t="inlineStr">
        <is>
          <t>Net Changes in Cash</t>
        </is>
      </c>
      <c r="B52" s="94">
        <f>B44+B47+B51</f>
        <v/>
      </c>
      <c r="C52" s="94">
        <f>C44+C47+C51</f>
        <v/>
      </c>
      <c r="D52" s="94">
        <f>D44+D47+D51</f>
        <v/>
      </c>
      <c r="E52" s="94">
        <f>E44+E47+E51</f>
        <v/>
      </c>
      <c r="F52" s="94">
        <f>F44+F47+F51</f>
        <v/>
      </c>
      <c r="G52" s="94">
        <f>G44+G47+G51</f>
        <v/>
      </c>
    </row>
    <row r="53"/>
    <row r="54">
      <c r="A54" s="84" t="inlineStr">
        <is>
          <t>Cifras en pesos, en moneda de cierre de cada ejercicio (NIC 29). Fila 2: CCL de cierre usado para convertir a dolares el bloque de abajo.</t>
        </is>
      </c>
    </row>
    <row r="55" ht="18" customHeight="1">
      <c r="A55" s="39" t="inlineStr">
        <is>
          <t>Dólares (US$)</t>
        </is>
      </c>
    </row>
    <row r="56">
      <c r="A56" s="34" t="inlineStr">
        <is>
          <t>Income Statement</t>
        </is>
      </c>
      <c r="B56" s="36" t="n"/>
      <c r="C56" s="36" t="n"/>
      <c r="D56" s="36" t="n"/>
      <c r="E56" s="36" t="n"/>
      <c r="F56" s="36" t="n"/>
      <c r="G56" s="36" t="n"/>
    </row>
    <row r="57">
      <c r="A57" t="inlineStr">
        <is>
          <t>Revenues</t>
        </is>
      </c>
      <c r="B57" s="95">
        <f>B7/B$2</f>
        <v/>
      </c>
      <c r="C57" s="95">
        <f>C7/C$2</f>
        <v/>
      </c>
      <c r="D57" s="95">
        <f>D7/D$2</f>
        <v/>
      </c>
      <c r="E57" s="95">
        <f>E7/E$2</f>
        <v/>
      </c>
      <c r="F57" s="95">
        <f>F7/F$2</f>
        <v/>
      </c>
      <c r="G57" s="95">
        <f>G7/G$2</f>
        <v/>
      </c>
    </row>
    <row r="58">
      <c r="A58" t="inlineStr">
        <is>
          <t>Operating Costs</t>
        </is>
      </c>
      <c r="B58" s="95">
        <f>B8/B$2</f>
        <v/>
      </c>
      <c r="C58" s="95">
        <f>C8/C$2</f>
        <v/>
      </c>
      <c r="D58" s="95">
        <f>D8/D$2</f>
        <v/>
      </c>
      <c r="E58" s="95">
        <f>E8/E$2</f>
        <v/>
      </c>
      <c r="F58" s="95">
        <f>F8/F$2</f>
        <v/>
      </c>
      <c r="G58" s="95">
        <f>G8/G$2</f>
        <v/>
      </c>
    </row>
    <row r="59">
      <c r="A59" s="23" t="inlineStr">
        <is>
          <t>Gross Income</t>
        </is>
      </c>
      <c r="B59" s="96">
        <f>B9/B$2</f>
        <v/>
      </c>
      <c r="C59" s="96">
        <f>C9/C$2</f>
        <v/>
      </c>
      <c r="D59" s="96">
        <f>D9/D$2</f>
        <v/>
      </c>
      <c r="E59" s="96">
        <f>E9/E$2</f>
        <v/>
      </c>
      <c r="F59" s="96">
        <f>F9/F$2</f>
        <v/>
      </c>
      <c r="G59" s="96">
        <f>G9/G$2</f>
        <v/>
      </c>
    </row>
    <row r="60">
      <c r="A60" t="inlineStr">
        <is>
          <t>SG&amp;A</t>
        </is>
      </c>
      <c r="B60" s="95">
        <f>B10/B$2</f>
        <v/>
      </c>
      <c r="C60" s="95">
        <f>C10/C$2</f>
        <v/>
      </c>
      <c r="D60" s="95">
        <f>D10/D$2</f>
        <v/>
      </c>
      <c r="E60" s="95">
        <f>E10/E$2</f>
        <v/>
      </c>
      <c r="F60" s="95">
        <f>F10/F$2</f>
        <v/>
      </c>
      <c r="G60" s="95">
        <f>G10/G$2</f>
        <v/>
      </c>
    </row>
    <row r="61">
      <c r="A61" t="inlineStr">
        <is>
          <t>Others</t>
        </is>
      </c>
      <c r="B61" s="95">
        <f>B11/B$2</f>
        <v/>
      </c>
      <c r="C61" s="95">
        <f>C11/C$2</f>
        <v/>
      </c>
      <c r="D61" s="95">
        <f>D11/D$2</f>
        <v/>
      </c>
      <c r="E61" s="95">
        <f>E11/E$2</f>
        <v/>
      </c>
      <c r="F61" s="95">
        <f>F11/F$2</f>
        <v/>
      </c>
      <c r="G61" s="95">
        <f>G11/G$2</f>
        <v/>
      </c>
    </row>
    <row r="62">
      <c r="A62" s="23" t="inlineStr">
        <is>
          <t>EBIT</t>
        </is>
      </c>
      <c r="B62" s="96">
        <f>B12/B$2</f>
        <v/>
      </c>
      <c r="C62" s="96">
        <f>C12/C$2</f>
        <v/>
      </c>
      <c r="D62" s="96">
        <f>D12/D$2</f>
        <v/>
      </c>
      <c r="E62" s="96">
        <f>E12/E$2</f>
        <v/>
      </c>
      <c r="F62" s="96">
        <f>F12/F$2</f>
        <v/>
      </c>
      <c r="G62" s="96">
        <f>G12/G$2</f>
        <v/>
      </c>
    </row>
    <row r="63">
      <c r="A63" t="inlineStr">
        <is>
          <t>Net Financial Results</t>
        </is>
      </c>
      <c r="B63" s="95">
        <f>B13/B$2</f>
        <v/>
      </c>
      <c r="C63" s="95">
        <f>C13/C$2</f>
        <v/>
      </c>
      <c r="D63" s="95">
        <f>D13/D$2</f>
        <v/>
      </c>
      <c r="E63" s="95">
        <f>E13/E$2</f>
        <v/>
      </c>
      <c r="F63" s="95">
        <f>F13/F$2</f>
        <v/>
      </c>
      <c r="G63" s="95">
        <f>G13/G$2</f>
        <v/>
      </c>
    </row>
    <row r="64">
      <c r="A64" s="23" t="inlineStr">
        <is>
          <t>Earnings Before Taxes</t>
        </is>
      </c>
      <c r="B64" s="96">
        <f>B14/B$2</f>
        <v/>
      </c>
      <c r="C64" s="96">
        <f>C14/C$2</f>
        <v/>
      </c>
      <c r="D64" s="96">
        <f>D14/D$2</f>
        <v/>
      </c>
      <c r="E64" s="96">
        <f>E14/E$2</f>
        <v/>
      </c>
      <c r="F64" s="96">
        <f>F14/F$2</f>
        <v/>
      </c>
      <c r="G64" s="96">
        <f>G14/G$2</f>
        <v/>
      </c>
    </row>
    <row r="65">
      <c r="A65" t="inlineStr">
        <is>
          <t>Income Tax</t>
        </is>
      </c>
      <c r="B65" s="95">
        <f>B15/B$2</f>
        <v/>
      </c>
      <c r="C65" s="95">
        <f>C15/C$2</f>
        <v/>
      </c>
      <c r="D65" s="95">
        <f>D15/D$2</f>
        <v/>
      </c>
      <c r="E65" s="95">
        <f>E15/E$2</f>
        <v/>
      </c>
      <c r="F65" s="95">
        <f>F15/F$2</f>
        <v/>
      </c>
      <c r="G65" s="95">
        <f>G15/G$2</f>
        <v/>
      </c>
    </row>
    <row r="66" ht="15" customHeight="1" thickBot="1">
      <c r="A66" s="27" t="inlineStr">
        <is>
          <t>Net Income</t>
        </is>
      </c>
      <c r="B66" s="97">
        <f>B16/B$2</f>
        <v/>
      </c>
      <c r="C66" s="97">
        <f>C16/C$2</f>
        <v/>
      </c>
      <c r="D66" s="97">
        <f>D16/D$2</f>
        <v/>
      </c>
      <c r="E66" s="97">
        <f>E16/E$2</f>
        <v/>
      </c>
      <c r="F66" s="97">
        <f>F16/F$2</f>
        <v/>
      </c>
      <c r="G66" s="97">
        <f>G16/G$2</f>
        <v/>
      </c>
    </row>
    <row r="67"/>
    <row r="68"/>
    <row r="69">
      <c r="A69" s="34" t="inlineStr">
        <is>
          <t>Balance Sheet</t>
        </is>
      </c>
      <c r="B69" s="35" t="n"/>
      <c r="C69" s="35" t="n"/>
      <c r="D69" s="35" t="n"/>
      <c r="E69" s="35" t="n"/>
      <c r="F69" s="35" t="n"/>
      <c r="G69" s="35" t="n"/>
    </row>
    <row r="70">
      <c r="A70" t="inlineStr">
        <is>
          <t>Cash &amp; ST Investments</t>
        </is>
      </c>
      <c r="B70" s="95">
        <f>B20/B$2</f>
        <v/>
      </c>
      <c r="C70" s="95">
        <f>C20/C$2</f>
        <v/>
      </c>
      <c r="D70" s="95">
        <f>D20/D$2</f>
        <v/>
      </c>
      <c r="E70" s="95">
        <f>E20/E$2</f>
        <v/>
      </c>
      <c r="F70" s="95">
        <f>F20/F$2</f>
        <v/>
      </c>
      <c r="G70" s="95">
        <f>G20/G$2</f>
        <v/>
      </c>
    </row>
    <row r="71">
      <c r="A71" t="inlineStr">
        <is>
          <t>Receivables</t>
        </is>
      </c>
      <c r="B71" s="95">
        <f>B21/B$2</f>
        <v/>
      </c>
      <c r="C71" s="95">
        <f>C21/C$2</f>
        <v/>
      </c>
      <c r="D71" s="95">
        <f>D21/D$2</f>
        <v/>
      </c>
      <c r="E71" s="95">
        <f>E21/E$2</f>
        <v/>
      </c>
      <c r="F71" s="95">
        <f>F21/F$2</f>
        <v/>
      </c>
      <c r="G71" s="95">
        <f>G21/G$2</f>
        <v/>
      </c>
    </row>
    <row r="72">
      <c r="A72" t="inlineStr">
        <is>
          <t>Inventories</t>
        </is>
      </c>
      <c r="B72" s="95">
        <f>B22/B$2</f>
        <v/>
      </c>
      <c r="C72" s="95">
        <f>C22/C$2</f>
        <v/>
      </c>
      <c r="D72" s="95">
        <f>D22/D$2</f>
        <v/>
      </c>
      <c r="E72" s="95">
        <f>E22/E$2</f>
        <v/>
      </c>
      <c r="F72" s="95">
        <f>F22/F$2</f>
        <v/>
      </c>
      <c r="G72" s="95">
        <f>G22/G$2</f>
        <v/>
      </c>
    </row>
    <row r="73">
      <c r="A73" t="inlineStr">
        <is>
          <t>Other receivables</t>
        </is>
      </c>
      <c r="B73" s="95">
        <f>B23/B$2</f>
        <v/>
      </c>
      <c r="C73" s="95">
        <f>C23/C$2</f>
        <v/>
      </c>
      <c r="D73" s="95">
        <f>D23/D$2</f>
        <v/>
      </c>
      <c r="E73" s="95">
        <f>E23/E$2</f>
        <v/>
      </c>
      <c r="F73" s="95">
        <f>F23/F$2</f>
        <v/>
      </c>
      <c r="G73" s="95">
        <f>G23/G$2</f>
        <v/>
      </c>
    </row>
    <row r="74">
      <c r="A74" s="23" t="inlineStr">
        <is>
          <t>Current Assets</t>
        </is>
      </c>
      <c r="B74" s="96">
        <f>B24/B$2</f>
        <v/>
      </c>
      <c r="C74" s="96">
        <f>C24/C$2</f>
        <v/>
      </c>
      <c r="D74" s="96">
        <f>D24/D$2</f>
        <v/>
      </c>
      <c r="E74" s="96">
        <f>E24/E$2</f>
        <v/>
      </c>
      <c r="F74" s="96">
        <f>F24/F$2</f>
        <v/>
      </c>
      <c r="G74" s="96">
        <f>G24/G$2</f>
        <v/>
      </c>
    </row>
    <row r="75">
      <c r="A75" t="inlineStr">
        <is>
          <t>Fixed Assets</t>
        </is>
      </c>
      <c r="B75" s="95">
        <f>B25/B$2</f>
        <v/>
      </c>
      <c r="C75" s="95">
        <f>C25/C$2</f>
        <v/>
      </c>
      <c r="D75" s="95">
        <f>D25/D$2</f>
        <v/>
      </c>
      <c r="E75" s="95">
        <f>E25/E$2</f>
        <v/>
      </c>
      <c r="F75" s="95">
        <f>F25/F$2</f>
        <v/>
      </c>
      <c r="G75" s="95">
        <f>G25/G$2</f>
        <v/>
      </c>
    </row>
    <row r="76">
      <c r="A76" t="inlineStr">
        <is>
          <t>Other</t>
        </is>
      </c>
      <c r="B76" s="95">
        <f>B26/B$2</f>
        <v/>
      </c>
      <c r="C76" s="95">
        <f>C26/C$2</f>
        <v/>
      </c>
      <c r="D76" s="95">
        <f>D26/D$2</f>
        <v/>
      </c>
      <c r="E76" s="95">
        <f>E26/E$2</f>
        <v/>
      </c>
      <c r="F76" s="95">
        <f>F26/F$2</f>
        <v/>
      </c>
      <c r="G76" s="95">
        <f>G26/G$2</f>
        <v/>
      </c>
    </row>
    <row r="77">
      <c r="A77" s="23" t="inlineStr">
        <is>
          <t>Non Current Assets</t>
        </is>
      </c>
      <c r="B77" s="96">
        <f>B27/B$2</f>
        <v/>
      </c>
      <c r="C77" s="96">
        <f>C27/C$2</f>
        <v/>
      </c>
      <c r="D77" s="96">
        <f>D27/D$2</f>
        <v/>
      </c>
      <c r="E77" s="96">
        <f>E27/E$2</f>
        <v/>
      </c>
      <c r="F77" s="96">
        <f>F27/F$2</f>
        <v/>
      </c>
      <c r="G77" s="96">
        <f>G27/G$2</f>
        <v/>
      </c>
    </row>
    <row r="78" ht="15" customHeight="1" thickBot="1">
      <c r="A78" s="27" t="inlineStr">
        <is>
          <t>Total Assets</t>
        </is>
      </c>
      <c r="B78" s="97">
        <f>B28/B$2</f>
        <v/>
      </c>
      <c r="C78" s="97">
        <f>C28/C$2</f>
        <v/>
      </c>
      <c r="D78" s="97">
        <f>D28/D$2</f>
        <v/>
      </c>
      <c r="E78" s="97">
        <f>E28/E$2</f>
        <v/>
      </c>
      <c r="F78" s="97">
        <f>F28/F$2</f>
        <v/>
      </c>
      <c r="G78" s="97">
        <f>G28/G$2</f>
        <v/>
      </c>
    </row>
    <row r="79">
      <c r="A79" t="inlineStr">
        <is>
          <t>Payables</t>
        </is>
      </c>
      <c r="B79" s="95">
        <f>B29/B$2</f>
        <v/>
      </c>
      <c r="C79" s="95">
        <f>C29/C$2</f>
        <v/>
      </c>
      <c r="D79" s="95">
        <f>D29/D$2</f>
        <v/>
      </c>
      <c r="E79" s="95">
        <f>E29/E$2</f>
        <v/>
      </c>
      <c r="F79" s="95">
        <f>F29/F$2</f>
        <v/>
      </c>
      <c r="G79" s="95">
        <f>G29/G$2</f>
        <v/>
      </c>
    </row>
    <row r="80">
      <c r="A80" t="inlineStr">
        <is>
          <t>Loans</t>
        </is>
      </c>
      <c r="B80" s="95">
        <f>B30/B$2</f>
        <v/>
      </c>
      <c r="C80" s="95">
        <f>C30/C$2</f>
        <v/>
      </c>
      <c r="D80" s="95">
        <f>D30/D$2</f>
        <v/>
      </c>
      <c r="E80" s="95">
        <f>E30/E$2</f>
        <v/>
      </c>
      <c r="F80" s="95">
        <f>F30/F$2</f>
        <v/>
      </c>
      <c r="G80" s="95">
        <f>G30/G$2</f>
        <v/>
      </c>
    </row>
    <row r="81">
      <c r="A81" t="inlineStr">
        <is>
          <t>Other</t>
        </is>
      </c>
      <c r="B81" s="95">
        <f>B31/B$2</f>
        <v/>
      </c>
      <c r="C81" s="95">
        <f>C31/C$2</f>
        <v/>
      </c>
      <c r="D81" s="95">
        <f>D31/D$2</f>
        <v/>
      </c>
      <c r="E81" s="95">
        <f>E31/E$2</f>
        <v/>
      </c>
      <c r="F81" s="95">
        <f>F31/F$2</f>
        <v/>
      </c>
      <c r="G81" s="95">
        <f>G31/G$2</f>
        <v/>
      </c>
    </row>
    <row r="82">
      <c r="A82" s="23" t="inlineStr">
        <is>
          <t>Current Liabilities</t>
        </is>
      </c>
      <c r="B82" s="96">
        <f>B32/B$2</f>
        <v/>
      </c>
      <c r="C82" s="96">
        <f>C32/C$2</f>
        <v/>
      </c>
      <c r="D82" s="96">
        <f>D32/D$2</f>
        <v/>
      </c>
      <c r="E82" s="96">
        <f>E32/E$2</f>
        <v/>
      </c>
      <c r="F82" s="96">
        <f>F32/F$2</f>
        <v/>
      </c>
      <c r="G82" s="96">
        <f>G32/G$2</f>
        <v/>
      </c>
    </row>
    <row r="83">
      <c r="A83" t="inlineStr">
        <is>
          <t>Loans</t>
        </is>
      </c>
      <c r="B83" s="95">
        <f>B33/B$2</f>
        <v/>
      </c>
      <c r="C83" s="95">
        <f>C33/C$2</f>
        <v/>
      </c>
      <c r="D83" s="95">
        <f>D33/D$2</f>
        <v/>
      </c>
      <c r="E83" s="95">
        <f>E33/E$2</f>
        <v/>
      </c>
      <c r="F83" s="95">
        <f>F33/F$2</f>
        <v/>
      </c>
      <c r="G83" s="95">
        <f>G33/G$2</f>
        <v/>
      </c>
    </row>
    <row r="84">
      <c r="A84" t="inlineStr">
        <is>
          <t>Other</t>
        </is>
      </c>
      <c r="B84" s="95">
        <f>B34/B$2</f>
        <v/>
      </c>
      <c r="C84" s="95">
        <f>C34/C$2</f>
        <v/>
      </c>
      <c r="D84" s="95">
        <f>D34/D$2</f>
        <v/>
      </c>
      <c r="E84" s="95">
        <f>E34/E$2</f>
        <v/>
      </c>
      <c r="F84" s="95">
        <f>F34/F$2</f>
        <v/>
      </c>
      <c r="G84" s="95">
        <f>G34/G$2</f>
        <v/>
      </c>
    </row>
    <row r="85">
      <c r="A85" s="23" t="inlineStr">
        <is>
          <t>Non Current Liabilities</t>
        </is>
      </c>
      <c r="B85" s="96">
        <f>B35/B$2</f>
        <v/>
      </c>
      <c r="C85" s="96">
        <f>C35/C$2</f>
        <v/>
      </c>
      <c r="D85" s="96">
        <f>D35/D$2</f>
        <v/>
      </c>
      <c r="E85" s="96">
        <f>E35/E$2</f>
        <v/>
      </c>
      <c r="F85" s="96">
        <f>F35/F$2</f>
        <v/>
      </c>
      <c r="G85" s="96">
        <f>G35/G$2</f>
        <v/>
      </c>
    </row>
    <row r="86" ht="15" customHeight="1" thickBot="1">
      <c r="A86" s="27" t="inlineStr">
        <is>
          <t>Total Liabilities</t>
        </is>
      </c>
      <c r="B86" s="97">
        <f>B36/B$2</f>
        <v/>
      </c>
      <c r="C86" s="97">
        <f>C36/C$2</f>
        <v/>
      </c>
      <c r="D86" s="97">
        <f>D36/D$2</f>
        <v/>
      </c>
      <c r="E86" s="97">
        <f>E36/E$2</f>
        <v/>
      </c>
      <c r="F86" s="97">
        <f>F36/F$2</f>
        <v/>
      </c>
      <c r="G86" s="97">
        <f>G36/G$2</f>
        <v/>
      </c>
    </row>
    <row r="87"/>
    <row r="88"/>
    <row r="89">
      <c r="A89" s="33" t="inlineStr">
        <is>
          <t>Cash Flow</t>
        </is>
      </c>
      <c r="B89" s="32" t="n"/>
      <c r="C89" s="32" t="n"/>
      <c r="D89" s="32" t="n"/>
      <c r="E89" s="32" t="n"/>
      <c r="F89" s="32" t="n"/>
      <c r="G89" s="32" t="n"/>
    </row>
    <row r="90">
      <c r="A90" t="inlineStr">
        <is>
          <t>Net Income</t>
        </is>
      </c>
      <c r="B90" s="95">
        <f>B40/B$2</f>
        <v/>
      </c>
      <c r="C90" s="95">
        <f>C40/C$2</f>
        <v/>
      </c>
      <c r="D90" s="95">
        <f>D40/D$2</f>
        <v/>
      </c>
      <c r="E90" s="95">
        <f>E40/E$2</f>
        <v/>
      </c>
      <c r="F90" s="95">
        <f>F40/F$2</f>
        <v/>
      </c>
      <c r="G90" s="95">
        <f>G40/G$2</f>
        <v/>
      </c>
    </row>
    <row r="91">
      <c r="A91" t="inlineStr">
        <is>
          <t>D&amp;A</t>
        </is>
      </c>
      <c r="B91" s="95">
        <f>B41/B$2</f>
        <v/>
      </c>
      <c r="C91" s="95">
        <f>C41/C$2</f>
        <v/>
      </c>
      <c r="D91" s="95">
        <f>D41/D$2</f>
        <v/>
      </c>
      <c r="E91" s="95">
        <f>E41/E$2</f>
        <v/>
      </c>
      <c r="F91" s="95">
        <f>F41/F$2</f>
        <v/>
      </c>
      <c r="G91" s="95">
        <f>G41/G$2</f>
        <v/>
      </c>
    </row>
    <row r="92">
      <c r="A92" t="inlineStr">
        <is>
          <t>Working Capital</t>
        </is>
      </c>
      <c r="B92" s="95">
        <f>B42/B$2</f>
        <v/>
      </c>
      <c r="C92" s="95">
        <f>C42/C$2</f>
        <v/>
      </c>
      <c r="D92" s="95">
        <f>D42/D$2</f>
        <v/>
      </c>
      <c r="E92" s="95">
        <f>E42/E$2</f>
        <v/>
      </c>
      <c r="F92" s="95">
        <f>F42/F$2</f>
        <v/>
      </c>
      <c r="G92" s="95">
        <f>G42/G$2</f>
        <v/>
      </c>
    </row>
    <row r="93">
      <c r="A93" t="inlineStr">
        <is>
          <t>Other</t>
        </is>
      </c>
      <c r="B93" s="95">
        <f>B43/B$2</f>
        <v/>
      </c>
      <c r="C93" s="95">
        <f>C43/C$2</f>
        <v/>
      </c>
      <c r="D93" s="95">
        <f>D43/D$2</f>
        <v/>
      </c>
      <c r="E93" s="95">
        <f>E43/E$2</f>
        <v/>
      </c>
      <c r="F93" s="95">
        <f>F43/F$2</f>
        <v/>
      </c>
      <c r="G93" s="95">
        <f>G43/G$2</f>
        <v/>
      </c>
    </row>
    <row r="94">
      <c r="A94" s="23" t="inlineStr">
        <is>
          <t>Cash Flow from Operating Activities (CFO)</t>
        </is>
      </c>
      <c r="B94" s="96">
        <f>B44/B$2</f>
        <v/>
      </c>
      <c r="C94" s="96">
        <f>C44/C$2</f>
        <v/>
      </c>
      <c r="D94" s="96">
        <f>D44/D$2</f>
        <v/>
      </c>
      <c r="E94" s="96">
        <f>E44/E$2</f>
        <v/>
      </c>
      <c r="F94" s="96">
        <f>F44/F$2</f>
        <v/>
      </c>
      <c r="G94" s="96">
        <f>G44/G$2</f>
        <v/>
      </c>
    </row>
    <row r="95">
      <c r="A95" t="inlineStr">
        <is>
          <t>CAPEX</t>
        </is>
      </c>
      <c r="B95" s="95">
        <f>B45/B$2</f>
        <v/>
      </c>
      <c r="C95" s="95">
        <f>C45/C$2</f>
        <v/>
      </c>
      <c r="D95" s="95">
        <f>D45/D$2</f>
        <v/>
      </c>
      <c r="E95" s="95">
        <f>E45/E$2</f>
        <v/>
      </c>
      <c r="F95" s="95">
        <f>F45/F$2</f>
        <v/>
      </c>
      <c r="G95" s="95">
        <f>G45/G$2</f>
        <v/>
      </c>
    </row>
    <row r="96">
      <c r="A96" t="inlineStr">
        <is>
          <t>Other</t>
        </is>
      </c>
      <c r="B96" s="95">
        <f>B46/B$2</f>
        <v/>
      </c>
      <c r="C96" s="95">
        <f>C46/C$2</f>
        <v/>
      </c>
      <c r="D96" s="95">
        <f>D46/D$2</f>
        <v/>
      </c>
      <c r="E96" s="95">
        <f>E46/E$2</f>
        <v/>
      </c>
      <c r="F96" s="95">
        <f>F46/F$2</f>
        <v/>
      </c>
      <c r="G96" s="95">
        <f>G46/G$2</f>
        <v/>
      </c>
    </row>
    <row r="97">
      <c r="A97" s="23" t="inlineStr">
        <is>
          <t>Cash Flow from Investing Activities (CFI)</t>
        </is>
      </c>
      <c r="B97" s="96">
        <f>B47/B$2</f>
        <v/>
      </c>
      <c r="C97" s="96">
        <f>C47/C$2</f>
        <v/>
      </c>
      <c r="D97" s="96">
        <f>D47/D$2</f>
        <v/>
      </c>
      <c r="E97" s="96">
        <f>E47/E$2</f>
        <v/>
      </c>
      <c r="F97" s="96">
        <f>F47/F$2</f>
        <v/>
      </c>
      <c r="G97" s="96">
        <f>G47/G$2</f>
        <v/>
      </c>
    </row>
    <row r="98">
      <c r="A98" t="inlineStr">
        <is>
          <t>Debt</t>
        </is>
      </c>
      <c r="B98" s="95">
        <f>B48/B$2</f>
        <v/>
      </c>
      <c r="C98" s="95">
        <f>C48/C$2</f>
        <v/>
      </c>
      <c r="D98" s="95">
        <f>D48/D$2</f>
        <v/>
      </c>
      <c r="E98" s="95">
        <f>E48/E$2</f>
        <v/>
      </c>
      <c r="F98" s="95">
        <f>F48/F$2</f>
        <v/>
      </c>
      <c r="G98" s="95">
        <f>G48/G$2</f>
        <v/>
      </c>
    </row>
    <row r="99">
      <c r="A99" t="inlineStr">
        <is>
          <t>Dividends</t>
        </is>
      </c>
      <c r="B99" s="95">
        <f>B49/B$2</f>
        <v/>
      </c>
      <c r="C99" s="95">
        <f>C49/C$2</f>
        <v/>
      </c>
      <c r="D99" s="95">
        <f>D49/D$2</f>
        <v/>
      </c>
      <c r="E99" s="95">
        <f>E49/E$2</f>
        <v/>
      </c>
      <c r="F99" s="95">
        <f>F49/F$2</f>
        <v/>
      </c>
      <c r="G99" s="95">
        <f>G49/G$2</f>
        <v/>
      </c>
    </row>
    <row r="100">
      <c r="A100" t="inlineStr">
        <is>
          <t>Other</t>
        </is>
      </c>
      <c r="B100" s="95">
        <f>B50/B$2</f>
        <v/>
      </c>
      <c r="C100" s="95">
        <f>C50/C$2</f>
        <v/>
      </c>
      <c r="D100" s="95">
        <f>D50/D$2</f>
        <v/>
      </c>
      <c r="E100" s="95">
        <f>E50/E$2</f>
        <v/>
      </c>
      <c r="F100" s="95">
        <f>F50/F$2</f>
        <v/>
      </c>
      <c r="G100" s="95">
        <f>G50/G$2</f>
        <v/>
      </c>
    </row>
    <row r="101">
      <c r="A101" s="23" t="inlineStr">
        <is>
          <t>Cash Flow from Financing Activities (CFF)</t>
        </is>
      </c>
      <c r="B101" s="96">
        <f>B51/B$2</f>
        <v/>
      </c>
      <c r="C101" s="96">
        <f>C51/C$2</f>
        <v/>
      </c>
      <c r="D101" s="96">
        <f>D51/D$2</f>
        <v/>
      </c>
      <c r="E101" s="96">
        <f>E51/E$2</f>
        <v/>
      </c>
      <c r="F101" s="96">
        <f>F51/F$2</f>
        <v/>
      </c>
      <c r="G101" s="96">
        <f>G51/G$2</f>
        <v/>
      </c>
    </row>
    <row r="102" ht="15" customHeight="1" thickBot="1">
      <c r="A102" s="27" t="inlineStr">
        <is>
          <t>Net Changes in Cash</t>
        </is>
      </c>
      <c r="B102" s="97">
        <f>B52/B$2</f>
        <v/>
      </c>
      <c r="C102" s="97">
        <f>C52/C$2</f>
        <v/>
      </c>
      <c r="D102" s="97">
        <f>D52/D$2</f>
        <v/>
      </c>
      <c r="E102" s="97">
        <f>E52/E$2</f>
        <v/>
      </c>
      <c r="F102" s="97">
        <f>F52/F$2</f>
        <v/>
      </c>
      <c r="G102" s="97">
        <f>G52/G$2</f>
        <v/>
      </c>
    </row>
    <row r="103"/>
    <row r="104">
      <c r="A104" s="84" t="inlineStr">
        <is>
          <t>Fuente: Estados Financieros Consolidados auditados por Price Waterhouse &amp; Co. S.R.L., ejercicios cerrados el 30 de junio de 2020 a 2025. Cada ejercicio se toma de la columna corriente de su propio informe (no del comparativo reexpresado).</t>
        </is>
      </c>
    </row>
    <row r="105">
      <c r="A105" s="84" t="inlineStr">
        <is>
          <t>Filas 43 y 50: partida residual que cierra el flujo operativo y el de financiacion contra el total informado (incluye RECPAM, resultados financieros e impuestos pagados).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zoomScale="102" zoomScaleNormal="130" workbookViewId="0">
      <selection activeCell="A1" sqref="A1:G25"/>
    </sheetView>
  </sheetViews>
  <sheetFormatPr baseColWidth="10" defaultRowHeight="14.4"/>
  <cols>
    <col width="30" bestFit="1" customWidth="1" min="1" max="1"/>
  </cols>
  <sheetData>
    <row r="1">
      <c r="A1" s="65" t="inlineStr">
        <is>
          <t>Indicador</t>
        </is>
      </c>
      <c r="B1" s="98" t="n">
        <v>2025</v>
      </c>
      <c r="C1" s="98" t="n">
        <v>2024</v>
      </c>
      <c r="D1" s="98" t="n">
        <v>2023</v>
      </c>
      <c r="E1" s="98" t="n">
        <v>2022</v>
      </c>
      <c r="F1" s="98" t="n">
        <v>2021</v>
      </c>
      <c r="G1" s="98" t="n">
        <v>2020</v>
      </c>
    </row>
    <row r="2">
      <c r="A2" s="1" t="inlineStr">
        <is>
          <t>Ratios de liquidez</t>
        </is>
      </c>
      <c r="B2" s="5" t="n"/>
      <c r="C2" s="5" t="n"/>
      <c r="D2" s="5" t="n"/>
      <c r="E2" s="5" t="n"/>
      <c r="F2" s="5" t="n"/>
      <c r="G2" s="5" t="n"/>
    </row>
    <row r="3">
      <c r="A3" s="3" t="inlineStr">
        <is>
          <t>Liquidez corriente</t>
        </is>
      </c>
      <c r="B3" s="99" t="n">
        <v>2.44471413588802</v>
      </c>
      <c r="C3" s="99" t="n">
        <v>4.927126077151708</v>
      </c>
      <c r="D3" s="99" t="n">
        <v>2.921241331459533</v>
      </c>
      <c r="E3" s="99" t="n">
        <v>2.923537305420274</v>
      </c>
      <c r="F3" s="99" t="n">
        <v>3.776745032967308</v>
      </c>
      <c r="G3" s="99" t="n">
        <v>1.893681489668349</v>
      </c>
    </row>
    <row r="4">
      <c r="A4" s="3" t="inlineStr">
        <is>
          <t>Liquidez seca</t>
        </is>
      </c>
      <c r="B4" s="99" t="n">
        <v>0.545604768769738</v>
      </c>
      <c r="C4" s="99" t="n">
        <v>1.869243109670101</v>
      </c>
      <c r="D4" s="99" t="n">
        <v>0.7669983068451535</v>
      </c>
      <c r="E4" s="99" t="n">
        <v>1.135531992841598</v>
      </c>
      <c r="F4" s="99" t="n">
        <v>1.151979110262912</v>
      </c>
      <c r="G4" s="99" t="n">
        <v>0.5331846994705242</v>
      </c>
    </row>
    <row r="5">
      <c r="A5" s="3" t="inlineStr">
        <is>
          <t>Liquidez de CP</t>
        </is>
      </c>
      <c r="B5" s="99" t="n">
        <v>0.1645386450724748</v>
      </c>
      <c r="C5" s="99" t="n">
        <v>1.076578023499535</v>
      </c>
      <c r="D5" s="99" t="n">
        <v>0.3518608972611041</v>
      </c>
      <c r="E5" s="99" t="n">
        <v>0.4679654731008841</v>
      </c>
      <c r="F5" s="99" t="n">
        <v>0.5218428869570836</v>
      </c>
      <c r="G5" s="99" t="n">
        <v>0.09950900723478531</v>
      </c>
    </row>
    <row r="6">
      <c r="A6" s="3" t="inlineStr">
        <is>
          <t>Capital de Trabajo</t>
        </is>
      </c>
      <c r="B6" s="100" t="n">
        <v>607.5521444426573</v>
      </c>
      <c r="C6" s="100" t="n">
        <v>719.6195000592593</v>
      </c>
      <c r="D6" s="100" t="n">
        <v>322.327555860835</v>
      </c>
      <c r="E6" s="100" t="n">
        <v>315.0991368973384</v>
      </c>
      <c r="F6" s="100" t="n">
        <v>233.8972008545454</v>
      </c>
      <c r="G6" s="100" t="n">
        <v>214.5351788961039</v>
      </c>
    </row>
    <row r="7">
      <c r="A7" s="3" t="inlineStr">
        <is>
          <t>Liquidez en modelo Z</t>
        </is>
      </c>
      <c r="B7" s="99" t="n">
        <v>0.308552962207174</v>
      </c>
      <c r="C7" s="99" t="n">
        <v>0.4930582952065514</v>
      </c>
      <c r="D7" s="99" t="n">
        <v>0.3532684670198173</v>
      </c>
      <c r="E7" s="99" t="n">
        <v>0.3784722761840511</v>
      </c>
      <c r="F7" s="99" t="n">
        <v>0.3350911471726548</v>
      </c>
      <c r="G7" s="99" t="n">
        <v>0.2039278816122682</v>
      </c>
    </row>
    <row r="8">
      <c r="A8" s="1" t="inlineStr">
        <is>
          <t>Ratios de endeudamiento</t>
        </is>
      </c>
      <c r="B8" s="5" t="n"/>
      <c r="C8" s="5" t="n"/>
      <c r="D8" s="5" t="n"/>
      <c r="E8" s="5" t="n"/>
      <c r="F8" s="5" t="n"/>
      <c r="G8" s="5" t="n"/>
    </row>
    <row r="9">
      <c r="A9" s="3" t="inlineStr">
        <is>
          <t>Endeudamiento sobre PN</t>
        </is>
      </c>
      <c r="B9" s="99" t="n">
        <v>0.536324648501999</v>
      </c>
      <c r="C9" s="99" t="n">
        <v>0.4860770284693879</v>
      </c>
      <c r="D9" s="99" t="n">
        <v>0.4218454039539624</v>
      </c>
      <c r="E9" s="99" t="n">
        <v>0.293519420384136</v>
      </c>
      <c r="F9" s="99" t="n">
        <v>0.5184594089939153</v>
      </c>
      <c r="G9" s="99" t="n">
        <v>0.8099007579070452</v>
      </c>
    </row>
    <row r="10">
      <c r="A10" s="3" t="inlineStr">
        <is>
          <t>Endeudamiento sobre AT</t>
        </is>
      </c>
      <c r="B10" s="99" t="n">
        <v>0.4366205101359742</v>
      </c>
      <c r="C10" s="99" t="n">
        <v>0.4241822519128652</v>
      </c>
      <c r="D10" s="99" t="n">
        <v>0.4052585110421674</v>
      </c>
      <c r="E10" s="99" t="n">
        <v>0.4516804819394944</v>
      </c>
      <c r="F10" s="99" t="n">
        <v>0.498755193079179</v>
      </c>
      <c r="G10" s="99" t="n">
        <v>0.5596551170792189</v>
      </c>
    </row>
    <row r="11">
      <c r="A11" s="3" t="inlineStr">
        <is>
          <t>PT/PN</t>
        </is>
      </c>
      <c r="B11" s="99" t="n">
        <v>0.77500249475066</v>
      </c>
      <c r="C11" s="99" t="n">
        <v>0.7366606071486987</v>
      </c>
      <c r="D11" s="99" t="n">
        <v>0.6814027919126733</v>
      </c>
      <c r="E11" s="99" t="n">
        <v>0.8237541562211045</v>
      </c>
      <c r="F11" s="99" t="n">
        <v>0.9950331378853859</v>
      </c>
      <c r="G11" s="99" t="n">
        <v>1.270947247909548</v>
      </c>
    </row>
    <row r="12">
      <c r="A12" s="3" t="inlineStr">
        <is>
          <t>Cobertura de intereses</t>
        </is>
      </c>
      <c r="B12" s="99" t="n">
        <v>3.525415533015455</v>
      </c>
      <c r="C12" s="99" t="n">
        <v>11.63135432134331</v>
      </c>
      <c r="D12" s="99" t="n">
        <v>3.86696191112156</v>
      </c>
      <c r="E12" s="99" t="n">
        <v>28.35126286039176</v>
      </c>
      <c r="F12" s="99" t="n">
        <v>4.119612069923641</v>
      </c>
      <c r="G12" s="99" t="n">
        <v>1.811694613884771</v>
      </c>
    </row>
    <row r="13">
      <c r="A13" s="3" t="inlineStr">
        <is>
          <t>Cobertura de intereses (EBITDA)</t>
        </is>
      </c>
      <c r="B13" s="99" t="n">
        <v>6.237718200813671</v>
      </c>
      <c r="C13" s="99" t="n">
        <v>15.60598303992679</v>
      </c>
      <c r="D13" s="99" t="n">
        <v>6.45684532537965</v>
      </c>
      <c r="E13" s="99" t="n">
        <v>36.51194036561976</v>
      </c>
      <c r="F13" s="99" t="n">
        <v>7.404458613563772</v>
      </c>
      <c r="G13" s="99" t="n">
        <v>4.387899087499548</v>
      </c>
    </row>
    <row r="14">
      <c r="A14" s="3" t="inlineStr">
        <is>
          <t>Rotacion de credito</t>
        </is>
      </c>
      <c r="B14" s="99" t="n">
        <v>19.489189905388</v>
      </c>
      <c r="C14" s="99" t="n">
        <v>13.98270692668961</v>
      </c>
      <c r="D14" s="99" t="n">
        <v>21.06895358806235</v>
      </c>
      <c r="E14" s="99" t="n">
        <v>9.102279648313711</v>
      </c>
      <c r="F14" s="99" t="n">
        <v>22.96528517328389</v>
      </c>
      <c r="G14" s="99" t="n">
        <v>21.39861512448947</v>
      </c>
    </row>
    <row r="15">
      <c r="A15" s="3" t="inlineStr">
        <is>
          <t>Dias de cobranza</t>
        </is>
      </c>
      <c r="B15" s="101" t="n">
        <v>18.72833102719635</v>
      </c>
      <c r="C15" s="101" t="n">
        <v>26.10367233709971</v>
      </c>
      <c r="D15" s="101" t="n">
        <v>17.32406872863437</v>
      </c>
      <c r="E15" s="101" t="n">
        <v>40.09984466557451</v>
      </c>
      <c r="F15" s="101" t="n">
        <v>15.89355399882488</v>
      </c>
      <c r="G15" s="101" t="n">
        <v>17.05717860135158</v>
      </c>
    </row>
    <row r="16">
      <c r="A16" s="3" t="inlineStr">
        <is>
          <t>Rotacion de inventario</t>
        </is>
      </c>
      <c r="B16" s="99" t="n">
        <v>1.165159169408799</v>
      </c>
      <c r="C16" s="99" t="n">
        <v>1.327722471909708</v>
      </c>
      <c r="D16" s="99" t="n">
        <v>1.483152805933767</v>
      </c>
      <c r="E16" s="99" t="n">
        <v>1.530509952224722</v>
      </c>
      <c r="F16" s="99" t="n">
        <v>1.874232927107141</v>
      </c>
      <c r="G16" s="99" t="n">
        <v>2.177520012331249</v>
      </c>
    </row>
    <row r="17">
      <c r="A17" s="3" t="inlineStr">
        <is>
          <t>Dias de venta</t>
        </is>
      </c>
      <c r="B17" s="101" t="n">
        <v>313.2619212748423</v>
      </c>
      <c r="C17" s="101" t="n">
        <v>274.9068481721246</v>
      </c>
      <c r="D17" s="101" t="n">
        <v>246.0973667310041</v>
      </c>
      <c r="E17" s="101" t="n">
        <v>238.4826047484647</v>
      </c>
      <c r="F17" s="101" t="n">
        <v>194.7463384731873</v>
      </c>
      <c r="G17" s="101" t="n">
        <v>167.6218808245219</v>
      </c>
    </row>
    <row r="18">
      <c r="A18" s="3" t="inlineStr">
        <is>
          <t>Dias de pago</t>
        </is>
      </c>
      <c r="B18" s="101" t="n">
        <v>30.65092875615865</v>
      </c>
      <c r="C18" s="101" t="n">
        <v>39.14113887579427</v>
      </c>
      <c r="D18" s="101" t="n">
        <v>39.75141010319857</v>
      </c>
      <c r="E18" s="101" t="n">
        <v>36.80512664264791</v>
      </c>
      <c r="F18" s="101" t="n">
        <v>25.56700064213037</v>
      </c>
      <c r="G18" s="101" t="n">
        <v>34.92111997692491</v>
      </c>
    </row>
    <row r="19">
      <c r="A19" s="3" t="inlineStr">
        <is>
          <t>Rotacion del activo</t>
        </is>
      </c>
      <c r="B19" s="99" t="n">
        <v>0.5548884961370464</v>
      </c>
      <c r="C19" s="99" t="n">
        <v>0.6275106976477031</v>
      </c>
      <c r="D19" s="99" t="n">
        <v>0.7099249959604462</v>
      </c>
      <c r="E19" s="99" t="n">
        <v>0.7864007924972323</v>
      </c>
      <c r="F19" s="99" t="n">
        <v>0.7356663495187065</v>
      </c>
      <c r="G19" s="99" t="n">
        <v>0.7827816814939224</v>
      </c>
    </row>
    <row r="20">
      <c r="A20" s="1" t="inlineStr">
        <is>
          <t>Ratios de rentabilidad</t>
        </is>
      </c>
      <c r="B20" s="5" t="n"/>
      <c r="C20" s="5" t="n"/>
      <c r="D20" s="5" t="n"/>
      <c r="E20" s="5" t="n"/>
      <c r="F20" s="5" t="n"/>
      <c r="G20" s="5" t="n"/>
    </row>
    <row r="21">
      <c r="A21" s="3" t="inlineStr">
        <is>
          <t>Margen neto</t>
        </is>
      </c>
      <c r="B21" s="102" t="n">
        <v>0.008394617369902421</v>
      </c>
      <c r="C21" s="102" t="n">
        <v>0.09798603632321685</v>
      </c>
      <c r="D21" s="102" t="n">
        <v>0.2146080289230241</v>
      </c>
      <c r="E21" s="102" t="n">
        <v>0.1764634244169097</v>
      </c>
      <c r="F21" s="102" t="n">
        <v>0.05478242895290512</v>
      </c>
      <c r="G21" s="102" t="n">
        <v>-0.05335984010494364</v>
      </c>
    </row>
    <row r="22">
      <c r="A22" s="3" t="inlineStr">
        <is>
          <t>ROA</t>
        </is>
      </c>
      <c r="B22" s="102" t="n">
        <v>0.004658076608031083</v>
      </c>
      <c r="C22" s="102" t="n">
        <v>0.06148728601291498</v>
      </c>
      <c r="D22" s="102" t="n">
        <v>0.1523556040662572</v>
      </c>
      <c r="E22" s="102" t="n">
        <v>0.1387709768082332</v>
      </c>
      <c r="F22" s="102" t="n">
        <v>0.0403015895255516</v>
      </c>
      <c r="G22" s="102" t="n">
        <v>-0.04176910536159461</v>
      </c>
    </row>
    <row r="23">
      <c r="A23" s="3" t="inlineStr">
        <is>
          <t>ROE</t>
        </is>
      </c>
      <c r="B23" s="102" t="n">
        <v>0.008268097599994863</v>
      </c>
      <c r="C23" s="102" t="n">
        <v>0.1067825474591146</v>
      </c>
      <c r="D23" s="102" t="n">
        <v>0.2561711380405467</v>
      </c>
      <c r="E23" s="102" t="n">
        <v>0.2530841457168778</v>
      </c>
      <c r="F23" s="102" t="n">
        <v>0.08040300661293001</v>
      </c>
      <c r="G23" s="102" t="n">
        <v>-0.09485543486855724</v>
      </c>
    </row>
    <row r="24">
      <c r="A24" s="3" t="inlineStr">
        <is>
          <t>ROIC</t>
        </is>
      </c>
      <c r="B24" s="102" t="n">
        <v>0.03519041517394943</v>
      </c>
      <c r="C24" s="102" t="n">
        <v>0.07940416195109075</v>
      </c>
      <c r="D24" s="102" t="n">
        <v>0.0522021983800186</v>
      </c>
      <c r="E24" s="102" t="n">
        <v>0.1784783635420347</v>
      </c>
      <c r="F24" s="102" t="n">
        <v>0.07503319760768233</v>
      </c>
      <c r="G24" s="102" t="n">
        <v>0.03728904300336634</v>
      </c>
    </row>
    <row r="25">
      <c r="A25" s="3" t="inlineStr">
        <is>
          <t>Dupont</t>
        </is>
      </c>
      <c r="B25" s="102" t="n">
        <v>0.008268097599994861</v>
      </c>
      <c r="C25" s="102" t="n">
        <v>0.1067825474591146</v>
      </c>
      <c r="D25" s="102" t="n">
        <v>0.2561711380405467</v>
      </c>
      <c r="E25" s="102" t="n">
        <v>0.2530841457168778</v>
      </c>
      <c r="F25" s="102" t="n">
        <v>0.08040300661293001</v>
      </c>
      <c r="G25" s="102" t="n">
        <v>-0.09485543486855726</v>
      </c>
    </row>
    <row r="26"/>
    <row r="27">
      <c r="A27" s="76" t="inlineStr">
        <is>
          <t>Aperturas y aclaraciones</t>
        </is>
      </c>
    </row>
    <row r="28">
      <c r="A28" s="84" t="inlineStr">
        <is>
          <t>Liquidez corriente = Activo corriente / Pasivo corriente.</t>
        </is>
      </c>
    </row>
    <row r="29">
      <c r="A29" s="84" t="inlineStr">
        <is>
          <t>Liquidez seca = (Activo corriente - Inventarios) / Pasivo corriente.</t>
        </is>
      </c>
    </row>
    <row r="30">
      <c r="A30" s="84" t="inlineStr">
        <is>
          <t>Liquidez de corto plazo = Efectivo y equivalentes / Pasivo corriente.</t>
        </is>
      </c>
    </row>
    <row r="31">
      <c r="A31" s="84" t="inlineStr">
        <is>
          <t>Capital de trabajo = Activo corriente - Pasivo corriente, en millones de dolares.</t>
        </is>
      </c>
    </row>
    <row r="32">
      <c r="A32" s="84" t="inlineStr">
        <is>
          <t>Liquidez en modelo Z = Capital de trabajo / Activo total (variable X1 de Altman).</t>
        </is>
      </c>
    </row>
    <row r="33">
      <c r="A33" s="84" t="inlineStr">
        <is>
          <t>Endeudamiento sobre PN = Deuda financiera / Patrimonio neto.</t>
        </is>
      </c>
    </row>
    <row r="34">
      <c r="A34" s="84" t="inlineStr">
        <is>
          <t>Endeudamiento sobre AT = Pasivo total / Activo total.</t>
        </is>
      </c>
    </row>
    <row r="35">
      <c r="A35" s="84" t="inlineStr">
        <is>
          <t>PT/PN = Pasivo total / Patrimonio neto.</t>
        </is>
      </c>
    </row>
    <row r="36">
      <c r="A36" s="84" t="inlineStr">
        <is>
          <t>Cobertura de intereses = EBIT / Intereses pagados del estado de flujo de efectivo.</t>
        </is>
      </c>
    </row>
    <row r="37">
      <c r="A37" s="84" t="inlineStr">
        <is>
          <t>Rotacion de credito = Ventas / Cuentas por cobrar comerciales.</t>
        </is>
      </c>
    </row>
    <row r="38">
      <c r="A38" s="84" t="inlineStr">
        <is>
          <t>Dias de venta = Inventarios x 365 / Costo de ventas.</t>
        </is>
      </c>
    </row>
    <row r="39">
      <c r="A39" s="84" t="inlineStr">
        <is>
          <t>ROIC = NOPAT / Capital invertido, con Capital invertido = Deuda financiera + Patrimonio neto</t>
        </is>
      </c>
    </row>
    <row r="40">
      <c r="A40" s="84" t="inlineStr">
        <is>
          <t xml:space="preserve">  y NOPAT = EBIT x (1 - 35%), alicuota estatutaria de la Ley 20.628.</t>
        </is>
      </c>
    </row>
    <row r="41">
      <c r="A41" s="84" t="inlineStr">
        <is>
          <t>Dupont = Margen neto x Rotacion del activo x (Activo total / Patrimonio neto) = ROE.</t>
        </is>
      </c>
    </row>
    <row r="42"/>
    <row r="43">
      <c r="A43" s="84" t="inlineStr">
        <is>
          <t>Fuente: Elaboracion propia en base a estados financieros de Aluar e informacion de mercado.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zoomScale="71" workbookViewId="0">
      <pane ySplit="1" topLeftCell="A2" activePane="bottomLeft" state="frozen"/>
      <selection pane="bottomLeft" activeCell="A1" sqref="A1:L18"/>
    </sheetView>
  </sheetViews>
  <sheetFormatPr baseColWidth="10" defaultRowHeight="14.4"/>
  <cols>
    <col width="16.88671875" customWidth="1" min="1" max="1"/>
  </cols>
  <sheetData>
    <row r="1">
      <c r="A1" s="52" t="inlineStr">
        <is>
          <t>Variable</t>
        </is>
      </c>
      <c r="B1" s="53" t="n">
        <v>2020</v>
      </c>
      <c r="C1" s="53" t="n">
        <v>2021</v>
      </c>
      <c r="D1" s="53" t="n">
        <v>2022</v>
      </c>
      <c r="E1" s="53" t="n">
        <v>2023</v>
      </c>
      <c r="F1" s="53" t="n">
        <v>2024</v>
      </c>
      <c r="G1" s="53" t="n">
        <v>2025</v>
      </c>
      <c r="H1" s="53" t="inlineStr">
        <is>
          <t>2026E</t>
        </is>
      </c>
      <c r="I1" s="53" t="inlineStr">
        <is>
          <t>2027E</t>
        </is>
      </c>
      <c r="J1" s="53" t="inlineStr">
        <is>
          <t>2028E</t>
        </is>
      </c>
      <c r="K1" s="53" t="inlineStr">
        <is>
          <t>2029E</t>
        </is>
      </c>
      <c r="L1" s="53" t="inlineStr">
        <is>
          <t>2030E</t>
        </is>
      </c>
    </row>
    <row r="2">
      <c r="A2" s="63" t="inlineStr">
        <is>
          <t>PBI</t>
        </is>
      </c>
      <c r="B2" s="103" t="n">
        <v>-9.9</v>
      </c>
      <c r="C2" s="103" t="n">
        <v>10.3</v>
      </c>
      <c r="D2" s="103" t="n">
        <v>5.2</v>
      </c>
      <c r="E2" s="103" t="n">
        <v>-1.6</v>
      </c>
      <c r="F2" s="103" t="n">
        <v>-3.5</v>
      </c>
      <c r="G2" s="103" t="n">
        <v>4.4</v>
      </c>
      <c r="H2" s="103" t="n">
        <v>3.5</v>
      </c>
      <c r="I2" s="103" t="n">
        <v>4</v>
      </c>
      <c r="J2" s="103" t="n">
        <v>3.5</v>
      </c>
      <c r="K2" s="103" t="n">
        <v>3</v>
      </c>
      <c r="L2" s="103" t="n">
        <v>2.5</v>
      </c>
    </row>
    <row r="3">
      <c r="A3" s="63" t="inlineStr">
        <is>
          <t>TC (EOP)</t>
        </is>
      </c>
      <c r="B3" s="104" t="n">
        <v>77</v>
      </c>
      <c r="C3" s="104" t="n">
        <v>165</v>
      </c>
      <c r="D3" s="104" t="n">
        <v>263</v>
      </c>
      <c r="E3" s="104" t="n">
        <v>503</v>
      </c>
      <c r="F3" s="104" t="n">
        <v>1350</v>
      </c>
      <c r="G3" s="104" t="n">
        <v>1430</v>
      </c>
      <c r="H3" s="104" t="n">
        <v>1584.247210022544</v>
      </c>
      <c r="I3" s="104" t="n">
        <v>1862.267063546109</v>
      </c>
      <c r="J3" s="104" t="n">
        <v>2079.531554293154</v>
      </c>
      <c r="K3" s="104" t="n">
        <v>2181.469375582034</v>
      </c>
      <c r="L3" s="104" t="n">
        <v>2245.630239569742</v>
      </c>
    </row>
    <row r="4">
      <c r="A4" s="63" t="inlineStr">
        <is>
          <t>Inflacion (AVG)</t>
        </is>
      </c>
      <c r="B4" s="103" t="n">
        <v>36.1</v>
      </c>
      <c r="C4" s="103" t="n">
        <v>50.9</v>
      </c>
      <c r="D4" s="103" t="n">
        <v>94.8</v>
      </c>
      <c r="E4" s="103" t="n">
        <v>211.4</v>
      </c>
      <c r="F4" s="103" t="n">
        <v>120</v>
      </c>
      <c r="G4" s="103" t="n">
        <v>31.5</v>
      </c>
      <c r="H4" s="103" t="n">
        <v>30.5</v>
      </c>
      <c r="I4" s="103" t="n">
        <v>19.9</v>
      </c>
      <c r="J4" s="103" t="n">
        <v>13.9</v>
      </c>
      <c r="K4" s="103" t="n">
        <v>7</v>
      </c>
      <c r="L4" s="103" t="n">
        <v>5</v>
      </c>
    </row>
    <row r="5">
      <c r="A5" s="63" t="inlineStr">
        <is>
          <t>Inflacion (EOP)</t>
        </is>
      </c>
      <c r="B5" s="103" t="n">
        <v>36.1</v>
      </c>
      <c r="C5" s="103" t="n">
        <v>50.9</v>
      </c>
      <c r="D5" s="103" t="n">
        <v>94.8</v>
      </c>
      <c r="E5" s="103" t="n">
        <v>211.4</v>
      </c>
      <c r="F5" s="103" t="n">
        <v>120</v>
      </c>
      <c r="G5" s="103" t="n">
        <v>31.5</v>
      </c>
      <c r="H5" s="103" t="n">
        <v>30.5</v>
      </c>
      <c r="I5" s="103" t="n">
        <v>19.9</v>
      </c>
      <c r="J5" s="103" t="n">
        <v>13.9</v>
      </c>
      <c r="K5" s="103" t="n">
        <v>7</v>
      </c>
      <c r="L5" s="103" t="n">
        <v>5</v>
      </c>
    </row>
    <row r="6"/>
    <row r="7" ht="15.6" customHeight="1">
      <c r="A7" s="51" t="inlineStr">
        <is>
          <t>Revenue Model</t>
        </is>
      </c>
    </row>
    <row r="8">
      <c r="A8" s="50" t="inlineStr">
        <is>
          <t>Revenues</t>
        </is>
      </c>
      <c r="B8" s="95">
        <f>B9*B10</f>
        <v/>
      </c>
      <c r="C8" s="95">
        <f>C9*C10</f>
        <v/>
      </c>
      <c r="D8" s="95">
        <f>D9*D10</f>
        <v/>
      </c>
      <c r="E8" s="95">
        <f>E9*E10</f>
        <v/>
      </c>
      <c r="F8" s="95">
        <f>F9*F10</f>
        <v/>
      </c>
      <c r="G8" s="95">
        <f>G9*G10</f>
        <v/>
      </c>
      <c r="H8" s="95">
        <f>H9*H10</f>
        <v/>
      </c>
      <c r="I8" s="95">
        <f>I9*I10</f>
        <v/>
      </c>
      <c r="J8" s="95">
        <f>J9*J10</f>
        <v/>
      </c>
      <c r="K8" s="95">
        <f>K9*K10</f>
        <v/>
      </c>
      <c r="L8" s="95">
        <f>L9*L10</f>
        <v/>
      </c>
    </row>
    <row r="9">
      <c r="A9" t="inlineStr">
        <is>
          <t>Price</t>
        </is>
      </c>
      <c r="B9" s="105" t="n">
        <v>2113.180598716442</v>
      </c>
      <c r="C9" s="105" t="n">
        <v>1696.212766460916</v>
      </c>
      <c r="D9" s="105" t="n">
        <v>1840.053245200562</v>
      </c>
      <c r="E9" s="105" t="n">
        <v>1528.753062291284</v>
      </c>
      <c r="F9" s="105" t="n">
        <v>2065.406848527142</v>
      </c>
      <c r="G9" s="105" t="n">
        <v>2469.494824286231</v>
      </c>
      <c r="H9" s="83" t="n">
        <v>3680.444443770696</v>
      </c>
      <c r="I9" s="83" t="n">
        <v>3568.533332828022</v>
      </c>
      <c r="J9" s="83" t="n">
        <v>3456.622221885348</v>
      </c>
      <c r="K9" s="83" t="n">
        <v>3344.711110942674</v>
      </c>
      <c r="L9" s="83" t="n">
        <v>3232.8</v>
      </c>
    </row>
    <row r="10">
      <c r="A10" t="inlineStr">
        <is>
          <t>Q (Cantidad)</t>
        </is>
      </c>
      <c r="B10" s="105" t="n">
        <v>389696</v>
      </c>
      <c r="C10" s="105" t="n">
        <v>302735</v>
      </c>
      <c r="D10" s="105" t="n">
        <v>355817</v>
      </c>
      <c r="E10" s="105" t="n">
        <v>423709</v>
      </c>
      <c r="F10" s="105" t="n">
        <v>443425</v>
      </c>
      <c r="G10" s="105" t="n">
        <v>442437</v>
      </c>
      <c r="H10" s="83" t="n">
        <v>432400</v>
      </c>
      <c r="I10" s="83" t="n">
        <v>432400</v>
      </c>
      <c r="J10" s="83" t="n">
        <v>432400</v>
      </c>
      <c r="K10" s="83" t="n">
        <v>432400</v>
      </c>
      <c r="L10" s="83" t="n">
        <v>432400</v>
      </c>
    </row>
    <row r="11"/>
    <row r="12">
      <c r="A12" s="50" t="inlineStr">
        <is>
          <t>COGs</t>
        </is>
      </c>
      <c r="B12" s="83" t="n">
        <v>-711173279.2207792</v>
      </c>
      <c r="C12" s="83" t="n">
        <v>-414384176.4242424</v>
      </c>
      <c r="D12" s="83" t="n">
        <v>-448282270.4676806</v>
      </c>
      <c r="E12" s="83" t="n">
        <v>-536038652.9542743</v>
      </c>
      <c r="F12" s="83" t="n">
        <v>-743971407.2281481</v>
      </c>
      <c r="G12" s="83" t="n">
        <v>-930543905.4461539</v>
      </c>
      <c r="H12" s="83" t="n">
        <v>-1196402036.523519</v>
      </c>
      <c r="I12" s="83" t="n">
        <v>-1169155385.606449</v>
      </c>
      <c r="J12" s="83" t="n">
        <v>-1141908734.68938</v>
      </c>
      <c r="K12" s="83" t="n">
        <v>-1114662083.77231</v>
      </c>
      <c r="L12" s="83" t="n">
        <v>-1087415432.855241</v>
      </c>
    </row>
    <row r="13">
      <c r="B13" s="54" t="n"/>
      <c r="C13" s="54" t="n"/>
      <c r="D13" s="54" t="n"/>
      <c r="E13" s="54" t="n"/>
      <c r="F13" s="54" t="n"/>
      <c r="G13" s="54" t="n"/>
    </row>
    <row r="14">
      <c r="B14" s="54" t="n"/>
      <c r="C14" s="54" t="n"/>
      <c r="D14" s="54" t="n"/>
      <c r="E14" s="54" t="n"/>
      <c r="F14" s="54" t="n"/>
      <c r="G14" s="54" t="n"/>
    </row>
    <row r="15">
      <c r="A15" s="50" t="inlineStr">
        <is>
          <t>SG&amp;A</t>
        </is>
      </c>
      <c r="B15" s="83" t="n">
        <v>-63833748.41558442</v>
      </c>
      <c r="C15" s="83" t="n">
        <v>-37817574.7939394</v>
      </c>
      <c r="D15" s="83" t="n">
        <v>-44057062.23954373</v>
      </c>
      <c r="E15" s="83" t="n">
        <v>-50114662.16302187</v>
      </c>
      <c r="F15" s="83" t="n">
        <v>-70064376.71555555</v>
      </c>
      <c r="G15" s="83" t="n">
        <v>-100794312.6328671</v>
      </c>
      <c r="H15" s="83" t="n">
        <v>-112262420.5897642</v>
      </c>
      <c r="I15" s="83" t="n">
        <v>-109705775.8403096</v>
      </c>
      <c r="J15" s="83" t="n">
        <v>-107149131.0908552</v>
      </c>
      <c r="K15" s="83" t="n">
        <v>-104592486.3414006</v>
      </c>
      <c r="L15" s="83" t="n">
        <v>-102035841.5919461</v>
      </c>
    </row>
    <row r="16">
      <c r="B16" s="54" t="n"/>
      <c r="C16" s="54" t="n"/>
      <c r="D16" s="54" t="n"/>
      <c r="E16" s="54" t="n"/>
      <c r="F16" s="54" t="n"/>
      <c r="G16" s="54" t="n"/>
    </row>
    <row r="17">
      <c r="B17" s="54" t="n"/>
      <c r="C17" s="54" t="n"/>
      <c r="D17" s="54" t="n"/>
      <c r="E17" s="54" t="n"/>
      <c r="F17" s="54" t="n"/>
      <c r="G17" s="54" t="n"/>
    </row>
    <row r="18"/>
    <row r="19">
      <c r="A19" s="84" t="inlineStr">
        <is>
          <t>Ingresos = Precio realizado (USD por tonelada) x Cantidad despachada (toneladas). Los ingresos quedan expresados en dolares.</t>
        </is>
      </c>
    </row>
    <row r="20">
      <c r="A20" s="84" t="inlineStr">
        <is>
          <t>Cantidad historica: 'Total solidificado mas despacho de aluminio liquido' de la Memoria Anual de cada ejercicio. Precio realizado historico: Ventas netas en dolares dividido esa cantidad.</t>
        </is>
      </c>
    </row>
    <row r="21">
      <c r="A21" s="84" t="inlineStr">
        <is>
          <t>Cantidad proyectada: capacidad instalada de 460,000 toneladas por un factor de utilizacion del 94%. La utilizacion informada por la Memoria fue 84,4% / 68,3% / 79,4% / 94,5% / 96,4% / 96,8% entre FY2020 y FY2025.</t>
        </is>
      </c>
    </row>
    <row r="22">
      <c r="A22" s="84" t="inlineStr">
        <is>
          <t>Precio realizado proyectado: reversion lineal desde el precio implicito de FY2026E (USD 3,680 por tonelada) hacia la media historica del LME mas el premium por producto elaborado (USD 3,233).</t>
        </is>
      </c>
    </row>
    <row r="23">
      <c r="A23" s="84" t="inlineStr">
        <is>
          <t>Fila 3 (TC): historicos, CCL de cierre de cada ejercicio; proyectados, paridad de poder adquisitivo TC_t = TC_(t-1) x (1 + inflacion argentina) / (1 + 2% de EE.UU.).</t>
        </is>
      </c>
    </row>
    <row r="24">
      <c r="A24" s="84" t="inlineStr">
        <is>
          <t>Fila 12 (COGs) y fila 15 (SG&amp;A) proyectadas: apertura del costo total de explotacion implicito en el margen EBITDA del modelo fisico, 90% costo de ventas y 10% gastos de comercializacion y administracion, proporcion mediana del periodo FY2020-FY2025.</t>
        </is>
      </c>
    </row>
    <row r="25">
      <c r="A25" s="84" t="inlineStr">
        <is>
          <t>Fuente: Elaboracion propia en base a estados financieros de Aluar e informacion de mercado.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002060"/>
    <outlinePr summaryBelow="1" summaryRight="1"/>
    <pageSetUpPr/>
  </sheetPr>
  <dimension ref="A1:R74"/>
  <sheetViews>
    <sheetView showGridLines="0" zoomScale="49" zoomScaleNormal="145" workbookViewId="0">
      <pane ySplit="1" topLeftCell="A2" activePane="bottomLeft" state="frozen"/>
      <selection pane="bottomLeft" activeCell="C9" sqref="C9"/>
    </sheetView>
  </sheetViews>
  <sheetFormatPr baseColWidth="10" defaultRowHeight="14.4"/>
  <cols>
    <col width="30.6640625" bestFit="1" customWidth="1" min="2" max="2"/>
    <col width="18.5546875" bestFit="1" customWidth="1" min="9" max="9"/>
  </cols>
  <sheetData>
    <row r="1">
      <c r="B1" s="2" t="n"/>
      <c r="C1" s="7" t="inlineStr">
        <is>
          <t>2026E</t>
        </is>
      </c>
      <c r="D1" s="7" t="inlineStr">
        <is>
          <t>2027E</t>
        </is>
      </c>
      <c r="E1" s="7" t="inlineStr">
        <is>
          <t>2028E</t>
        </is>
      </c>
      <c r="F1" s="7" t="inlineStr">
        <is>
          <t>2029E</t>
        </is>
      </c>
      <c r="G1" s="7" t="inlineStr">
        <is>
          <t>2030E</t>
        </is>
      </c>
    </row>
    <row r="2">
      <c r="B2" s="9" t="inlineStr">
        <is>
          <t>Dólar promedio</t>
        </is>
      </c>
      <c r="C2" s="106" t="n">
        <v>1584.247210022544</v>
      </c>
      <c r="D2" s="106" t="n">
        <v>1862.267063546109</v>
      </c>
      <c r="E2" s="106" t="n">
        <v>2079.531554293154</v>
      </c>
      <c r="F2" s="106" t="n">
        <v>2181.469375582034</v>
      </c>
      <c r="G2" s="106" t="n">
        <v>2245.630239569742</v>
      </c>
    </row>
    <row r="3">
      <c r="B3" s="64" t="inlineStr">
        <is>
          <t>Delta Working Capital</t>
        </is>
      </c>
      <c r="C3" s="107" t="n">
        <v>390517292857.9078</v>
      </c>
      <c r="D3" s="107" t="n">
        <v>-44531476287.58</v>
      </c>
      <c r="E3" s="107" t="n">
        <v>-49726815187.79742</v>
      </c>
      <c r="F3" s="107" t="n">
        <v>-52164404167.59167</v>
      </c>
      <c r="G3" s="107" t="n">
        <v>-53698651348.99117</v>
      </c>
    </row>
    <row r="4" ht="15" customHeight="1" thickBot="1"/>
    <row r="5">
      <c r="I5" s="10" t="inlineStr">
        <is>
          <t>Risk Free</t>
        </is>
      </c>
      <c r="J5" s="108" t="n">
        <v>0.04703000068664551</v>
      </c>
      <c r="K5" s="109" t="inlineStr">
        <is>
          <t>WACC</t>
        </is>
      </c>
      <c r="L5" s="110" t="n"/>
    </row>
    <row r="6">
      <c r="I6" s="11" t="inlineStr">
        <is>
          <t>Country Risk (EMBI+)</t>
        </is>
      </c>
      <c r="J6" s="111" t="n">
        <v>0.0441</v>
      </c>
      <c r="K6" s="11" t="n"/>
      <c r="L6" s="112" t="n"/>
    </row>
    <row r="7" ht="15" customHeight="1" thickBot="1">
      <c r="I7" s="11" t="inlineStr">
        <is>
          <t>Rm</t>
        </is>
      </c>
      <c r="J7" s="111" t="n">
        <v>0.08883000068664551</v>
      </c>
      <c r="K7" s="11" t="n"/>
      <c r="L7" s="112" t="n"/>
    </row>
    <row r="8" ht="15" customHeight="1" thickBot="1">
      <c r="B8" s="8" t="inlineStr">
        <is>
          <t>$</t>
        </is>
      </c>
      <c r="I8" s="11" t="inlineStr">
        <is>
          <t>Beta</t>
        </is>
      </c>
      <c r="J8" s="113" t="n">
        <v>0.8875873961923318</v>
      </c>
      <c r="K8" s="11" t="n"/>
      <c r="L8" s="112" t="n"/>
    </row>
    <row r="9">
      <c r="B9" s="4" t="inlineStr">
        <is>
          <t>Revenues</t>
        </is>
      </c>
      <c r="C9" s="107" t="n">
        <v>2521209313145.329</v>
      </c>
      <c r="D9" s="107" t="n">
        <v>2873541048101.722</v>
      </c>
      <c r="E9" s="107" t="n">
        <v>3108158214079.079</v>
      </c>
      <c r="F9" s="107" t="n">
        <v>3154956812897.732</v>
      </c>
      <c r="G9" s="107" t="n">
        <v>3139082794799.211</v>
      </c>
      <c r="I9" s="12" t="inlineStr">
        <is>
          <t>Ke</t>
        </is>
      </c>
      <c r="J9" s="114">
        <f>J5+(J8*(J7-J5))+$J$21*J6</f>
        <v/>
      </c>
      <c r="K9" s="11" t="n"/>
      <c r="L9" s="112" t="n"/>
    </row>
    <row r="10">
      <c r="B10" s="3" t="inlineStr">
        <is>
          <t>Operating Costs</t>
        </is>
      </c>
      <c r="C10" s="107" t="n">
        <v>-1895396588427.675</v>
      </c>
      <c r="D10" s="107" t="n">
        <v>-2177279566782.44</v>
      </c>
      <c r="E10" s="107" t="n">
        <v>-2374635245909.536</v>
      </c>
      <c r="F10" s="107" t="n">
        <v>-2431601199871.751</v>
      </c>
      <c r="G10" s="107" t="n">
        <v>-2441932978994.549</v>
      </c>
      <c r="I10" s="12" t="inlineStr">
        <is>
          <t>Kd (Cost of Capital)</t>
        </is>
      </c>
      <c r="J10" s="111" t="n">
        <v>0.03804993649532361</v>
      </c>
      <c r="K10" s="11" t="n"/>
      <c r="L10" s="112" t="n"/>
    </row>
    <row r="11">
      <c r="B11" s="1" t="inlineStr">
        <is>
          <t>Gross Income</t>
        </is>
      </c>
      <c r="C11" s="15">
        <f>C9+C10</f>
        <v/>
      </c>
      <c r="D11" s="15">
        <f>D9+D10</f>
        <v/>
      </c>
      <c r="E11" s="15">
        <f>E9+E10</f>
        <v/>
      </c>
      <c r="F11" s="15">
        <f>F9+F10</f>
        <v/>
      </c>
      <c r="G11" s="15">
        <f>G9+G10</f>
        <v/>
      </c>
      <c r="I11" s="11" t="inlineStr">
        <is>
          <t>Tax Rate</t>
        </is>
      </c>
      <c r="J11" s="111" t="n">
        <v>0.35</v>
      </c>
      <c r="K11" s="11" t="n"/>
      <c r="L11" s="112" t="n"/>
    </row>
    <row r="12">
      <c r="B12" s="3" t="inlineStr">
        <is>
          <t>SG&amp;A</t>
        </is>
      </c>
      <c r="C12" s="107" t="n">
        <v>-177851426609.7113</v>
      </c>
      <c r="D12" s="107" t="n">
        <v>-204301453028.181</v>
      </c>
      <c r="E12" s="107" t="n">
        <v>-222819999118.527</v>
      </c>
      <c r="F12" s="107" t="n">
        <v>-228165305869.7477</v>
      </c>
      <c r="G12" s="107" t="n">
        <v>-229134771398.8222</v>
      </c>
      <c r="I12" s="11" t="inlineStr">
        <is>
          <t>E/E+D</t>
        </is>
      </c>
      <c r="J12" s="60" t="n">
        <v>0.672912628916664</v>
      </c>
      <c r="K12" s="11" t="n"/>
      <c r="L12" s="112" t="n"/>
    </row>
    <row r="13" ht="15" customHeight="1" thickBot="1">
      <c r="B13" s="1" t="inlineStr">
        <is>
          <t>EBIT</t>
        </is>
      </c>
      <c r="C13" s="15">
        <f>C11+C12</f>
        <v/>
      </c>
      <c r="D13" s="15">
        <f>D11+D12</f>
        <v/>
      </c>
      <c r="E13" s="15">
        <f>E11+E12</f>
        <v/>
      </c>
      <c r="F13" s="15">
        <f>F11+F12</f>
        <v/>
      </c>
      <c r="G13" s="15">
        <f>G11+G12</f>
        <v/>
      </c>
      <c r="I13" s="13" t="inlineStr">
        <is>
          <t>WACC</t>
        </is>
      </c>
      <c r="J13" s="16">
        <f>J9*J12+J10*(1-J11)*(1-J12)</f>
        <v/>
      </c>
      <c r="K13" s="115" t="n"/>
      <c r="L13" s="116" t="n"/>
    </row>
    <row r="14" ht="15" customHeight="1" thickBot="1">
      <c r="B14" s="3" t="inlineStr">
        <is>
          <t>Tax</t>
        </is>
      </c>
      <c r="C14" s="15">
        <f>-C13*$J$11</f>
        <v/>
      </c>
      <c r="D14" s="15">
        <f>-D13*$J$11</f>
        <v/>
      </c>
      <c r="E14" s="15">
        <f>-E13*$J$11</f>
        <v/>
      </c>
      <c r="F14" s="15">
        <f>-F13*$J$11</f>
        <v/>
      </c>
      <c r="G14" s="15">
        <f>-G13*$J$11</f>
        <v/>
      </c>
      <c r="I14" s="14" t="inlineStr">
        <is>
          <t>Perpetuity</t>
        </is>
      </c>
      <c r="J14" s="117" t="n">
        <v>0.02</v>
      </c>
    </row>
    <row r="15">
      <c r="B15" s="3" t="inlineStr">
        <is>
          <t>D&amp;A</t>
        </is>
      </c>
      <c r="C15" s="107" t="n">
        <v>171762553604.8651</v>
      </c>
      <c r="D15" s="107" t="n">
        <v>195765875422.1418</v>
      </c>
      <c r="E15" s="107" t="n">
        <v>211749650881.6783</v>
      </c>
      <c r="F15" s="107" t="n">
        <v>214937901375.7214</v>
      </c>
      <c r="G15" s="107" t="n">
        <v>213856451346.8183</v>
      </c>
      <c r="I15" s="79" t="inlineStr">
        <is>
          <t>Beta OLS (S&amp;P 500)</t>
        </is>
      </c>
      <c r="J15" s="118" t="n">
        <v>0.842028777153776</v>
      </c>
    </row>
    <row r="16">
      <c r="B16" s="3" t="inlineStr">
        <is>
          <t>Delta Working Capital</t>
        </is>
      </c>
      <c r="C16" s="15">
        <f>C3*-1</f>
        <v/>
      </c>
      <c r="D16" s="15">
        <f>D3*-1</f>
        <v/>
      </c>
      <c r="E16" s="15">
        <f>E3*-1</f>
        <v/>
      </c>
      <c r="F16" s="15">
        <f>F3*-1</f>
        <v/>
      </c>
      <c r="G16" s="15">
        <f>G3*-1</f>
        <v/>
      </c>
      <c r="I16" s="79" t="inlineStr">
        <is>
          <t>Beta ajustado por Blume</t>
        </is>
      </c>
      <c r="J16" s="118" t="n">
        <v>0.8946858514358507</v>
      </c>
    </row>
    <row r="17">
      <c r="B17" s="3" t="inlineStr">
        <is>
          <t>Capex</t>
        </is>
      </c>
      <c r="C17" s="107" t="n">
        <v>-163446188486.3417</v>
      </c>
      <c r="D17" s="107" t="n">
        <v>-186287322247.4889</v>
      </c>
      <c r="E17" s="107" t="n">
        <v>-201497198449.5668</v>
      </c>
      <c r="F17" s="107" t="n">
        <v>-204531080866.0441</v>
      </c>
      <c r="G17" s="107" t="n">
        <v>-203501992269.2985</v>
      </c>
      <c r="I17" s="79" t="inlineStr">
        <is>
          <t>D/E historico (mediana 6 ejercicios)</t>
        </is>
      </c>
      <c r="J17" s="118" t="n">
        <v>0.5022682187316515</v>
      </c>
    </row>
    <row r="18">
      <c r="B18" s="1" t="inlineStr">
        <is>
          <t>Free Cash Flow to the Firm (FCFF)</t>
        </is>
      </c>
      <c r="C18" s="15">
        <f>SUM(C13:C17)</f>
        <v/>
      </c>
      <c r="D18" s="15">
        <f>SUM(D13:D17)</f>
        <v/>
      </c>
      <c r="E18" s="15">
        <f>SUM(E13:E17)</f>
        <v/>
      </c>
      <c r="F18" s="15">
        <f>SUM(F13:F17)</f>
        <v/>
      </c>
      <c r="G18" s="15">
        <f>SUM(G13:G17)</f>
        <v/>
      </c>
      <c r="I18" s="79" t="inlineStr">
        <is>
          <t>Beta desapalancado (Hamada)</t>
        </is>
      </c>
      <c r="J18" s="118" t="n">
        <v>0.6744840989298452</v>
      </c>
    </row>
    <row r="19">
      <c r="I19" s="79" t="inlineStr">
        <is>
          <t>D/E objetivo (mediana 3 ejercicios)</t>
        </is>
      </c>
      <c r="J19" s="118" t="n">
        <v>0.4860770284693879</v>
      </c>
    </row>
    <row r="20" ht="15" customHeight="1" thickBot="1">
      <c r="I20" s="79" t="inlineStr">
        <is>
          <t>Beta apalancado (Hamada) = J8</t>
        </is>
      </c>
      <c r="J20" s="118" t="n">
        <v>0.8875873961923318</v>
      </c>
    </row>
    <row r="21">
      <c r="B21" s="19" t="inlineStr">
        <is>
          <t>US$</t>
        </is>
      </c>
      <c r="I21" s="79" t="inlineStr">
        <is>
          <t>Lambda (ventas al mercado interno / ventas totales)</t>
        </is>
      </c>
      <c r="J21" s="119" t="n">
        <v>0.2</v>
      </c>
    </row>
    <row r="22">
      <c r="B22" s="3" t="inlineStr">
        <is>
          <t>Revenues</t>
        </is>
      </c>
      <c r="C22" s="120">
        <f>C9/C$2</f>
        <v/>
      </c>
      <c r="D22" s="120">
        <f>D9/D$2</f>
        <v/>
      </c>
      <c r="E22" s="120">
        <f>E9/E$2</f>
        <v/>
      </c>
      <c r="F22" s="120">
        <f>F9/F$2</f>
        <v/>
      </c>
      <c r="G22" s="120">
        <f>G9/G$2</f>
        <v/>
      </c>
      <c r="I22" s="79" t="inlineStr">
        <is>
          <t>Ke con Lambda = 1 (variante pre-cargada en la plantilla)</t>
        </is>
      </c>
      <c r="J22" s="121">
        <f>J5+J6+(J8*(J7-J5))</f>
        <v/>
      </c>
    </row>
    <row r="23">
      <c r="B23" s="3" t="inlineStr">
        <is>
          <t>Operating Costs</t>
        </is>
      </c>
      <c r="C23" s="120">
        <f>C10/C$2</f>
        <v/>
      </c>
      <c r="D23" s="120">
        <f>D10/D$2</f>
        <v/>
      </c>
      <c r="E23" s="120">
        <f>E10/E$2</f>
        <v/>
      </c>
      <c r="F23" s="120">
        <f>F10/F$2</f>
        <v/>
      </c>
      <c r="G23" s="120">
        <f>G10/G$2</f>
        <v/>
      </c>
      <c r="I23" s="79" t="inlineStr">
        <is>
          <t>WACC con Lambda = 1</t>
        </is>
      </c>
      <c r="J23" s="121">
        <f>J22*J12+J10*(1-J11)*(1-J12)</f>
        <v/>
      </c>
    </row>
    <row r="24">
      <c r="B24" s="1" t="inlineStr">
        <is>
          <t>Gross Income</t>
        </is>
      </c>
      <c r="C24" s="120">
        <f>C22+C23</f>
        <v/>
      </c>
      <c r="D24" s="120">
        <f>D22+D23</f>
        <v/>
      </c>
      <c r="E24" s="120">
        <f>E22+E23</f>
        <v/>
      </c>
      <c r="F24" s="120">
        <f>F22+F23</f>
        <v/>
      </c>
      <c r="G24" s="120">
        <f>G22+G23</f>
        <v/>
      </c>
    </row>
    <row r="25">
      <c r="B25" s="3" t="inlineStr">
        <is>
          <t>SG&amp;A</t>
        </is>
      </c>
      <c r="C25" s="120">
        <f>C12/C$2</f>
        <v/>
      </c>
      <c r="D25" s="120">
        <f>D12/D$2</f>
        <v/>
      </c>
      <c r="E25" s="120">
        <f>E12/E$2</f>
        <v/>
      </c>
      <c r="F25" s="120">
        <f>F12/F$2</f>
        <v/>
      </c>
      <c r="G25" s="120">
        <f>G12/G$2</f>
        <v/>
      </c>
    </row>
    <row r="26">
      <c r="B26" s="1" t="inlineStr">
        <is>
          <t>EBIT</t>
        </is>
      </c>
      <c r="C26" s="120">
        <f>C24+C25</f>
        <v/>
      </c>
      <c r="D26" s="120">
        <f>D24+D25</f>
        <v/>
      </c>
      <c r="E26" s="120">
        <f>E24+E25</f>
        <v/>
      </c>
      <c r="F26" s="120">
        <f>F24+F25</f>
        <v/>
      </c>
      <c r="G26" s="120">
        <f>G24+G25</f>
        <v/>
      </c>
    </row>
    <row r="27">
      <c r="B27" s="3" t="inlineStr">
        <is>
          <t>Tax</t>
        </is>
      </c>
      <c r="C27" s="120">
        <f>C14/C$2</f>
        <v/>
      </c>
      <c r="D27" s="120">
        <f>D14/D$2</f>
        <v/>
      </c>
      <c r="E27" s="120">
        <f>E14/E$2</f>
        <v/>
      </c>
      <c r="F27" s="120">
        <f>F14/F$2</f>
        <v/>
      </c>
      <c r="G27" s="120">
        <f>G14/G$2</f>
        <v/>
      </c>
    </row>
    <row r="28">
      <c r="B28" s="3" t="inlineStr">
        <is>
          <t>D&amp;A</t>
        </is>
      </c>
      <c r="C28" s="120">
        <f>C15/C$2</f>
        <v/>
      </c>
      <c r="D28" s="120">
        <f>D15/D$2</f>
        <v/>
      </c>
      <c r="E28" s="120">
        <f>E15/E$2</f>
        <v/>
      </c>
      <c r="F28" s="120">
        <f>F15/F$2</f>
        <v/>
      </c>
      <c r="G28" s="120">
        <f>G15/G$2</f>
        <v/>
      </c>
    </row>
    <row r="29">
      <c r="B29" s="3" t="inlineStr">
        <is>
          <t>Delta Working Capital</t>
        </is>
      </c>
      <c r="C29" s="120">
        <f>C16/C$2</f>
        <v/>
      </c>
      <c r="D29" s="120">
        <f>D16/D$2</f>
        <v/>
      </c>
      <c r="E29" s="120">
        <f>E16/E$2</f>
        <v/>
      </c>
      <c r="F29" s="120">
        <f>F16/F$2</f>
        <v/>
      </c>
      <c r="G29" s="120">
        <f>G16/G$2</f>
        <v/>
      </c>
    </row>
    <row r="30">
      <c r="B30" s="3" t="inlineStr">
        <is>
          <t>Capex</t>
        </is>
      </c>
      <c r="C30" s="120">
        <f>C17/C$2</f>
        <v/>
      </c>
      <c r="D30" s="120">
        <f>D17/D$2</f>
        <v/>
      </c>
      <c r="E30" s="120">
        <f>E17/E$2</f>
        <v/>
      </c>
      <c r="F30" s="120">
        <f>F17/F$2</f>
        <v/>
      </c>
      <c r="G30" s="120">
        <f>G17/G$2</f>
        <v/>
      </c>
    </row>
    <row r="31">
      <c r="B31" s="1" t="inlineStr">
        <is>
          <t>Free Cash Flow to the Firm (FCFF)</t>
        </is>
      </c>
      <c r="C31" s="120">
        <f>SUM(C26:C30)</f>
        <v/>
      </c>
      <c r="D31" s="120">
        <f>SUM(D26:D30)</f>
        <v/>
      </c>
      <c r="E31" s="120">
        <f>SUM(E26:E30)</f>
        <v/>
      </c>
      <c r="F31" s="120">
        <f>SUM(F26:F30)</f>
        <v/>
      </c>
      <c r="G31" s="120">
        <f>SUM(G26:G30)</f>
        <v/>
      </c>
    </row>
    <row r="32">
      <c r="B32" s="3" t="inlineStr">
        <is>
          <t>Discounted FCFF</t>
        </is>
      </c>
      <c r="C32" s="120">
        <f>C31</f>
        <v/>
      </c>
      <c r="D32" s="120">
        <f>D31/(1+$J$13)</f>
        <v/>
      </c>
      <c r="E32" s="120">
        <f>E31/(1+$J$13)^2</f>
        <v/>
      </c>
      <c r="F32" s="120">
        <f>F31/(1+$J$13)^3</f>
        <v/>
      </c>
      <c r="G32" s="120">
        <f>G31/(1+$J$13)^4</f>
        <v/>
      </c>
    </row>
    <row r="33">
      <c r="B33" s="1" t="inlineStr">
        <is>
          <t>VAN</t>
        </is>
      </c>
      <c r="C33" s="120">
        <f>SUM(C32:G32)</f>
        <v/>
      </c>
      <c r="D33" s="83" t="n"/>
      <c r="E33" s="83" t="n"/>
      <c r="F33" s="83" t="n"/>
      <c r="G33" s="83" t="n"/>
    </row>
    <row r="34"/>
    <row r="35"/>
    <row r="36">
      <c r="D36" s="3" t="inlineStr">
        <is>
          <t>5Y  VAN</t>
        </is>
      </c>
      <c r="E36" s="122">
        <f>C33</f>
        <v/>
      </c>
      <c r="I36" s="3" t="inlineStr">
        <is>
          <t>Market Cap</t>
        </is>
      </c>
      <c r="J36" s="122">
        <f>E41*E43</f>
        <v/>
      </c>
      <c r="M36" s="6" t="n">
        <v>2025</v>
      </c>
      <c r="N36" s="6" t="inlineStr">
        <is>
          <t>2026E</t>
        </is>
      </c>
      <c r="O36" s="6" t="inlineStr">
        <is>
          <t>2027E</t>
        </is>
      </c>
      <c r="P36" s="6" t="inlineStr">
        <is>
          <t>2028E</t>
        </is>
      </c>
      <c r="Q36" s="6" t="inlineStr">
        <is>
          <t>2029E</t>
        </is>
      </c>
      <c r="R36" s="6" t="inlineStr">
        <is>
          <t>2030E</t>
        </is>
      </c>
    </row>
    <row r="37" ht="15" customHeight="1" thickBot="1">
      <c r="D37" s="3" t="inlineStr">
        <is>
          <t>Perpetuity</t>
        </is>
      </c>
      <c r="E37" s="122">
        <f>((G26+G27)*(1+$J$14))/($J$13-$J$14)/(1+$J$13)^4</f>
        <v/>
      </c>
      <c r="I37" s="3" t="inlineStr">
        <is>
          <t>Debt</t>
        </is>
      </c>
      <c r="J37" s="123" t="n">
        <v>456000000</v>
      </c>
      <c r="L37" s="3" t="inlineStr">
        <is>
          <t>EV/EBITDA</t>
        </is>
      </c>
      <c r="M37" s="124">
        <f>$J$39/J40</f>
        <v/>
      </c>
      <c r="N37" s="124">
        <f>$J$39/(C26+C28)</f>
        <v/>
      </c>
      <c r="O37" s="124">
        <f>$J$39/(D26+D28)</f>
        <v/>
      </c>
      <c r="P37" s="124">
        <f>$J$39/(E26+E28)</f>
        <v/>
      </c>
      <c r="Q37" s="124">
        <f>$J$39/(F26+F28)</f>
        <v/>
      </c>
      <c r="R37" s="124">
        <f>$J$39/(G26+G28)</f>
        <v/>
      </c>
    </row>
    <row r="38">
      <c r="C38" s="125" t="inlineStr">
        <is>
          <t>Net Debt</t>
        </is>
      </c>
      <c r="D38" s="3" t="inlineStr">
        <is>
          <t>Debt</t>
        </is>
      </c>
      <c r="E38" s="123" t="n">
        <v>456000000</v>
      </c>
      <c r="I38" s="3" t="inlineStr">
        <is>
          <t>Cash</t>
        </is>
      </c>
      <c r="J38" s="123" t="n">
        <v>0</v>
      </c>
    </row>
    <row r="39" ht="15" customHeight="1" thickBot="1">
      <c r="C39" s="126" t="n"/>
      <c r="D39" s="3" t="inlineStr">
        <is>
          <t>Cash</t>
        </is>
      </c>
      <c r="E39" s="123" t="n">
        <v>0</v>
      </c>
      <c r="I39" s="3" t="inlineStr">
        <is>
          <t>EV</t>
        </is>
      </c>
      <c r="J39" s="122">
        <f>J36+J37-J38</f>
        <v/>
      </c>
    </row>
    <row r="40">
      <c r="D40" s="3" t="inlineStr">
        <is>
          <t>2025 Equity</t>
        </is>
      </c>
      <c r="E40" s="122">
        <f>E36+E37-E38+E39</f>
        <v/>
      </c>
      <c r="I40" s="3" t="inlineStr">
        <is>
          <t>EBITDA 2025</t>
        </is>
      </c>
      <c r="J40" s="123" t="n">
        <v>163254191.227972</v>
      </c>
    </row>
    <row r="41">
      <c r="D41" s="3" t="inlineStr">
        <is>
          <t>Q Shares</t>
        </is>
      </c>
      <c r="E41" s="123" t="n">
        <v>2800000000</v>
      </c>
    </row>
    <row r="42">
      <c r="D42" s="3" t="inlineStr">
        <is>
          <t>Target Price</t>
        </is>
      </c>
      <c r="E42" s="127">
        <f>E40/E41</f>
        <v/>
      </c>
      <c r="I42" s="76" t="inlineStr">
        <is>
          <t>Verificacion contra el motor en Python</t>
        </is>
      </c>
    </row>
    <row r="43">
      <c r="D43" s="3" t="inlineStr">
        <is>
          <t>Market Price</t>
        </is>
      </c>
      <c r="E43" s="128" t="n">
        <v>0.6201683637404157</v>
      </c>
      <c r="I43" s="79" t="inlineStr">
        <is>
          <t>WACC</t>
        </is>
      </c>
      <c r="J43" s="129" t="n">
        <v>0.07063768020014154</v>
      </c>
    </row>
    <row r="44">
      <c r="D44" s="3" t="inlineStr">
        <is>
          <t>Upside</t>
        </is>
      </c>
      <c r="E44" s="130">
        <f>(E42/E43)-1</f>
        <v/>
      </c>
      <c r="I44" s="79" t="inlineStr">
        <is>
          <t>Ke</t>
        </is>
      </c>
      <c r="J44" s="129" t="n">
        <v>0.09295115384748498</v>
      </c>
    </row>
    <row r="45">
      <c r="I45" s="79" t="inlineStr">
        <is>
          <t>VAN de los 5 anios explicitos</t>
        </is>
      </c>
      <c r="J45" s="131" t="n">
        <v>562.8498536645391</v>
      </c>
    </row>
    <row r="46">
      <c r="I46" s="79" t="inlineStr">
        <is>
          <t>Valor terminal descontado</t>
        </is>
      </c>
      <c r="J46" s="131" t="n">
        <v>2076.78336681688</v>
      </c>
    </row>
    <row r="47">
      <c r="B47" s="84" t="inlineStr">
        <is>
          <t>Ke (celda J9) = Rf + Beta x (Rm - Rf) + Lambda x Riesgo Pais. Es el CAPM ajustado por riesgo</t>
        </is>
      </c>
      <c r="I47" s="79" t="inlineStr">
        <is>
          <t>Enterprise Value</t>
        </is>
      </c>
      <c r="J47" s="131" t="n">
        <v>2639.633220481419</v>
      </c>
    </row>
    <row r="48">
      <c r="B48" s="84" t="inlineStr">
        <is>
          <t xml:space="preserve">   pais de Dumrauf (Cap. 6 y 8) con el spread soberano ponderado por la exposicion domestica</t>
        </is>
      </c>
      <c r="I48" s="79" t="inlineStr">
        <is>
          <t>Equity Value</t>
        </is>
      </c>
      <c r="J48" s="131" t="n">
        <v>2183.633220481419</v>
      </c>
    </row>
    <row r="49">
      <c r="B49" s="84" t="inlineStr">
        <is>
          <t xml:space="preserve">   de los ingresos: Lambda (celda J21) = ventas al mercado interno / ventas totales. Aluar exporta</t>
        </is>
      </c>
      <c r="I49" s="79" t="inlineStr">
        <is>
          <t>Precio objetivo (USD)</t>
        </is>
      </c>
      <c r="J49" s="132" t="n">
        <v>0.7798690073147925</v>
      </c>
    </row>
    <row r="50">
      <c r="B50" s="84" t="inlineStr">
        <is>
          <t xml:space="preserve">   cerca del 80% de su produccion y factura al precio LME en dolares, de modo que solo una quinta</t>
        </is>
      </c>
      <c r="I50" s="79" t="inlineStr">
        <is>
          <t>Precio objetivo (ARS)</t>
        </is>
      </c>
      <c r="J50" s="133" t="n">
        <v>1235.505299021511</v>
      </c>
    </row>
    <row r="51">
      <c r="B51" s="84" t="inlineStr">
        <is>
          <t xml:space="preserve">   parte de su facturacion queda expuesta al ciclo argentino. La variante de la plantilla, que aplica</t>
        </is>
      </c>
      <c r="I51" s="79" t="inlineStr">
        <is>
          <t>Potencial</t>
        </is>
      </c>
      <c r="J51" s="134" t="n">
        <v>0.2575117547292736</v>
      </c>
    </row>
    <row r="52">
      <c r="B52" s="84" t="inlineStr">
        <is>
          <t xml:space="preserve">   el spread completo (Lambda = 1), se conserva sin tocar en la celda testigo J22 y su WACC en J23.</t>
        </is>
      </c>
    </row>
    <row r="53">
      <c r="B53" s="84" t="inlineStr">
        <is>
          <t>Beta (celda J8): OLS diario a 10 anios contra el S&amp;P 500 sobre ALUA homogeneizada a dolares,</t>
        </is>
      </c>
    </row>
    <row r="54">
      <c r="B54" s="84" t="inlineStr">
        <is>
          <t xml:space="preserve">   ajustado por Blume (2/3 x beta + 1/3) y luego desapalancado y reapalancado por Hamada (Cap. 10).</t>
        </is>
      </c>
    </row>
    <row r="55">
      <c r="B55" s="84" t="inlineStr">
        <is>
          <t>WACC (celda J13): la plantilla traia '=G31', un marcador roto que apuntaba al FCFF de 2030E.</t>
        </is>
      </c>
    </row>
    <row r="56">
      <c r="B56" s="84" t="inlineStr">
        <is>
          <t xml:space="preserve">   Se reemplazo por la ecuacion de Dumrauf: Ke x E/(E+D) + Kd x (1 - t) x D/(E+D).</t>
        </is>
      </c>
    </row>
    <row r="57">
      <c r="B57" s="84" t="inlineStr">
        <is>
          <t>Impuesto (fila 14): alicuota estatutaria plana del 35% los cinco anios (Ley 20.628).</t>
        </is>
      </c>
    </row>
    <row r="58">
      <c r="B58" s="84" t="inlineStr">
        <is>
          <t>Descuento (fila 32): tal cual la plantilla. El flujo de FY2026E no se descuenta porque se percibe</t>
        </is>
      </c>
    </row>
    <row r="59">
      <c r="B59" s="84" t="inlineStr">
        <is>
          <t xml:space="preserve">   el 30 de junio de 2026, practicamente en la fecha de valuacion; los siguientes llevan</t>
        </is>
      </c>
    </row>
    <row r="60">
      <c r="B60" s="84" t="inlineStr">
        <is>
          <t xml:space="preserve">   exponentes 1, 2, 3 y 4.</t>
        </is>
      </c>
    </row>
    <row r="61">
      <c r="B61" s="84" t="inlineStr">
        <is>
          <t>Perpetuidad (celda E37): valor presente del valor terminal de Gordon. El flujo terminal se</t>
        </is>
      </c>
    </row>
    <row r="62">
      <c r="B62" s="84" t="inlineStr">
        <is>
          <t xml:space="preserve">   normaliza segun Dumrauf (Cap. 14): en estado estacionario CAPEX = D&amp;A y Delta NWC = 0, de modo</t>
        </is>
      </c>
    </row>
    <row r="63">
      <c r="B63" s="84" t="inlineStr">
        <is>
          <t xml:space="preserve">   que el flujo terminal es el NOPAT de 2030E (celdas G26 + G27). Se descuenta por (1 + WACC)^4</t>
        </is>
      </c>
    </row>
    <row r="64">
      <c r="B64" s="84" t="inlineStr">
        <is>
          <t xml:space="preserve">   para ser consistente con los exponentes de la fila 32. La celda E40 conserva su formula original.</t>
        </is>
      </c>
    </row>
    <row r="65">
      <c r="B65" s="84" t="inlineStr">
        <is>
          <t>Crecimiento perpetuo g (celda J14) = 2,0%. La plantilla trae 2,5% pre-cargado. Dumrauf (Cap. 14)</t>
        </is>
      </c>
    </row>
    <row r="66">
      <c r="B66" s="84" t="inlineStr">
        <is>
          <t xml:space="preserve">   exige que la tasa de crecimiento a perpetuidad converja de forma suavizada al crecimiento de</t>
        </is>
      </c>
    </row>
    <row r="67">
      <c r="B67" s="84" t="inlineStr">
        <is>
          <t xml:space="preserve">   largo plazo de la economia y nunca lo supere. Con la capacidad instalada practicamente saturada</t>
        </is>
      </c>
    </row>
    <row r="68">
      <c r="B68" s="84" t="inlineStr">
        <is>
          <t xml:space="preserve">   (96,8% de utilizacion en FY2025 sobre 460.000 toneladas), el crecimiento en volumen esta acotado</t>
        </is>
      </c>
    </row>
    <row r="69">
      <c r="B69" s="84" t="inlineStr">
        <is>
          <t xml:space="preserve">   por la planta y solo queda el arrastre de precio: 2,0% es el techo prudente. Ver la hoja de riesgo</t>
        </is>
      </c>
    </row>
    <row r="70">
      <c r="B70" s="84" t="inlineStr">
        <is>
          <t xml:space="preserve">   cuantitativo para el efecto de sostener el 2,5% de la plantilla.</t>
        </is>
      </c>
    </row>
    <row r="71">
      <c r="B71" s="84" t="inlineStr">
        <is>
          <t>Deuda neta (celda E38): USD 456 millones al cierre del 1T26, informados en forma neta por la fuente.</t>
        </is>
      </c>
    </row>
    <row r="72">
      <c r="B72" s="84" t="inlineStr">
        <is>
          <t>Bloque en pesos (filas 9 a 18): el modelo corre en dolares; los pesos se obtienen multiplicando por</t>
        </is>
      </c>
    </row>
    <row r="73">
      <c r="B73" s="84" t="inlineStr">
        <is>
          <t xml:space="preserve">   la senda de tipo de cambio por paridad de poder adquisitivo de la hoja 6) Proyecciones.</t>
        </is>
      </c>
    </row>
    <row r="74">
      <c r="B74" s="84" t="inlineStr">
        <is>
          <t>Fuente: Elaboracion propia en base a estados financieros de Aluar e informacion de mercado.</t>
        </is>
      </c>
    </row>
  </sheetData>
  <mergeCells count="2">
    <mergeCell ref="C38:C39"/>
    <mergeCell ref="K5:L13"/>
  </mergeCell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8" t="inlineStr">
        <is>
          <t>Riesgo cuantitativo</t>
        </is>
      </c>
    </row>
    <row r="2"/>
    <row r="3">
      <c r="A3" s="76" t="inlineStr">
        <is>
          <t>SIMULACION DE MONTE CARLO SOBRE EL PRECIO OBJETIVO</t>
        </is>
      </c>
    </row>
    <row r="4">
      <c r="A4" s="79" t="inlineStr">
        <is>
          <t>Corridas</t>
        </is>
      </c>
      <c r="B4" s="80" t="n">
        <v>19995</v>
      </c>
    </row>
    <row r="5">
      <c r="A5" s="79" t="inlineStr">
        <is>
          <t>Semilla</t>
        </is>
      </c>
      <c r="B5" s="135" t="n">
        <v>42</v>
      </c>
    </row>
    <row r="6">
      <c r="A6" s="79" t="inlineStr">
        <is>
          <t>Desvio aplicado al WACC</t>
        </is>
      </c>
      <c r="B6" s="121" t="n">
        <v>0.004518558720384739</v>
      </c>
    </row>
    <row r="7">
      <c r="A7" s="79" t="inlineStr">
        <is>
          <t>Desvio aplicado a g</t>
        </is>
      </c>
      <c r="B7" s="121" t="n">
        <v>0.005</v>
      </c>
    </row>
    <row r="8">
      <c r="A8" s="79" t="inlineStr">
        <is>
          <t>Coeficiente de variacion anual del margen EBITDA (historico)</t>
        </is>
      </c>
      <c r="B8" s="81" t="n">
        <v>0.333332007957717</v>
      </c>
    </row>
    <row r="9">
      <c r="A9" s="79" t="inlineStr">
        <is>
          <t>Desvio aplicado al shock de margen (error estandar de la media, n=6)</t>
        </is>
      </c>
      <c r="B9" s="81" t="n">
        <v>0.1360822224056248</v>
      </c>
    </row>
    <row r="10">
      <c r="A10" s="79" t="inlineStr">
        <is>
          <t>Media</t>
        </is>
      </c>
      <c r="B10" s="82" t="n">
        <v>1260.489012976195</v>
      </c>
    </row>
    <row r="11">
      <c r="A11" s="79" t="inlineStr">
        <is>
          <t>Mediana</t>
        </is>
      </c>
      <c r="B11" s="82" t="n">
        <v>1237.353035056135</v>
      </c>
    </row>
    <row r="12">
      <c r="A12" s="79" t="inlineStr">
        <is>
          <t>Desvio estandar</t>
        </is>
      </c>
      <c r="B12" s="82" t="n">
        <v>293.0730736734913</v>
      </c>
    </row>
    <row r="13">
      <c r="A13" s="79" t="inlineStr">
        <is>
          <t>Percentil 5</t>
        </is>
      </c>
      <c r="B13" s="82" t="n">
        <v>843.7729909349349</v>
      </c>
    </row>
    <row r="14">
      <c r="A14" s="79" t="inlineStr">
        <is>
          <t>Percentil 25</t>
        </is>
      </c>
      <c r="B14" s="82" t="n">
        <v>1068.047190255478</v>
      </c>
    </row>
    <row r="15">
      <c r="A15" s="79" t="inlineStr">
        <is>
          <t>Percentil 75</t>
        </is>
      </c>
      <c r="B15" s="82" t="n">
        <v>1420.521725289382</v>
      </c>
    </row>
    <row r="16">
      <c r="A16" s="79" t="inlineStr">
        <is>
          <t>Percentil 95</t>
        </is>
      </c>
      <c r="B16" s="82" t="n">
        <v>1737.213366013121</v>
      </c>
    </row>
    <row r="17">
      <c r="A17" s="79" t="inlineStr">
        <is>
          <t>Probabilidad de que el valor supere al mercado</t>
        </is>
      </c>
      <c r="B17" s="81" t="n">
        <v>0.8521130282570643</v>
      </c>
    </row>
    <row r="18">
      <c r="A18" s="79" t="inlineStr">
        <is>
          <t>Precio de mercado (ARS)</t>
        </is>
      </c>
      <c r="B18" s="82" t="n">
        <v>982.5</v>
      </c>
    </row>
    <row r="19"/>
    <row r="20">
      <c r="A20" s="76" t="inlineStr">
        <is>
          <t>VALOR A RIESGO Y PERDIDA ESPERADA EN LA COLA DE LA ACCION</t>
        </is>
      </c>
    </row>
    <row r="21">
      <c r="B21" s="136" t="inlineStr">
        <is>
          <t>Parametrico</t>
        </is>
      </c>
      <c r="C21" s="136" t="inlineStr">
        <is>
          <t>Historico</t>
        </is>
      </c>
    </row>
    <row r="22">
      <c r="A22" s="79" t="inlineStr">
        <is>
          <t>VaR diario al 95%</t>
        </is>
      </c>
      <c r="B22" s="89" t="n">
        <v>-0.05307226011845595</v>
      </c>
      <c r="C22" s="89" t="n">
        <v>-0.04727060647002791</v>
      </c>
    </row>
    <row r="23">
      <c r="A23" s="79" t="inlineStr">
        <is>
          <t>CVaR diario al 95%</t>
        </is>
      </c>
      <c r="B23" s="89" t="n">
        <v>-0.06677682685970245</v>
      </c>
      <c r="C23" s="89" t="n">
        <v>-0.07157313706763072</v>
      </c>
    </row>
    <row r="24">
      <c r="A24" s="79" t="inlineStr">
        <is>
          <t>VaR diario al 99%</t>
        </is>
      </c>
      <c r="B24" s="89" t="n">
        <v>-0.07542329086662729</v>
      </c>
      <c r="C24" s="89" t="n">
        <v>-0.0820251326914815</v>
      </c>
    </row>
    <row r="25">
      <c r="A25" s="79" t="inlineStr">
        <is>
          <t>CVaR diario al 99%</t>
        </is>
      </c>
      <c r="B25" s="89" t="n">
        <v>-0.08653712221315894</v>
      </c>
      <c r="C25" s="89" t="n">
        <v>-0.1219048854355489</v>
      </c>
    </row>
    <row r="26">
      <c r="A26" s="79" t="inlineStr">
        <is>
          <t>VaR a 21 ruedas al 95%</t>
        </is>
      </c>
      <c r="C26" s="89" t="n">
        <v>-0.2166211322953722</v>
      </c>
    </row>
    <row r="27">
      <c r="A27" s="79" t="inlineStr">
        <is>
          <t>CVaR a 21 ruedas al 95%</t>
        </is>
      </c>
      <c r="C27" s="89" t="n">
        <v>-0.3279893183378674</v>
      </c>
    </row>
    <row r="28">
      <c r="A28" t="inlineStr">
        <is>
          <t>Observaciones de la serie diaria</t>
        </is>
      </c>
      <c r="B28" s="83" t="n">
        <v>2344</v>
      </c>
    </row>
    <row r="29"/>
    <row r="30">
      <c r="A30" s="76" t="inlineStr">
        <is>
          <t>PRECIO OBJETIVO SEGUN WACC Y CRECIMIENTO PERPETUO (ARS)</t>
        </is>
      </c>
    </row>
    <row r="31">
      <c r="B31" s="129" t="n">
        <v>0.01</v>
      </c>
      <c r="C31" s="129" t="n">
        <v>0.015</v>
      </c>
      <c r="D31" s="129" t="n">
        <v>0.02</v>
      </c>
      <c r="E31" s="129" t="n">
        <v>0.025</v>
      </c>
      <c r="F31" s="129" t="n">
        <v>0.03</v>
      </c>
    </row>
    <row r="32">
      <c r="A32" s="129" t="n">
        <v>0.05563768020014154</v>
      </c>
      <c r="B32" s="80" t="n">
        <v>1438.199315864372</v>
      </c>
      <c r="C32" s="80" t="n">
        <v>1613.859254418512</v>
      </c>
      <c r="D32" s="80" t="n">
        <v>1838.809701661107</v>
      </c>
      <c r="E32" s="80" t="n">
        <v>2137.182955647912</v>
      </c>
      <c r="F32" s="80" t="n">
        <v>2551.936963141878</v>
      </c>
    </row>
    <row r="33">
      <c r="A33" s="129" t="n">
        <v>0.06313768020014154</v>
      </c>
      <c r="B33" s="80" t="n">
        <v>1206.675919360593</v>
      </c>
      <c r="C33" s="80" t="n">
        <v>1331.360734497577</v>
      </c>
      <c r="D33" s="80" t="n">
        <v>1484.949471810835</v>
      </c>
      <c r="E33" s="80" t="n">
        <v>1678.810385225848</v>
      </c>
      <c r="F33" s="80" t="n">
        <v>1931.172953628222</v>
      </c>
    </row>
    <row r="34">
      <c r="A34" s="129" t="n">
        <v>0.07063768020014154</v>
      </c>
      <c r="B34" s="80" t="n">
        <v>1032.102984536241</v>
      </c>
      <c r="C34" s="80" t="n">
        <v>1124.664548172816</v>
      </c>
      <c r="D34" s="80" t="n">
        <v>1235.505299021511</v>
      </c>
      <c r="E34" s="80" t="n">
        <v>1370.633163142091</v>
      </c>
      <c r="F34" s="80" t="n">
        <v>1539.012891900386</v>
      </c>
    </row>
    <row r="35">
      <c r="A35" s="129" t="n">
        <v>0.07813768020014153</v>
      </c>
      <c r="B35" s="80" t="n">
        <v>895.6854718182909</v>
      </c>
      <c r="C35" s="80" t="n">
        <v>966.7693654024456</v>
      </c>
      <c r="D35" s="80" t="n">
        <v>1050.080078725442</v>
      </c>
      <c r="E35" s="80" t="n">
        <v>1149.069066487444</v>
      </c>
      <c r="F35" s="80" t="n">
        <v>1268.62177633793</v>
      </c>
    </row>
    <row r="36">
      <c r="A36" s="129" t="n">
        <v>0.08563768020014154</v>
      </c>
      <c r="B36" s="80" t="n">
        <v>786.0825367697662</v>
      </c>
      <c r="C36" s="80" t="n">
        <v>842.1409102416874</v>
      </c>
      <c r="D36" s="80" t="n">
        <v>906.7398618237717</v>
      </c>
      <c r="E36" s="80" t="n">
        <v>981.9920823582409</v>
      </c>
      <c r="F36" s="80" t="n">
        <v>1070.769708744243</v>
      </c>
    </row>
    <row r="37"/>
    <row r="38">
      <c r="A38" s="76" t="inlineStr">
        <is>
          <t>SENSIBILIDAD AL PRECIO REALIZADO DEL ALUMINIO</t>
        </is>
      </c>
    </row>
    <row r="39">
      <c r="A39" s="79" t="inlineStr">
        <is>
          <t>Precio realizado -20%</t>
        </is>
      </c>
      <c r="B39" s="80" t="n">
        <v>521.5618636657346</v>
      </c>
    </row>
    <row r="40">
      <c r="A40" s="79" t="inlineStr">
        <is>
          <t>Precio realizado -10%</t>
        </is>
      </c>
      <c r="B40" s="80" t="n">
        <v>878.5335813436234</v>
      </c>
    </row>
    <row r="41">
      <c r="A41" s="79" t="inlineStr">
        <is>
          <t>Precio realizado +0%</t>
        </is>
      </c>
      <c r="B41" s="80" t="n">
        <v>1235.505299021511</v>
      </c>
    </row>
    <row r="42">
      <c r="A42" s="79" t="inlineStr">
        <is>
          <t>Precio realizado +10%</t>
        </is>
      </c>
      <c r="B42" s="80" t="n">
        <v>1592.4770166994</v>
      </c>
    </row>
    <row r="43">
      <c r="A43" s="79" t="inlineStr">
        <is>
          <t>Precio realizado +20%</t>
        </is>
      </c>
      <c r="B43" s="80" t="n">
        <v>1949.448734377288</v>
      </c>
    </row>
    <row r="44"/>
    <row r="45">
      <c r="A45" s="76" t="inlineStr">
        <is>
          <t>ROBUSTEZ DE LOS DOS PARAMETROS QUE SE APARTAN DE LA PLANTILLA</t>
        </is>
      </c>
    </row>
    <row r="46">
      <c r="B46" s="136" t="inlineStr">
        <is>
          <t>Ke</t>
        </is>
      </c>
      <c r="C46" s="136" t="inlineStr">
        <is>
          <t>WACC</t>
        </is>
      </c>
      <c r="D46" s="136" t="inlineStr">
        <is>
          <t>g</t>
        </is>
      </c>
      <c r="E46" s="136" t="inlineStr">
        <is>
          <t>Precio objetivo (ARS)</t>
        </is>
      </c>
      <c r="F46" s="136" t="inlineStr">
        <is>
          <t>Potencial</t>
        </is>
      </c>
    </row>
    <row r="47">
      <c r="A47" s="136" t="inlineStr">
        <is>
          <t>Caso base: Lambda = 0,20 y g = 2,0%</t>
        </is>
      </c>
      <c r="B47" s="129" t="n">
        <v>0.09295115384748498</v>
      </c>
      <c r="C47" s="129" t="n">
        <v>0.07063768020014154</v>
      </c>
      <c r="D47" s="129" t="n">
        <v>0.02</v>
      </c>
      <c r="E47" s="137" t="n">
        <v>1235.505299021511</v>
      </c>
      <c r="F47" s="134" t="n">
        <v>0.2575117547292736</v>
      </c>
    </row>
    <row r="48">
      <c r="A48" s="79" t="inlineStr">
        <is>
          <t>Sostener el g = 2,5% pre-cargado en la plantilla</t>
        </is>
      </c>
      <c r="B48" s="121" t="n">
        <v>0.09295115384748498</v>
      </c>
      <c r="C48" s="121" t="n">
        <v>0.07063768020014154</v>
      </c>
      <c r="D48" s="121" t="n">
        <v>0.025</v>
      </c>
      <c r="E48" s="80" t="n">
        <v>1370.633163142091</v>
      </c>
      <c r="F48" s="81" t="n">
        <v>0.3950464764805002</v>
      </c>
    </row>
    <row r="49">
      <c r="A49" s="79" t="inlineStr">
        <is>
          <t>Lambda = 1: spread soberano completo (formula literal J22)</t>
        </is>
      </c>
      <c r="B49" s="121" t="n">
        <v>0.128231153847485</v>
      </c>
      <c r="C49" s="121" t="n">
        <v>0.09437803774832144</v>
      </c>
      <c r="D49" s="121" t="n">
        <v>0.02</v>
      </c>
      <c r="E49" s="80" t="n">
        <v>775.8581053701497</v>
      </c>
      <c r="F49" s="81" t="n">
        <v>-0.2103225390634609</v>
      </c>
    </row>
    <row r="50">
      <c r="A50" s="79" t="inlineStr">
        <is>
          <t>Damodaran estricto: Lambda x prima pais en acciones</t>
        </is>
      </c>
      <c r="B50" s="121" t="n">
        <v>0.1081839626266997</v>
      </c>
      <c r="C50" s="121" t="n">
        <v>0.08088802960154777</v>
      </c>
      <c r="D50" s="121" t="n">
        <v>0.02</v>
      </c>
      <c r="E50" s="80" t="n">
        <v>993.4505842388198</v>
      </c>
      <c r="F50" s="81" t="n">
        <v>0.01114563281304815</v>
      </c>
    </row>
    <row r="51"/>
    <row r="52">
      <c r="A52" s="84" t="inlineStr">
        <is>
          <t>La simulacion mueve el WACC, el crecimiento perpetuo y el margen EBITDA con normales</t>
        </is>
      </c>
    </row>
    <row r="53">
      <c r="A53" s="84" t="inlineStr">
        <is>
          <t xml:space="preserve">   independientes y vuelve a resolver el descuento de flujos en cada corrida.</t>
        </is>
      </c>
    </row>
    <row r="54">
      <c r="A54" s="84" t="inlineStr">
        <is>
          <t>El valor a riesgo se calcula sobre los retornos diarios de la accion homogeneizada a dolares:</t>
        </is>
      </c>
    </row>
    <row r="55">
      <c r="A55" s="84" t="inlineStr">
        <is>
          <t xml:space="preserve">   el parametrico supone normalidad y el historico lee directamente el percentil empirico.</t>
        </is>
      </c>
    </row>
    <row r="56">
      <c r="A56" s="84" t="inlineStr">
        <is>
          <t xml:space="preserve">   El test de Jarque-Bera rechaza la normalidad, de modo que el historico es el relevante.</t>
        </is>
      </c>
    </row>
    <row r="57">
      <c r="A57" s="84" t="inlineStr">
        <is>
          <t>El precio objetivo del caso base es ARS 1,236 contra ARS 982 de mercado: +25.8%, dictamen COMPRAR.</t>
        </is>
      </c>
    </row>
    <row r="58">
      <c r="A58" s="84" t="inlineStr">
        <is>
          <t>Fuente: Elaboracion propia en base a estados financieros de Aluar e informacion de mercado.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Vega</dc:creator>
  <dcterms:created xmlns:dcterms="http://purl.org/dc/terms/" xmlns:xsi="http://www.w3.org/2001/XMLSchema-instance" xsi:type="dcterms:W3CDTF">2025-05-12T22:06:56Z</dcterms:created>
  <dcterms:modified xmlns:dcterms="http://purl.org/dc/terms/" xmlns:xsi="http://www.w3.org/2001/XMLSchema-instance" xsi:type="dcterms:W3CDTF">2026-08-09T18:41:28Z</dcterms:modified>
  <cp:lastModifiedBy>Federico Chillon</cp:lastModifiedBy>
</cp:coreProperties>
</file>