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6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7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A:\distributed_attenuation\NSGA-II\dam_costs\"/>
    </mc:Choice>
  </mc:AlternateContent>
  <xr:revisionPtr revIDLastSave="0" documentId="13_ncr:1_{C7292202-F812-4F0C-B3C4-8875A4D2F125}" xr6:coauthVersionLast="47" xr6:coauthVersionMax="47" xr10:uidLastSave="{00000000-0000-0000-0000-000000000000}"/>
  <bookViews>
    <workbookView xWindow="29880" yWindow="2175" windowWidth="21600" windowHeight="11175" tabRatio="706" firstSheet="3" activeTab="5" xr2:uid="{DF1FF6C1-DB8B-4ED8-B6A3-7B524CC3B41D}"/>
  </bookViews>
  <sheets>
    <sheet name="HDPE" sheetId="2" r:id="rId1"/>
    <sheet name="area" sheetId="3" r:id="rId2"/>
    <sheet name="best_approx_pipes" sheetId="5" r:id="rId3"/>
    <sheet name="box_culvert" sheetId="1" r:id="rId4"/>
    <sheet name="Divisions_ponds" sheetId="11" r:id="rId5"/>
    <sheet name="USDA" sheetId="6" r:id="rId6"/>
    <sheet name="DSRs" sheetId="12" r:id="rId7"/>
  </sheets>
  <definedNames>
    <definedName name="_xlnm._FilterDatabase" localSheetId="2" hidden="1">best_approx_pipes!$E$2:$F$2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70" i="12" l="1"/>
  <c r="S99" i="12"/>
  <c r="S128" i="12"/>
  <c r="S149" i="12"/>
  <c r="S167" i="12"/>
  <c r="O167" i="12"/>
  <c r="K167" i="12"/>
  <c r="O149" i="12"/>
  <c r="K149" i="12"/>
  <c r="O128" i="12"/>
  <c r="K128" i="12"/>
  <c r="O99" i="12"/>
  <c r="K99" i="12"/>
  <c r="O70" i="12"/>
  <c r="K70" i="12"/>
  <c r="J70" i="12"/>
  <c r="H70" i="12"/>
  <c r="S45" i="12"/>
  <c r="R45" i="12"/>
  <c r="S22" i="12"/>
  <c r="O45" i="12"/>
  <c r="O22" i="12"/>
  <c r="K22" i="12"/>
  <c r="L82" i="6"/>
  <c r="L80" i="6"/>
  <c r="E126" i="11" l="1"/>
  <c r="Q135" i="11"/>
  <c r="S134" i="11"/>
  <c r="S133" i="11"/>
  <c r="S132" i="11"/>
  <c r="S131" i="11"/>
  <c r="R126" i="11"/>
  <c r="Q126" i="11"/>
  <c r="P126" i="11"/>
  <c r="O126" i="11"/>
  <c r="N126" i="11"/>
  <c r="M126" i="11"/>
  <c r="L126" i="11"/>
  <c r="K126" i="11"/>
  <c r="J126" i="11"/>
  <c r="I126" i="11"/>
  <c r="H126" i="11"/>
  <c r="G126" i="11"/>
  <c r="F126" i="11"/>
  <c r="V8" i="11"/>
  <c r="X7" i="11"/>
  <c r="X6" i="11"/>
  <c r="X5" i="11"/>
  <c r="X4" i="11"/>
  <c r="S112" i="11"/>
  <c r="Q115" i="11"/>
  <c r="S114" i="11"/>
  <c r="S113" i="11"/>
  <c r="S111" i="11"/>
  <c r="R106" i="11"/>
  <c r="Q106" i="11"/>
  <c r="P106" i="11"/>
  <c r="O106" i="11"/>
  <c r="N106" i="11"/>
  <c r="M106" i="11"/>
  <c r="L106" i="11"/>
  <c r="K106" i="11"/>
  <c r="J106" i="11"/>
  <c r="I106" i="11"/>
  <c r="H106" i="11"/>
  <c r="G106" i="11"/>
  <c r="F106" i="11"/>
  <c r="E106" i="11"/>
  <c r="Q83" i="11"/>
  <c r="S83" i="11"/>
  <c r="S82" i="11"/>
  <c r="S80" i="11"/>
  <c r="S79" i="11"/>
  <c r="S81" i="11"/>
  <c r="F74" i="11"/>
  <c r="G74" i="11"/>
  <c r="H74" i="11"/>
  <c r="I74" i="11"/>
  <c r="J74" i="11"/>
  <c r="K74" i="11"/>
  <c r="L74" i="11"/>
  <c r="M74" i="11"/>
  <c r="N74" i="11"/>
  <c r="O74" i="11"/>
  <c r="P74" i="11"/>
  <c r="Q74" i="11"/>
  <c r="R74" i="11"/>
  <c r="E74" i="11"/>
  <c r="Q8" i="11"/>
  <c r="S5" i="11"/>
  <c r="S6" i="11"/>
  <c r="S7" i="11"/>
  <c r="S4" i="11"/>
  <c r="H31" i="11"/>
  <c r="I31" i="11"/>
  <c r="J31" i="11"/>
  <c r="K31" i="11"/>
  <c r="L31" i="11"/>
  <c r="M31" i="11"/>
  <c r="N31" i="11"/>
  <c r="O31" i="11"/>
  <c r="P31" i="11"/>
  <c r="Q31" i="11"/>
  <c r="R31" i="11"/>
  <c r="E31" i="11"/>
  <c r="F31" i="11"/>
  <c r="R32" i="11"/>
  <c r="N32" i="11"/>
  <c r="K32" i="11"/>
  <c r="G32" i="11"/>
  <c r="G31" i="11"/>
  <c r="F30" i="11"/>
  <c r="G30" i="11"/>
  <c r="H30" i="11"/>
  <c r="I30" i="11"/>
  <c r="J30" i="11"/>
  <c r="K30" i="11"/>
  <c r="L30" i="11"/>
  <c r="M30" i="11"/>
  <c r="N30" i="11"/>
  <c r="O30" i="11"/>
  <c r="P30" i="11"/>
  <c r="Q30" i="11"/>
  <c r="R30" i="11"/>
  <c r="E30" i="11"/>
  <c r="H92" i="6"/>
  <c r="H91" i="6"/>
  <c r="H90" i="6"/>
  <c r="H89" i="6"/>
  <c r="H88" i="6"/>
  <c r="H87" i="6"/>
  <c r="L93" i="6"/>
  <c r="K90" i="6"/>
  <c r="M90" i="6" s="1"/>
  <c r="M89" i="6"/>
  <c r="L89" i="6"/>
  <c r="M88" i="6"/>
  <c r="L88" i="6"/>
  <c r="M87" i="6"/>
  <c r="L87" i="6"/>
  <c r="G91" i="6"/>
  <c r="G90" i="6" s="1"/>
  <c r="L34" i="6"/>
  <c r="J35" i="6"/>
  <c r="J34" i="6"/>
  <c r="M77" i="6"/>
  <c r="M78" i="6"/>
  <c r="M76" i="6"/>
  <c r="K82" i="6"/>
  <c r="L77" i="6"/>
  <c r="L78" i="6"/>
  <c r="L79" i="6"/>
  <c r="L76" i="6"/>
  <c r="K79" i="6"/>
  <c r="M79" i="6" s="1"/>
  <c r="M80" i="6" s="1"/>
  <c r="G77" i="6"/>
  <c r="H77" i="6" s="1"/>
  <c r="G81" i="6"/>
  <c r="H81" i="6" s="1"/>
  <c r="H79" i="6"/>
  <c r="H78" i="6"/>
  <c r="G79" i="6"/>
  <c r="G78" i="6"/>
  <c r="V10" i="12"/>
  <c r="N14" i="12"/>
  <c r="O14" i="12" s="1"/>
  <c r="N103" i="12"/>
  <c r="O103" i="12" s="1"/>
  <c r="N74" i="12"/>
  <c r="O74" i="12" s="1"/>
  <c r="N132" i="12"/>
  <c r="O132" i="12" s="1"/>
  <c r="N153" i="12"/>
  <c r="O153" i="12" s="1"/>
  <c r="N49" i="12"/>
  <c r="O49" i="12" s="1"/>
  <c r="N26" i="12"/>
  <c r="O26" i="12" s="1"/>
  <c r="N8" i="12"/>
  <c r="O8" i="12" s="1"/>
  <c r="U149" i="12"/>
  <c r="N149" i="12"/>
  <c r="M149" i="12"/>
  <c r="L149" i="12"/>
  <c r="J149" i="12"/>
  <c r="I149" i="12"/>
  <c r="H149" i="12"/>
  <c r="G149" i="12"/>
  <c r="F149" i="12"/>
  <c r="E149" i="12"/>
  <c r="D149" i="12"/>
  <c r="C149" i="12"/>
  <c r="U167" i="12"/>
  <c r="N167" i="12"/>
  <c r="M167" i="12"/>
  <c r="L167" i="12"/>
  <c r="J167" i="12"/>
  <c r="I167" i="12"/>
  <c r="H167" i="12"/>
  <c r="G167" i="12"/>
  <c r="F167" i="12"/>
  <c r="E167" i="12"/>
  <c r="D167" i="12"/>
  <c r="C167" i="12"/>
  <c r="U128" i="12"/>
  <c r="N128" i="12"/>
  <c r="M128" i="12"/>
  <c r="L128" i="12"/>
  <c r="J128" i="12"/>
  <c r="I128" i="12"/>
  <c r="H128" i="12"/>
  <c r="G128" i="12"/>
  <c r="F128" i="12"/>
  <c r="E128" i="12"/>
  <c r="D128" i="12"/>
  <c r="C128" i="12"/>
  <c r="U99" i="12"/>
  <c r="N99" i="12"/>
  <c r="M99" i="12"/>
  <c r="Q99" i="12" s="1"/>
  <c r="L99" i="12"/>
  <c r="J99" i="12"/>
  <c r="I99" i="12"/>
  <c r="H99" i="12"/>
  <c r="G99" i="12"/>
  <c r="F99" i="12"/>
  <c r="E99" i="12"/>
  <c r="D99" i="12"/>
  <c r="C99" i="12"/>
  <c r="W70" i="12"/>
  <c r="N70" i="12"/>
  <c r="M70" i="12"/>
  <c r="L70" i="12"/>
  <c r="I70" i="12"/>
  <c r="G70" i="12"/>
  <c r="F70" i="12"/>
  <c r="E70" i="12"/>
  <c r="D70" i="12"/>
  <c r="C70" i="12"/>
  <c r="W22" i="12"/>
  <c r="U45" i="12"/>
  <c r="M22" i="12"/>
  <c r="N22" i="12"/>
  <c r="C22" i="12"/>
  <c r="D22" i="12"/>
  <c r="L22" i="12"/>
  <c r="J22" i="12"/>
  <c r="J23" i="12" s="1" a="1"/>
  <c r="J23" i="12" s="1"/>
  <c r="I22" i="12"/>
  <c r="I23" i="12" s="1" a="1"/>
  <c r="I23" i="12" s="1"/>
  <c r="H22" i="12"/>
  <c r="H23" i="12" s="1" a="1"/>
  <c r="H23" i="12" s="1"/>
  <c r="G22" i="12"/>
  <c r="F22" i="12"/>
  <c r="E22" i="12"/>
  <c r="H45" i="12"/>
  <c r="I45" i="12"/>
  <c r="J45" i="12"/>
  <c r="L45" i="12"/>
  <c r="M45" i="12"/>
  <c r="N45" i="12"/>
  <c r="D45" i="12"/>
  <c r="E45" i="12"/>
  <c r="F45" i="12"/>
  <c r="G45" i="12"/>
  <c r="C45" i="12"/>
  <c r="AC26" i="6"/>
  <c r="AD26" i="6"/>
  <c r="AD27" i="6" s="1"/>
  <c r="AE26" i="6"/>
  <c r="AE27" i="6" s="1"/>
  <c r="AF26" i="6"/>
  <c r="AF27" i="6" s="1"/>
  <c r="AG26" i="6"/>
  <c r="AG27" i="6" s="1"/>
  <c r="AH26" i="6"/>
  <c r="AH27" i="6" s="1"/>
  <c r="AI26" i="6"/>
  <c r="AI27" i="6" s="1"/>
  <c r="AJ26" i="6"/>
  <c r="AJ27" i="6" s="1"/>
  <c r="AK26" i="6"/>
  <c r="AK27" i="6" s="1"/>
  <c r="AB26" i="6"/>
  <c r="AB48" i="6"/>
  <c r="AC48" i="6"/>
  <c r="AD48" i="6"/>
  <c r="AE48" i="6"/>
  <c r="AF48" i="6"/>
  <c r="AG48" i="6"/>
  <c r="AH48" i="6"/>
  <c r="Y48" i="6"/>
  <c r="S48" i="6"/>
  <c r="T33" i="6"/>
  <c r="AI33" i="6" s="1"/>
  <c r="U33" i="6"/>
  <c r="AJ33" i="6" s="1"/>
  <c r="V33" i="6"/>
  <c r="AK33" i="6" s="1"/>
  <c r="T34" i="6"/>
  <c r="AI34" i="6" s="1"/>
  <c r="U34" i="6"/>
  <c r="AJ34" i="6" s="1"/>
  <c r="V34" i="6"/>
  <c r="AK34" i="6" s="1"/>
  <c r="T35" i="6"/>
  <c r="AI35" i="6" s="1"/>
  <c r="U35" i="6"/>
  <c r="AJ35" i="6" s="1"/>
  <c r="V35" i="6"/>
  <c r="AK35" i="6" s="1"/>
  <c r="T36" i="6"/>
  <c r="AI36" i="6" s="1"/>
  <c r="U36" i="6"/>
  <c r="AJ36" i="6" s="1"/>
  <c r="V36" i="6"/>
  <c r="AK36" i="6" s="1"/>
  <c r="T37" i="6"/>
  <c r="AI37" i="6" s="1"/>
  <c r="U37" i="6"/>
  <c r="AJ37" i="6" s="1"/>
  <c r="V37" i="6"/>
  <c r="AK37" i="6" s="1"/>
  <c r="T38" i="6"/>
  <c r="AI38" i="6" s="1"/>
  <c r="U38" i="6"/>
  <c r="AJ38" i="6" s="1"/>
  <c r="V38" i="6"/>
  <c r="AK38" i="6" s="1"/>
  <c r="T39" i="6"/>
  <c r="AI39" i="6" s="1"/>
  <c r="U39" i="6"/>
  <c r="AJ39" i="6" s="1"/>
  <c r="V39" i="6"/>
  <c r="AK39" i="6" s="1"/>
  <c r="T40" i="6"/>
  <c r="AI40" i="6" s="1"/>
  <c r="U40" i="6"/>
  <c r="AJ40" i="6" s="1"/>
  <c r="V40" i="6"/>
  <c r="AK40" i="6" s="1"/>
  <c r="T41" i="6"/>
  <c r="AI41" i="6" s="1"/>
  <c r="U41" i="6"/>
  <c r="AJ41" i="6" s="1"/>
  <c r="V41" i="6"/>
  <c r="AK41" i="6" s="1"/>
  <c r="T42" i="6"/>
  <c r="AI42" i="6" s="1"/>
  <c r="U42" i="6"/>
  <c r="AJ42" i="6" s="1"/>
  <c r="V42" i="6"/>
  <c r="AK42" i="6" s="1"/>
  <c r="T43" i="6"/>
  <c r="AI43" i="6" s="1"/>
  <c r="U43" i="6"/>
  <c r="AJ43" i="6" s="1"/>
  <c r="V43" i="6"/>
  <c r="AK43" i="6" s="1"/>
  <c r="T44" i="6"/>
  <c r="AI44" i="6" s="1"/>
  <c r="U44" i="6"/>
  <c r="AJ44" i="6" s="1"/>
  <c r="V44" i="6"/>
  <c r="AK44" i="6" s="1"/>
  <c r="T45" i="6"/>
  <c r="AI45" i="6" s="1"/>
  <c r="U45" i="6"/>
  <c r="AJ45" i="6" s="1"/>
  <c r="V45" i="6"/>
  <c r="AK45" i="6" s="1"/>
  <c r="T46" i="6"/>
  <c r="AI46" i="6" s="1"/>
  <c r="U46" i="6"/>
  <c r="AJ46" i="6" s="1"/>
  <c r="V46" i="6"/>
  <c r="AK46" i="6" s="1"/>
  <c r="V32" i="6"/>
  <c r="U32" i="6"/>
  <c r="T32" i="6"/>
  <c r="X22" i="12" l="1"/>
  <c r="Q167" i="12"/>
  <c r="V45" i="12"/>
  <c r="R22" i="12"/>
  <c r="N23" i="12" a="1"/>
  <c r="N23" i="12" s="1"/>
  <c r="P99" i="12"/>
  <c r="P167" i="12"/>
  <c r="R99" i="12"/>
  <c r="R167" i="12"/>
  <c r="P70" i="12"/>
  <c r="P128" i="12"/>
  <c r="P149" i="12"/>
  <c r="Q22" i="12"/>
  <c r="M23" i="12" a="1"/>
  <c r="M23" i="12" s="1"/>
  <c r="Q45" i="12"/>
  <c r="P45" i="12"/>
  <c r="L23" i="12" a="1"/>
  <c r="L23" i="12" s="1"/>
  <c r="P22" i="12"/>
  <c r="Q70" i="12"/>
  <c r="Q128" i="12"/>
  <c r="Q149" i="12"/>
  <c r="R70" i="12"/>
  <c r="R128" i="12"/>
  <c r="R149" i="12"/>
  <c r="V167" i="12"/>
  <c r="V128" i="12"/>
  <c r="V149" i="12"/>
  <c r="X70" i="12"/>
  <c r="V99" i="12"/>
  <c r="S135" i="11"/>
  <c r="S136" i="11" s="1"/>
  <c r="X8" i="11"/>
  <c r="X9" i="11" s="1"/>
  <c r="S115" i="11"/>
  <c r="S116" i="11" s="1"/>
  <c r="S84" i="11"/>
  <c r="S8" i="11"/>
  <c r="S9" i="11" s="1"/>
  <c r="M93" i="6"/>
  <c r="K93" i="6"/>
  <c r="L90" i="6"/>
  <c r="L91" i="6" s="1"/>
  <c r="K91" i="6"/>
  <c r="M91" i="6"/>
  <c r="K80" i="6"/>
  <c r="L83" i="6"/>
  <c r="G80" i="6"/>
  <c r="H80" i="6" s="1"/>
  <c r="U48" i="6"/>
  <c r="T48" i="6"/>
  <c r="V48" i="6"/>
  <c r="AI32" i="6"/>
  <c r="AI48" i="6" s="1"/>
  <c r="AJ32" i="6"/>
  <c r="AJ48" i="6" s="1"/>
  <c r="AK32" i="6"/>
  <c r="AK48" i="6" s="1"/>
  <c r="V14" i="6"/>
  <c r="V15" i="6"/>
  <c r="V16" i="6"/>
  <c r="V17" i="6"/>
  <c r="V18" i="6"/>
  <c r="V19" i="6"/>
  <c r="V20" i="6"/>
  <c r="V21" i="6"/>
  <c r="V22" i="6"/>
  <c r="V23" i="6"/>
  <c r="V24" i="6"/>
  <c r="T1" i="6"/>
  <c r="Y26" i="6"/>
  <c r="Y27" i="6" s="1"/>
  <c r="S26" i="6"/>
  <c r="S27" i="6" s="1"/>
  <c r="U19" i="6"/>
  <c r="U20" i="6"/>
  <c r="U21" i="6"/>
  <c r="U22" i="6"/>
  <c r="U23" i="6"/>
  <c r="U24" i="6"/>
  <c r="T19" i="6"/>
  <c r="T20" i="6"/>
  <c r="T21" i="6"/>
  <c r="T22" i="6"/>
  <c r="T23" i="6"/>
  <c r="T24" i="6"/>
  <c r="U18" i="6"/>
  <c r="T18" i="6"/>
  <c r="U17" i="6"/>
  <c r="T17" i="6"/>
  <c r="U16" i="6"/>
  <c r="T16" i="6"/>
  <c r="U15" i="6"/>
  <c r="T15" i="6"/>
  <c r="U14" i="6"/>
  <c r="T14" i="6"/>
  <c r="F88" i="6" l="1"/>
  <c r="V26" i="6"/>
  <c r="U26" i="6"/>
  <c r="U27" i="6" s="1"/>
  <c r="T26" i="6"/>
  <c r="T27" i="6" s="1"/>
  <c r="L94" i="6" l="1"/>
  <c r="F89" i="6"/>
  <c r="G89" i="6" s="1"/>
  <c r="G88" i="6"/>
  <c r="G71" i="6"/>
  <c r="H71" i="6" s="1"/>
  <c r="G70" i="6"/>
  <c r="G68" i="6"/>
  <c r="H68" i="6" s="1"/>
  <c r="G67" i="6"/>
  <c r="H67" i="6" s="1"/>
  <c r="G65" i="6"/>
  <c r="H65" i="6" s="1"/>
  <c r="G64" i="6"/>
  <c r="G62" i="6"/>
  <c r="H62" i="6" s="1"/>
  <c r="G61" i="6"/>
  <c r="H61" i="6" s="1"/>
  <c r="G60" i="6"/>
  <c r="H60" i="6" s="1"/>
  <c r="G59" i="6"/>
  <c r="H59" i="6" s="1"/>
  <c r="G58" i="6"/>
  <c r="H58" i="6" s="1"/>
  <c r="G42" i="6"/>
  <c r="H42" i="6" s="1"/>
  <c r="G49" i="6"/>
  <c r="H49" i="6" s="1"/>
  <c r="G51" i="6"/>
  <c r="H51" i="6" s="1"/>
  <c r="G48" i="6"/>
  <c r="H48" i="6" s="1"/>
  <c r="G46" i="6"/>
  <c r="H46" i="6" s="1"/>
  <c r="G45" i="6"/>
  <c r="H45" i="6" s="1"/>
  <c r="G43" i="6"/>
  <c r="H43" i="6" s="1"/>
  <c r="G41" i="6"/>
  <c r="H41" i="6" s="1"/>
  <c r="G40" i="6"/>
  <c r="H40" i="6" s="1"/>
  <c r="G39" i="6"/>
  <c r="H39" i="6" s="1"/>
  <c r="G24" i="6"/>
  <c r="H24" i="6" s="1"/>
  <c r="G32" i="6"/>
  <c r="H32" i="6" s="1"/>
  <c r="G30" i="6"/>
  <c r="H30" i="6" s="1"/>
  <c r="G28" i="6"/>
  <c r="H28" i="6" s="1"/>
  <c r="G27" i="6"/>
  <c r="H27" i="6" s="1"/>
  <c r="G25" i="6"/>
  <c r="H25" i="6" s="1"/>
  <c r="G23" i="6"/>
  <c r="H23" i="6" s="1"/>
  <c r="G22" i="6"/>
  <c r="H22" i="6" s="1"/>
  <c r="G15" i="6"/>
  <c r="H15" i="6" s="1"/>
  <c r="G14" i="6"/>
  <c r="G12" i="6"/>
  <c r="G11" i="6" s="1"/>
  <c r="H11" i="6" s="1"/>
  <c r="G10" i="6"/>
  <c r="H10" i="6" s="1"/>
  <c r="G9" i="6"/>
  <c r="H9" i="6" s="1"/>
  <c r="G6" i="6"/>
  <c r="H6" i="6" s="1"/>
  <c r="G7" i="6"/>
  <c r="H7" i="6" s="1"/>
  <c r="G5" i="6"/>
  <c r="G87" i="6" l="1"/>
  <c r="G69" i="6"/>
  <c r="H69" i="6" s="1"/>
  <c r="G63" i="6"/>
  <c r="H63" i="6" s="1"/>
  <c r="H70" i="6"/>
  <c r="H64" i="6"/>
  <c r="G47" i="6"/>
  <c r="H47" i="6" s="1"/>
  <c r="G66" i="6"/>
  <c r="H66" i="6" s="1"/>
  <c r="G57" i="6"/>
  <c r="G44" i="6"/>
  <c r="H44" i="6" s="1"/>
  <c r="G50" i="6"/>
  <c r="H50" i="6" s="1"/>
  <c r="G38" i="6"/>
  <c r="G54" i="6" s="1"/>
  <c r="H54" i="6" s="1"/>
  <c r="G8" i="6"/>
  <c r="H8" i="6" s="1"/>
  <c r="G26" i="6"/>
  <c r="H26" i="6" s="1"/>
  <c r="G13" i="6"/>
  <c r="H13" i="6" s="1"/>
  <c r="G4" i="6"/>
  <c r="H14" i="6"/>
  <c r="H5" i="6"/>
  <c r="H12" i="6"/>
  <c r="G21" i="6"/>
  <c r="G31" i="6"/>
  <c r="H31" i="6" s="1"/>
  <c r="G29" i="6"/>
  <c r="H29" i="6" s="1"/>
  <c r="G92" i="6" l="1"/>
  <c r="G35" i="6"/>
  <c r="H35" i="6" s="1"/>
  <c r="G74" i="6"/>
  <c r="H74" i="6" s="1"/>
  <c r="G73" i="6"/>
  <c r="G18" i="6"/>
  <c r="H18" i="6" s="1"/>
  <c r="G72" i="6"/>
  <c r="H72" i="6" s="1"/>
  <c r="H73" i="6"/>
  <c r="H57" i="6"/>
  <c r="H4" i="6"/>
  <c r="G17" i="6"/>
  <c r="H17" i="6" s="1"/>
  <c r="H21" i="6"/>
  <c r="G34" i="6"/>
  <c r="H34" i="6" s="1"/>
  <c r="H38" i="6"/>
  <c r="G53" i="6"/>
  <c r="H53" i="6" s="1"/>
  <c r="G52" i="6"/>
  <c r="H52" i="6" s="1"/>
  <c r="G16" i="6"/>
  <c r="H16" i="6" s="1"/>
  <c r="G33" i="6"/>
  <c r="H33" i="6" s="1"/>
  <c r="AI25" i="3"/>
  <c r="AI26" i="3"/>
  <c r="AI27" i="3"/>
  <c r="AI28" i="3"/>
  <c r="AI29" i="3"/>
  <c r="AI30" i="3"/>
  <c r="AI31" i="3"/>
  <c r="AI32" i="3"/>
  <c r="AI33" i="3"/>
  <c r="AI34" i="3"/>
  <c r="AI35" i="3"/>
  <c r="AI36" i="3"/>
  <c r="AI37" i="3"/>
  <c r="AI38" i="3"/>
  <c r="AI24" i="3"/>
  <c r="U25" i="3"/>
  <c r="W8" i="3" s="1"/>
  <c r="T25" i="3"/>
  <c r="E5" i="3"/>
  <c r="F5" i="3" s="1"/>
  <c r="G3" i="3"/>
  <c r="H3" i="3" s="1"/>
  <c r="G4" i="3"/>
  <c r="H4" i="3" s="1"/>
  <c r="G5" i="3"/>
  <c r="H5" i="3" s="1"/>
  <c r="G6" i="3"/>
  <c r="H6" i="3" s="1"/>
  <c r="G7" i="3"/>
  <c r="H7" i="3" s="1"/>
  <c r="G8" i="3"/>
  <c r="H8" i="3" s="1"/>
  <c r="G9" i="3"/>
  <c r="H9" i="3" s="1"/>
  <c r="G10" i="3"/>
  <c r="H10" i="3" s="1"/>
  <c r="G11" i="3"/>
  <c r="H11" i="3" s="1"/>
  <c r="G12" i="3"/>
  <c r="H12" i="3" s="1"/>
  <c r="G13" i="3"/>
  <c r="H13" i="3" s="1"/>
  <c r="G14" i="3"/>
  <c r="G15" i="3"/>
  <c r="G16" i="3"/>
  <c r="G17" i="3"/>
  <c r="G18" i="3"/>
  <c r="G19" i="3"/>
  <c r="G20" i="3"/>
  <c r="G21" i="3"/>
  <c r="G22" i="3"/>
  <c r="G23" i="3"/>
  <c r="G24" i="3"/>
  <c r="G25" i="3"/>
  <c r="G2" i="3"/>
  <c r="H2" i="3" s="1"/>
  <c r="K14" i="3"/>
  <c r="L14" i="3" s="1"/>
  <c r="K15" i="3"/>
  <c r="L15" i="3" s="1"/>
  <c r="K16" i="3"/>
  <c r="L16" i="3" s="1"/>
  <c r="K17" i="3"/>
  <c r="L17" i="3" s="1"/>
  <c r="K18" i="3"/>
  <c r="L18" i="3" s="1"/>
  <c r="K19" i="3"/>
  <c r="L19" i="3" s="1"/>
  <c r="K20" i="3"/>
  <c r="L20" i="3" s="1"/>
  <c r="K21" i="3"/>
  <c r="L21" i="3" s="1"/>
  <c r="K22" i="3"/>
  <c r="L22" i="3" s="1"/>
  <c r="K23" i="3"/>
  <c r="L23" i="3" s="1"/>
  <c r="K24" i="3"/>
  <c r="L24" i="3" s="1"/>
  <c r="K25" i="3"/>
  <c r="L25" i="3" s="1"/>
  <c r="K3" i="3"/>
  <c r="L3" i="3" s="1"/>
  <c r="K4" i="3"/>
  <c r="L4" i="3" s="1"/>
  <c r="K5" i="3"/>
  <c r="L5" i="3" s="1"/>
  <c r="K6" i="3"/>
  <c r="L6" i="3" s="1"/>
  <c r="K7" i="3"/>
  <c r="L7" i="3" s="1"/>
  <c r="K8" i="3"/>
  <c r="L8" i="3" s="1"/>
  <c r="K9" i="3"/>
  <c r="L9" i="3" s="1"/>
  <c r="K10" i="3"/>
  <c r="L10" i="3" s="1"/>
  <c r="K11" i="3"/>
  <c r="L11" i="3" s="1"/>
  <c r="K12" i="3"/>
  <c r="L12" i="3" s="1"/>
  <c r="K13" i="3"/>
  <c r="L13" i="3" s="1"/>
  <c r="K2" i="3"/>
  <c r="L2" i="3" s="1"/>
  <c r="I3" i="3"/>
  <c r="J3" i="3" s="1"/>
  <c r="I4" i="3"/>
  <c r="J4" i="3" s="1"/>
  <c r="I5" i="3"/>
  <c r="J5" i="3" s="1"/>
  <c r="I6" i="3"/>
  <c r="J6" i="3" s="1"/>
  <c r="I7" i="3"/>
  <c r="J7" i="3" s="1"/>
  <c r="I8" i="3"/>
  <c r="J8" i="3" s="1"/>
  <c r="I9" i="3"/>
  <c r="J9" i="3" s="1"/>
  <c r="I10" i="3"/>
  <c r="J10" i="3" s="1"/>
  <c r="I11" i="3"/>
  <c r="J11" i="3" s="1"/>
  <c r="I12" i="3"/>
  <c r="J12" i="3" s="1"/>
  <c r="I13" i="3"/>
  <c r="J13" i="3" s="1"/>
  <c r="I14" i="3"/>
  <c r="I15" i="3"/>
  <c r="I16" i="3"/>
  <c r="I17" i="3"/>
  <c r="I18" i="3"/>
  <c r="I19" i="3"/>
  <c r="I20" i="3"/>
  <c r="I21" i="3"/>
  <c r="I22" i="3"/>
  <c r="I23" i="3"/>
  <c r="I24" i="3"/>
  <c r="I25" i="3"/>
  <c r="I2" i="3"/>
  <c r="J2" i="3" s="1"/>
  <c r="E3" i="3"/>
  <c r="F3" i="3" s="1"/>
  <c r="E4" i="3"/>
  <c r="F4" i="3" s="1"/>
  <c r="E6" i="3"/>
  <c r="F6" i="3" s="1"/>
  <c r="E7" i="3"/>
  <c r="F7" i="3" s="1"/>
  <c r="E8" i="3"/>
  <c r="F8" i="3" s="1"/>
  <c r="E9" i="3"/>
  <c r="F9" i="3" s="1"/>
  <c r="E10" i="3"/>
  <c r="F10" i="3" s="1"/>
  <c r="E11" i="3"/>
  <c r="F11" i="3" s="1"/>
  <c r="E12" i="3"/>
  <c r="F12" i="3" s="1"/>
  <c r="E13" i="3"/>
  <c r="F13" i="3" s="1"/>
  <c r="E14" i="3"/>
  <c r="F14" i="3" s="1"/>
  <c r="E15" i="3"/>
  <c r="F15" i="3" s="1"/>
  <c r="E16" i="3"/>
  <c r="F16" i="3" s="1"/>
  <c r="E17" i="3"/>
  <c r="F17" i="3" s="1"/>
  <c r="E18" i="3"/>
  <c r="F18" i="3" s="1"/>
  <c r="E19" i="3"/>
  <c r="F19" i="3" s="1"/>
  <c r="E20" i="3"/>
  <c r="F20" i="3" s="1"/>
  <c r="E21" i="3"/>
  <c r="F21" i="3" s="1"/>
  <c r="E22" i="3"/>
  <c r="F22" i="3" s="1"/>
  <c r="E23" i="3"/>
  <c r="F23" i="3" s="1"/>
  <c r="E24" i="3"/>
  <c r="F24" i="3" s="1"/>
  <c r="E25" i="3"/>
  <c r="F25" i="3" s="1"/>
  <c r="E2" i="3"/>
  <c r="F2" i="3" s="1"/>
  <c r="F3" i="2"/>
  <c r="F4" i="2"/>
  <c r="F5" i="2"/>
  <c r="F6" i="2"/>
  <c r="F7" i="2"/>
  <c r="F8" i="2"/>
  <c r="F9" i="2"/>
  <c r="F10" i="2"/>
  <c r="F11" i="2"/>
  <c r="F12" i="2"/>
  <c r="F13" i="2"/>
  <c r="F2" i="2"/>
  <c r="E16" i="2"/>
  <c r="C15" i="2"/>
  <c r="D15" i="2"/>
  <c r="E15" i="2"/>
  <c r="B15" i="2"/>
  <c r="C14" i="1"/>
  <c r="C13" i="1"/>
  <c r="D13" i="1"/>
  <c r="B13" i="1"/>
  <c r="W21" i="3" l="1"/>
  <c r="W20" i="3"/>
  <c r="W17" i="3"/>
  <c r="V16" i="3"/>
  <c r="W9" i="3"/>
  <c r="V14" i="3"/>
  <c r="V8" i="3"/>
  <c r="V22" i="3"/>
  <c r="V13" i="3"/>
  <c r="W16" i="3"/>
  <c r="V18" i="3"/>
  <c r="V12" i="3"/>
  <c r="V10" i="3"/>
  <c r="W15" i="3"/>
  <c r="W11" i="3"/>
  <c r="V11" i="3"/>
  <c r="V15" i="3"/>
  <c r="V23" i="3"/>
  <c r="W19" i="3"/>
  <c r="V20" i="3"/>
  <c r="V17" i="3"/>
  <c r="V9" i="3"/>
  <c r="W22" i="3"/>
  <c r="W13" i="3"/>
  <c r="W24" i="3"/>
  <c r="V21" i="3"/>
  <c r="W23" i="3"/>
  <c r="W14" i="3"/>
  <c r="V24" i="3"/>
  <c r="V19" i="3"/>
  <c r="W18" i="3"/>
  <c r="W12" i="3"/>
  <c r="W10" i="3"/>
  <c r="G82" i="6" l="1"/>
  <c r="H82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<sst xmlns="http://schemas.openxmlformats.org/spreadsheetml/2006/main" count="564" uniqueCount="164">
  <si>
    <t>Chesapeake</t>
  </si>
  <si>
    <t>boxculvert.com</t>
  </si>
  <si>
    <t>area</t>
  </si>
  <si>
    <t>3x5</t>
  </si>
  <si>
    <t>4x5</t>
  </si>
  <si>
    <t>4x6</t>
  </si>
  <si>
    <t>5x5</t>
  </si>
  <si>
    <t>4x7</t>
  </si>
  <si>
    <t>4x10</t>
  </si>
  <si>
    <t>4x4</t>
  </si>
  <si>
    <t>brazoria</t>
  </si>
  <si>
    <t>fairfax</t>
  </si>
  <si>
    <t>federico</t>
  </si>
  <si>
    <t>6x6</t>
  </si>
  <si>
    <t>6x8</t>
  </si>
  <si>
    <t>7x7</t>
  </si>
  <si>
    <t>proposed</t>
  </si>
  <si>
    <t>singlepipe</t>
  </si>
  <si>
    <t>bigorifices</t>
  </si>
  <si>
    <t>total</t>
  </si>
  <si>
    <t>D_inch</t>
  </si>
  <si>
    <t>x</t>
  </si>
  <si>
    <t>y</t>
  </si>
  <si>
    <t>Delta_x^2</t>
  </si>
  <si>
    <t>Delta_y^2</t>
  </si>
  <si>
    <t>m</t>
  </si>
  <si>
    <t>b</t>
  </si>
  <si>
    <t>cost/feet</t>
  </si>
  <si>
    <t>circ_area</t>
  </si>
  <si>
    <t>&lt; 3%</t>
  </si>
  <si>
    <t>&lt;= 0.01 m2</t>
  </si>
  <si>
    <t>Unit</t>
  </si>
  <si>
    <t>Quantity</t>
  </si>
  <si>
    <t>Site Preparation</t>
  </si>
  <si>
    <t>Clearing and Grubbing</t>
  </si>
  <si>
    <t>Topsoil Strip, Salvage and Spread for Dams</t>
  </si>
  <si>
    <t>Excavation, Core Trench</t>
  </si>
  <si>
    <t>Earthfill, Dams</t>
  </si>
  <si>
    <t>Silt Fence</t>
  </si>
  <si>
    <t>Mobilization</t>
  </si>
  <si>
    <t>CY</t>
  </si>
  <si>
    <t>EA</t>
  </si>
  <si>
    <t>Total</t>
  </si>
  <si>
    <t>Division 15</t>
  </si>
  <si>
    <t>CC-058</t>
  </si>
  <si>
    <t>CC-079</t>
  </si>
  <si>
    <t>CC-047</t>
  </si>
  <si>
    <t>CC-048</t>
  </si>
  <si>
    <t>CC-059</t>
  </si>
  <si>
    <t>CC-015</t>
  </si>
  <si>
    <t>CC-016</t>
  </si>
  <si>
    <t>CC-014</t>
  </si>
  <si>
    <t>CC-080</t>
  </si>
  <si>
    <t>CC-085</t>
  </si>
  <si>
    <t>Project</t>
  </si>
  <si>
    <t>Division</t>
  </si>
  <si>
    <t>Earthfill, Dams [CY]</t>
  </si>
  <si>
    <t>cost[$/CY]</t>
  </si>
  <si>
    <t>Cost</t>
  </si>
  <si>
    <t>Component</t>
  </si>
  <si>
    <t>#1 - Embankment, Tile Conduit</t>
  </si>
  <si>
    <t>Equipment Installation</t>
  </si>
  <si>
    <t>Earthfill, Manually Compacted</t>
  </si>
  <si>
    <t>Dozer, 140 HP</t>
  </si>
  <si>
    <t xml:space="preserve">Hydraulic Excavator, 1 CY </t>
  </si>
  <si>
    <t>Labor</t>
  </si>
  <si>
    <t>General Labor</t>
  </si>
  <si>
    <t>Equipment Operators, Heavy</t>
  </si>
  <si>
    <t>Materials</t>
  </si>
  <si>
    <t>Pipe, PVC, 6", SCH 40</t>
  </si>
  <si>
    <t>Pipe, HDPE, 6", CPT, Single Wall 1</t>
  </si>
  <si>
    <t>Mobilization, medium equipment</t>
  </si>
  <si>
    <t>Foot</t>
  </si>
  <si>
    <t>Hour</t>
  </si>
  <si>
    <t>Cost/unit</t>
  </si>
  <si>
    <t>Size, CY</t>
  </si>
  <si>
    <t>#2 - Embankment, 4in-6in Pipe</t>
  </si>
  <si>
    <t>Dozer, 200 HP</t>
  </si>
  <si>
    <t>Scraper, pull, 7 CY 1</t>
  </si>
  <si>
    <t>#3 - Embankment, 8in-12in Pipe</t>
  </si>
  <si>
    <t>Mobilization, very small equipment</t>
  </si>
  <si>
    <t>Pipe, PVC, 10", SCH 80</t>
  </si>
  <si>
    <t>#4 - Embankment, &gt;12in Pipe</t>
  </si>
  <si>
    <t>Aggregate, Sand, Graded, Washed</t>
  </si>
  <si>
    <t>Pipe, Steel, 18", Std Wt, USED</t>
  </si>
  <si>
    <t>Total without pipes</t>
  </si>
  <si>
    <t>Clear Creek projects</t>
  </si>
  <si>
    <t>Earthfill, dams CY</t>
  </si>
  <si>
    <t>bid price</t>
  </si>
  <si>
    <t>avg bid price</t>
  </si>
  <si>
    <t>USDA linear</t>
  </si>
  <si>
    <t>USDA exp</t>
  </si>
  <si>
    <t>damID</t>
  </si>
  <si>
    <t>DSR1</t>
  </si>
  <si>
    <t>diff</t>
  </si>
  <si>
    <t>USDA log</t>
  </si>
  <si>
    <t>VOLmax</t>
  </si>
  <si>
    <t>AREAmax</t>
  </si>
  <si>
    <t>damVol_yds</t>
  </si>
  <si>
    <t>pipe_cost</t>
  </si>
  <si>
    <t>planting_c</t>
  </si>
  <si>
    <t>earthfill_</t>
  </si>
  <si>
    <t>tot_fixedprice</t>
  </si>
  <si>
    <t>fixed price</t>
  </si>
  <si>
    <t>tot_USDA_lin</t>
  </si>
  <si>
    <t>tot_USDA_exp</t>
  </si>
  <si>
    <t>tot_USDA_log</t>
  </si>
  <si>
    <t>US1_300611_par</t>
  </si>
  <si>
    <t>DS1_300916_parallel</t>
  </si>
  <si>
    <t>TOTAL</t>
  </si>
  <si>
    <t>init_pipe</t>
  </si>
  <si>
    <t>DS1_300639_series</t>
  </si>
  <si>
    <t>MID1_300649_parallel</t>
  </si>
  <si>
    <t>MID1_300267_series</t>
  </si>
  <si>
    <t>US1_300520_series</t>
  </si>
  <si>
    <t>US1_300611_parallel</t>
  </si>
  <si>
    <t>#1 - Dike</t>
  </si>
  <si>
    <t>Earthfill, Roller Compacted</t>
  </si>
  <si>
    <t>Stripping and stockpiling, topsoil</t>
  </si>
  <si>
    <t>feet</t>
  </si>
  <si>
    <t>yard</t>
  </si>
  <si>
    <t>15 cm</t>
  </si>
  <si>
    <t>Total without pipes and mobilization</t>
  </si>
  <si>
    <t>length</t>
  </si>
  <si>
    <t>height</t>
  </si>
  <si>
    <t>top</t>
  </si>
  <si>
    <t>base</t>
  </si>
  <si>
    <t>vol</t>
  </si>
  <si>
    <t>strip vol</t>
  </si>
  <si>
    <t>meter</t>
  </si>
  <si>
    <t>Division 11</t>
  </si>
  <si>
    <t>Division 12</t>
  </si>
  <si>
    <t>Division 14</t>
  </si>
  <si>
    <t>Earthfill Volume</t>
  </si>
  <si>
    <t>dipende!</t>
  </si>
  <si>
    <t>Prep + clearing</t>
  </si>
  <si>
    <t>Strip + trench</t>
  </si>
  <si>
    <t>Trench/earthfill</t>
  </si>
  <si>
    <t>tot</t>
  </si>
  <si>
    <t>$/yd3</t>
  </si>
  <si>
    <t>avg $/yd3</t>
  </si>
  <si>
    <t>$/feet</t>
  </si>
  <si>
    <t>SILT FENCE</t>
  </si>
  <si>
    <t>CORE TRENCH</t>
  </si>
  <si>
    <t>avg $/feet</t>
  </si>
  <si>
    <t>TOPSOIL STRIP</t>
  </si>
  <si>
    <t>EARTHFILL, DAMS</t>
  </si>
  <si>
    <t>yd3</t>
  </si>
  <si>
    <t>MOBILIZATION</t>
  </si>
  <si>
    <t>ef_USDA_po</t>
  </si>
  <si>
    <t>ef_dikeUSD</t>
  </si>
  <si>
    <t>ef_CC_cost</t>
  </si>
  <si>
    <t>USDA_pow_t</t>
  </si>
  <si>
    <t>dikeUSDA_t</t>
  </si>
  <si>
    <t>cc_total</t>
  </si>
  <si>
    <t>pow_x_yd3</t>
  </si>
  <si>
    <t>dike_x_yd3</t>
  </si>
  <si>
    <t>cc_x_yd3</t>
  </si>
  <si>
    <t>CChaul_tot</t>
  </si>
  <si>
    <t>ef_CChaul_</t>
  </si>
  <si>
    <t>CChaul_x_y</t>
  </si>
  <si>
    <t>half feet stripping</t>
  </si>
  <si>
    <t>378-Pond_2019.pdf</t>
  </si>
  <si>
    <t>356-Dike_2019.pdf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</si>
</sst>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0.000000000000"/>
    <numFmt numFmtId="165" formatCode="0.00000"/>
    <numFmt numFmtId="166" formatCode="&quot;$&quot;#,##0.00"/>
    <numFmt numFmtId="168" formatCode="0.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uble">
        <color indexed="12"/>
      </top>
      <bottom/>
      <diagonal/>
    </border>
    <border>
      <left/>
      <right style="double">
        <color indexed="12"/>
      </right>
      <top style="double">
        <color indexed="12"/>
      </top>
      <bottom/>
      <diagonal/>
    </border>
    <border>
      <left/>
      <right style="double">
        <color indexed="12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243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65" fontId="0" fillId="0" borderId="0" xfId="0" applyNumberFormat="1"/>
    <xf numFmtId="166" fontId="0" fillId="0" borderId="0" xfId="0" applyNumberFormat="1"/>
    <xf numFmtId="0" fontId="1" fillId="0" borderId="11" xfId="0" applyFont="1" applyBorder="1"/>
    <xf numFmtId="2" fontId="0" fillId="0" borderId="0" xfId="0" applyNumberFormat="1"/>
    <xf numFmtId="0" fontId="0" fillId="0" borderId="14" xfId="0" applyBorder="1"/>
    <xf numFmtId="2" fontId="0" fillId="0" borderId="14" xfId="0" applyNumberFormat="1" applyBorder="1"/>
    <xf numFmtId="166" fontId="0" fillId="0" borderId="11" xfId="0" applyNumberFormat="1" applyBorder="1"/>
    <xf numFmtId="166" fontId="0" fillId="0" borderId="13" xfId="0" applyNumberFormat="1" applyBorder="1"/>
    <xf numFmtId="166" fontId="0" fillId="0" borderId="1" xfId="0" applyNumberFormat="1" applyBorder="1"/>
    <xf numFmtId="166" fontId="0" fillId="0" borderId="2" xfId="0" applyNumberFormat="1" applyBorder="1"/>
    <xf numFmtId="166" fontId="0" fillId="0" borderId="3" xfId="0" applyNumberFormat="1" applyBorder="1"/>
    <xf numFmtId="166" fontId="0" fillId="0" borderId="4" xfId="0" applyNumberFormat="1" applyBorder="1"/>
    <xf numFmtId="0" fontId="1" fillId="0" borderId="6" xfId="0" applyFont="1" applyBorder="1"/>
    <xf numFmtId="166" fontId="1" fillId="0" borderId="6" xfId="0" applyNumberFormat="1" applyFont="1" applyBorder="1"/>
    <xf numFmtId="166" fontId="1" fillId="0" borderId="5" xfId="0" applyNumberFormat="1" applyFont="1" applyBorder="1"/>
    <xf numFmtId="166" fontId="1" fillId="0" borderId="4" xfId="0" applyNumberFormat="1" applyFont="1" applyBorder="1"/>
    <xf numFmtId="0" fontId="3" fillId="0" borderId="0" xfId="0" applyFont="1"/>
    <xf numFmtId="2" fontId="3" fillId="0" borderId="0" xfId="0" applyNumberFormat="1" applyFont="1"/>
    <xf numFmtId="166" fontId="3" fillId="0" borderId="0" xfId="0" applyNumberFormat="1" applyFont="1"/>
    <xf numFmtId="2" fontId="4" fillId="0" borderId="0" xfId="0" applyNumberFormat="1" applyFont="1"/>
    <xf numFmtId="166" fontId="4" fillId="0" borderId="0" xfId="0" applyNumberFormat="1" applyFont="1"/>
    <xf numFmtId="166" fontId="0" fillId="0" borderId="12" xfId="0" applyNumberFormat="1" applyBorder="1"/>
    <xf numFmtId="166" fontId="0" fillId="0" borderId="14" xfId="0" applyNumberFormat="1" applyBorder="1"/>
    <xf numFmtId="166" fontId="1" fillId="0" borderId="0" xfId="0" applyNumberFormat="1" applyFont="1"/>
    <xf numFmtId="166" fontId="3" fillId="0" borderId="2" xfId="0" applyNumberFormat="1" applyFont="1" applyBorder="1"/>
    <xf numFmtId="2" fontId="3" fillId="0" borderId="14" xfId="0" applyNumberFormat="1" applyFont="1" applyBorder="1"/>
    <xf numFmtId="166" fontId="4" fillId="0" borderId="11" xfId="0" applyNumberFormat="1" applyFont="1" applyBorder="1"/>
    <xf numFmtId="166" fontId="4" fillId="0" borderId="1" xfId="0" applyNumberFormat="1" applyFont="1" applyBorder="1"/>
    <xf numFmtId="166" fontId="4" fillId="0" borderId="3" xfId="0" applyNumberFormat="1" applyFont="1" applyBorder="1"/>
    <xf numFmtId="0" fontId="1" fillId="0" borderId="10" xfId="0" applyFont="1" applyBorder="1" applyAlignment="1">
      <alignment horizontal="center"/>
    </xf>
    <xf numFmtId="166" fontId="3" fillId="0" borderId="1" xfId="0" applyNumberFormat="1" applyFont="1" applyBorder="1"/>
    <xf numFmtId="166" fontId="1" fillId="0" borderId="0" xfId="0" applyNumberFormat="1" applyFont="1" applyAlignment="1">
      <alignment horizontal="center"/>
    </xf>
    <xf numFmtId="0" fontId="0" fillId="0" borderId="11" xfId="0" applyBorder="1"/>
    <xf numFmtId="2" fontId="0" fillId="0" borderId="12" xfId="0" applyNumberFormat="1" applyBorder="1"/>
    <xf numFmtId="166" fontId="1" fillId="0" borderId="14" xfId="0" applyNumberFormat="1" applyFont="1" applyBorder="1" applyAlignment="1">
      <alignment horizontal="center"/>
    </xf>
    <xf numFmtId="166" fontId="1" fillId="0" borderId="12" xfId="0" applyNumberFormat="1" applyFont="1" applyBorder="1" applyAlignment="1">
      <alignment horizontal="center"/>
    </xf>
    <xf numFmtId="0" fontId="0" fillId="0" borderId="0" xfId="0" applyAlignment="1">
      <alignment wrapText="1"/>
    </xf>
    <xf numFmtId="0" fontId="0" fillId="2" borderId="10" xfId="0" applyFill="1" applyBorder="1" applyAlignment="1">
      <alignment vertical="center" wrapText="1"/>
    </xf>
    <xf numFmtId="166" fontId="1" fillId="0" borderId="5" xfId="0" applyNumberFormat="1" applyFont="1" applyBorder="1" applyAlignment="1">
      <alignment vertical="center" wrapText="1"/>
    </xf>
    <xf numFmtId="166" fontId="1" fillId="0" borderId="6" xfId="0" applyNumberFormat="1" applyFont="1" applyBorder="1" applyAlignment="1">
      <alignment vertical="center" wrapText="1"/>
    </xf>
    <xf numFmtId="0" fontId="1" fillId="0" borderId="16" xfId="0" applyFont="1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166" fontId="0" fillId="0" borderId="12" xfId="0" applyNumberFormat="1" applyBorder="1" applyAlignment="1">
      <alignment vertical="center" wrapText="1"/>
    </xf>
    <xf numFmtId="166" fontId="0" fillId="0" borderId="11" xfId="0" applyNumberFormat="1" applyBorder="1" applyAlignment="1">
      <alignment vertical="center" wrapText="1"/>
    </xf>
    <xf numFmtId="166" fontId="0" fillId="0" borderId="13" xfId="0" applyNumberFormat="1" applyBorder="1" applyAlignment="1">
      <alignment vertical="center" wrapText="1"/>
    </xf>
    <xf numFmtId="0" fontId="1" fillId="0" borderId="18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166" fontId="0" fillId="0" borderId="0" xfId="0" applyNumberFormat="1" applyAlignment="1">
      <alignment vertical="center" wrapText="1"/>
    </xf>
    <xf numFmtId="166" fontId="0" fillId="0" borderId="1" xfId="0" applyNumberFormat="1" applyBorder="1" applyAlignment="1">
      <alignment vertical="center" wrapText="1"/>
    </xf>
    <xf numFmtId="166" fontId="0" fillId="0" borderId="2" xfId="0" applyNumberForma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166" fontId="0" fillId="0" borderId="14" xfId="0" applyNumberFormat="1" applyBorder="1" applyAlignment="1">
      <alignment vertical="center" wrapText="1"/>
    </xf>
    <xf numFmtId="166" fontId="0" fillId="0" borderId="3" xfId="0" applyNumberFormat="1" applyBorder="1" applyAlignment="1">
      <alignment vertical="center" wrapText="1"/>
    </xf>
    <xf numFmtId="166" fontId="0" fillId="0" borderId="4" xfId="0" applyNumberForma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166" fontId="0" fillId="0" borderId="15" xfId="0" applyNumberFormat="1" applyBorder="1" applyAlignment="1">
      <alignment vertical="center" wrapText="1"/>
    </xf>
    <xf numFmtId="166" fontId="0" fillId="0" borderId="5" xfId="0" applyNumberFormat="1" applyBorder="1" applyAlignment="1">
      <alignment vertical="center" wrapText="1"/>
    </xf>
    <xf numFmtId="166" fontId="0" fillId="0" borderId="6" xfId="0" applyNumberForma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2" borderId="16" xfId="0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15" xfId="0" applyFont="1" applyFill="1" applyBorder="1" applyAlignment="1">
      <alignment vertical="center" wrapText="1"/>
    </xf>
    <xf numFmtId="166" fontId="1" fillId="2" borderId="15" xfId="0" applyNumberFormat="1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8" fontId="0" fillId="0" borderId="0" xfId="0" applyNumberFormat="1"/>
    <xf numFmtId="0" fontId="0" fillId="0" borderId="4" xfId="0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166" fontId="1" fillId="2" borderId="12" xfId="0" applyNumberFormat="1" applyFont="1" applyFill="1" applyBorder="1" applyAlignment="1">
      <alignment vertical="center" wrapText="1"/>
    </xf>
    <xf numFmtId="0" fontId="1" fillId="2" borderId="1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14" xfId="0" applyFont="1" applyFill="1" applyBorder="1" applyAlignment="1">
      <alignment vertical="center" wrapText="1"/>
    </xf>
    <xf numFmtId="166" fontId="1" fillId="2" borderId="14" xfId="0" applyNumberFormat="1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166" fontId="1" fillId="0" borderId="11" xfId="0" applyNumberFormat="1" applyFont="1" applyBorder="1" applyAlignment="1">
      <alignment vertical="center" wrapText="1"/>
    </xf>
    <xf numFmtId="166" fontId="1" fillId="0" borderId="13" xfId="0" applyNumberFormat="1" applyFont="1" applyBorder="1" applyAlignment="1">
      <alignment vertical="center" wrapText="1"/>
    </xf>
    <xf numFmtId="166" fontId="1" fillId="0" borderId="3" xfId="0" applyNumberFormat="1" applyFont="1" applyBorder="1" applyAlignment="1">
      <alignment vertical="center" wrapText="1"/>
    </xf>
    <xf numFmtId="166" fontId="1" fillId="0" borderId="4" xfId="0" applyNumberFormat="1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166" fontId="1" fillId="2" borderId="0" xfId="0" applyNumberFormat="1" applyFont="1" applyFill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2" fontId="1" fillId="0" borderId="0" xfId="0" applyNumberFormat="1" applyFont="1"/>
    <xf numFmtId="166" fontId="1" fillId="3" borderId="0" xfId="0" applyNumberFormat="1" applyFont="1" applyFill="1"/>
    <xf numFmtId="166" fontId="1" fillId="4" borderId="0" xfId="0" applyNumberFormat="1" applyFont="1" applyFill="1"/>
    <xf numFmtId="166" fontId="0" fillId="4" borderId="0" xfId="0" applyNumberFormat="1" applyFill="1"/>
    <xf numFmtId="0" fontId="1" fillId="5" borderId="11" xfId="0" applyFont="1" applyFill="1" applyBorder="1"/>
    <xf numFmtId="0" fontId="1" fillId="5" borderId="12" xfId="0" applyFont="1" applyFill="1" applyBorder="1"/>
    <xf numFmtId="0" fontId="1" fillId="5" borderId="13" xfId="0" applyFont="1" applyFill="1" applyBorder="1"/>
    <xf numFmtId="2" fontId="1" fillId="6" borderId="0" xfId="0" applyNumberFormat="1" applyFont="1" applyFill="1"/>
    <xf numFmtId="0" fontId="1" fillId="5" borderId="5" xfId="0" applyFont="1" applyFill="1" applyBorder="1"/>
    <xf numFmtId="0" fontId="1" fillId="5" borderId="15" xfId="0" applyFont="1" applyFill="1" applyBorder="1"/>
    <xf numFmtId="0" fontId="1" fillId="5" borderId="6" xfId="0" applyFont="1" applyFill="1" applyBorder="1"/>
    <xf numFmtId="2" fontId="1" fillId="5" borderId="5" xfId="0" applyNumberFormat="1" applyFont="1" applyFill="1" applyBorder="1"/>
    <xf numFmtId="2" fontId="1" fillId="5" borderId="15" xfId="0" applyNumberFormat="1" applyFont="1" applyFill="1" applyBorder="1"/>
    <xf numFmtId="2" fontId="1" fillId="5" borderId="6" xfId="0" applyNumberFormat="1" applyFont="1" applyFill="1" applyBorder="1"/>
    <xf numFmtId="2" fontId="0" fillId="0" borderId="11" xfId="0" applyNumberFormat="1" applyBorder="1"/>
    <xf numFmtId="2" fontId="0" fillId="0" borderId="13" xfId="0" applyNumberFormat="1" applyBorder="1"/>
    <xf numFmtId="2" fontId="0" fillId="0" borderId="1" xfId="0" applyNumberFormat="1" applyBorder="1"/>
    <xf numFmtId="2" fontId="0" fillId="0" borderId="2" xfId="0" applyNumberFormat="1" applyBorder="1"/>
    <xf numFmtId="2" fontId="0" fillId="0" borderId="3" xfId="0" applyNumberFormat="1" applyBorder="1"/>
    <xf numFmtId="2" fontId="0" fillId="0" borderId="4" xfId="0" applyNumberFormat="1" applyBorder="1"/>
    <xf numFmtId="2" fontId="0" fillId="0" borderId="16" xfId="0" applyNumberFormat="1" applyBorder="1"/>
    <xf numFmtId="2" fontId="0" fillId="0" borderId="17" xfId="0" applyNumberFormat="1" applyBorder="1"/>
    <xf numFmtId="2" fontId="0" fillId="0" borderId="18" xfId="0" applyNumberFormat="1" applyBorder="1"/>
    <xf numFmtId="7" fontId="0" fillId="0" borderId="11" xfId="1" applyNumberFormat="1" applyFont="1" applyBorder="1"/>
    <xf numFmtId="7" fontId="0" fillId="0" borderId="13" xfId="1" applyNumberFormat="1" applyFont="1" applyBorder="1"/>
    <xf numFmtId="7" fontId="0" fillId="0" borderId="1" xfId="1" applyNumberFormat="1" applyFont="1" applyBorder="1"/>
    <xf numFmtId="7" fontId="0" fillId="0" borderId="2" xfId="1" applyNumberFormat="1" applyFont="1" applyBorder="1"/>
    <xf numFmtId="7" fontId="0" fillId="0" borderId="3" xfId="1" applyNumberFormat="1" applyFont="1" applyBorder="1"/>
    <xf numFmtId="7" fontId="0" fillId="0" borderId="4" xfId="1" applyNumberFormat="1" applyFon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5" borderId="10" xfId="0" applyFont="1" applyFill="1" applyBorder="1"/>
    <xf numFmtId="0" fontId="1" fillId="5" borderId="18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2" fontId="1" fillId="5" borderId="3" xfId="0" applyNumberFormat="1" applyFont="1" applyFill="1" applyBorder="1"/>
    <xf numFmtId="2" fontId="1" fillId="5" borderId="14" xfId="0" applyNumberFormat="1" applyFont="1" applyFill="1" applyBorder="1"/>
    <xf numFmtId="0" fontId="1" fillId="5" borderId="14" xfId="0" applyFont="1" applyFill="1" applyBorder="1"/>
    <xf numFmtId="2" fontId="1" fillId="0" borderId="5" xfId="0" applyNumberFormat="1" applyFont="1" applyBorder="1"/>
    <xf numFmtId="2" fontId="1" fillId="0" borderId="6" xfId="0" applyNumberFormat="1" applyFont="1" applyBorder="1"/>
    <xf numFmtId="2" fontId="1" fillId="0" borderId="10" xfId="0" applyNumberFormat="1" applyFont="1" applyBorder="1"/>
    <xf numFmtId="2" fontId="1" fillId="0" borderId="15" xfId="0" applyNumberFormat="1" applyFont="1" applyBorder="1"/>
    <xf numFmtId="166" fontId="0" fillId="7" borderId="11" xfId="0" applyNumberFormat="1" applyFill="1" applyBorder="1"/>
    <xf numFmtId="166" fontId="0" fillId="7" borderId="12" xfId="0" applyNumberFormat="1" applyFill="1" applyBorder="1"/>
    <xf numFmtId="166" fontId="0" fillId="7" borderId="13" xfId="0" applyNumberFormat="1" applyFill="1" applyBorder="1"/>
    <xf numFmtId="2" fontId="1" fillId="7" borderId="6" xfId="0" applyNumberFormat="1" applyFont="1" applyFill="1" applyBorder="1"/>
    <xf numFmtId="7" fontId="0" fillId="0" borderId="0" xfId="1" applyNumberFormat="1" applyFont="1" applyBorder="1"/>
    <xf numFmtId="0" fontId="1" fillId="0" borderId="18" xfId="0" applyFont="1" applyBorder="1" applyAlignment="1">
      <alignment horizontal="center"/>
    </xf>
    <xf numFmtId="2" fontId="1" fillId="0" borderId="18" xfId="0" applyNumberFormat="1" applyFont="1" applyBorder="1"/>
    <xf numFmtId="0" fontId="1" fillId="5" borderId="1" xfId="0" applyFont="1" applyFill="1" applyBorder="1"/>
    <xf numFmtId="0" fontId="1" fillId="5" borderId="2" xfId="0" applyFont="1" applyFill="1" applyBorder="1"/>
    <xf numFmtId="2" fontId="1" fillId="0" borderId="3" xfId="0" applyNumberFormat="1" applyFont="1" applyBorder="1"/>
    <xf numFmtId="2" fontId="1" fillId="0" borderId="4" xfId="0" applyNumberFormat="1" applyFont="1" applyBorder="1"/>
    <xf numFmtId="2" fontId="1" fillId="5" borderId="1" xfId="0" applyNumberFormat="1" applyFont="1" applyFill="1" applyBorder="1"/>
    <xf numFmtId="2" fontId="1" fillId="5" borderId="0" xfId="0" applyNumberFormat="1" applyFont="1" applyFill="1"/>
    <xf numFmtId="0" fontId="1" fillId="5" borderId="0" xfId="0" applyFont="1" applyFill="1"/>
    <xf numFmtId="0" fontId="0" fillId="7" borderId="11" xfId="0" applyFill="1" applyBorder="1"/>
    <xf numFmtId="0" fontId="0" fillId="7" borderId="1" xfId="0" applyFill="1" applyBorder="1"/>
    <xf numFmtId="0" fontId="0" fillId="7" borderId="3" xfId="0" applyFill="1" applyBorder="1"/>
    <xf numFmtId="2" fontId="0" fillId="7" borderId="11" xfId="0" applyNumberFormat="1" applyFill="1" applyBorder="1"/>
    <xf numFmtId="2" fontId="0" fillId="7" borderId="13" xfId="0" applyNumberFormat="1" applyFill="1" applyBorder="1"/>
    <xf numFmtId="2" fontId="0" fillId="7" borderId="1" xfId="0" applyNumberFormat="1" applyFill="1" applyBorder="1"/>
    <xf numFmtId="2" fontId="0" fillId="7" borderId="2" xfId="0" applyNumberFormat="1" applyFill="1" applyBorder="1"/>
    <xf numFmtId="2" fontId="0" fillId="7" borderId="3" xfId="0" applyNumberFormat="1" applyFill="1" applyBorder="1"/>
    <xf numFmtId="2" fontId="0" fillId="7" borderId="4" xfId="0" applyNumberFormat="1" applyFill="1" applyBorder="1"/>
    <xf numFmtId="166" fontId="0" fillId="7" borderId="0" xfId="0" applyNumberFormat="1" applyFill="1"/>
    <xf numFmtId="166" fontId="0" fillId="7" borderId="14" xfId="0" applyNumberFormat="1" applyFill="1" applyBorder="1"/>
    <xf numFmtId="166" fontId="0" fillId="7" borderId="1" xfId="0" applyNumberFormat="1" applyFill="1" applyBorder="1"/>
    <xf numFmtId="166" fontId="0" fillId="7" borderId="2" xfId="0" applyNumberFormat="1" applyFill="1" applyBorder="1"/>
    <xf numFmtId="166" fontId="0" fillId="7" borderId="3" xfId="0" applyNumberFormat="1" applyFill="1" applyBorder="1"/>
    <xf numFmtId="166" fontId="0" fillId="7" borderId="4" xfId="0" applyNumberFormat="1" applyFill="1" applyBorder="1"/>
    <xf numFmtId="10" fontId="0" fillId="0" borderId="0" xfId="2" applyNumberFormat="1" applyFont="1"/>
    <xf numFmtId="7" fontId="0" fillId="0" borderId="0" xfId="0" applyNumberFormat="1"/>
    <xf numFmtId="166" fontId="7" fillId="0" borderId="12" xfId="0" applyNumberFormat="1" applyFont="1" applyBorder="1" applyAlignment="1">
      <alignment vertical="center" wrapText="1"/>
    </xf>
    <xf numFmtId="166" fontId="1" fillId="0" borderId="0" xfId="0" applyNumberFormat="1" applyFont="1" applyAlignment="1">
      <alignment vertical="center" wrapText="1"/>
    </xf>
    <xf numFmtId="49" fontId="3" fillId="0" borderId="1" xfId="0" applyNumberFormat="1" applyFont="1" applyBorder="1"/>
    <xf numFmtId="166" fontId="4" fillId="0" borderId="12" xfId="0" applyNumberFormat="1" applyFont="1" applyBorder="1" applyAlignment="1">
      <alignment horizontal="center"/>
    </xf>
    <xf numFmtId="166" fontId="4" fillId="0" borderId="0" xfId="0" applyNumberFormat="1" applyFont="1" applyAlignment="1">
      <alignment horizontal="center"/>
    </xf>
    <xf numFmtId="166" fontId="4" fillId="0" borderId="14" xfId="0" applyNumberFormat="1" applyFont="1" applyBorder="1" applyAlignment="1">
      <alignment horizontal="center"/>
    </xf>
    <xf numFmtId="0" fontId="3" fillId="0" borderId="1" xfId="0" applyFont="1" applyBorder="1"/>
    <xf numFmtId="0" fontId="3" fillId="0" borderId="3" xfId="0" applyFont="1" applyBorder="1"/>
    <xf numFmtId="0" fontId="0" fillId="0" borderId="0" xfId="0" applyAlignment="1">
      <alignment horizontal="right"/>
    </xf>
    <xf numFmtId="166" fontId="4" fillId="0" borderId="13" xfId="0" applyNumberFormat="1" applyFont="1" applyBorder="1" applyAlignment="1">
      <alignment horizontal="center"/>
    </xf>
    <xf numFmtId="166" fontId="4" fillId="0" borderId="2" xfId="0" applyNumberFormat="1" applyFont="1" applyBorder="1" applyAlignment="1">
      <alignment horizontal="center"/>
    </xf>
    <xf numFmtId="166" fontId="4" fillId="0" borderId="4" xfId="0" applyNumberFormat="1" applyFont="1" applyBorder="1" applyAlignment="1">
      <alignment horizontal="center"/>
    </xf>
    <xf numFmtId="166" fontId="4" fillId="0" borderId="11" xfId="0" applyNumberFormat="1" applyFont="1" applyBorder="1" applyAlignment="1">
      <alignment horizontal="center"/>
    </xf>
    <xf numFmtId="166" fontId="4" fillId="0" borderId="1" xfId="0" applyNumberFormat="1" applyFont="1" applyBorder="1" applyAlignment="1">
      <alignment horizontal="center"/>
    </xf>
    <xf numFmtId="166" fontId="4" fillId="0" borderId="3" xfId="0" applyNumberFormat="1" applyFont="1" applyBorder="1" applyAlignment="1">
      <alignment horizontal="center"/>
    </xf>
    <xf numFmtId="166" fontId="4" fillId="0" borderId="12" xfId="0" applyNumberFormat="1" applyFont="1" applyBorder="1"/>
    <xf numFmtId="166" fontId="4" fillId="0" borderId="14" xfId="0" applyNumberFormat="1" applyFon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2" fontId="3" fillId="0" borderId="3" xfId="0" applyNumberFormat="1" applyFont="1" applyBorder="1"/>
    <xf numFmtId="2" fontId="3" fillId="0" borderId="4" xfId="0" applyNumberFormat="1" applyFont="1" applyBorder="1"/>
    <xf numFmtId="2" fontId="4" fillId="0" borderId="3" xfId="0" applyNumberFormat="1" applyFont="1" applyBorder="1"/>
    <xf numFmtId="168" fontId="0" fillId="0" borderId="0" xfId="0" applyNumberFormat="1"/>
    <xf numFmtId="0" fontId="0" fillId="0" borderId="12" xfId="0" applyBorder="1"/>
    <xf numFmtId="0" fontId="0" fillId="0" borderId="13" xfId="0" applyBorder="1"/>
    <xf numFmtId="0" fontId="0" fillId="0" borderId="10" xfId="0" applyBorder="1"/>
    <xf numFmtId="2" fontId="3" fillId="0" borderId="18" xfId="0" applyNumberFormat="1" applyFont="1" applyBorder="1"/>
    <xf numFmtId="166" fontId="0" fillId="0" borderId="16" xfId="0" applyNumberFormat="1" applyBorder="1"/>
    <xf numFmtId="166" fontId="0" fillId="0" borderId="17" xfId="0" applyNumberFormat="1" applyBorder="1"/>
    <xf numFmtId="166" fontId="3" fillId="0" borderId="18" xfId="0" applyNumberFormat="1" applyFont="1" applyBorder="1"/>
    <xf numFmtId="2" fontId="3" fillId="0" borderId="1" xfId="0" applyNumberFormat="1" applyFont="1" applyBorder="1"/>
    <xf numFmtId="2" fontId="3" fillId="0" borderId="2" xfId="0" applyNumberFormat="1" applyFont="1" applyBorder="1"/>
    <xf numFmtId="2" fontId="4" fillId="0" borderId="1" xfId="0" applyNumberFormat="1" applyFont="1" applyBorder="1"/>
    <xf numFmtId="166" fontId="0" fillId="7" borderId="5" xfId="0" applyNumberFormat="1" applyFill="1" applyBorder="1"/>
    <xf numFmtId="166" fontId="0" fillId="7" borderId="15" xfId="0" applyNumberFormat="1" applyFill="1" applyBorder="1"/>
    <xf numFmtId="166" fontId="0" fillId="7" borderId="6" xfId="0" applyNumberFormat="1" applyFill="1" applyBorder="1"/>
    <xf numFmtId="7" fontId="0" fillId="7" borderId="5" xfId="1" applyNumberFormat="1" applyFont="1" applyFill="1" applyBorder="1"/>
    <xf numFmtId="7" fontId="0" fillId="7" borderId="6" xfId="1" applyNumberFormat="1" applyFont="1" applyFill="1" applyBorder="1"/>
    <xf numFmtId="2" fontId="0" fillId="7" borderId="10" xfId="0" applyNumberFormat="1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10" xfId="0" applyFill="1" applyBorder="1"/>
    <xf numFmtId="0" fontId="0" fillId="7" borderId="12" xfId="0" applyFill="1" applyBorder="1"/>
    <xf numFmtId="0" fontId="0" fillId="7" borderId="0" xfId="0" applyFill="1"/>
    <xf numFmtId="0" fontId="0" fillId="7" borderId="14" xfId="0" applyFill="1" applyBorder="1"/>
    <xf numFmtId="0" fontId="1" fillId="0" borderId="4" xfId="0" applyFont="1" applyBorder="1" applyAlignment="1">
      <alignment horizontal="center"/>
    </xf>
    <xf numFmtId="7" fontId="0" fillId="0" borderId="1" xfId="0" applyNumberFormat="1" applyBorder="1"/>
    <xf numFmtId="7" fontId="0" fillId="0" borderId="2" xfId="0" applyNumberFormat="1" applyBorder="1"/>
    <xf numFmtId="166" fontId="1" fillId="0" borderId="15" xfId="0" applyNumberFormat="1" applyFont="1" applyBorder="1"/>
    <xf numFmtId="166" fontId="1" fillId="0" borderId="3" xfId="0" applyNumberFormat="1" applyFont="1" applyBorder="1"/>
    <xf numFmtId="166" fontId="0" fillId="0" borderId="5" xfId="0" applyNumberFormat="1" applyBorder="1"/>
    <xf numFmtId="166" fontId="0" fillId="0" borderId="15" xfId="0" applyNumberFormat="1" applyBorder="1"/>
    <xf numFmtId="166" fontId="0" fillId="0" borderId="6" xfId="0" applyNumberFormat="1" applyBorder="1"/>
    <xf numFmtId="2" fontId="1" fillId="5" borderId="12" xfId="0" applyNumberFormat="1" applyFont="1" applyFill="1" applyBorder="1"/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9" xfId="0" applyNumberForma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6" xfId="0" applyBorder="1"/>
    <xf numFmtId="2" fontId="0" fillId="0" borderId="0" xfId="0" applyNumberFormat="1"/>
    <xf numFmtId="0" fontId="8" fillId="0" borderId="0" xfId="0" applyFont="1"/>
    <xf numFmtId="166" fontId="0" fillId="0" borderId="0" xfId="0" applyNumberFormat="1"/>
    <xf numFmtId="2" fontId="0" fillId="0" borderId="0" xfId="0" applyNumberFormat="1"/>
    <xf numFmtId="2" fontId="5" fillId="0" borderId="0" xfId="0" applyNumberFormat="1" applyFont="1"/>
    <xf numFmtId="166" fontId="5" fillId="0" borderId="0" xfId="0" applyNumberFormat="1" applyFont="1"/>
  </cellXfs>
  <cellStyles count="3">
    <cellStyle name="Currency" xfId="1" builtinId="4"/>
    <cellStyle name="Normal" xfId="0" builtinId="0"/>
    <cellStyle name="Percent" xfId="2" builtinId="5"/>
  </cellStyles>
  <dxfs count="180"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border outline="0">
        <left style="thin">
          <color indexed="64"/>
        </left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&quot;$&quot;#,##0.00"/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&quot;$&quot;#,##0.00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&quot;$&quot;#,##0.00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&quot;$&quot;#,##0.00"/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&quot;$&quot;#,##0.00"/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&quot;$&quot;#,##0.00"/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&quot;$&quot;#,##0.00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&quot;$&quot;#,##0.00"/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&quot;$&quot;#,##0.00"/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&quot;$&quot;#,##0.00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&quot;$&quot;#,##0.00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&quot;$&quot;#,##0.00"/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1" formatCode="&quot;$&quot;#,##0.00_);\(&quot;$&quot;#,##0.00\)"/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1" formatCode="&quot;$&quot;#,##0.00_);\(&quot;$&quot;#,##0.00\)"/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outline="0">
        <left style="thin">
          <color indexed="64"/>
        </left>
        <top style="thin">
          <color auto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</dxf>
    <dxf>
      <numFmt numFmtId="166" formatCode="&quot;$&quot;#,##0.00"/>
    </dxf>
    <dxf>
      <numFmt numFmtId="166" formatCode="&quot;$&quot;#,##0.00"/>
    </dxf>
    <dxf>
      <numFmt numFmtId="166" formatCode="&quot;$&quot;#,##0.00"/>
      <border diagonalUp="0" diagonalDown="0" outline="0">
        <left/>
        <right style="thin">
          <color auto="1"/>
        </right>
        <top/>
        <bottom style="thin">
          <color auto="1"/>
        </bottom>
      </border>
    </dxf>
    <dxf>
      <numFmt numFmtId="166" formatCode="&quot;$&quot;#,##0.00"/>
      <border diagonalUp="0" diagonalDown="0" outline="0">
        <left/>
        <right/>
        <top/>
        <bottom style="thin">
          <color auto="1"/>
        </bottom>
      </border>
    </dxf>
    <dxf>
      <numFmt numFmtId="166" formatCode="&quot;$&quot;#,##0.00"/>
      <border diagonalUp="0" diagonalDown="0">
        <left/>
        <right/>
        <top/>
        <bottom style="thin">
          <color auto="1"/>
        </bottom>
        <vertical/>
        <horizontal/>
      </border>
    </dxf>
    <dxf>
      <numFmt numFmtId="166" formatCode="&quot;$&quot;#,##0.00"/>
      <border diagonalUp="0" diagonalDown="0" outline="0">
        <left/>
        <right/>
        <top/>
        <bottom style="thin">
          <color auto="1"/>
        </bottom>
      </border>
    </dxf>
    <dxf>
      <numFmt numFmtId="166" formatCode="&quot;$&quot;#,##0.00"/>
      <border diagonalUp="0" diagonalDown="0" outline="0">
        <left style="thin">
          <color auto="1"/>
        </left>
        <right/>
        <top/>
        <bottom style="thin">
          <color auto="1"/>
        </bottom>
      </border>
    </dxf>
    <dxf>
      <numFmt numFmtId="166" formatCode="&quot;$&quot;#,##0.00"/>
      <border diagonalUp="0" diagonalDown="0" outline="0">
        <left/>
        <right style="thin">
          <color indexed="64"/>
        </right>
        <top/>
        <bottom style="thin">
          <color auto="1"/>
        </bottom>
      </border>
    </dxf>
    <dxf>
      <numFmt numFmtId="166" formatCode="&quot;$&quot;#,##0.00"/>
      <border diagonalUp="0" diagonalDown="0">
        <left/>
        <right/>
        <top/>
        <bottom style="thin">
          <color auto="1"/>
        </bottom>
        <vertical/>
        <horizontal/>
      </border>
    </dxf>
    <dxf>
      <numFmt numFmtId="166" formatCode="&quot;$&quot;#,##0.00"/>
      <border diagonalUp="0" diagonalDown="0" outline="0">
        <left/>
        <right/>
        <top/>
        <bottom style="thin">
          <color auto="1"/>
        </bottom>
      </border>
    </dxf>
    <dxf>
      <numFmt numFmtId="166" formatCode="&quot;$&quot;#,##0.00"/>
      <border diagonalUp="0" diagonalDown="0" outline="0">
        <left/>
        <right/>
        <top/>
        <bottom style="thin">
          <color auto="1"/>
        </bottom>
      </border>
    </dxf>
    <dxf>
      <numFmt numFmtId="166" formatCode="&quot;$&quot;#,##0.00"/>
      <border diagonalUp="0" diagonalDown="0" outline="0">
        <left style="thin">
          <color indexed="64"/>
        </left>
        <right/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&quot;$&quot;#,##0.00"/>
      <border diagonalUp="0" diagonalDown="0" outline="0">
        <left/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&quot;$&quot;#,##0.00"/>
      <border diagonalUp="0" diagonalDown="0" outline="0">
        <left style="thin">
          <color auto="1"/>
        </left>
        <right/>
        <top/>
        <bottom style="thin">
          <color auto="1"/>
        </bottom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numFmt numFmtId="2" formatCode="0.00"/>
      <border diagonalUp="0" diagonalDown="0">
        <left/>
        <right style="thin">
          <color auto="1"/>
        </right>
        <top/>
        <bottom style="thin">
          <color auto="1"/>
        </bottom>
        <vertical/>
        <horizontal/>
      </border>
    </dxf>
    <dxf>
      <numFmt numFmtId="2" formatCode="0.0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</dxf>
    <dxf>
      <numFmt numFmtId="166" formatCode="&quot;$&quot;#,##0.00"/>
    </dxf>
    <dxf>
      <numFmt numFmtId="166" formatCode="&quot;$&quot;#,##0.00"/>
    </dxf>
    <dxf>
      <numFmt numFmtId="166" formatCode="&quot;$&quot;#,##0.00"/>
      <border diagonalUp="0" diagonalDown="0" outline="0">
        <left/>
        <right style="thin">
          <color auto="1"/>
        </right>
        <top/>
        <bottom style="thin">
          <color auto="1"/>
        </bottom>
      </border>
    </dxf>
    <dxf>
      <numFmt numFmtId="166" formatCode="&quot;$&quot;#,##0.00"/>
      <border diagonalUp="0" diagonalDown="0" outline="0">
        <left/>
        <right/>
        <top/>
        <bottom style="thin">
          <color auto="1"/>
        </bottom>
      </border>
    </dxf>
    <dxf>
      <numFmt numFmtId="166" formatCode="&quot;$&quot;#,##0.00"/>
    </dxf>
    <dxf>
      <numFmt numFmtId="166" formatCode="&quot;$&quot;#,##0.00"/>
      <border diagonalUp="0" diagonalDown="0" outline="0">
        <left/>
        <right/>
        <top/>
        <bottom style="thin">
          <color auto="1"/>
        </bottom>
      </border>
    </dxf>
    <dxf>
      <numFmt numFmtId="166" formatCode="&quot;$&quot;#,##0.00"/>
      <border diagonalUp="0" diagonalDown="0" outline="0">
        <left style="thin">
          <color auto="1"/>
        </left>
        <right/>
        <top/>
        <bottom style="thin">
          <color auto="1"/>
        </bottom>
      </border>
    </dxf>
    <dxf>
      <numFmt numFmtId="166" formatCode="&quot;$&quot;#,##0.00"/>
      <border diagonalUp="0" diagonalDown="0" outline="0">
        <left/>
        <right style="thin">
          <color indexed="64"/>
        </right>
        <top/>
        <bottom style="thin">
          <color auto="1"/>
        </bottom>
      </border>
    </dxf>
    <dxf>
      <numFmt numFmtId="166" formatCode="&quot;$&quot;#,##0.00"/>
      <border diagonalUp="0" diagonalDown="0">
        <left/>
        <right/>
        <top/>
        <bottom style="thin">
          <color auto="1"/>
        </bottom>
        <vertical/>
        <horizontal/>
      </border>
    </dxf>
    <dxf>
      <numFmt numFmtId="166" formatCode="&quot;$&quot;#,##0.00"/>
      <border diagonalUp="0" diagonalDown="0" outline="0">
        <left/>
        <right/>
        <top/>
        <bottom style="thin">
          <color auto="1"/>
        </bottom>
      </border>
    </dxf>
    <dxf>
      <numFmt numFmtId="166" formatCode="&quot;$&quot;#,##0.00"/>
      <border diagonalUp="0" diagonalDown="0" outline="0">
        <left/>
        <right/>
        <top/>
        <bottom style="thin">
          <color auto="1"/>
        </bottom>
      </border>
    </dxf>
    <dxf>
      <numFmt numFmtId="166" formatCode="&quot;$&quot;#,##0.00"/>
      <border diagonalUp="0" diagonalDown="0" outline="0">
        <left style="thin">
          <color indexed="64"/>
        </left>
        <right/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&quot;$&quot;#,##0.00"/>
      <border diagonalUp="0" diagonalDown="0" outline="0">
        <left/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&quot;$&quot;#,##0.00"/>
      <border diagonalUp="0" diagonalDown="0" outline="0">
        <left style="thin">
          <color auto="1"/>
        </left>
        <right/>
        <top/>
        <bottom style="thin">
          <color auto="1"/>
        </bottom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numFmt numFmtId="2" formatCode="0.00"/>
      <border diagonalUp="0" diagonalDown="0">
        <left/>
        <right style="thin">
          <color auto="1"/>
        </right>
        <top/>
        <bottom style="thin">
          <color auto="1"/>
        </bottom>
        <vertical/>
        <horizontal/>
      </border>
    </dxf>
    <dxf>
      <numFmt numFmtId="2" formatCode="0.0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</dxf>
    <dxf>
      <numFmt numFmtId="166" formatCode="&quot;$&quot;#,##0.00"/>
      <border diagonalUp="0" diagonalDown="0">
        <left/>
        <right/>
        <top/>
        <bottom style="thin">
          <color auto="1"/>
        </bottom>
        <vertical/>
        <horizontal/>
      </border>
    </dxf>
    <dxf>
      <numFmt numFmtId="166" formatCode="&quot;$&quot;#,##0.00"/>
      <border diagonalUp="0" diagonalDown="0">
        <left/>
        <right style="thin">
          <color auto="1"/>
        </right>
        <top/>
        <bottom style="thin">
          <color auto="1"/>
        </bottom>
        <vertical/>
        <horizontal/>
      </border>
    </dxf>
    <dxf>
      <numFmt numFmtId="166" formatCode="&quot;$&quot;#,##0.00"/>
      <border diagonalUp="0" diagonalDown="0">
        <left/>
        <right/>
        <top/>
        <bottom style="thin">
          <color auto="1"/>
        </bottom>
        <vertical/>
        <horizontal/>
      </border>
    </dxf>
    <dxf>
      <numFmt numFmtId="166" formatCode="&quot;$&quot;#,##0.00"/>
      <border diagonalUp="0" diagonalDown="0">
        <left/>
        <right/>
        <top/>
        <bottom style="thin">
          <color auto="1"/>
        </bottom>
        <vertical/>
        <horizontal/>
      </border>
    </dxf>
    <dxf>
      <numFmt numFmtId="166" formatCode="&quot;$&quot;#,##0.00"/>
      <border diagonalUp="0" diagonalDown="0">
        <left/>
        <right/>
        <top/>
        <bottom style="thin">
          <color auto="1"/>
        </bottom>
        <vertical/>
        <horizontal/>
      </border>
    </dxf>
    <dxf>
      <numFmt numFmtId="166" formatCode="&quot;$&quot;#,##0.0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numFmt numFmtId="166" formatCode="&quot;$&quot;#,##0.00"/>
      <border diagonalUp="0" diagonalDown="0">
        <left/>
        <right style="thin">
          <color indexed="64"/>
        </right>
        <top/>
        <bottom style="thin">
          <color auto="1"/>
        </bottom>
        <vertical/>
        <horizontal/>
      </border>
    </dxf>
    <dxf>
      <numFmt numFmtId="166" formatCode="&quot;$&quot;#,##0.00"/>
      <border diagonalUp="0" diagonalDown="0">
        <left/>
        <right/>
        <top/>
        <bottom style="thin">
          <color auto="1"/>
        </bottom>
        <vertical/>
        <horizontal/>
      </border>
    </dxf>
    <dxf>
      <numFmt numFmtId="166" formatCode="&quot;$&quot;#,##0.00"/>
      <border diagonalUp="0" diagonalDown="0">
        <left/>
        <right/>
        <top/>
        <bottom style="thin">
          <color auto="1"/>
        </bottom>
        <vertical/>
        <horizontal/>
      </border>
    </dxf>
    <dxf>
      <numFmt numFmtId="166" formatCode="&quot;$&quot;#,##0.00"/>
      <border diagonalUp="0" diagonalDown="0">
        <left/>
        <right/>
        <top/>
        <bottom style="thin">
          <color auto="1"/>
        </bottom>
        <vertical/>
        <horizontal/>
      </border>
    </dxf>
    <dxf>
      <numFmt numFmtId="166" formatCode="&quot;$&quot;#,##0.00"/>
      <border diagonalUp="0" diagonalDown="0">
        <left style="thin">
          <color indexed="64"/>
        </left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1" formatCode="&quot;$&quot;#,##0.00_);\(&quot;$&quot;#,##0.00\)"/>
      <border diagonalUp="0" diagonalDown="0">
        <left/>
        <right style="thin">
          <color auto="1"/>
        </right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1" formatCode="&quot;$&quot;#,##0.00_);\(&quot;$&quot;#,##0.00\)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numFmt numFmtId="2" formatCode="0.00"/>
      <border diagonalUp="0" diagonalDown="0">
        <left/>
        <right style="thin">
          <color auto="1"/>
        </right>
        <top/>
        <bottom style="thin">
          <color auto="1"/>
        </bottom>
        <vertical/>
        <horizontal/>
      </border>
    </dxf>
    <dxf>
      <numFmt numFmtId="2" formatCode="0.0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</dxf>
    <dxf>
      <numFmt numFmtId="166" formatCode="&quot;$&quot;#,##0.00"/>
      <border diagonalUp="0" diagonalDown="0">
        <left/>
        <right style="thin">
          <color auto="1"/>
        </right>
        <top/>
        <bottom style="thin">
          <color auto="1"/>
        </bottom>
        <vertical/>
        <horizontal/>
      </border>
    </dxf>
    <dxf>
      <numFmt numFmtId="166" formatCode="&quot;$&quot;#,##0.00"/>
      <border diagonalUp="0" diagonalDown="0">
        <left/>
        <right/>
        <top/>
        <bottom style="thin">
          <color auto="1"/>
        </bottom>
        <vertical/>
        <horizontal/>
      </border>
    </dxf>
    <dxf>
      <numFmt numFmtId="166" formatCode="&quot;$&quot;#,##0.00"/>
      <border diagonalUp="0" diagonalDown="0">
        <left/>
        <right/>
        <top/>
        <bottom style="thin">
          <color auto="1"/>
        </bottom>
        <vertical/>
        <horizontal/>
      </border>
    </dxf>
    <dxf>
      <numFmt numFmtId="166" formatCode="&quot;$&quot;#,##0.0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numFmt numFmtId="166" formatCode="&quot;$&quot;#,##0.00"/>
      <border diagonalUp="0" diagonalDown="0">
        <left/>
        <right style="thin">
          <color auto="1"/>
        </right>
        <top/>
        <bottom style="thin">
          <color auto="1"/>
        </bottom>
        <vertical/>
        <horizontal/>
      </border>
    </dxf>
    <dxf>
      <numFmt numFmtId="166" formatCode="&quot;$&quot;#,##0.00"/>
      <border diagonalUp="0" diagonalDown="0">
        <left/>
        <right/>
        <top/>
        <bottom style="thin">
          <color auto="1"/>
        </bottom>
        <vertical/>
        <horizontal/>
      </border>
    </dxf>
    <dxf>
      <numFmt numFmtId="166" formatCode="&quot;$&quot;#,##0.00"/>
      <border diagonalUp="0" diagonalDown="0">
        <left/>
        <right/>
        <top/>
        <bottom style="thin">
          <color auto="1"/>
        </bottom>
        <vertical/>
        <horizontal/>
      </border>
    </dxf>
    <dxf>
      <numFmt numFmtId="166" formatCode="&quot;$&quot;#,##0.0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1" formatCode="&quot;$&quot;#,##0.00_);\(&quot;$&quot;#,##0.00\)"/>
      <border diagonalUp="0" diagonalDown="0">
        <left/>
        <right style="thin">
          <color auto="1"/>
        </right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1" formatCode="&quot;$&quot;#,##0.00_);\(&quot;$&quot;#,##0.00\)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numFmt numFmtId="2" formatCode="0.00"/>
      <border diagonalUp="0" diagonalDown="0">
        <left/>
        <right style="thin">
          <color auto="1"/>
        </right>
        <top/>
        <bottom style="thin">
          <color auto="1"/>
        </bottom>
        <vertical/>
        <horizontal/>
      </border>
    </dxf>
    <dxf>
      <numFmt numFmtId="2" formatCode="0.0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</dxf>
    <dxf>
      <border diagonalUp="0" diagonalDown="0" outline="0">
        <left/>
        <right style="thin">
          <color auto="1"/>
        </right>
        <top/>
        <bottom/>
      </border>
    </dxf>
    <dxf>
      <numFmt numFmtId="166" formatCode="&quot;$&quot;#,##0.00"/>
    </dxf>
    <dxf>
      <border diagonalUp="0" diagonalDown="0" outline="0">
        <left/>
        <right/>
        <top/>
        <bottom/>
      </border>
    </dxf>
    <dxf>
      <numFmt numFmtId="166" formatCode="&quot;$&quot;#,##0.00"/>
      <border diagonalUp="0" diagonalDown="0" outline="0">
        <left/>
        <right style="thin">
          <color auto="1"/>
        </right>
        <top/>
        <bottom/>
      </border>
    </dxf>
    <dxf>
      <numFmt numFmtId="166" formatCode="&quot;$&quot;#,##0.00"/>
      <border diagonalUp="0" diagonalDown="0">
        <left/>
        <right style="thin">
          <color auto="1"/>
        </right>
        <top/>
        <bottom style="thin">
          <color auto="1"/>
        </bottom>
        <vertical/>
        <horizontal/>
      </border>
    </dxf>
    <dxf>
      <numFmt numFmtId="166" formatCode="&quot;$&quot;#,##0.00"/>
      <border diagonalUp="0" diagonalDown="0" outline="0">
        <left/>
        <right/>
        <top/>
        <bottom/>
      </border>
    </dxf>
    <dxf>
      <numFmt numFmtId="166" formatCode="&quot;$&quot;#,##0.00"/>
      <border diagonalUp="0" diagonalDown="0">
        <left/>
        <right/>
        <top/>
        <bottom style="thin">
          <color auto="1"/>
        </bottom>
        <vertical/>
        <horizontal/>
      </border>
    </dxf>
    <dxf>
      <numFmt numFmtId="166" formatCode="&quot;$&quot;#,##0.00"/>
      <border diagonalUp="0" diagonalDown="0" outline="0">
        <left/>
        <right style="thin">
          <color auto="1"/>
        </right>
        <top/>
        <bottom/>
      </border>
    </dxf>
    <dxf>
      <numFmt numFmtId="166" formatCode="&quot;$&quot;#,##0.00"/>
    </dxf>
    <dxf>
      <numFmt numFmtId="166" formatCode="&quot;$&quot;#,##0.00"/>
      <border diagonalUp="0" diagonalDown="0" outline="0">
        <left/>
        <right style="thin">
          <color auto="1"/>
        </right>
        <top/>
        <bottom/>
      </border>
    </dxf>
    <dxf>
      <numFmt numFmtId="166" formatCode="&quot;$&quot;#,##0.00"/>
      <border diagonalUp="0" diagonalDown="0">
        <left/>
        <right/>
        <top/>
        <bottom style="thin">
          <color auto="1"/>
        </bottom>
        <vertical/>
        <horizontal/>
      </border>
    </dxf>
    <dxf>
      <numFmt numFmtId="166" formatCode="&quot;$&quot;#,##0.00"/>
      <border diagonalUp="0" diagonalDown="0" outline="0">
        <left/>
        <right style="thin">
          <color auto="1"/>
        </right>
        <top/>
        <bottom/>
      </border>
    </dxf>
    <dxf>
      <numFmt numFmtId="166" formatCode="&quot;$&quot;#,##0.0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numFmt numFmtId="166" formatCode="&quot;$&quot;#,##0.00"/>
      <border diagonalUp="0" diagonalDown="0" outline="0">
        <left/>
        <right style="thin">
          <color auto="1"/>
        </right>
        <top/>
        <bottom/>
      </border>
    </dxf>
    <dxf>
      <numFmt numFmtId="166" formatCode="&quot;$&quot;#,##0.00"/>
      <border diagonalUp="0" diagonalDown="0">
        <left/>
        <right style="thin">
          <color auto="1"/>
        </right>
        <top/>
        <bottom style="thin">
          <color auto="1"/>
        </bottom>
        <vertical/>
        <horizontal/>
      </border>
    </dxf>
    <dxf>
      <numFmt numFmtId="166" formatCode="&quot;$&quot;#,##0.00"/>
      <border diagonalUp="0" diagonalDown="0" outline="0">
        <left/>
        <right style="thin">
          <color auto="1"/>
        </right>
        <top/>
        <bottom/>
      </border>
    </dxf>
    <dxf>
      <numFmt numFmtId="166" formatCode="&quot;$&quot;#,##0.00"/>
    </dxf>
    <dxf>
      <numFmt numFmtId="166" formatCode="&quot;$&quot;#,##0.00"/>
      <border diagonalUp="0" diagonalDown="0" outline="0">
        <left/>
        <right style="thin">
          <color auto="1"/>
        </right>
        <top/>
        <bottom/>
      </border>
    </dxf>
    <dxf>
      <numFmt numFmtId="166" formatCode="&quot;$&quot;#,##0.00"/>
    </dxf>
    <dxf>
      <numFmt numFmtId="166" formatCode="&quot;$&quot;#,##0.00"/>
      <border diagonalUp="0" diagonalDown="0" outline="0">
        <left/>
        <right style="thin">
          <color auto="1"/>
        </right>
        <top/>
        <bottom/>
      </border>
    </dxf>
    <dxf>
      <numFmt numFmtId="166" formatCode="&quot;$&quot;#,##0.00"/>
    </dxf>
    <dxf>
      <numFmt numFmtId="166" formatCode="&quot;$&quot;#,##0.00"/>
      <border diagonalUp="0" diagonalDown="0" outline="0">
        <left/>
        <right style="thin">
          <color auto="1"/>
        </right>
        <top/>
        <bottom/>
      </border>
    </dxf>
    <dxf>
      <numFmt numFmtId="166" formatCode="&quot;$&quot;#,##0.00"/>
      <border diagonalUp="0" diagonalDown="0">
        <left style="thin">
          <color auto="1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1" formatCode="&quot;$&quot;#,##0.00_);\(&quot;$&quot;#,##0.00\)"/>
      <border diagonalUp="0" diagonalDown="0" outline="0">
        <left/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1" formatCode="&quot;$&quot;#,##0.00_);\(&quot;$&quot;#,##0.00\)"/>
      <border diagonalUp="0" diagonalDown="0">
        <left/>
        <right style="thin">
          <color auto="1"/>
        </right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1" formatCode="&quot;$&quot;#,##0.00_);\(&quot;$&quot;#,##0.00\)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1" formatCode="&quot;$&quot;#,##0.00_);\(&quot;$&quot;#,##0.00\)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numFmt numFmtId="2" formatCode="0.00"/>
      <border diagonalUp="0" diagonalDown="0" outline="0">
        <left/>
        <right style="thin">
          <color auto="1"/>
        </right>
        <top/>
        <bottom/>
      </border>
    </dxf>
    <dxf>
      <numFmt numFmtId="2" formatCode="0.00"/>
      <border diagonalUp="0" diagonalDown="0">
        <left/>
        <right style="thin">
          <color auto="1"/>
        </right>
        <top/>
        <bottom style="thin">
          <color auto="1"/>
        </bottom>
        <vertical/>
        <horizontal/>
      </border>
    </dxf>
    <dxf>
      <numFmt numFmtId="2" formatCode="0.00"/>
      <border diagonalUp="0" diagonalDown="0" outline="0">
        <left style="thin">
          <color auto="1"/>
        </left>
        <right/>
        <top/>
        <bottom/>
      </border>
    </dxf>
    <dxf>
      <numFmt numFmtId="2" formatCode="0.0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</dxf>
    <dxf>
      <numFmt numFmtId="166" formatCode="&quot;$&quot;#,##0.00"/>
      <border diagonalUp="0" diagonalDown="0">
        <left/>
        <right style="thin">
          <color auto="1"/>
        </right>
        <top/>
        <bottom style="thin">
          <color auto="1"/>
        </bottom>
        <vertical/>
        <horizontal/>
      </border>
    </dxf>
    <dxf>
      <numFmt numFmtId="166" formatCode="&quot;$&quot;#,##0.00"/>
      <border diagonalUp="0" diagonalDown="0">
        <left/>
        <right style="thin">
          <color auto="1"/>
        </right>
        <top/>
        <bottom style="thin">
          <color auto="1"/>
        </bottom>
        <vertical/>
        <horizontal/>
      </border>
    </dxf>
    <dxf>
      <numFmt numFmtId="166" formatCode="&quot;$&quot;#,##0.00"/>
      <border diagonalUp="0" diagonalDown="0">
        <left/>
        <right/>
        <top/>
        <bottom style="thin">
          <color auto="1"/>
        </bottom>
        <vertical/>
        <horizontal/>
      </border>
    </dxf>
    <dxf>
      <numFmt numFmtId="166" formatCode="&quot;$&quot;#,##0.0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numFmt numFmtId="166" formatCode="&quot;$&quot;#,##0.00"/>
      <border diagonalUp="0" diagonalDown="0">
        <left/>
        <right style="thin">
          <color auto="1"/>
        </right>
        <top/>
        <bottom style="thin">
          <color auto="1"/>
        </bottom>
        <vertical/>
        <horizontal/>
      </border>
    </dxf>
    <dxf>
      <numFmt numFmtId="166" formatCode="&quot;$&quot;#,##0.00"/>
      <border diagonalUp="0" diagonalDown="0">
        <left/>
        <right/>
        <top/>
        <bottom style="thin">
          <color auto="1"/>
        </bottom>
        <vertical/>
        <horizontal/>
      </border>
    </dxf>
    <dxf>
      <numFmt numFmtId="166" formatCode="&quot;$&quot;#,##0.0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numFmt numFmtId="166" formatCode="&quot;$&quot;#,##0.00"/>
      <border diagonalUp="0" diagonalDown="0">
        <left/>
        <right style="thin">
          <color auto="1"/>
        </right>
        <top/>
        <bottom style="thin">
          <color auto="1"/>
        </bottom>
        <vertical/>
        <horizontal/>
      </border>
    </dxf>
    <dxf>
      <numFmt numFmtId="166" formatCode="&quot;$&quot;#,##0.00"/>
    </dxf>
    <dxf>
      <numFmt numFmtId="166" formatCode="&quot;$&quot;#,##0.00"/>
      <border diagonalUp="0" diagonalDown="0">
        <left/>
        <right/>
        <top/>
        <bottom style="thin">
          <color auto="1"/>
        </bottom>
        <vertical/>
        <horizontal/>
      </border>
    </dxf>
    <dxf>
      <numFmt numFmtId="166" formatCode="&quot;$&quot;#,##0.00"/>
      <border diagonalUp="0" diagonalDown="0">
        <left/>
        <right/>
        <top/>
        <bottom style="thin">
          <color auto="1"/>
        </bottom>
        <vertical/>
        <horizontal/>
      </border>
    </dxf>
    <dxf>
      <numFmt numFmtId="166" formatCode="&quot;$&quot;#,##0.0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1" formatCode="&quot;$&quot;#,##0.00_);\(&quot;$&quot;#,##0.00\)"/>
      <border diagonalUp="0" diagonalDown="0">
        <left/>
        <right style="thin">
          <color auto="1"/>
        </right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1" formatCode="&quot;$&quot;#,##0.00_);\(&quot;$&quot;#,##0.00\)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numFmt numFmtId="2" formatCode="0.00"/>
      <border diagonalUp="0" diagonalDown="0">
        <left/>
        <right style="thin">
          <color auto="1"/>
        </right>
        <top/>
        <bottom style="thin">
          <color auto="1"/>
        </bottom>
        <vertical/>
        <horizontal/>
      </border>
    </dxf>
    <dxf>
      <numFmt numFmtId="2" formatCode="0.0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braz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HDPE!$B$2:$B$13</c:f>
              <c:numCache>
                <c:formatCode>General</c:formatCode>
                <c:ptCount val="12"/>
                <c:pt idx="0">
                  <c:v>8.1099999999999992E-3</c:v>
                </c:pt>
                <c:pt idx="1">
                  <c:v>1.8239999999999999E-2</c:v>
                </c:pt>
                <c:pt idx="2">
                  <c:v>3.243E-2</c:v>
                </c:pt>
                <c:pt idx="3">
                  <c:v>5.067E-2</c:v>
                </c:pt>
                <c:pt idx="4">
                  <c:v>7.2969999999999993E-2</c:v>
                </c:pt>
                <c:pt idx="5">
                  <c:v>0.11401</c:v>
                </c:pt>
                <c:pt idx="6">
                  <c:v>0.16417000000000001</c:v>
                </c:pt>
                <c:pt idx="7">
                  <c:v>0.29186000000000001</c:v>
                </c:pt>
                <c:pt idx="8">
                  <c:v>0.45604</c:v>
                </c:pt>
                <c:pt idx="9">
                  <c:v>0.65698999999999996</c:v>
                </c:pt>
                <c:pt idx="10">
                  <c:v>0.89383000000000001</c:v>
                </c:pt>
                <c:pt idx="11">
                  <c:v>1.1674500000000001</c:v>
                </c:pt>
              </c:numCache>
            </c:numRef>
          </c:xVal>
          <c:yVal>
            <c:numRef>
              <c:f>HDPE!$C$2:$C$13</c:f>
              <c:numCache>
                <c:formatCode>General</c:formatCode>
                <c:ptCount val="12"/>
                <c:pt idx="6">
                  <c:v>8.61</c:v>
                </c:pt>
                <c:pt idx="7">
                  <c:v>14.79</c:v>
                </c:pt>
                <c:pt idx="8">
                  <c:v>20.12</c:v>
                </c:pt>
                <c:pt idx="9">
                  <c:v>26.79</c:v>
                </c:pt>
                <c:pt idx="10">
                  <c:v>38.22</c:v>
                </c:pt>
                <c:pt idx="11">
                  <c:v>43.77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334-492F-80BB-883CC8D4E4A1}"/>
            </c:ext>
          </c:extLst>
        </c:ser>
        <c:ser>
          <c:idx val="1"/>
          <c:order val="1"/>
          <c:tx>
            <c:v>fede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HDPE!$B$2:$B$13</c:f>
              <c:numCache>
                <c:formatCode>General</c:formatCode>
                <c:ptCount val="12"/>
                <c:pt idx="0">
                  <c:v>8.1099999999999992E-3</c:v>
                </c:pt>
                <c:pt idx="1">
                  <c:v>1.8239999999999999E-2</c:v>
                </c:pt>
                <c:pt idx="2">
                  <c:v>3.243E-2</c:v>
                </c:pt>
                <c:pt idx="3">
                  <c:v>5.067E-2</c:v>
                </c:pt>
                <c:pt idx="4">
                  <c:v>7.2969999999999993E-2</c:v>
                </c:pt>
                <c:pt idx="5">
                  <c:v>0.11401</c:v>
                </c:pt>
                <c:pt idx="6">
                  <c:v>0.16417000000000001</c:v>
                </c:pt>
                <c:pt idx="7">
                  <c:v>0.29186000000000001</c:v>
                </c:pt>
                <c:pt idx="8">
                  <c:v>0.45604</c:v>
                </c:pt>
                <c:pt idx="9">
                  <c:v>0.65698999999999996</c:v>
                </c:pt>
                <c:pt idx="10">
                  <c:v>0.89383000000000001</c:v>
                </c:pt>
                <c:pt idx="11">
                  <c:v>1.1674500000000001</c:v>
                </c:pt>
              </c:numCache>
            </c:numRef>
          </c:xVal>
          <c:yVal>
            <c:numRef>
              <c:f>HDPE!$E$2:$E$13</c:f>
              <c:numCache>
                <c:formatCode>General</c:formatCode>
                <c:ptCount val="12"/>
                <c:pt idx="0">
                  <c:v>2</c:v>
                </c:pt>
                <c:pt idx="1">
                  <c:v>3.5</c:v>
                </c:pt>
                <c:pt idx="2">
                  <c:v>5.5</c:v>
                </c:pt>
                <c:pt idx="3">
                  <c:v>8</c:v>
                </c:pt>
                <c:pt idx="4">
                  <c:v>11.5</c:v>
                </c:pt>
                <c:pt idx="5">
                  <c:v>20</c:v>
                </c:pt>
                <c:pt idx="6">
                  <c:v>29</c:v>
                </c:pt>
                <c:pt idx="7">
                  <c:v>58</c:v>
                </c:pt>
                <c:pt idx="8">
                  <c:v>88</c:v>
                </c:pt>
                <c:pt idx="9">
                  <c:v>120.5</c:v>
                </c:pt>
                <c:pt idx="10">
                  <c:v>155.5</c:v>
                </c:pt>
                <c:pt idx="11">
                  <c:v>193.5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334-492F-80BB-883CC8D4E4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7707552"/>
        <c:axId val="987709216"/>
      </c:scatterChart>
      <c:valAx>
        <c:axId val="987707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7709216"/>
        <c:crosses val="autoZero"/>
        <c:crossBetween val="midCat"/>
      </c:valAx>
      <c:valAx>
        <c:axId val="987709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7707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5183012053194572E-2"/>
          <c:y val="5.0925925925925923E-2"/>
          <c:w val="0.91850767335981065"/>
          <c:h val="0.8416746864975212"/>
        </c:manualLayout>
      </c:layout>
      <c:scatterChart>
        <c:scatterStyle val="lineMarker"/>
        <c:varyColors val="0"/>
        <c:ser>
          <c:idx val="0"/>
          <c:order val="0"/>
          <c:tx>
            <c:v>interpola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0986853576519104"/>
                  <c:y val="-6.87900991542723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area!$B$4:$B$25</c:f>
              <c:numCache>
                <c:formatCode>General</c:formatCode>
                <c:ptCount val="22"/>
                <c:pt idx="0">
                  <c:v>3.243E-2</c:v>
                </c:pt>
                <c:pt idx="1">
                  <c:v>5.067E-2</c:v>
                </c:pt>
                <c:pt idx="2">
                  <c:v>7.2969999999999993E-2</c:v>
                </c:pt>
                <c:pt idx="3">
                  <c:v>0.11401</c:v>
                </c:pt>
                <c:pt idx="4">
                  <c:v>0.16417000000000001</c:v>
                </c:pt>
                <c:pt idx="5">
                  <c:v>0.29186000000000001</c:v>
                </c:pt>
                <c:pt idx="6">
                  <c:v>0.45604</c:v>
                </c:pt>
                <c:pt idx="7">
                  <c:v>0.65698999999999996</c:v>
                </c:pt>
                <c:pt idx="8">
                  <c:v>0.89383000000000001</c:v>
                </c:pt>
                <c:pt idx="9">
                  <c:v>1.1674500000000001</c:v>
                </c:pt>
                <c:pt idx="10">
                  <c:v>7.0047241910437998</c:v>
                </c:pt>
                <c:pt idx="11">
                  <c:v>4.5968502503725004</c:v>
                </c:pt>
                <c:pt idx="12">
                  <c:v>5.3629919587679096</c:v>
                </c:pt>
                <c:pt idx="13">
                  <c:v>5.8372701592031699</c:v>
                </c:pt>
                <c:pt idx="14">
                  <c:v>3.5023620955218999</c:v>
                </c:pt>
                <c:pt idx="15">
                  <c:v>0.16214639331119901</c:v>
                </c:pt>
                <c:pt idx="16">
                  <c:v>0.15201224372924901</c:v>
                </c:pt>
                <c:pt idx="17">
                  <c:v>0.25335373954874901</c:v>
                </c:pt>
                <c:pt idx="18">
                  <c:v>0.36482938495019801</c:v>
                </c:pt>
                <c:pt idx="19">
                  <c:v>0.79806427957855897</c:v>
                </c:pt>
                <c:pt idx="20">
                  <c:v>5.8372701592031699</c:v>
                </c:pt>
                <c:pt idx="21">
                  <c:v>1.97007867873107</c:v>
                </c:pt>
              </c:numCache>
            </c:numRef>
          </c:xVal>
          <c:yVal>
            <c:numRef>
              <c:f>area!$C$4:$C$25</c:f>
              <c:numCache>
                <c:formatCode>General</c:formatCode>
                <c:ptCount val="22"/>
                <c:pt idx="0">
                  <c:v>5.5</c:v>
                </c:pt>
                <c:pt idx="1">
                  <c:v>8</c:v>
                </c:pt>
                <c:pt idx="2">
                  <c:v>11.5</c:v>
                </c:pt>
                <c:pt idx="3">
                  <c:v>20</c:v>
                </c:pt>
                <c:pt idx="4">
                  <c:v>29</c:v>
                </c:pt>
                <c:pt idx="5">
                  <c:v>58</c:v>
                </c:pt>
                <c:pt idx="6">
                  <c:v>88</c:v>
                </c:pt>
                <c:pt idx="7">
                  <c:v>120.5</c:v>
                </c:pt>
                <c:pt idx="8">
                  <c:v>155.5</c:v>
                </c:pt>
                <c:pt idx="9">
                  <c:v>193.5</c:v>
                </c:pt>
                <c:pt idx="10">
                  <c:v>1161.28796283879</c:v>
                </c:pt>
                <c:pt idx="11">
                  <c:v>842.77197303129731</c:v>
                </c:pt>
                <c:pt idx="12">
                  <c:v>932.68797015398434</c:v>
                </c:pt>
                <c:pt idx="13">
                  <c:v>967.73996903232319</c:v>
                </c:pt>
                <c:pt idx="14">
                  <c:v>580.64398141939296</c:v>
                </c:pt>
                <c:pt idx="15">
                  <c:v>27.431999122176027</c:v>
                </c:pt>
                <c:pt idx="16">
                  <c:v>23.774399239219221</c:v>
                </c:pt>
                <c:pt idx="17">
                  <c:v>39.623998732032064</c:v>
                </c:pt>
                <c:pt idx="18">
                  <c:v>57.911998146815804</c:v>
                </c:pt>
                <c:pt idx="19">
                  <c:v>138.68399556211216</c:v>
                </c:pt>
                <c:pt idx="20">
                  <c:v>967.73996903232864</c:v>
                </c:pt>
                <c:pt idx="21">
                  <c:v>361.18798844198471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88F-42CC-A31D-73E0F029ABF3}"/>
            </c:ext>
          </c:extLst>
        </c:ser>
        <c:ser>
          <c:idx val="1"/>
          <c:order val="1"/>
          <c:tx>
            <c:v>single_pipe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3.1384249200835837E-2"/>
                  <c:y val="-0.3040605861767279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area!$B$4:$B$13</c:f>
              <c:numCache>
                <c:formatCode>General</c:formatCode>
                <c:ptCount val="10"/>
                <c:pt idx="0">
                  <c:v>3.243E-2</c:v>
                </c:pt>
                <c:pt idx="1">
                  <c:v>5.067E-2</c:v>
                </c:pt>
                <c:pt idx="2">
                  <c:v>7.2969999999999993E-2</c:v>
                </c:pt>
                <c:pt idx="3">
                  <c:v>0.11401</c:v>
                </c:pt>
                <c:pt idx="4">
                  <c:v>0.16417000000000001</c:v>
                </c:pt>
                <c:pt idx="5">
                  <c:v>0.29186000000000001</c:v>
                </c:pt>
                <c:pt idx="6">
                  <c:v>0.45604</c:v>
                </c:pt>
                <c:pt idx="7">
                  <c:v>0.65698999999999996</c:v>
                </c:pt>
                <c:pt idx="8">
                  <c:v>0.89383000000000001</c:v>
                </c:pt>
                <c:pt idx="9">
                  <c:v>1.1674500000000001</c:v>
                </c:pt>
              </c:numCache>
            </c:numRef>
          </c:xVal>
          <c:yVal>
            <c:numRef>
              <c:f>area!$C$4:$C$13</c:f>
              <c:numCache>
                <c:formatCode>General</c:formatCode>
                <c:ptCount val="10"/>
                <c:pt idx="0">
                  <c:v>5.5</c:v>
                </c:pt>
                <c:pt idx="1">
                  <c:v>8</c:v>
                </c:pt>
                <c:pt idx="2">
                  <c:v>11.5</c:v>
                </c:pt>
                <c:pt idx="3">
                  <c:v>20</c:v>
                </c:pt>
                <c:pt idx="4">
                  <c:v>29</c:v>
                </c:pt>
                <c:pt idx="5">
                  <c:v>58</c:v>
                </c:pt>
                <c:pt idx="6">
                  <c:v>88</c:v>
                </c:pt>
                <c:pt idx="7">
                  <c:v>120.5</c:v>
                </c:pt>
                <c:pt idx="8">
                  <c:v>155.5</c:v>
                </c:pt>
                <c:pt idx="9">
                  <c:v>193.5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E05-4F59-BA3F-F427E4D280C0}"/>
            </c:ext>
          </c:extLst>
        </c:ser>
        <c:ser>
          <c:idx val="2"/>
          <c:order val="2"/>
          <c:tx>
            <c:v>dam_design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5808781810885243E-2"/>
                  <c:y val="0.2920031350247885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area!$B$14:$B$25</c:f>
              <c:numCache>
                <c:formatCode>General</c:formatCode>
                <c:ptCount val="12"/>
                <c:pt idx="0">
                  <c:v>7.0047241910437998</c:v>
                </c:pt>
                <c:pt idx="1">
                  <c:v>4.5968502503725004</c:v>
                </c:pt>
                <c:pt idx="2">
                  <c:v>5.3629919587679096</c:v>
                </c:pt>
                <c:pt idx="3">
                  <c:v>5.8372701592031699</c:v>
                </c:pt>
                <c:pt idx="4">
                  <c:v>3.5023620955218999</c:v>
                </c:pt>
                <c:pt idx="5">
                  <c:v>0.16214639331119901</c:v>
                </c:pt>
                <c:pt idx="6">
                  <c:v>0.15201224372924901</c:v>
                </c:pt>
                <c:pt idx="7">
                  <c:v>0.25335373954874901</c:v>
                </c:pt>
                <c:pt idx="8">
                  <c:v>0.36482938495019801</c:v>
                </c:pt>
                <c:pt idx="9">
                  <c:v>0.79806427957855897</c:v>
                </c:pt>
                <c:pt idx="10">
                  <c:v>5.8372701592031699</c:v>
                </c:pt>
                <c:pt idx="11">
                  <c:v>1.97007867873107</c:v>
                </c:pt>
              </c:numCache>
            </c:numRef>
          </c:xVal>
          <c:yVal>
            <c:numRef>
              <c:f>area!$C$14:$C$25</c:f>
              <c:numCache>
                <c:formatCode>General</c:formatCode>
                <c:ptCount val="12"/>
                <c:pt idx="0">
                  <c:v>1161.28796283879</c:v>
                </c:pt>
                <c:pt idx="1">
                  <c:v>842.77197303129731</c:v>
                </c:pt>
                <c:pt idx="2">
                  <c:v>932.68797015398434</c:v>
                </c:pt>
                <c:pt idx="3">
                  <c:v>967.73996903232319</c:v>
                </c:pt>
                <c:pt idx="4">
                  <c:v>580.64398141939296</c:v>
                </c:pt>
                <c:pt idx="5">
                  <c:v>27.431999122176027</c:v>
                </c:pt>
                <c:pt idx="6">
                  <c:v>23.774399239219221</c:v>
                </c:pt>
                <c:pt idx="7">
                  <c:v>39.623998732032064</c:v>
                </c:pt>
                <c:pt idx="8">
                  <c:v>57.911998146815804</c:v>
                </c:pt>
                <c:pt idx="9">
                  <c:v>138.68399556211216</c:v>
                </c:pt>
                <c:pt idx="10">
                  <c:v>967.73996903232864</c:v>
                </c:pt>
                <c:pt idx="11">
                  <c:v>361.18798844198471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E05-4F59-BA3F-F427E4D280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8545536"/>
        <c:axId val="1248543456"/>
      </c:scatterChart>
      <c:valAx>
        <c:axId val="1248545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8543456"/>
        <c:crosses val="autoZero"/>
        <c:crossBetween val="midCat"/>
      </c:valAx>
      <c:valAx>
        <c:axId val="1248543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8545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area!$T$8:$T$24</c:f>
              <c:numCache>
                <c:formatCode>General</c:formatCode>
                <c:ptCount val="17"/>
                <c:pt idx="0">
                  <c:v>7.0047241910437998</c:v>
                </c:pt>
                <c:pt idx="1">
                  <c:v>4.5968502503725004</c:v>
                </c:pt>
                <c:pt idx="2">
                  <c:v>5.3629919587679096</c:v>
                </c:pt>
                <c:pt idx="3">
                  <c:v>5.8372701592031699</c:v>
                </c:pt>
                <c:pt idx="4">
                  <c:v>0.16214639331119901</c:v>
                </c:pt>
                <c:pt idx="5">
                  <c:v>0.15201224372924901</c:v>
                </c:pt>
                <c:pt idx="6">
                  <c:v>0.25335373954874901</c:v>
                </c:pt>
                <c:pt idx="7">
                  <c:v>0.36482938495019801</c:v>
                </c:pt>
                <c:pt idx="8">
                  <c:v>0.30402448745849903</c:v>
                </c:pt>
                <c:pt idx="9">
                  <c:v>0.202682991638999</c:v>
                </c:pt>
                <c:pt idx="10">
                  <c:v>3.5023620955218999</c:v>
                </c:pt>
                <c:pt idx="11">
                  <c:v>0.79806427957855897</c:v>
                </c:pt>
                <c:pt idx="12">
                  <c:v>1.97007867873107</c:v>
                </c:pt>
                <c:pt idx="13">
                  <c:v>0.492519669682768</c:v>
                </c:pt>
                <c:pt idx="14">
                  <c:v>1.14921256259312</c:v>
                </c:pt>
                <c:pt idx="15">
                  <c:v>0.34202754839081101</c:v>
                </c:pt>
                <c:pt idx="16">
                  <c:v>0.29186350796015897</c:v>
                </c:pt>
              </c:numCache>
            </c:numRef>
          </c:xVal>
          <c:yVal>
            <c:numRef>
              <c:f>area!$U$8:$U$24</c:f>
              <c:numCache>
                <c:formatCode>General</c:formatCode>
                <c:ptCount val="17"/>
                <c:pt idx="0">
                  <c:v>1161.28796283879</c:v>
                </c:pt>
                <c:pt idx="1">
                  <c:v>842.77197303129731</c:v>
                </c:pt>
                <c:pt idx="2">
                  <c:v>932.68797015398434</c:v>
                </c:pt>
                <c:pt idx="3">
                  <c:v>967.73996903232319</c:v>
                </c:pt>
                <c:pt idx="4">
                  <c:v>27.431999122176027</c:v>
                </c:pt>
                <c:pt idx="5">
                  <c:v>23.774399239219221</c:v>
                </c:pt>
                <c:pt idx="6">
                  <c:v>39.623998732032064</c:v>
                </c:pt>
                <c:pt idx="7">
                  <c:v>57.911998146815804</c:v>
                </c:pt>
                <c:pt idx="8">
                  <c:v>47.548798478438577</c:v>
                </c:pt>
                <c:pt idx="9">
                  <c:v>31.699198985625362</c:v>
                </c:pt>
                <c:pt idx="10">
                  <c:v>580.64398141939296</c:v>
                </c:pt>
                <c:pt idx="11">
                  <c:v>138.68399556211216</c:v>
                </c:pt>
                <c:pt idx="12">
                  <c:v>361.18798844198471</c:v>
                </c:pt>
                <c:pt idx="13">
                  <c:v>86.867997220224751</c:v>
                </c:pt>
                <c:pt idx="14">
                  <c:v>202.69199351385478</c:v>
                </c:pt>
                <c:pt idx="15">
                  <c:v>59.435998098048131</c:v>
                </c:pt>
                <c:pt idx="16">
                  <c:v>46.329598517452695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44-4619-9404-8D3CFACACCD8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47750874890638673"/>
                  <c:y val="-1.66046952464275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area!$AH$24:$AH$38</c:f>
              <c:numCache>
                <c:formatCode>General</c:formatCode>
                <c:ptCount val="15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</c:numCache>
            </c:numRef>
          </c:xVal>
          <c:yVal>
            <c:numRef>
              <c:f>area!$AI$24:$AI$38</c:f>
              <c:numCache>
                <c:formatCode>General</c:formatCode>
                <c:ptCount val="15"/>
                <c:pt idx="0">
                  <c:v>89.057909368437876</c:v>
                </c:pt>
                <c:pt idx="1">
                  <c:v>172.74932149167918</c:v>
                </c:pt>
                <c:pt idx="2">
                  <c:v>256.44073361492048</c:v>
                </c:pt>
                <c:pt idx="3">
                  <c:v>340.1321457381618</c:v>
                </c:pt>
                <c:pt idx="4">
                  <c:v>423.82355786140312</c:v>
                </c:pt>
                <c:pt idx="5">
                  <c:v>507.51496998464438</c:v>
                </c:pt>
                <c:pt idx="6">
                  <c:v>591.2063821078857</c:v>
                </c:pt>
                <c:pt idx="7">
                  <c:v>674.89779423112702</c:v>
                </c:pt>
                <c:pt idx="8">
                  <c:v>758.58920635436834</c:v>
                </c:pt>
                <c:pt idx="9">
                  <c:v>842.28061847760966</c:v>
                </c:pt>
                <c:pt idx="10">
                  <c:v>925.97203060085099</c:v>
                </c:pt>
                <c:pt idx="11">
                  <c:v>1009.6634427240922</c:v>
                </c:pt>
                <c:pt idx="12">
                  <c:v>1093.3548548473336</c:v>
                </c:pt>
                <c:pt idx="13">
                  <c:v>1177.0462669705748</c:v>
                </c:pt>
                <c:pt idx="14">
                  <c:v>1260.7376790938163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E4B-41C7-9DE6-AFAFBDEEB5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8254784"/>
        <c:axId val="668256448"/>
      </c:scatterChart>
      <c:valAx>
        <c:axId val="668254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8256448"/>
        <c:crosses val="autoZero"/>
        <c:crossBetween val="midCat"/>
      </c:valAx>
      <c:valAx>
        <c:axId val="668256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8254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interp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45975218722659666"/>
                  <c:y val="-6.58227617381160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area!$G$45:$G$74</c:f>
              <c:numCache>
                <c:formatCode>0.00000</c:formatCode>
                <c:ptCount val="30"/>
                <c:pt idx="0">
                  <c:v>0.12971711464895899</c:v>
                </c:pt>
                <c:pt idx="1">
                  <c:v>0.36482938495019801</c:v>
                </c:pt>
                <c:pt idx="2">
                  <c:v>7.0047241910437998</c:v>
                </c:pt>
                <c:pt idx="3">
                  <c:v>0.30402448745849903</c:v>
                </c:pt>
                <c:pt idx="4">
                  <c:v>0.25335373954874901</c:v>
                </c:pt>
                <c:pt idx="5">
                  <c:v>0.202682991638999</c:v>
                </c:pt>
                <c:pt idx="6">
                  <c:v>3.5023620955218999</c:v>
                </c:pt>
                <c:pt idx="7">
                  <c:v>0.16214639331119901</c:v>
                </c:pt>
                <c:pt idx="8">
                  <c:v>0.15201224372924901</c:v>
                </c:pt>
                <c:pt idx="9">
                  <c:v>0.79806427957855897</c:v>
                </c:pt>
                <c:pt idx="10">
                  <c:v>0.492519669682768</c:v>
                </c:pt>
                <c:pt idx="11">
                  <c:v>0.34202754839081101</c:v>
                </c:pt>
                <c:pt idx="12">
                  <c:v>0.29186350796015897</c:v>
                </c:pt>
                <c:pt idx="13">
                  <c:v>1.97007867873107</c:v>
                </c:pt>
                <c:pt idx="14">
                  <c:v>4.5968502503725004</c:v>
                </c:pt>
                <c:pt idx="15" formatCode="General">
                  <c:v>5.8372701592031699</c:v>
                </c:pt>
                <c:pt idx="16" formatCode="General">
                  <c:v>5.3629919587679096</c:v>
                </c:pt>
                <c:pt idx="17" formatCode="General">
                  <c:v>1.14921256259312</c:v>
                </c:pt>
                <c:pt idx="18" formatCode="General">
                  <c:v>8.1099999999999992E-3</c:v>
                </c:pt>
                <c:pt idx="19" formatCode="General">
                  <c:v>1.8239999999999999E-2</c:v>
                </c:pt>
                <c:pt idx="20" formatCode="General">
                  <c:v>3.243E-2</c:v>
                </c:pt>
                <c:pt idx="21" formatCode="General">
                  <c:v>5.067E-2</c:v>
                </c:pt>
                <c:pt idx="22" formatCode="General">
                  <c:v>7.2969999999999993E-2</c:v>
                </c:pt>
                <c:pt idx="23" formatCode="General">
                  <c:v>0.11401</c:v>
                </c:pt>
                <c:pt idx="24" formatCode="General">
                  <c:v>0.16417000000000001</c:v>
                </c:pt>
                <c:pt idx="25" formatCode="General">
                  <c:v>0.29186000000000001</c:v>
                </c:pt>
                <c:pt idx="26" formatCode="General">
                  <c:v>0.45604</c:v>
                </c:pt>
                <c:pt idx="27" formatCode="General">
                  <c:v>0.65698999999999996</c:v>
                </c:pt>
                <c:pt idx="28" formatCode="General">
                  <c:v>0.89383000000000001</c:v>
                </c:pt>
                <c:pt idx="29" formatCode="General">
                  <c:v>1.1674500000000001</c:v>
                </c:pt>
              </c:numCache>
            </c:numRef>
          </c:xVal>
          <c:yVal>
            <c:numRef>
              <c:f>area!$H$45:$H$74</c:f>
              <c:numCache>
                <c:formatCode>General</c:formatCode>
                <c:ptCount val="30"/>
                <c:pt idx="0">
                  <c:v>21.945599297740848</c:v>
                </c:pt>
                <c:pt idx="1">
                  <c:v>57.911998146815804</c:v>
                </c:pt>
                <c:pt idx="2">
                  <c:v>1161.2879628387896</c:v>
                </c:pt>
                <c:pt idx="3">
                  <c:v>47.548798478438577</c:v>
                </c:pt>
                <c:pt idx="4">
                  <c:v>39.623998732032064</c:v>
                </c:pt>
                <c:pt idx="5">
                  <c:v>31.699198985625362</c:v>
                </c:pt>
                <c:pt idx="6">
                  <c:v>580.64398141939296</c:v>
                </c:pt>
                <c:pt idx="7">
                  <c:v>27.431999122176027</c:v>
                </c:pt>
                <c:pt idx="8">
                  <c:v>23.774399239219221</c:v>
                </c:pt>
                <c:pt idx="9">
                  <c:v>138.68399556211216</c:v>
                </c:pt>
                <c:pt idx="10">
                  <c:v>86.867997220224751</c:v>
                </c:pt>
                <c:pt idx="11">
                  <c:v>59.435998098048131</c:v>
                </c:pt>
                <c:pt idx="12">
                  <c:v>46.329598517452695</c:v>
                </c:pt>
                <c:pt idx="13">
                  <c:v>361.18798844198471</c:v>
                </c:pt>
                <c:pt idx="14">
                  <c:v>842.77197303129662</c:v>
                </c:pt>
                <c:pt idx="15">
                  <c:v>967.73996903232864</c:v>
                </c:pt>
                <c:pt idx="16">
                  <c:v>932.68797015399184</c:v>
                </c:pt>
                <c:pt idx="17">
                  <c:v>202.69199351385478</c:v>
                </c:pt>
                <c:pt idx="18">
                  <c:v>2</c:v>
                </c:pt>
                <c:pt idx="19">
                  <c:v>3.5</c:v>
                </c:pt>
                <c:pt idx="20">
                  <c:v>5.5</c:v>
                </c:pt>
                <c:pt idx="21">
                  <c:v>8</c:v>
                </c:pt>
                <c:pt idx="22">
                  <c:v>11.5</c:v>
                </c:pt>
                <c:pt idx="23">
                  <c:v>20</c:v>
                </c:pt>
                <c:pt idx="24">
                  <c:v>29</c:v>
                </c:pt>
                <c:pt idx="25">
                  <c:v>58</c:v>
                </c:pt>
                <c:pt idx="26">
                  <c:v>88</c:v>
                </c:pt>
                <c:pt idx="27">
                  <c:v>120.5</c:v>
                </c:pt>
                <c:pt idx="28">
                  <c:v>155.5</c:v>
                </c:pt>
                <c:pt idx="29">
                  <c:v>193.5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9C-4DCB-9598-804CD6FF7E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1254543"/>
        <c:axId val="1571242063"/>
      </c:scatterChart>
      <c:valAx>
        <c:axId val="1571254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1242063"/>
        <c:crosses val="autoZero"/>
        <c:crossBetween val="midCat"/>
      </c:valAx>
      <c:valAx>
        <c:axId val="1571242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12545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8746216097987749"/>
                  <c:y val="-3.321631671041119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best_approx_pipes!$E$3:$E$25</c:f>
              <c:numCache>
                <c:formatCode>General</c:formatCode>
                <c:ptCount val="23"/>
                <c:pt idx="0">
                  <c:v>6.4858557324479996E-2</c:v>
                </c:pt>
                <c:pt idx="1">
                  <c:v>0.12971711464895899</c:v>
                </c:pt>
                <c:pt idx="2">
                  <c:v>0.15201224372924901</c:v>
                </c:pt>
                <c:pt idx="3">
                  <c:v>0.16214639331119901</c:v>
                </c:pt>
                <c:pt idx="4">
                  <c:v>0.202682991638999</c:v>
                </c:pt>
                <c:pt idx="5">
                  <c:v>0.25335373954874901</c:v>
                </c:pt>
                <c:pt idx="6">
                  <c:v>0.29186350796015897</c:v>
                </c:pt>
                <c:pt idx="7">
                  <c:v>0.30402448745849903</c:v>
                </c:pt>
                <c:pt idx="8">
                  <c:v>0.32429278662239902</c:v>
                </c:pt>
                <c:pt idx="9">
                  <c:v>0.34202754839081101</c:v>
                </c:pt>
                <c:pt idx="10">
                  <c:v>0.36482938495019801</c:v>
                </c:pt>
                <c:pt idx="11">
                  <c:v>0.45603673118774801</c:v>
                </c:pt>
                <c:pt idx="12">
                  <c:v>0.492519669682768</c:v>
                </c:pt>
                <c:pt idx="13">
                  <c:v>0.79806427957855897</c:v>
                </c:pt>
                <c:pt idx="14">
                  <c:v>1.1400918279693699</c:v>
                </c:pt>
                <c:pt idx="15">
                  <c:v>1.14921256259312</c:v>
                </c:pt>
                <c:pt idx="16">
                  <c:v>1.97007867873107</c:v>
                </c:pt>
                <c:pt idx="17">
                  <c:v>3.5023620955218999</c:v>
                </c:pt>
                <c:pt idx="18">
                  <c:v>4.5968502503725004</c:v>
                </c:pt>
                <c:pt idx="19">
                  <c:v>5.3629919587679096</c:v>
                </c:pt>
                <c:pt idx="20">
                  <c:v>5.8372701592031699</c:v>
                </c:pt>
                <c:pt idx="21">
                  <c:v>7.0047241910437998</c:v>
                </c:pt>
              </c:numCache>
            </c:numRef>
          </c:xVal>
          <c:yVal>
            <c:numRef>
              <c:f>best_approx_pipes!$F$3:$F$25</c:f>
              <c:numCache>
                <c:formatCode>General</c:formatCode>
                <c:ptCount val="23"/>
                <c:pt idx="0">
                  <c:v>10.972799648870383</c:v>
                </c:pt>
                <c:pt idx="1">
                  <c:v>21.945599297740788</c:v>
                </c:pt>
                <c:pt idx="2">
                  <c:v>23.774399239219221</c:v>
                </c:pt>
                <c:pt idx="3">
                  <c:v>27.431999122175991</c:v>
                </c:pt>
                <c:pt idx="4">
                  <c:v>31.699198985625362</c:v>
                </c:pt>
                <c:pt idx="5">
                  <c:v>39.623998732032064</c:v>
                </c:pt>
                <c:pt idx="6">
                  <c:v>46.329598517452695</c:v>
                </c:pt>
                <c:pt idx="7">
                  <c:v>47.548798478438577</c:v>
                </c:pt>
                <c:pt idx="8">
                  <c:v>54.863998244351869</c:v>
                </c:pt>
                <c:pt idx="9">
                  <c:v>59.435998098048131</c:v>
                </c:pt>
                <c:pt idx="10">
                  <c:v>57.911998146815804</c:v>
                </c:pt>
                <c:pt idx="11">
                  <c:v>71.323197717657592</c:v>
                </c:pt>
                <c:pt idx="12">
                  <c:v>86.867997220223316</c:v>
                </c:pt>
                <c:pt idx="13">
                  <c:v>138.68399556211216</c:v>
                </c:pt>
                <c:pt idx="14">
                  <c:v>198.11999366016053</c:v>
                </c:pt>
                <c:pt idx="15">
                  <c:v>202.69199351385478</c:v>
                </c:pt>
                <c:pt idx="16">
                  <c:v>361.18798844198471</c:v>
                </c:pt>
                <c:pt idx="17">
                  <c:v>580.64398141939171</c:v>
                </c:pt>
                <c:pt idx="18">
                  <c:v>842.77197303129617</c:v>
                </c:pt>
                <c:pt idx="19">
                  <c:v>932.68797015398445</c:v>
                </c:pt>
                <c:pt idx="20">
                  <c:v>967.73996903232614</c:v>
                </c:pt>
                <c:pt idx="21">
                  <c:v>1161.2879628387802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DE-4F88-AC66-44F272E904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7051520"/>
        <c:axId val="477053184"/>
      </c:scatterChart>
      <c:valAx>
        <c:axId val="477051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053184"/>
        <c:crosses val="autoZero"/>
        <c:crossBetween val="midCat"/>
      </c:valAx>
      <c:valAx>
        <c:axId val="47705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051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9.8420384951881018E-2"/>
                  <c:y val="-8.3005249343832029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best_approx_pipes!$E$3:$E$25</c:f>
              <c:numCache>
                <c:formatCode>General</c:formatCode>
                <c:ptCount val="23"/>
                <c:pt idx="0">
                  <c:v>6.4858557324479996E-2</c:v>
                </c:pt>
                <c:pt idx="1">
                  <c:v>0.12971711464895899</c:v>
                </c:pt>
                <c:pt idx="2">
                  <c:v>0.15201224372924901</c:v>
                </c:pt>
                <c:pt idx="3">
                  <c:v>0.16214639331119901</c:v>
                </c:pt>
                <c:pt idx="4">
                  <c:v>0.202682991638999</c:v>
                </c:pt>
                <c:pt idx="5">
                  <c:v>0.25335373954874901</c:v>
                </c:pt>
                <c:pt idx="6">
                  <c:v>0.29186350796015897</c:v>
                </c:pt>
                <c:pt idx="7">
                  <c:v>0.30402448745849903</c:v>
                </c:pt>
                <c:pt idx="8">
                  <c:v>0.32429278662239902</c:v>
                </c:pt>
                <c:pt idx="9">
                  <c:v>0.34202754839081101</c:v>
                </c:pt>
                <c:pt idx="10">
                  <c:v>0.36482938495019801</c:v>
                </c:pt>
                <c:pt idx="11">
                  <c:v>0.45603673118774801</c:v>
                </c:pt>
                <c:pt idx="12">
                  <c:v>0.492519669682768</c:v>
                </c:pt>
                <c:pt idx="13">
                  <c:v>0.79806427957855897</c:v>
                </c:pt>
                <c:pt idx="14">
                  <c:v>1.1400918279693699</c:v>
                </c:pt>
                <c:pt idx="15">
                  <c:v>1.14921256259312</c:v>
                </c:pt>
                <c:pt idx="16">
                  <c:v>1.97007867873107</c:v>
                </c:pt>
                <c:pt idx="17">
                  <c:v>3.5023620955218999</c:v>
                </c:pt>
                <c:pt idx="18">
                  <c:v>4.5968502503725004</c:v>
                </c:pt>
                <c:pt idx="19">
                  <c:v>5.3629919587679096</c:v>
                </c:pt>
                <c:pt idx="20">
                  <c:v>5.8372701592031699</c:v>
                </c:pt>
                <c:pt idx="21">
                  <c:v>7.0047241910437998</c:v>
                </c:pt>
              </c:numCache>
            </c:numRef>
          </c:xVal>
          <c:yVal>
            <c:numRef>
              <c:f>best_approx_pipes!$F$3:$F$25</c:f>
              <c:numCache>
                <c:formatCode>General</c:formatCode>
                <c:ptCount val="23"/>
                <c:pt idx="0">
                  <c:v>10.972799648870383</c:v>
                </c:pt>
                <c:pt idx="1">
                  <c:v>21.945599297740788</c:v>
                </c:pt>
                <c:pt idx="2">
                  <c:v>23.774399239219221</c:v>
                </c:pt>
                <c:pt idx="3">
                  <c:v>27.431999122175991</c:v>
                </c:pt>
                <c:pt idx="4">
                  <c:v>31.699198985625362</c:v>
                </c:pt>
                <c:pt idx="5">
                  <c:v>39.623998732032064</c:v>
                </c:pt>
                <c:pt idx="6">
                  <c:v>46.329598517452695</c:v>
                </c:pt>
                <c:pt idx="7">
                  <c:v>47.548798478438577</c:v>
                </c:pt>
                <c:pt idx="8">
                  <c:v>54.863998244351869</c:v>
                </c:pt>
                <c:pt idx="9">
                  <c:v>59.435998098048131</c:v>
                </c:pt>
                <c:pt idx="10">
                  <c:v>57.911998146815804</c:v>
                </c:pt>
                <c:pt idx="11">
                  <c:v>71.323197717657592</c:v>
                </c:pt>
                <c:pt idx="12">
                  <c:v>86.867997220223316</c:v>
                </c:pt>
                <c:pt idx="13">
                  <c:v>138.68399556211216</c:v>
                </c:pt>
                <c:pt idx="14">
                  <c:v>198.11999366016053</c:v>
                </c:pt>
                <c:pt idx="15">
                  <c:v>202.69199351385478</c:v>
                </c:pt>
                <c:pt idx="16">
                  <c:v>361.18798844198471</c:v>
                </c:pt>
                <c:pt idx="17">
                  <c:v>580.64398141939171</c:v>
                </c:pt>
                <c:pt idx="18">
                  <c:v>842.77197303129617</c:v>
                </c:pt>
                <c:pt idx="19">
                  <c:v>932.68797015398445</c:v>
                </c:pt>
                <c:pt idx="20">
                  <c:v>967.73996903232614</c:v>
                </c:pt>
                <c:pt idx="21">
                  <c:v>1161.2879628387802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90A-4462-8ED0-5B6E5EB0C5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7051520"/>
        <c:axId val="477053184"/>
      </c:scatterChart>
      <c:valAx>
        <c:axId val="477051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053184"/>
        <c:crosses val="autoZero"/>
        <c:crossBetween val="midCat"/>
      </c:valAx>
      <c:valAx>
        <c:axId val="47705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051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chesa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5901859142607175"/>
                  <c:y val="-2.434346748323126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box_culvert!$B$2:$B$9</c:f>
              <c:numCache>
                <c:formatCode>General</c:formatCode>
                <c:ptCount val="8"/>
                <c:pt idx="0">
                  <c:v>1.3935500000000001</c:v>
                </c:pt>
                <c:pt idx="1">
                  <c:v>1.48645</c:v>
                </c:pt>
                <c:pt idx="2">
                  <c:v>1.85806</c:v>
                </c:pt>
                <c:pt idx="3">
                  <c:v>2.22967</c:v>
                </c:pt>
                <c:pt idx="4">
                  <c:v>2.3225799999999999</c:v>
                </c:pt>
                <c:pt idx="5">
                  <c:v>2.6012900000000001</c:v>
                </c:pt>
                <c:pt idx="6">
                  <c:v>3.3445100000000001</c:v>
                </c:pt>
                <c:pt idx="7">
                  <c:v>3.7161200000000001</c:v>
                </c:pt>
              </c:numCache>
            </c:numRef>
          </c:xVal>
          <c:yVal>
            <c:numRef>
              <c:f>box_culvert!$C$2:$C$9</c:f>
              <c:numCache>
                <c:formatCode>General</c:formatCode>
                <c:ptCount val="8"/>
                <c:pt idx="0">
                  <c:v>375</c:v>
                </c:pt>
                <c:pt idx="2">
                  <c:v>400</c:v>
                </c:pt>
                <c:pt idx="3">
                  <c:v>415</c:v>
                </c:pt>
                <c:pt idx="4">
                  <c:v>425</c:v>
                </c:pt>
                <c:pt idx="5">
                  <c:v>450</c:v>
                </c:pt>
                <c:pt idx="7">
                  <c:v>550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BE-413D-BB2A-224695C3EE31}"/>
            </c:ext>
          </c:extLst>
        </c:ser>
        <c:ser>
          <c:idx val="1"/>
          <c:order val="1"/>
          <c:tx>
            <c:v>boxculvert.com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box_culvert!$B$2:$B$11</c:f>
              <c:numCache>
                <c:formatCode>General</c:formatCode>
                <c:ptCount val="10"/>
                <c:pt idx="0">
                  <c:v>1.3935500000000001</c:v>
                </c:pt>
                <c:pt idx="1">
                  <c:v>1.48645</c:v>
                </c:pt>
                <c:pt idx="2">
                  <c:v>1.85806</c:v>
                </c:pt>
                <c:pt idx="3">
                  <c:v>2.22967</c:v>
                </c:pt>
                <c:pt idx="4">
                  <c:v>2.3225799999999999</c:v>
                </c:pt>
                <c:pt idx="5">
                  <c:v>2.6012900000000001</c:v>
                </c:pt>
                <c:pt idx="6">
                  <c:v>3.3445100000000001</c:v>
                </c:pt>
                <c:pt idx="7">
                  <c:v>3.7161200000000001</c:v>
                </c:pt>
                <c:pt idx="8">
                  <c:v>4.4593499999999997</c:v>
                </c:pt>
                <c:pt idx="9">
                  <c:v>4.5522499999999999</c:v>
                </c:pt>
              </c:numCache>
            </c:numRef>
          </c:xVal>
          <c:yVal>
            <c:numRef>
              <c:f>box_culvert!$D$2:$D$11</c:f>
              <c:numCache>
                <c:formatCode>General</c:formatCode>
                <c:ptCount val="10"/>
                <c:pt idx="1">
                  <c:v>345</c:v>
                </c:pt>
                <c:pt idx="3">
                  <c:v>415</c:v>
                </c:pt>
                <c:pt idx="4">
                  <c:v>415</c:v>
                </c:pt>
                <c:pt idx="6">
                  <c:v>500</c:v>
                </c:pt>
                <c:pt idx="8">
                  <c:v>550</c:v>
                </c:pt>
                <c:pt idx="9">
                  <c:v>550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FBE-413D-BB2A-224695C3EE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1393648"/>
        <c:axId val="1371394896"/>
      </c:scatterChart>
      <c:valAx>
        <c:axId val="1371393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1394896"/>
        <c:crosses val="autoZero"/>
        <c:crossBetween val="midCat"/>
      </c:valAx>
      <c:valAx>
        <c:axId val="1371394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1393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Divisions_ponds!$C$4</c:f>
              <c:strCache>
                <c:ptCount val="1"/>
                <c:pt idx="0">
                  <c:v>CC-016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Divisions_ponds!$D$4</c:f>
              <c:numCache>
                <c:formatCode>0.00</c:formatCode>
                <c:ptCount val="1"/>
                <c:pt idx="0">
                  <c:v>8520</c:v>
                </c:pt>
              </c:numCache>
            </c:numRef>
          </c:xVal>
          <c:yVal>
            <c:numRef>
              <c:f>Divisions_ponds!$E$4</c:f>
              <c:numCache>
                <c:formatCode>0.00</c:formatCode>
                <c:ptCount val="1"/>
                <c:pt idx="0">
                  <c:v>4.6920662754303599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821-4000-9DC3-1B0051BFCC1D}"/>
            </c:ext>
          </c:extLst>
        </c:ser>
        <c:ser>
          <c:idx val="1"/>
          <c:order val="1"/>
          <c:tx>
            <c:strRef>
              <c:f>Divisions_ponds!$B$5</c:f>
              <c:strCache>
                <c:ptCount val="1"/>
                <c:pt idx="0">
                  <c:v>12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Divisions_ponds!$D$5:$D$6</c:f>
              <c:numCache>
                <c:formatCode>0.00</c:formatCode>
                <c:ptCount val="2"/>
                <c:pt idx="0">
                  <c:v>4845</c:v>
                </c:pt>
                <c:pt idx="1">
                  <c:v>8900</c:v>
                </c:pt>
              </c:numCache>
            </c:numRef>
          </c:xVal>
          <c:yVal>
            <c:numRef>
              <c:f>Divisions_ponds!$E$5:$E$6</c:f>
              <c:numCache>
                <c:formatCode>0.00</c:formatCode>
                <c:ptCount val="2"/>
                <c:pt idx="0">
                  <c:v>5.0440127278981768</c:v>
                </c:pt>
                <c:pt idx="1">
                  <c:v>4.438525280898876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821-4000-9DC3-1B0051BFCC1D}"/>
            </c:ext>
          </c:extLst>
        </c:ser>
        <c:ser>
          <c:idx val="2"/>
          <c:order val="2"/>
          <c:tx>
            <c:strRef>
              <c:f>Divisions_ponds!$B$7</c:f>
              <c:strCache>
                <c:ptCount val="1"/>
                <c:pt idx="0">
                  <c:v>14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Divisions_ponds!$D$7:$D$9</c:f>
              <c:numCache>
                <c:formatCode>0.00</c:formatCode>
                <c:ptCount val="3"/>
                <c:pt idx="0">
                  <c:v>7610</c:v>
                </c:pt>
                <c:pt idx="1">
                  <c:v>9800</c:v>
                </c:pt>
                <c:pt idx="2">
                  <c:v>4640</c:v>
                </c:pt>
              </c:numCache>
            </c:numRef>
          </c:xVal>
          <c:yVal>
            <c:numRef>
              <c:f>Divisions_ponds!$E$7:$E$9</c:f>
              <c:numCache>
                <c:formatCode>0.00</c:formatCode>
                <c:ptCount val="3"/>
                <c:pt idx="0">
                  <c:v>4.0257471372254559</c:v>
                </c:pt>
                <c:pt idx="1">
                  <c:v>3.7694650145772597</c:v>
                </c:pt>
                <c:pt idx="2">
                  <c:v>4.9804572044334963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821-4000-9DC3-1B0051BFCC1D}"/>
            </c:ext>
          </c:extLst>
        </c:ser>
        <c:ser>
          <c:idx val="3"/>
          <c:order val="3"/>
          <c:tx>
            <c:strRef>
              <c:f>Divisions_ponds!$B$10</c:f>
              <c:strCache>
                <c:ptCount val="1"/>
                <c:pt idx="0">
                  <c:v>15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Divisions_ponds!$D$10:$D$11</c:f>
              <c:numCache>
                <c:formatCode>0.00</c:formatCode>
                <c:ptCount val="2"/>
                <c:pt idx="0">
                  <c:v>16500</c:v>
                </c:pt>
                <c:pt idx="1">
                  <c:v>6500</c:v>
                </c:pt>
              </c:numCache>
            </c:numRef>
          </c:xVal>
          <c:yVal>
            <c:numRef>
              <c:f>Divisions_ponds!$E$10:$E$11</c:f>
              <c:numCache>
                <c:formatCode>0.00</c:formatCode>
                <c:ptCount val="2"/>
                <c:pt idx="0">
                  <c:v>3.9740692640692639</c:v>
                </c:pt>
                <c:pt idx="1">
                  <c:v>4.3908351648351642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821-4000-9DC3-1B0051BFCC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8732400"/>
        <c:axId val="918731152"/>
      </c:scatterChart>
      <c:valAx>
        <c:axId val="91873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8731152"/>
        <c:crosses val="autoZero"/>
        <c:crossBetween val="midCat"/>
      </c:valAx>
      <c:valAx>
        <c:axId val="91873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8732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Divisions_ponds!$D$23</c:f>
              <c:strCache>
                <c:ptCount val="1"/>
                <c:pt idx="0">
                  <c:v>Site Preparation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4343736814417377"/>
                  <c:y val="-0.5479086453598530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(Divisions_ponds!$G$22,Divisions_ponds!$K$22,Divisions_ponds!$O$22,Divisions_ponds!$R$22)</c:f>
              <c:numCache>
                <c:formatCode>0.00</c:formatCode>
                <c:ptCount val="4"/>
                <c:pt idx="0">
                  <c:v>17360</c:v>
                </c:pt>
                <c:pt idx="1">
                  <c:v>15145</c:v>
                </c:pt>
                <c:pt idx="2">
                  <c:v>22050</c:v>
                </c:pt>
                <c:pt idx="3">
                  <c:v>23000</c:v>
                </c:pt>
              </c:numCache>
            </c:numRef>
          </c:xVal>
          <c:yVal>
            <c:numRef>
              <c:f>(Divisions_ponds!$G$23,Divisions_ponds!$K$23,Divisions_ponds!$O$23,Divisions_ponds!$R$23)</c:f>
              <c:numCache>
                <c:formatCode>"$"#,##0.00</c:formatCode>
                <c:ptCount val="4"/>
                <c:pt idx="0">
                  <c:v>0.24902918586789555</c:v>
                </c:pt>
                <c:pt idx="1">
                  <c:v>0.30207989435457244</c:v>
                </c:pt>
                <c:pt idx="2">
                  <c:v>0.21457725947521866</c:v>
                </c:pt>
                <c:pt idx="3">
                  <c:v>0.23198757763975153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81-4BF4-B94C-3261EDA4A60E}"/>
            </c:ext>
          </c:extLst>
        </c:ser>
        <c:ser>
          <c:idx val="1"/>
          <c:order val="1"/>
          <c:tx>
            <c:strRef>
              <c:f>Divisions_ponds!$D$24</c:f>
              <c:strCache>
                <c:ptCount val="1"/>
                <c:pt idx="0">
                  <c:v>Clearing and Grubbing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40090863674884009"/>
                  <c:y val="-0.6170864682588569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(Divisions_ponds!$G$22,Divisions_ponds!$K$22,Divisions_ponds!$O$22,Divisions_ponds!$R$22)</c:f>
              <c:numCache>
                <c:formatCode>0.00</c:formatCode>
                <c:ptCount val="4"/>
                <c:pt idx="0">
                  <c:v>17360</c:v>
                </c:pt>
                <c:pt idx="1">
                  <c:v>15145</c:v>
                </c:pt>
                <c:pt idx="2">
                  <c:v>22050</c:v>
                </c:pt>
                <c:pt idx="3">
                  <c:v>23000</c:v>
                </c:pt>
              </c:numCache>
            </c:numRef>
          </c:xVal>
          <c:yVal>
            <c:numRef>
              <c:f>(Divisions_ponds!$G$24,Divisions_ponds!$K$24,Divisions_ponds!$O$24,Divisions_ponds!$R$24)</c:f>
              <c:numCache>
                <c:formatCode>"$"#,##0.00</c:formatCode>
                <c:ptCount val="4"/>
                <c:pt idx="0">
                  <c:v>0.6849079685099847</c:v>
                </c:pt>
                <c:pt idx="1">
                  <c:v>0.32882139319907561</c:v>
                </c:pt>
                <c:pt idx="2">
                  <c:v>8.7722708130871394E-2</c:v>
                </c:pt>
                <c:pt idx="3">
                  <c:v>4.6211180124223601E-2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881-4BF4-B94C-3261EDA4A60E}"/>
            </c:ext>
          </c:extLst>
        </c:ser>
        <c:ser>
          <c:idx val="2"/>
          <c:order val="2"/>
          <c:tx>
            <c:strRef>
              <c:f>Divisions_ponds!$D$25</c:f>
              <c:strCache>
                <c:ptCount val="1"/>
                <c:pt idx="0">
                  <c:v>Topsoil Strip, Salvage and Spread for Dams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758574840315863"/>
                  <c:y val="-0.3646091687098511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(Divisions_ponds!$G$22,Divisions_ponds!$K$22,Divisions_ponds!$O$22,Divisions_ponds!$R$22)</c:f>
              <c:numCache>
                <c:formatCode>0.00</c:formatCode>
                <c:ptCount val="4"/>
                <c:pt idx="0">
                  <c:v>17360</c:v>
                </c:pt>
                <c:pt idx="1">
                  <c:v>15145</c:v>
                </c:pt>
                <c:pt idx="2">
                  <c:v>22050</c:v>
                </c:pt>
                <c:pt idx="3">
                  <c:v>23000</c:v>
                </c:pt>
              </c:numCache>
            </c:numRef>
          </c:xVal>
          <c:yVal>
            <c:numRef>
              <c:f>(Divisions_ponds!$G$25,Divisions_ponds!$K$25,Divisions_ponds!$O$25,Divisions_ponds!$R$25)</c:f>
              <c:numCache>
                <c:formatCode>"$"#,##0.00</c:formatCode>
                <c:ptCount val="4"/>
                <c:pt idx="0">
                  <c:v>0.42040418586789552</c:v>
                </c:pt>
                <c:pt idx="1">
                  <c:v>0.42712116209970286</c:v>
                </c:pt>
                <c:pt idx="2">
                  <c:v>0.31626822157434403</c:v>
                </c:pt>
                <c:pt idx="3">
                  <c:v>0.29081832298136645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881-4BF4-B94C-3261EDA4A60E}"/>
            </c:ext>
          </c:extLst>
        </c:ser>
        <c:ser>
          <c:idx val="3"/>
          <c:order val="3"/>
          <c:tx>
            <c:strRef>
              <c:f>Divisions_ponds!$D$26</c:f>
              <c:strCache>
                <c:ptCount val="1"/>
                <c:pt idx="0">
                  <c:v>Excavation, Core Trench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40968606636036281"/>
                  <c:y val="-0.296173583936633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(Divisions_ponds!$G$22,Divisions_ponds!$K$22,Divisions_ponds!$O$22,Divisions_ponds!$R$22)</c:f>
              <c:numCache>
                <c:formatCode>0.00</c:formatCode>
                <c:ptCount val="4"/>
                <c:pt idx="0">
                  <c:v>17360</c:v>
                </c:pt>
                <c:pt idx="1">
                  <c:v>15145</c:v>
                </c:pt>
                <c:pt idx="2">
                  <c:v>22050</c:v>
                </c:pt>
                <c:pt idx="3">
                  <c:v>23000</c:v>
                </c:pt>
              </c:numCache>
            </c:numRef>
          </c:xVal>
          <c:yVal>
            <c:numRef>
              <c:f>(Divisions_ponds!$G$26,Divisions_ponds!$K$26,Divisions_ponds!$O$26,Divisions_ponds!$R$26)</c:f>
              <c:numCache>
                <c:formatCode>"$"#,##0.00</c:formatCode>
                <c:ptCount val="4"/>
                <c:pt idx="0">
                  <c:v>0.39228590629800303</c:v>
                </c:pt>
                <c:pt idx="1">
                  <c:v>0.79376857048530869</c:v>
                </c:pt>
                <c:pt idx="2">
                  <c:v>0.27349692257855523</c:v>
                </c:pt>
                <c:pt idx="3">
                  <c:v>0.42192391304347826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881-4BF4-B94C-3261EDA4A60E}"/>
            </c:ext>
          </c:extLst>
        </c:ser>
        <c:ser>
          <c:idx val="4"/>
          <c:order val="4"/>
          <c:tx>
            <c:strRef>
              <c:f>Divisions_ponds!$D$27</c:f>
              <c:strCache>
                <c:ptCount val="1"/>
                <c:pt idx="0">
                  <c:v>Earthfill, Dams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(Divisions_ponds!$G$22,Divisions_ponds!$K$22,Divisions_ponds!$O$22,Divisions_ponds!$R$22)</c:f>
              <c:numCache>
                <c:formatCode>0.00</c:formatCode>
                <c:ptCount val="4"/>
                <c:pt idx="0">
                  <c:v>17360</c:v>
                </c:pt>
                <c:pt idx="1">
                  <c:v>15145</c:v>
                </c:pt>
                <c:pt idx="2">
                  <c:v>22050</c:v>
                </c:pt>
                <c:pt idx="3">
                  <c:v>23000</c:v>
                </c:pt>
              </c:numCache>
            </c:numRef>
          </c:xVal>
          <c:yVal>
            <c:numRef>
              <c:f>(Divisions_ponds!$G$27,Divisions_ponds!$K$27,Divisions_ponds!$O$27,Divisions_ponds!$R$27)</c:f>
              <c:numCache>
                <c:formatCode>"$"#,##0.00</c:formatCode>
                <c:ptCount val="4"/>
                <c:pt idx="0">
                  <c:v>2.8633333333333333</c:v>
                </c:pt>
                <c:pt idx="1">
                  <c:v>2.6349999999999998</c:v>
                </c:pt>
                <c:pt idx="2">
                  <c:v>2.7285714285714286</c:v>
                </c:pt>
                <c:pt idx="3">
                  <c:v>2.6242857142857141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881-4BF4-B94C-3261EDA4A60E}"/>
            </c:ext>
          </c:extLst>
        </c:ser>
        <c:ser>
          <c:idx val="5"/>
          <c:order val="5"/>
          <c:tx>
            <c:strRef>
              <c:f>Divisions_ponds!$D$28</c:f>
              <c:strCache>
                <c:ptCount val="1"/>
                <c:pt idx="0">
                  <c:v>Silt Fence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4197446320891999"/>
                  <c:y val="-0.36515089140694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(Divisions_ponds!$G$22,Divisions_ponds!$K$22,Divisions_ponds!$O$22,Divisions_ponds!$R$22)</c:f>
              <c:numCache>
                <c:formatCode>0.00</c:formatCode>
                <c:ptCount val="4"/>
                <c:pt idx="0">
                  <c:v>17360</c:v>
                </c:pt>
                <c:pt idx="1">
                  <c:v>15145</c:v>
                </c:pt>
                <c:pt idx="2">
                  <c:v>22050</c:v>
                </c:pt>
                <c:pt idx="3">
                  <c:v>23000</c:v>
                </c:pt>
              </c:numCache>
            </c:numRef>
          </c:xVal>
          <c:yVal>
            <c:numRef>
              <c:f>(Divisions_ponds!$G$28,Divisions_ponds!$K$28,Divisions_ponds!$O$28,Divisions_ponds!$R$28)</c:f>
              <c:numCache>
                <c:formatCode>"$"#,##0.00</c:formatCode>
                <c:ptCount val="4"/>
                <c:pt idx="0">
                  <c:v>0.16225038402457756</c:v>
                </c:pt>
                <c:pt idx="1">
                  <c:v>0.19282353912182237</c:v>
                </c:pt>
                <c:pt idx="2">
                  <c:v>0.15619922254616131</c:v>
                </c:pt>
                <c:pt idx="3">
                  <c:v>0.10913975155279504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881-4BF4-B94C-3261EDA4A60E}"/>
            </c:ext>
          </c:extLst>
        </c:ser>
        <c:ser>
          <c:idx val="6"/>
          <c:order val="6"/>
          <c:tx>
            <c:strRef>
              <c:f>Divisions_ponds!$D$29</c:f>
              <c:strCache>
                <c:ptCount val="1"/>
                <c:pt idx="0">
                  <c:v>Mobilization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33982509877200073"/>
                  <c:y val="-0.1030748615367663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(Divisions_ponds!$G$22,Divisions_ponds!$K$22,Divisions_ponds!$O$22,Divisions_ponds!$R$22)</c:f>
              <c:numCache>
                <c:formatCode>0.00</c:formatCode>
                <c:ptCount val="4"/>
                <c:pt idx="0">
                  <c:v>17360</c:v>
                </c:pt>
                <c:pt idx="1">
                  <c:v>15145</c:v>
                </c:pt>
                <c:pt idx="2">
                  <c:v>22050</c:v>
                </c:pt>
                <c:pt idx="3">
                  <c:v>23000</c:v>
                </c:pt>
              </c:numCache>
            </c:numRef>
          </c:xVal>
          <c:yVal>
            <c:numRef>
              <c:f>(Divisions_ponds!$G$29,Divisions_ponds!$K$29,Divisions_ponds!$O$29,Divisions_ponds!$R$29)</c:f>
              <c:numCache>
                <c:formatCode>"$"#,##0.00</c:formatCode>
                <c:ptCount val="4"/>
                <c:pt idx="0">
                  <c:v>0.39842549923195086</c:v>
                </c:pt>
                <c:pt idx="1">
                  <c:v>0.30856718388907228</c:v>
                </c:pt>
                <c:pt idx="2">
                  <c:v>0.3359086491739553</c:v>
                </c:pt>
                <c:pt idx="3">
                  <c:v>0.36748447204968943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881-4BF4-B94C-3261EDA4A6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23263"/>
        <c:axId val="12223679"/>
      </c:scatterChart>
      <c:valAx>
        <c:axId val="12223263"/>
        <c:scaling>
          <c:orientation val="minMax"/>
          <c:min val="1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23679"/>
        <c:crosses val="autoZero"/>
        <c:crossBetween val="midCat"/>
      </c:valAx>
      <c:valAx>
        <c:axId val="12223679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232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Divisions_ponds!$D$23</c:f>
              <c:strCache>
                <c:ptCount val="1"/>
                <c:pt idx="0">
                  <c:v>Site Preparation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invertIfNegative val="0"/>
          <c:cat>
            <c:numRef>
              <c:f>(Divisions_ponds!$G$22,Divisions_ponds!$K$22,Divisions_ponds!$O$22,Divisions_ponds!$R$22)</c:f>
              <c:numCache>
                <c:formatCode>0.00</c:formatCode>
                <c:ptCount val="4"/>
                <c:pt idx="0">
                  <c:v>17360</c:v>
                </c:pt>
                <c:pt idx="1">
                  <c:v>15145</c:v>
                </c:pt>
                <c:pt idx="2">
                  <c:v>22050</c:v>
                </c:pt>
                <c:pt idx="3">
                  <c:v>23000</c:v>
                </c:pt>
              </c:numCache>
            </c:numRef>
          </c:cat>
          <c:val>
            <c:numRef>
              <c:f>(Divisions_ponds!$G$23,Divisions_ponds!$K$23,Divisions_ponds!$O$23,Divisions_ponds!$R$23)</c:f>
              <c:numCache>
                <c:formatCode>"$"#,##0.00</c:formatCode>
                <c:ptCount val="4"/>
                <c:pt idx="0">
                  <c:v>0.24902918586789555</c:v>
                </c:pt>
                <c:pt idx="1">
                  <c:v>0.30207989435457244</c:v>
                </c:pt>
                <c:pt idx="2">
                  <c:v>0.21457725947521866</c:v>
                </c:pt>
                <c:pt idx="3">
                  <c:v>0.23198757763975153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84-4C13-8F90-D7A49F125490}"/>
            </c:ext>
          </c:extLst>
        </c:ser>
        <c:ser>
          <c:idx val="1"/>
          <c:order val="1"/>
          <c:tx>
            <c:strRef>
              <c:f>Divisions_ponds!$D$24</c:f>
              <c:strCache>
                <c:ptCount val="1"/>
                <c:pt idx="0">
                  <c:v>Clearing and Grubbing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cat>
            <c:numRef>
              <c:f>(Divisions_ponds!$G$22,Divisions_ponds!$K$22,Divisions_ponds!$O$22,Divisions_ponds!$R$22)</c:f>
              <c:numCache>
                <c:formatCode>0.00</c:formatCode>
                <c:ptCount val="4"/>
                <c:pt idx="0">
                  <c:v>17360</c:v>
                </c:pt>
                <c:pt idx="1">
                  <c:v>15145</c:v>
                </c:pt>
                <c:pt idx="2">
                  <c:v>22050</c:v>
                </c:pt>
                <c:pt idx="3">
                  <c:v>23000</c:v>
                </c:pt>
              </c:numCache>
            </c:numRef>
          </c:cat>
          <c:val>
            <c:numRef>
              <c:f>(Divisions_ponds!$G$24,Divisions_ponds!$K$24,Divisions_ponds!$O$24,Divisions_ponds!$R$24)</c:f>
              <c:numCache>
                <c:formatCode>"$"#,##0.00</c:formatCode>
                <c:ptCount val="4"/>
                <c:pt idx="0">
                  <c:v>0.6849079685099847</c:v>
                </c:pt>
                <c:pt idx="1">
                  <c:v>0.32882139319907561</c:v>
                </c:pt>
                <c:pt idx="2">
                  <c:v>8.7722708130871394E-2</c:v>
                </c:pt>
                <c:pt idx="3">
                  <c:v>4.6211180124223601E-2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84-4C13-8F90-D7A49F125490}"/>
            </c:ext>
          </c:extLst>
        </c:ser>
        <c:ser>
          <c:idx val="2"/>
          <c:order val="2"/>
          <c:tx>
            <c:strRef>
              <c:f>Divisions_ponds!$D$25</c:f>
              <c:strCache>
                <c:ptCount val="1"/>
                <c:pt idx="0">
                  <c:v>Topsoil Strip, Salvage and Spread for Dams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</c:spPr>
          <c:invertIfNegative val="0"/>
          <c:cat>
            <c:numRef>
              <c:f>(Divisions_ponds!$G$22,Divisions_ponds!$K$22,Divisions_ponds!$O$22,Divisions_ponds!$R$22)</c:f>
              <c:numCache>
                <c:formatCode>0.00</c:formatCode>
                <c:ptCount val="4"/>
                <c:pt idx="0">
                  <c:v>17360</c:v>
                </c:pt>
                <c:pt idx="1">
                  <c:v>15145</c:v>
                </c:pt>
                <c:pt idx="2">
                  <c:v>22050</c:v>
                </c:pt>
                <c:pt idx="3">
                  <c:v>23000</c:v>
                </c:pt>
              </c:numCache>
            </c:numRef>
          </c:cat>
          <c:val>
            <c:numRef>
              <c:f>(Divisions_ponds!$G$25,Divisions_ponds!$K$25,Divisions_ponds!$O$25,Divisions_ponds!$R$25)</c:f>
              <c:numCache>
                <c:formatCode>"$"#,##0.00</c:formatCode>
                <c:ptCount val="4"/>
                <c:pt idx="0">
                  <c:v>0.42040418586789552</c:v>
                </c:pt>
                <c:pt idx="1">
                  <c:v>0.42712116209970286</c:v>
                </c:pt>
                <c:pt idx="2">
                  <c:v>0.31626822157434403</c:v>
                </c:pt>
                <c:pt idx="3">
                  <c:v>0.29081832298136645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C84-4C13-8F90-D7A49F125490}"/>
            </c:ext>
          </c:extLst>
        </c:ser>
        <c:ser>
          <c:idx val="3"/>
          <c:order val="3"/>
          <c:tx>
            <c:strRef>
              <c:f>Divisions_ponds!$D$26</c:f>
              <c:strCache>
                <c:ptCount val="1"/>
                <c:pt idx="0">
                  <c:v>Excavation, Core Trench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  <a:effectLst/>
          </c:spPr>
          <c:invertIfNegative val="0"/>
          <c:cat>
            <c:numRef>
              <c:f>(Divisions_ponds!$G$22,Divisions_ponds!$K$22,Divisions_ponds!$O$22,Divisions_ponds!$R$22)</c:f>
              <c:numCache>
                <c:formatCode>0.00</c:formatCode>
                <c:ptCount val="4"/>
                <c:pt idx="0">
                  <c:v>17360</c:v>
                </c:pt>
                <c:pt idx="1">
                  <c:v>15145</c:v>
                </c:pt>
                <c:pt idx="2">
                  <c:v>22050</c:v>
                </c:pt>
                <c:pt idx="3">
                  <c:v>23000</c:v>
                </c:pt>
              </c:numCache>
            </c:numRef>
          </c:cat>
          <c:val>
            <c:numRef>
              <c:f>(Divisions_ponds!$G$26,Divisions_ponds!$K$26,Divisions_ponds!$O$26,Divisions_ponds!$R$26)</c:f>
              <c:numCache>
                <c:formatCode>"$"#,##0.00</c:formatCode>
                <c:ptCount val="4"/>
                <c:pt idx="0">
                  <c:v>0.39228590629800303</c:v>
                </c:pt>
                <c:pt idx="1">
                  <c:v>0.79376857048530869</c:v>
                </c:pt>
                <c:pt idx="2">
                  <c:v>0.27349692257855523</c:v>
                </c:pt>
                <c:pt idx="3">
                  <c:v>0.42192391304347826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C84-4C13-8F90-D7A49F125490}"/>
            </c:ext>
          </c:extLst>
        </c:ser>
        <c:ser>
          <c:idx val="4"/>
          <c:order val="4"/>
          <c:tx>
            <c:strRef>
              <c:f>Divisions_ponds!$D$27</c:f>
              <c:strCache>
                <c:ptCount val="1"/>
                <c:pt idx="0">
                  <c:v>Earthfill, Dams</c:v>
                </c:pt>
              </c:strCache>
            </c:strRef>
          </c:tx>
          <c:spPr>
            <a:solidFill>
              <a:schemeClr val="accent5"/>
            </a:solidFill>
            <a:ln w="25400">
              <a:noFill/>
            </a:ln>
            <a:effectLst/>
          </c:spPr>
          <c:invertIfNegative val="0"/>
          <c:cat>
            <c:numRef>
              <c:f>(Divisions_ponds!$G$22,Divisions_ponds!$K$22,Divisions_ponds!$O$22,Divisions_ponds!$R$22)</c:f>
              <c:numCache>
                <c:formatCode>0.00</c:formatCode>
                <c:ptCount val="4"/>
                <c:pt idx="0">
                  <c:v>17360</c:v>
                </c:pt>
                <c:pt idx="1">
                  <c:v>15145</c:v>
                </c:pt>
                <c:pt idx="2">
                  <c:v>22050</c:v>
                </c:pt>
                <c:pt idx="3">
                  <c:v>23000</c:v>
                </c:pt>
              </c:numCache>
            </c:numRef>
          </c:cat>
          <c:val>
            <c:numRef>
              <c:f>(Divisions_ponds!$G$27,Divisions_ponds!$K$27,Divisions_ponds!$O$27,Divisions_ponds!$R$27)</c:f>
              <c:numCache>
                <c:formatCode>"$"#,##0.00</c:formatCode>
                <c:ptCount val="4"/>
                <c:pt idx="0">
                  <c:v>2.8633333333333333</c:v>
                </c:pt>
                <c:pt idx="1">
                  <c:v>2.6349999999999998</c:v>
                </c:pt>
                <c:pt idx="2">
                  <c:v>2.7285714285714286</c:v>
                </c:pt>
                <c:pt idx="3">
                  <c:v>2.6242857142857141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C84-4C13-8F90-D7A49F125490}"/>
            </c:ext>
          </c:extLst>
        </c:ser>
        <c:ser>
          <c:idx val="5"/>
          <c:order val="5"/>
          <c:tx>
            <c:strRef>
              <c:f>Divisions_ponds!$D$28</c:f>
              <c:strCache>
                <c:ptCount val="1"/>
                <c:pt idx="0">
                  <c:v>Silt Fence</c:v>
                </c:pt>
              </c:strCache>
            </c:strRef>
          </c:tx>
          <c:spPr>
            <a:solidFill>
              <a:schemeClr val="accent6"/>
            </a:solidFill>
            <a:ln w="25400">
              <a:noFill/>
            </a:ln>
            <a:effectLst/>
          </c:spPr>
          <c:invertIfNegative val="0"/>
          <c:cat>
            <c:numRef>
              <c:f>(Divisions_ponds!$G$22,Divisions_ponds!$K$22,Divisions_ponds!$O$22,Divisions_ponds!$R$22)</c:f>
              <c:numCache>
                <c:formatCode>0.00</c:formatCode>
                <c:ptCount val="4"/>
                <c:pt idx="0">
                  <c:v>17360</c:v>
                </c:pt>
                <c:pt idx="1">
                  <c:v>15145</c:v>
                </c:pt>
                <c:pt idx="2">
                  <c:v>22050</c:v>
                </c:pt>
                <c:pt idx="3">
                  <c:v>23000</c:v>
                </c:pt>
              </c:numCache>
            </c:numRef>
          </c:cat>
          <c:val>
            <c:numRef>
              <c:f>(Divisions_ponds!$G$28,Divisions_ponds!$K$28,Divisions_ponds!$O$28,Divisions_ponds!$R$28)</c:f>
              <c:numCache>
                <c:formatCode>"$"#,##0.00</c:formatCode>
                <c:ptCount val="4"/>
                <c:pt idx="0">
                  <c:v>0.16225038402457756</c:v>
                </c:pt>
                <c:pt idx="1">
                  <c:v>0.19282353912182237</c:v>
                </c:pt>
                <c:pt idx="2">
                  <c:v>0.15619922254616131</c:v>
                </c:pt>
                <c:pt idx="3">
                  <c:v>0.10913975155279504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C84-4C13-8F90-D7A49F125490}"/>
            </c:ext>
          </c:extLst>
        </c:ser>
        <c:ser>
          <c:idx val="6"/>
          <c:order val="6"/>
          <c:tx>
            <c:strRef>
              <c:f>Divisions_ponds!$D$29</c:f>
              <c:strCache>
                <c:ptCount val="1"/>
                <c:pt idx="0">
                  <c:v>Mobilization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(Divisions_ponds!$G$22,Divisions_ponds!$K$22,Divisions_ponds!$O$22,Divisions_ponds!$R$22)</c:f>
              <c:numCache>
                <c:formatCode>0.00</c:formatCode>
                <c:ptCount val="4"/>
                <c:pt idx="0">
                  <c:v>17360</c:v>
                </c:pt>
                <c:pt idx="1">
                  <c:v>15145</c:v>
                </c:pt>
                <c:pt idx="2">
                  <c:v>22050</c:v>
                </c:pt>
                <c:pt idx="3">
                  <c:v>23000</c:v>
                </c:pt>
              </c:numCache>
            </c:numRef>
          </c:cat>
          <c:val>
            <c:numRef>
              <c:f>(Divisions_ponds!$G$29,Divisions_ponds!$K$29,Divisions_ponds!$O$29,Divisions_ponds!$R$29)</c:f>
              <c:numCache>
                <c:formatCode>"$"#,##0.00</c:formatCode>
                <c:ptCount val="4"/>
                <c:pt idx="0">
                  <c:v>0.39842549923195086</c:v>
                </c:pt>
                <c:pt idx="1">
                  <c:v>0.30856718388907228</c:v>
                </c:pt>
                <c:pt idx="2">
                  <c:v>0.3359086491739553</c:v>
                </c:pt>
                <c:pt idx="3">
                  <c:v>0.36748447204968943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C84-4C13-8F90-D7A49F1254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223263"/>
        <c:axId val="12223679"/>
      </c:barChart>
      <c:catAx>
        <c:axId val="12223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23679"/>
        <c:crosses val="autoZero"/>
        <c:auto val="1"/>
        <c:lblAlgn val="ctr"/>
        <c:lblOffset val="100"/>
        <c:noMultiLvlLbl val="0"/>
      </c:catAx>
      <c:valAx>
        <c:axId val="12223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23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Divisions_ponds!$D$23</c:f>
              <c:strCache>
                <c:ptCount val="1"/>
                <c:pt idx="0">
                  <c:v>Site Preparation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(Divisions_ponds!$G$22,Divisions_ponds!$G$22,Divisions_ponds!$K$22,Divisions_ponds!$O$22,Divisions_ponds!$R$22)</c:f>
              <c:numCache>
                <c:formatCode>0.00</c:formatCode>
                <c:ptCount val="5"/>
                <c:pt idx="0">
                  <c:v>17360</c:v>
                </c:pt>
                <c:pt idx="1">
                  <c:v>17360</c:v>
                </c:pt>
                <c:pt idx="2">
                  <c:v>15145</c:v>
                </c:pt>
                <c:pt idx="3">
                  <c:v>22050</c:v>
                </c:pt>
                <c:pt idx="4">
                  <c:v>23000</c:v>
                </c:pt>
              </c:numCache>
            </c:numRef>
          </c:xVal>
          <c:yVal>
            <c:numRef>
              <c:f>(Divisions_ponds!$G$23,Divisions_ponds!$K$23,Divisions_ponds!$O$23,Divisions_ponds!$R$23)</c:f>
              <c:numCache>
                <c:formatCode>"$"#,##0.00</c:formatCode>
                <c:ptCount val="4"/>
                <c:pt idx="0">
                  <c:v>0.24902918586789555</c:v>
                </c:pt>
                <c:pt idx="1">
                  <c:v>0.30207989435457244</c:v>
                </c:pt>
                <c:pt idx="2">
                  <c:v>0.21457725947521866</c:v>
                </c:pt>
                <c:pt idx="3">
                  <c:v>0.23198757763975153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00-42D3-AB0A-489C24B66C88}"/>
            </c:ext>
          </c:extLst>
        </c:ser>
        <c:ser>
          <c:idx val="1"/>
          <c:order val="1"/>
          <c:tx>
            <c:strRef>
              <c:f>Divisions_ponds!$D$24</c:f>
              <c:strCache>
                <c:ptCount val="1"/>
                <c:pt idx="0">
                  <c:v>Clearing and Grubbing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(Divisions_ponds!$G$22,Divisions_ponds!$K$22,Divisions_ponds!$O$22,Divisions_ponds!$R$22)</c:f>
              <c:numCache>
                <c:formatCode>0.00</c:formatCode>
                <c:ptCount val="4"/>
                <c:pt idx="0">
                  <c:v>17360</c:v>
                </c:pt>
                <c:pt idx="1">
                  <c:v>15145</c:v>
                </c:pt>
                <c:pt idx="2">
                  <c:v>22050</c:v>
                </c:pt>
                <c:pt idx="3">
                  <c:v>23000</c:v>
                </c:pt>
              </c:numCache>
            </c:numRef>
          </c:xVal>
          <c:yVal>
            <c:numRef>
              <c:f>(Divisions_ponds!$G$24,Divisions_ponds!$K$24,Divisions_ponds!$O$24,Divisions_ponds!$R$24)</c:f>
              <c:numCache>
                <c:formatCode>"$"#,##0.00</c:formatCode>
                <c:ptCount val="4"/>
                <c:pt idx="0">
                  <c:v>0.6849079685099847</c:v>
                </c:pt>
                <c:pt idx="1">
                  <c:v>0.32882139319907561</c:v>
                </c:pt>
                <c:pt idx="2">
                  <c:v>8.7722708130871394E-2</c:v>
                </c:pt>
                <c:pt idx="3">
                  <c:v>4.6211180124223601E-2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800-42D3-AB0A-489C24B66C88}"/>
            </c:ext>
          </c:extLst>
        </c:ser>
        <c:ser>
          <c:idx val="2"/>
          <c:order val="2"/>
          <c:tx>
            <c:strRef>
              <c:f>Divisions_ponds!$D$25</c:f>
              <c:strCache>
                <c:ptCount val="1"/>
                <c:pt idx="0">
                  <c:v>Topsoil Strip, Salvage and Spread for Dams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(Divisions_ponds!$G$22,Divisions_ponds!$K$22,Divisions_ponds!$O$22,Divisions_ponds!$R$22)</c:f>
              <c:numCache>
                <c:formatCode>0.00</c:formatCode>
                <c:ptCount val="4"/>
                <c:pt idx="0">
                  <c:v>17360</c:v>
                </c:pt>
                <c:pt idx="1">
                  <c:v>15145</c:v>
                </c:pt>
                <c:pt idx="2">
                  <c:v>22050</c:v>
                </c:pt>
                <c:pt idx="3">
                  <c:v>23000</c:v>
                </c:pt>
              </c:numCache>
            </c:numRef>
          </c:xVal>
          <c:yVal>
            <c:numRef>
              <c:f>(Divisions_ponds!$G$25,Divisions_ponds!$K$25,Divisions_ponds!$O$25,Divisions_ponds!$R$25)</c:f>
              <c:numCache>
                <c:formatCode>"$"#,##0.00</c:formatCode>
                <c:ptCount val="4"/>
                <c:pt idx="0">
                  <c:v>0.42040418586789552</c:v>
                </c:pt>
                <c:pt idx="1">
                  <c:v>0.42712116209970286</c:v>
                </c:pt>
                <c:pt idx="2">
                  <c:v>0.31626822157434403</c:v>
                </c:pt>
                <c:pt idx="3">
                  <c:v>0.29081832298136645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800-42D3-AB0A-489C24B66C88}"/>
            </c:ext>
          </c:extLst>
        </c:ser>
        <c:ser>
          <c:idx val="3"/>
          <c:order val="3"/>
          <c:tx>
            <c:strRef>
              <c:f>Divisions_ponds!$D$26</c:f>
              <c:strCache>
                <c:ptCount val="1"/>
                <c:pt idx="0">
                  <c:v>Excavation, Core Trench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(Divisions_ponds!$G$22,Divisions_ponds!$K$22,Divisions_ponds!$O$22,Divisions_ponds!$R$22)</c:f>
              <c:numCache>
                <c:formatCode>0.00</c:formatCode>
                <c:ptCount val="4"/>
                <c:pt idx="0">
                  <c:v>17360</c:v>
                </c:pt>
                <c:pt idx="1">
                  <c:v>15145</c:v>
                </c:pt>
                <c:pt idx="2">
                  <c:v>22050</c:v>
                </c:pt>
                <c:pt idx="3">
                  <c:v>23000</c:v>
                </c:pt>
              </c:numCache>
            </c:numRef>
          </c:xVal>
          <c:yVal>
            <c:numRef>
              <c:f>(Divisions_ponds!$G$26,Divisions_ponds!$K$26,Divisions_ponds!$O$26,Divisions_ponds!$R$26)</c:f>
              <c:numCache>
                <c:formatCode>"$"#,##0.00</c:formatCode>
                <c:ptCount val="4"/>
                <c:pt idx="0">
                  <c:v>0.39228590629800303</c:v>
                </c:pt>
                <c:pt idx="1">
                  <c:v>0.79376857048530869</c:v>
                </c:pt>
                <c:pt idx="2">
                  <c:v>0.27349692257855523</c:v>
                </c:pt>
                <c:pt idx="3">
                  <c:v>0.42192391304347826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800-42D3-AB0A-489C24B66C88}"/>
            </c:ext>
          </c:extLst>
        </c:ser>
        <c:ser>
          <c:idx val="4"/>
          <c:order val="4"/>
          <c:tx>
            <c:strRef>
              <c:f>Divisions_ponds!$D$27</c:f>
              <c:strCache>
                <c:ptCount val="1"/>
                <c:pt idx="0">
                  <c:v>Earthfill, Dams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9986339231168268"/>
                  <c:y val="-6.476151787342038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(Divisions_ponds!$G$22,Divisions_ponds!$K$22,Divisions_ponds!$O$22,Divisions_ponds!$R$22)</c:f>
              <c:numCache>
                <c:formatCode>0.00</c:formatCode>
                <c:ptCount val="4"/>
                <c:pt idx="0">
                  <c:v>17360</c:v>
                </c:pt>
                <c:pt idx="1">
                  <c:v>15145</c:v>
                </c:pt>
                <c:pt idx="2">
                  <c:v>22050</c:v>
                </c:pt>
                <c:pt idx="3">
                  <c:v>23000</c:v>
                </c:pt>
              </c:numCache>
            </c:numRef>
          </c:xVal>
          <c:yVal>
            <c:numRef>
              <c:f>(Divisions_ponds!$G$27,Divisions_ponds!$K$27,Divisions_ponds!$O$27,Divisions_ponds!$R$27)</c:f>
              <c:numCache>
                <c:formatCode>"$"#,##0.00</c:formatCode>
                <c:ptCount val="4"/>
                <c:pt idx="0">
                  <c:v>2.8633333333333333</c:v>
                </c:pt>
                <c:pt idx="1">
                  <c:v>2.6349999999999998</c:v>
                </c:pt>
                <c:pt idx="2">
                  <c:v>2.7285714285714286</c:v>
                </c:pt>
                <c:pt idx="3">
                  <c:v>2.6242857142857141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800-42D3-AB0A-489C24B66C88}"/>
            </c:ext>
          </c:extLst>
        </c:ser>
        <c:ser>
          <c:idx val="5"/>
          <c:order val="5"/>
          <c:tx>
            <c:strRef>
              <c:f>Divisions_ponds!$D$28</c:f>
              <c:strCache>
                <c:ptCount val="1"/>
                <c:pt idx="0">
                  <c:v>Silt Fence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(Divisions_ponds!$G$22,Divisions_ponds!$K$22,Divisions_ponds!$O$22,Divisions_ponds!$R$22)</c:f>
              <c:numCache>
                <c:formatCode>0.00</c:formatCode>
                <c:ptCount val="4"/>
                <c:pt idx="0">
                  <c:v>17360</c:v>
                </c:pt>
                <c:pt idx="1">
                  <c:v>15145</c:v>
                </c:pt>
                <c:pt idx="2">
                  <c:v>22050</c:v>
                </c:pt>
                <c:pt idx="3">
                  <c:v>23000</c:v>
                </c:pt>
              </c:numCache>
            </c:numRef>
          </c:xVal>
          <c:yVal>
            <c:numRef>
              <c:f>(Divisions_ponds!$G$28,Divisions_ponds!$K$28,Divisions_ponds!$O$28,Divisions_ponds!$R$28)</c:f>
              <c:numCache>
                <c:formatCode>"$"#,##0.00</c:formatCode>
                <c:ptCount val="4"/>
                <c:pt idx="0">
                  <c:v>0.16225038402457756</c:v>
                </c:pt>
                <c:pt idx="1">
                  <c:v>0.19282353912182237</c:v>
                </c:pt>
                <c:pt idx="2">
                  <c:v>0.15619922254616131</c:v>
                </c:pt>
                <c:pt idx="3">
                  <c:v>0.10913975155279504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800-42D3-AB0A-489C24B66C88}"/>
            </c:ext>
          </c:extLst>
        </c:ser>
        <c:ser>
          <c:idx val="6"/>
          <c:order val="6"/>
          <c:tx>
            <c:strRef>
              <c:f>Divisions_ponds!$D$29</c:f>
              <c:strCache>
                <c:ptCount val="1"/>
                <c:pt idx="0">
                  <c:v>Mobilization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(Divisions_ponds!$G$22,Divisions_ponds!$K$22,Divisions_ponds!$O$22,Divisions_ponds!$R$22)</c:f>
              <c:numCache>
                <c:formatCode>0.00</c:formatCode>
                <c:ptCount val="4"/>
                <c:pt idx="0">
                  <c:v>17360</c:v>
                </c:pt>
                <c:pt idx="1">
                  <c:v>15145</c:v>
                </c:pt>
                <c:pt idx="2">
                  <c:v>22050</c:v>
                </c:pt>
                <c:pt idx="3">
                  <c:v>23000</c:v>
                </c:pt>
              </c:numCache>
            </c:numRef>
          </c:xVal>
          <c:yVal>
            <c:numRef>
              <c:f>(Divisions_ponds!$G$29,Divisions_ponds!$K$29,Divisions_ponds!$O$29,Divisions_ponds!$R$29)</c:f>
              <c:numCache>
                <c:formatCode>"$"#,##0.00</c:formatCode>
                <c:ptCount val="4"/>
                <c:pt idx="0">
                  <c:v>0.39842549923195086</c:v>
                </c:pt>
                <c:pt idx="1">
                  <c:v>0.30856718388907228</c:v>
                </c:pt>
                <c:pt idx="2">
                  <c:v>0.3359086491739553</c:v>
                </c:pt>
                <c:pt idx="3">
                  <c:v>0.36748447204968943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800-42D3-AB0A-489C24B66C88}"/>
            </c:ext>
          </c:extLst>
        </c:ser>
        <c:ser>
          <c:idx val="7"/>
          <c:order val="7"/>
          <c:tx>
            <c:strRef>
              <c:f>Divisions_ponds!$D$30</c:f>
              <c:strCache>
                <c:ptCount val="1"/>
                <c:pt idx="0">
                  <c:v>Total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5141612901851258E-2"/>
                  <c:y val="-8.997680594528245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(Divisions_ponds!$G$22,Divisions_ponds!$K$22,Divisions_ponds!$O$22,Divisions_ponds!$R$22)</c:f>
              <c:numCache>
                <c:formatCode>0.00</c:formatCode>
                <c:ptCount val="4"/>
                <c:pt idx="0">
                  <c:v>17360</c:v>
                </c:pt>
                <c:pt idx="1">
                  <c:v>15145</c:v>
                </c:pt>
                <c:pt idx="2">
                  <c:v>22050</c:v>
                </c:pt>
                <c:pt idx="3">
                  <c:v>23000</c:v>
                </c:pt>
              </c:numCache>
            </c:numRef>
          </c:xVal>
          <c:yVal>
            <c:numRef>
              <c:f>(Divisions_ponds!$G$30,Divisions_ponds!$K$30,Divisions_ponds!$O$30,Divisions_ponds!$R$30)</c:f>
              <c:numCache>
                <c:formatCode>"$"#,##0.00</c:formatCode>
                <c:ptCount val="4"/>
                <c:pt idx="0">
                  <c:v>5.1706364631336408</c:v>
                </c:pt>
                <c:pt idx="1">
                  <c:v>4.9881817431495534</c:v>
                </c:pt>
                <c:pt idx="2">
                  <c:v>4.1127444120505343</c:v>
                </c:pt>
                <c:pt idx="3">
                  <c:v>4.0918509316770182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800-42D3-AB0A-489C24B66C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23263"/>
        <c:axId val="12223679"/>
      </c:scatterChart>
      <c:valAx>
        <c:axId val="12223263"/>
        <c:scaling>
          <c:orientation val="minMax"/>
          <c:min val="1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23679"/>
        <c:crosses val="autoZero"/>
        <c:crossBetween val="midCat"/>
      </c:valAx>
      <c:valAx>
        <c:axId val="12223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232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Divisions_ponds!$D$26</c:f>
              <c:strCache>
                <c:ptCount val="1"/>
                <c:pt idx="0">
                  <c:v>Excavation, Core Trench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4227209098862642"/>
                  <c:y val="-3.282407407407407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(Divisions_ponds!$E$22,Divisions_ponds!$F$22,Divisions_ponds!$L$22,Divisions_ponds!$M$22,Divisions_ponds!$N$22,Divisions_ponds!$P$22,Divisions_ponds!$Q$22)</c:f>
              <c:numCache>
                <c:formatCode>0.00</c:formatCode>
                <c:ptCount val="7"/>
                <c:pt idx="0">
                  <c:v>8840</c:v>
                </c:pt>
                <c:pt idx="1">
                  <c:v>8520</c:v>
                </c:pt>
                <c:pt idx="2">
                  <c:v>7610</c:v>
                </c:pt>
                <c:pt idx="3">
                  <c:v>9800</c:v>
                </c:pt>
                <c:pt idx="4">
                  <c:v>4640</c:v>
                </c:pt>
                <c:pt idx="5">
                  <c:v>16500</c:v>
                </c:pt>
                <c:pt idx="6">
                  <c:v>6500</c:v>
                </c:pt>
              </c:numCache>
            </c:numRef>
          </c:xVal>
          <c:yVal>
            <c:numRef>
              <c:f>(Divisions_ponds!$E$26,Divisions_ponds!$F$26,Divisions_ponds!$L$26,Divisions_ponds!$M$26,Divisions_ponds!$N$26,Divisions_ponds!$P$26,Divisions_ponds!$Q$26)</c:f>
              <c:numCache>
                <c:formatCode>"$"#,##0.00</c:formatCode>
                <c:ptCount val="7"/>
                <c:pt idx="0">
                  <c:v>0.41665158371040723</c:v>
                </c:pt>
                <c:pt idx="1">
                  <c:v>0.36700508607198745</c:v>
                </c:pt>
                <c:pt idx="2">
                  <c:v>0.27423972217007697</c:v>
                </c:pt>
                <c:pt idx="3">
                  <c:v>0.24820335276967931</c:v>
                </c:pt>
                <c:pt idx="4">
                  <c:v>0.32570043103448276</c:v>
                </c:pt>
                <c:pt idx="5">
                  <c:v>0.46636363636363637</c:v>
                </c:pt>
                <c:pt idx="6">
                  <c:v>0.30911538461538463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47-4375-A47F-516644291DD9}"/>
            </c:ext>
          </c:extLst>
        </c:ser>
        <c:ser>
          <c:idx val="1"/>
          <c:order val="1"/>
          <c:tx>
            <c:v>strip+trench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9292038495188102"/>
                  <c:y val="-6.230861767279090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(Divisions_ponds!$G$22,Divisions_ponds!$O$22,Divisions_ponds!$R$22)</c:f>
              <c:numCache>
                <c:formatCode>0.00</c:formatCode>
                <c:ptCount val="3"/>
                <c:pt idx="0">
                  <c:v>17360</c:v>
                </c:pt>
                <c:pt idx="1">
                  <c:v>22050</c:v>
                </c:pt>
                <c:pt idx="2">
                  <c:v>23000</c:v>
                </c:pt>
              </c:numCache>
            </c:numRef>
          </c:xVal>
          <c:yVal>
            <c:numRef>
              <c:f>(Divisions_ponds!$G$31,Divisions_ponds!$N$31,Divisions_ponds!$R$31)</c:f>
              <c:numCache>
                <c:formatCode>"$"#,##0.00</c:formatCode>
                <c:ptCount val="3"/>
                <c:pt idx="0">
                  <c:v>0.8126900921658986</c:v>
                </c:pt>
                <c:pt idx="1">
                  <c:v>0.71813885467980298</c:v>
                </c:pt>
                <c:pt idx="2">
                  <c:v>0.71274223602484477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947-4375-A47F-516644291D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614047"/>
        <c:axId val="137613631"/>
      </c:scatterChart>
      <c:valAx>
        <c:axId val="137614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613631"/>
        <c:crosses val="autoZero"/>
        <c:crossBetween val="midCat"/>
      </c:valAx>
      <c:valAx>
        <c:axId val="137613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6140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Divisions_ponds!$D$26</c:f>
              <c:strCache>
                <c:ptCount val="1"/>
                <c:pt idx="0">
                  <c:v>Excavation, Core Trench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4227209098862642"/>
                  <c:y val="-3.282407407407407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(Divisions_ponds!$E$22,Divisions_ponds!$F$22,Divisions_ponds!$L$22,Divisions_ponds!$M$22,Divisions_ponds!$N$22,Divisions_ponds!$P$22,Divisions_ponds!$Q$22)</c:f>
              <c:numCache>
                <c:formatCode>0.00</c:formatCode>
                <c:ptCount val="7"/>
                <c:pt idx="0">
                  <c:v>8840</c:v>
                </c:pt>
                <c:pt idx="1">
                  <c:v>8520</c:v>
                </c:pt>
                <c:pt idx="2">
                  <c:v>7610</c:v>
                </c:pt>
                <c:pt idx="3">
                  <c:v>9800</c:v>
                </c:pt>
                <c:pt idx="4">
                  <c:v>4640</c:v>
                </c:pt>
                <c:pt idx="5">
                  <c:v>16500</c:v>
                </c:pt>
                <c:pt idx="6">
                  <c:v>6500</c:v>
                </c:pt>
              </c:numCache>
            </c:numRef>
          </c:xVal>
          <c:yVal>
            <c:numRef>
              <c:f>(Divisions_ponds!$E$26,Divisions_ponds!$F$26,Divisions_ponds!$L$26,Divisions_ponds!$M$26,Divisions_ponds!$N$26,Divisions_ponds!$P$26,Divisions_ponds!$Q$26)</c:f>
              <c:numCache>
                <c:formatCode>"$"#,##0.00</c:formatCode>
                <c:ptCount val="7"/>
                <c:pt idx="0">
                  <c:v>0.41665158371040723</c:v>
                </c:pt>
                <c:pt idx="1">
                  <c:v>0.36700508607198745</c:v>
                </c:pt>
                <c:pt idx="2">
                  <c:v>0.27423972217007697</c:v>
                </c:pt>
                <c:pt idx="3">
                  <c:v>0.24820335276967931</c:v>
                </c:pt>
                <c:pt idx="4">
                  <c:v>0.32570043103448276</c:v>
                </c:pt>
                <c:pt idx="5">
                  <c:v>0.46636363636363637</c:v>
                </c:pt>
                <c:pt idx="6">
                  <c:v>0.30911538461538463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B2B-48F7-B4F9-AF173C82C78F}"/>
            </c:ext>
          </c:extLst>
        </c:ser>
        <c:ser>
          <c:idx val="1"/>
          <c:order val="1"/>
          <c:tx>
            <c:v>strip+trench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4494313210848644E-2"/>
                  <c:y val="-8.854695246427529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(Divisions_ponds!$E$22:$F$22,Divisions_ponds!$L$22:$N$22,Divisions_ponds!$P$22:$Q$22)</c:f>
              <c:numCache>
                <c:formatCode>0.00</c:formatCode>
                <c:ptCount val="7"/>
                <c:pt idx="0">
                  <c:v>8840</c:v>
                </c:pt>
                <c:pt idx="1">
                  <c:v>8520</c:v>
                </c:pt>
                <c:pt idx="2">
                  <c:v>7610</c:v>
                </c:pt>
                <c:pt idx="3">
                  <c:v>9800</c:v>
                </c:pt>
                <c:pt idx="4">
                  <c:v>4640</c:v>
                </c:pt>
                <c:pt idx="5">
                  <c:v>16500</c:v>
                </c:pt>
                <c:pt idx="6">
                  <c:v>6500</c:v>
                </c:pt>
              </c:numCache>
            </c:numRef>
          </c:xVal>
          <c:yVal>
            <c:numRef>
              <c:f>(Divisions_ponds!$E$31:$F$31,Divisions_ponds!$L$31:$N$31,Divisions_ponds!$P$31:$Q$31)</c:f>
              <c:numCache>
                <c:formatCode>"$"#,##0.00</c:formatCode>
                <c:ptCount val="7"/>
                <c:pt idx="0">
                  <c:v>0.8603205128205127</c:v>
                </c:pt>
                <c:pt idx="1">
                  <c:v>0.76327073552425651</c:v>
                </c:pt>
                <c:pt idx="2">
                  <c:v>0.62552186972029289</c:v>
                </c:pt>
                <c:pt idx="3">
                  <c:v>0.5012179300291546</c:v>
                </c:pt>
                <c:pt idx="4">
                  <c:v>0.71813885467980298</c:v>
                </c:pt>
                <c:pt idx="5">
                  <c:v>0.77331168831168828</c:v>
                </c:pt>
                <c:pt idx="6">
                  <c:v>0.55898901098901099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B2B-48F7-B4F9-AF173C82C7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614047"/>
        <c:axId val="137613631"/>
      </c:scatterChart>
      <c:valAx>
        <c:axId val="137614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613631"/>
        <c:crosses val="autoZero"/>
        <c:crossBetween val="midCat"/>
      </c:valAx>
      <c:valAx>
        <c:axId val="137613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6140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trench/earthfill vs earthfill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0616097987751525"/>
                  <c:y val="-6.860965296004668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(Divisions_ponds!$E$73:$F$73,Divisions_ponds!$L$73:$N$73,Divisions_ponds!$P$73:$Q$73)</c:f>
              <c:numCache>
                <c:formatCode>0.00</c:formatCode>
                <c:ptCount val="7"/>
                <c:pt idx="0">
                  <c:v>8840</c:v>
                </c:pt>
                <c:pt idx="1">
                  <c:v>8520</c:v>
                </c:pt>
                <c:pt idx="2">
                  <c:v>7610</c:v>
                </c:pt>
                <c:pt idx="3">
                  <c:v>9800</c:v>
                </c:pt>
                <c:pt idx="4">
                  <c:v>4640</c:v>
                </c:pt>
                <c:pt idx="5">
                  <c:v>16500</c:v>
                </c:pt>
                <c:pt idx="6">
                  <c:v>6500</c:v>
                </c:pt>
              </c:numCache>
            </c:numRef>
          </c:xVal>
          <c:yVal>
            <c:numRef>
              <c:f>(Divisions_ponds!$E$74:$F$74,Divisions_ponds!$L$74:$N$74,Divisions_ponds!$P$74:$Q$74)</c:f>
              <c:numCache>
                <c:formatCode>0.000</c:formatCode>
                <c:ptCount val="7"/>
                <c:pt idx="0">
                  <c:v>0.10859728506787331</c:v>
                </c:pt>
                <c:pt idx="1">
                  <c:v>9.5657276995305171E-2</c:v>
                </c:pt>
                <c:pt idx="2">
                  <c:v>9.526938239159001E-2</c:v>
                </c:pt>
                <c:pt idx="3">
                  <c:v>8.6224489795918374E-2</c:v>
                </c:pt>
                <c:pt idx="4">
                  <c:v>0.11314655172413793</c:v>
                </c:pt>
                <c:pt idx="5">
                  <c:v>0.16363636363636364</c:v>
                </c:pt>
                <c:pt idx="6">
                  <c:v>0.10846153846153846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EF0-4B46-92DD-65CEE00FF1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1477120"/>
        <c:axId val="1341470048"/>
      </c:scatterChart>
      <c:valAx>
        <c:axId val="1341477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1470048"/>
        <c:crosses val="autoZero"/>
        <c:crossBetween val="midCat"/>
        <c:majorUnit val="4000"/>
      </c:valAx>
      <c:valAx>
        <c:axId val="1341470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1477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trench vs earthfill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100262467191601"/>
                  <c:y val="0.3910925196850393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(Divisions_ponds!$E$73:$F$73,Divisions_ponds!$H$73:$J$73,Divisions_ponds!$L$73:$N$73,Divisions_ponds!$P$73:$Q$73)</c:f>
              <c:numCache>
                <c:formatCode>0.00</c:formatCode>
                <c:ptCount val="10"/>
                <c:pt idx="0">
                  <c:v>8840</c:v>
                </c:pt>
                <c:pt idx="1">
                  <c:v>8520</c:v>
                </c:pt>
                <c:pt idx="2">
                  <c:v>4845</c:v>
                </c:pt>
                <c:pt idx="3">
                  <c:v>1400</c:v>
                </c:pt>
                <c:pt idx="4">
                  <c:v>8900</c:v>
                </c:pt>
                <c:pt idx="5">
                  <c:v>7610</c:v>
                </c:pt>
                <c:pt idx="6">
                  <c:v>9800</c:v>
                </c:pt>
                <c:pt idx="7">
                  <c:v>4640</c:v>
                </c:pt>
                <c:pt idx="8">
                  <c:v>16500</c:v>
                </c:pt>
                <c:pt idx="9">
                  <c:v>6500</c:v>
                </c:pt>
              </c:numCache>
            </c:numRef>
          </c:xVal>
          <c:yVal>
            <c:numRef>
              <c:f>(Divisions_ponds!$E$72:$F$72,Divisions_ponds!$H$72:$J$72,Divisions_ponds!$L$72:$N$72,Divisions_ponds!$P$72:$Q$72)</c:f>
              <c:numCache>
                <c:formatCode>0.00</c:formatCode>
                <c:ptCount val="10"/>
                <c:pt idx="0">
                  <c:v>960</c:v>
                </c:pt>
                <c:pt idx="1">
                  <c:v>815</c:v>
                </c:pt>
                <c:pt idx="2">
                  <c:v>1520</c:v>
                </c:pt>
                <c:pt idx="3">
                  <c:v>397</c:v>
                </c:pt>
                <c:pt idx="4">
                  <c:v>1830</c:v>
                </c:pt>
                <c:pt idx="5">
                  <c:v>725</c:v>
                </c:pt>
                <c:pt idx="6">
                  <c:v>845</c:v>
                </c:pt>
                <c:pt idx="7">
                  <c:v>525</c:v>
                </c:pt>
                <c:pt idx="8">
                  <c:v>2700</c:v>
                </c:pt>
                <c:pt idx="9">
                  <c:v>705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4AC-4B6C-A5D2-C7137AEF9AEC}"/>
            </c:ext>
          </c:extLst>
        </c:ser>
        <c:ser>
          <c:idx val="0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0616097987751525"/>
                  <c:y val="-6.860965296004668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(Divisions_ponds!$E$73:$F$73,Divisions_ponds!$L$73:$N$73,Divisions_ponds!$P$73:$Q$73)</c:f>
              <c:numCache>
                <c:formatCode>0.00</c:formatCode>
                <c:ptCount val="7"/>
                <c:pt idx="0">
                  <c:v>8840</c:v>
                </c:pt>
                <c:pt idx="1">
                  <c:v>8520</c:v>
                </c:pt>
                <c:pt idx="2">
                  <c:v>7610</c:v>
                </c:pt>
                <c:pt idx="3">
                  <c:v>9800</c:v>
                </c:pt>
                <c:pt idx="4">
                  <c:v>4640</c:v>
                </c:pt>
                <c:pt idx="5">
                  <c:v>16500</c:v>
                </c:pt>
                <c:pt idx="6">
                  <c:v>6500</c:v>
                </c:pt>
              </c:numCache>
            </c:numRef>
          </c:xVal>
          <c:yVal>
            <c:numRef>
              <c:f>(Divisions_ponds!$E$72:$F$72,Divisions_ponds!$L$72:$N$72,Divisions_ponds!$P$72:$Q$72)</c:f>
              <c:numCache>
                <c:formatCode>0.00</c:formatCode>
                <c:ptCount val="7"/>
                <c:pt idx="0">
                  <c:v>960</c:v>
                </c:pt>
                <c:pt idx="1">
                  <c:v>815</c:v>
                </c:pt>
                <c:pt idx="2">
                  <c:v>725</c:v>
                </c:pt>
                <c:pt idx="3">
                  <c:v>845</c:v>
                </c:pt>
                <c:pt idx="4">
                  <c:v>525</c:v>
                </c:pt>
                <c:pt idx="5">
                  <c:v>2700</c:v>
                </c:pt>
                <c:pt idx="6">
                  <c:v>705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4AC-4B6C-A5D2-C7137AEF9A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1477120"/>
        <c:axId val="1341470048"/>
      </c:scatterChart>
      <c:valAx>
        <c:axId val="1341477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1470048"/>
        <c:crosses val="autoZero"/>
        <c:crossBetween val="midCat"/>
        <c:majorUnit val="4000"/>
      </c:valAx>
      <c:valAx>
        <c:axId val="1341470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1477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Divisions_ponds!$Q$79:$Q$82</c:f>
              <c:numCache>
                <c:formatCode>0.00</c:formatCode>
                <c:ptCount val="4"/>
                <c:pt idx="0">
                  <c:v>1775</c:v>
                </c:pt>
                <c:pt idx="1">
                  <c:v>3747</c:v>
                </c:pt>
                <c:pt idx="2">
                  <c:v>2095</c:v>
                </c:pt>
                <c:pt idx="3">
                  <c:v>3405</c:v>
                </c:pt>
              </c:numCache>
            </c:numRef>
          </c:xVal>
          <c:yVal>
            <c:numRef>
              <c:f>Divisions_ponds!$R$79:$R$82</c:f>
              <c:numCache>
                <c:formatCode>"$"#,##0.00</c:formatCode>
                <c:ptCount val="4"/>
                <c:pt idx="0">
                  <c:v>3.8366666666666664</c:v>
                </c:pt>
                <c:pt idx="1">
                  <c:v>3.2083333333333335</c:v>
                </c:pt>
                <c:pt idx="2">
                  <c:v>2.8785714285714286</c:v>
                </c:pt>
                <c:pt idx="3">
                  <c:v>2.85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5C-449B-9CE4-DE24F31301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1435520"/>
        <c:axId val="1341451328"/>
      </c:scatterChart>
      <c:valAx>
        <c:axId val="1341435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1451328"/>
        <c:crosses val="autoZero"/>
        <c:crossBetween val="midCat"/>
      </c:valAx>
      <c:valAx>
        <c:axId val="134145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1435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topsoilStrip/earthfill vs earthfill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0616097987751525"/>
                  <c:y val="-6.860965296004668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(Divisions_ponds!$E$105:$F$105,Divisions_ponds!$H$105:$J$105,Divisions_ponds!$L$105:$N$105,Divisions_ponds!$P$105:$Q$105)</c:f>
              <c:numCache>
                <c:formatCode>0.00</c:formatCode>
                <c:ptCount val="10"/>
                <c:pt idx="0">
                  <c:v>8840</c:v>
                </c:pt>
                <c:pt idx="1">
                  <c:v>8520</c:v>
                </c:pt>
                <c:pt idx="2">
                  <c:v>4845</c:v>
                </c:pt>
                <c:pt idx="3">
                  <c:v>1400</c:v>
                </c:pt>
                <c:pt idx="4">
                  <c:v>8900</c:v>
                </c:pt>
                <c:pt idx="5">
                  <c:v>7610</c:v>
                </c:pt>
                <c:pt idx="6">
                  <c:v>9800</c:v>
                </c:pt>
                <c:pt idx="7">
                  <c:v>4640</c:v>
                </c:pt>
                <c:pt idx="8">
                  <c:v>16500</c:v>
                </c:pt>
                <c:pt idx="9">
                  <c:v>6500</c:v>
                </c:pt>
              </c:numCache>
            </c:numRef>
          </c:xVal>
          <c:yVal>
            <c:numRef>
              <c:f>(Divisions_ponds!$E$106:$F$106,Divisions_ponds!$H$106:$J$106,Divisions_ponds!$L$106:$N$106,Divisions_ponds!$P$106:$Q$106)</c:f>
              <c:numCache>
                <c:formatCode>0.000</c:formatCode>
                <c:ptCount val="10"/>
                <c:pt idx="0">
                  <c:v>0.10972850678733032</c:v>
                </c:pt>
                <c:pt idx="1">
                  <c:v>9.800469483568075E-2</c:v>
                </c:pt>
                <c:pt idx="2">
                  <c:v>0.11764705882352941</c:v>
                </c:pt>
                <c:pt idx="3">
                  <c:v>0.24285714285714285</c:v>
                </c:pt>
                <c:pt idx="4">
                  <c:v>9.1573033707865167E-2</c:v>
                </c:pt>
                <c:pt idx="5">
                  <c:v>9.0670170827858082E-2</c:v>
                </c:pt>
                <c:pt idx="6">
                  <c:v>6.5306122448979598E-2</c:v>
                </c:pt>
                <c:pt idx="7">
                  <c:v>0.10129310344827586</c:v>
                </c:pt>
                <c:pt idx="8">
                  <c:v>8.7878787878787876E-2</c:v>
                </c:pt>
                <c:pt idx="9">
                  <c:v>7.1538461538461537E-2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85C-4142-B891-9815ACCA52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1477120"/>
        <c:axId val="1341470048"/>
      </c:scatterChart>
      <c:valAx>
        <c:axId val="1341477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1470048"/>
        <c:crosses val="autoZero"/>
        <c:crossBetween val="midCat"/>
        <c:majorUnit val="4000"/>
      </c:valAx>
      <c:valAx>
        <c:axId val="1341470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1477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topsoilStrip vs earthfill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100262467191601"/>
                  <c:y val="0.3910925196850393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(Divisions_ponds!$E$105:$F$105,Divisions_ponds!$H$105:$J$105,Divisions_ponds!$L$105:$N$105,Divisions_ponds!$P$105:$Q$105)</c:f>
              <c:numCache>
                <c:formatCode>0.00</c:formatCode>
                <c:ptCount val="10"/>
                <c:pt idx="0">
                  <c:v>8840</c:v>
                </c:pt>
                <c:pt idx="1">
                  <c:v>8520</c:v>
                </c:pt>
                <c:pt idx="2">
                  <c:v>4845</c:v>
                </c:pt>
                <c:pt idx="3">
                  <c:v>1400</c:v>
                </c:pt>
                <c:pt idx="4">
                  <c:v>8900</c:v>
                </c:pt>
                <c:pt idx="5">
                  <c:v>7610</c:v>
                </c:pt>
                <c:pt idx="6">
                  <c:v>9800</c:v>
                </c:pt>
                <c:pt idx="7">
                  <c:v>4640</c:v>
                </c:pt>
                <c:pt idx="8">
                  <c:v>16500</c:v>
                </c:pt>
                <c:pt idx="9">
                  <c:v>6500</c:v>
                </c:pt>
              </c:numCache>
            </c:numRef>
          </c:xVal>
          <c:yVal>
            <c:numRef>
              <c:f>(Divisions_ponds!$E$104:$F$104,Divisions_ponds!$H$104:$J$104,Divisions_ponds!$L$104:$N$104,Divisions_ponds!$P$104:$Q$104)</c:f>
              <c:numCache>
                <c:formatCode>0.00</c:formatCode>
                <c:ptCount val="10"/>
                <c:pt idx="0">
                  <c:v>970</c:v>
                </c:pt>
                <c:pt idx="1">
                  <c:v>835</c:v>
                </c:pt>
                <c:pt idx="2">
                  <c:v>570</c:v>
                </c:pt>
                <c:pt idx="3">
                  <c:v>340</c:v>
                </c:pt>
                <c:pt idx="4">
                  <c:v>815</c:v>
                </c:pt>
                <c:pt idx="5">
                  <c:v>690</c:v>
                </c:pt>
                <c:pt idx="6">
                  <c:v>640</c:v>
                </c:pt>
                <c:pt idx="7">
                  <c:v>470</c:v>
                </c:pt>
                <c:pt idx="8">
                  <c:v>1450</c:v>
                </c:pt>
                <c:pt idx="9">
                  <c:v>465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5D9-4A78-ABB8-39333B1335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1477120"/>
        <c:axId val="1341470048"/>
      </c:scatterChart>
      <c:valAx>
        <c:axId val="1341477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1470048"/>
        <c:crosses val="autoZero"/>
        <c:crossBetween val="midCat"/>
        <c:majorUnit val="4000"/>
      </c:valAx>
      <c:valAx>
        <c:axId val="1341470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1477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mobilization/earthfill vs earthfill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0616097987751525"/>
                  <c:y val="-6.860965296004668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(Divisions_ponds!$H$125:$J$125,Divisions_ponds!$L$125:$N$125,Divisions_ponds!$P$125:$Q$125)</c:f>
              <c:numCache>
                <c:formatCode>0.00</c:formatCode>
                <c:ptCount val="8"/>
                <c:pt idx="0">
                  <c:v>4845</c:v>
                </c:pt>
                <c:pt idx="1">
                  <c:v>1400</c:v>
                </c:pt>
                <c:pt idx="2">
                  <c:v>8900</c:v>
                </c:pt>
                <c:pt idx="3">
                  <c:v>7610</c:v>
                </c:pt>
                <c:pt idx="4">
                  <c:v>9800</c:v>
                </c:pt>
                <c:pt idx="5">
                  <c:v>4640</c:v>
                </c:pt>
                <c:pt idx="6">
                  <c:v>16500</c:v>
                </c:pt>
                <c:pt idx="7">
                  <c:v>6500</c:v>
                </c:pt>
              </c:numCache>
            </c:numRef>
          </c:xVal>
          <c:yVal>
            <c:numRef>
              <c:f>(Divisions_ponds!$H$126:$J$126,Divisions_ponds!$L$126:$N$126,Divisions_ponds!$P$126:$Q$126)</c:f>
              <c:numCache>
                <c:formatCode>"$"#,##0.00</c:formatCode>
                <c:ptCount val="8"/>
                <c:pt idx="0">
                  <c:v>0.28792569659442724</c:v>
                </c:pt>
                <c:pt idx="1">
                  <c:v>0.99642857142857144</c:v>
                </c:pt>
                <c:pt idx="2">
                  <c:v>0.21160112359550565</c:v>
                </c:pt>
                <c:pt idx="3">
                  <c:v>0.32443213816406985</c:v>
                </c:pt>
                <c:pt idx="4">
                  <c:v>0.25193148688046646</c:v>
                </c:pt>
                <c:pt idx="5">
                  <c:v>0.53209667487684731</c:v>
                </c:pt>
                <c:pt idx="6">
                  <c:v>0.25612554112554115</c:v>
                </c:pt>
                <c:pt idx="7">
                  <c:v>0.65016483516483514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D8E-47DD-A174-7348B82532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1477120"/>
        <c:axId val="1341470048"/>
      </c:scatterChart>
      <c:valAx>
        <c:axId val="1341477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1470048"/>
        <c:crosses val="autoZero"/>
        <c:crossBetween val="midCat"/>
        <c:majorUnit val="4000"/>
      </c:valAx>
      <c:valAx>
        <c:axId val="1341470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1477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mobilization vs earthfill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100262467191601"/>
                  <c:y val="0.3910925196850393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(Divisions_ponds!$H$125:$J$125,Divisions_ponds!$L$125:$N$125,Divisions_ponds!$P$125:$Q$125)</c:f>
              <c:numCache>
                <c:formatCode>0.00</c:formatCode>
                <c:ptCount val="8"/>
                <c:pt idx="0">
                  <c:v>4845</c:v>
                </c:pt>
                <c:pt idx="1">
                  <c:v>1400</c:v>
                </c:pt>
                <c:pt idx="2">
                  <c:v>8900</c:v>
                </c:pt>
                <c:pt idx="3">
                  <c:v>7610</c:v>
                </c:pt>
                <c:pt idx="4">
                  <c:v>9800</c:v>
                </c:pt>
                <c:pt idx="5">
                  <c:v>4640</c:v>
                </c:pt>
                <c:pt idx="6">
                  <c:v>16500</c:v>
                </c:pt>
                <c:pt idx="7">
                  <c:v>6500</c:v>
                </c:pt>
              </c:numCache>
            </c:numRef>
          </c:xVal>
          <c:yVal>
            <c:numRef>
              <c:f>(Divisions_ponds!$H$124:$J$124,Divisions_ponds!$L$124:$N$124,Divisions_ponds!$P$124:$Q$124)</c:f>
              <c:numCache>
                <c:formatCode>"$"#,##0.00</c:formatCode>
                <c:ptCount val="8"/>
                <c:pt idx="0">
                  <c:v>1395</c:v>
                </c:pt>
                <c:pt idx="1">
                  <c:v>1395</c:v>
                </c:pt>
                <c:pt idx="2">
                  <c:v>1883.2500000000002</c:v>
                </c:pt>
                <c:pt idx="3">
                  <c:v>2468.9285714285716</c:v>
                </c:pt>
                <c:pt idx="4">
                  <c:v>2468.9285714285716</c:v>
                </c:pt>
                <c:pt idx="5">
                  <c:v>2468.9285714285716</c:v>
                </c:pt>
                <c:pt idx="6">
                  <c:v>4226.0714285714284</c:v>
                </c:pt>
                <c:pt idx="7">
                  <c:v>4226.0714285714284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545-4B84-A75F-AFAEE5B961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1477120"/>
        <c:axId val="1341470048"/>
      </c:scatterChart>
      <c:valAx>
        <c:axId val="1341477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1470048"/>
        <c:crosses val="autoZero"/>
        <c:crossBetween val="midCat"/>
        <c:majorUnit val="4000"/>
      </c:valAx>
      <c:valAx>
        <c:axId val="1341470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1477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Logarithmic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total w/o pipes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forward val="10000"/>
            <c:backward val="3000"/>
            <c:dispRSqr val="1"/>
            <c:dispEq val="1"/>
            <c:trendlineLbl>
              <c:layout>
                <c:manualLayout>
                  <c:x val="-0.21903674540682413"/>
                  <c:y val="-2.256551724137933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(USDA!$B$6,USDA!$B$23,USDA!$B$40,USDA!$B$59)</c:f>
              <c:numCache>
                <c:formatCode>General</c:formatCode>
                <c:ptCount val="4"/>
                <c:pt idx="0">
                  <c:v>3100</c:v>
                </c:pt>
                <c:pt idx="1">
                  <c:v>5000</c:v>
                </c:pt>
                <c:pt idx="2">
                  <c:v>8000</c:v>
                </c:pt>
                <c:pt idx="3">
                  <c:v>11000</c:v>
                </c:pt>
              </c:numCache>
            </c:numRef>
          </c:xVal>
          <c:yVal>
            <c:numRef>
              <c:f>(USDA!$H$17,USDA!$H$34,USDA!$H$53,USDA!$H$73)</c:f>
              <c:numCache>
                <c:formatCode>"$"#,##0.00</c:formatCode>
                <c:ptCount val="4"/>
                <c:pt idx="0">
                  <c:v>3.2509419354838718</c:v>
                </c:pt>
                <c:pt idx="1">
                  <c:v>4.2475839999999998</c:v>
                </c:pt>
                <c:pt idx="2">
                  <c:v>4.2996924999999999</c:v>
                </c:pt>
                <c:pt idx="3">
                  <c:v>4.3523490909090912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E6C-47E5-933F-234D80F38A07}"/>
            </c:ext>
          </c:extLst>
        </c:ser>
        <c:ser>
          <c:idx val="3"/>
          <c:order val="2"/>
          <c:tx>
            <c:v>equipment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(USDA!$B$6,USDA!$B$23,USDA!$B$40,USDA!$B$59)</c:f>
              <c:numCache>
                <c:formatCode>General</c:formatCode>
                <c:ptCount val="4"/>
                <c:pt idx="0">
                  <c:v>3100</c:v>
                </c:pt>
                <c:pt idx="1">
                  <c:v>5000</c:v>
                </c:pt>
                <c:pt idx="2">
                  <c:v>8000</c:v>
                </c:pt>
                <c:pt idx="3">
                  <c:v>11000</c:v>
                </c:pt>
              </c:numCache>
            </c:numRef>
          </c:xVal>
          <c:yVal>
            <c:numRef>
              <c:f>(USDA!$H$4,USDA!$H$21,USDA!$H$38,USDA!$H$57)</c:f>
              <c:numCache>
                <c:formatCode>"$"#,##0.00</c:formatCode>
                <c:ptCount val="4"/>
                <c:pt idx="0">
                  <c:v>2.4458967741935487</c:v>
                </c:pt>
                <c:pt idx="1">
                  <c:v>3.5317519999999996</c:v>
                </c:pt>
                <c:pt idx="2">
                  <c:v>3.6106850000000001</c:v>
                </c:pt>
                <c:pt idx="3">
                  <c:v>3.6494654545454548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E6C-47E5-933F-234D80F38A07}"/>
            </c:ext>
          </c:extLst>
        </c:ser>
        <c:ser>
          <c:idx val="4"/>
          <c:order val="3"/>
          <c:tx>
            <c:v>labor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(USDA!$B$6,USDA!$B$23,USDA!$B$40,USDA!$B$59)</c:f>
              <c:numCache>
                <c:formatCode>General</c:formatCode>
                <c:ptCount val="4"/>
                <c:pt idx="0">
                  <c:v>3100</c:v>
                </c:pt>
                <c:pt idx="1">
                  <c:v>5000</c:v>
                </c:pt>
                <c:pt idx="2">
                  <c:v>8000</c:v>
                </c:pt>
                <c:pt idx="3">
                  <c:v>11000</c:v>
                </c:pt>
              </c:numCache>
            </c:numRef>
          </c:xVal>
          <c:yVal>
            <c:numRef>
              <c:f>(USDA!$H$8,USDA!$H$26,USDA!$H$44,USDA!$H$63)</c:f>
              <c:numCache>
                <c:formatCode>"$"#,##0.00</c:formatCode>
                <c:ptCount val="4"/>
                <c:pt idx="0">
                  <c:v>0.63369032258064517</c:v>
                </c:pt>
                <c:pt idx="1">
                  <c:v>0.55647200000000008</c:v>
                </c:pt>
                <c:pt idx="2">
                  <c:v>0.58023999999999998</c:v>
                </c:pt>
                <c:pt idx="3">
                  <c:v>0.62378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E6C-47E5-933F-234D80F38A07}"/>
            </c:ext>
          </c:extLst>
        </c:ser>
        <c:ser>
          <c:idx val="5"/>
          <c:order val="4"/>
          <c:tx>
            <c:v>mobilization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(USDA!$B$6,USDA!$B$23,USDA!$B$40,USDA!$B$59)</c:f>
              <c:numCache>
                <c:formatCode>General</c:formatCode>
                <c:ptCount val="4"/>
                <c:pt idx="0">
                  <c:v>3100</c:v>
                </c:pt>
                <c:pt idx="1">
                  <c:v>5000</c:v>
                </c:pt>
                <c:pt idx="2">
                  <c:v>8000</c:v>
                </c:pt>
                <c:pt idx="3">
                  <c:v>11000</c:v>
                </c:pt>
              </c:numCache>
            </c:numRef>
          </c:xVal>
          <c:yVal>
            <c:numRef>
              <c:f>(USDA!$H$11,USDA!$H$29,USDA!$H$47,USDA!$H$66)</c:f>
              <c:numCache>
                <c:formatCode>"$"#,##0.00</c:formatCode>
                <c:ptCount val="4"/>
                <c:pt idx="0">
                  <c:v>0.17135483870967744</c:v>
                </c:pt>
                <c:pt idx="1">
                  <c:v>0.15936</c:v>
                </c:pt>
                <c:pt idx="2">
                  <c:v>0.10876750000000002</c:v>
                </c:pt>
                <c:pt idx="3">
                  <c:v>7.9103636363636376E-2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E6C-47E5-933F-234D80F38A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5400624"/>
        <c:axId val="1005402704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1"/>
                <c:tx>
                  <c:v>total w/ pipes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(USDA!$B$6,USDA!$B$23,USDA!$B$40,USDA!$B$59)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3100</c:v>
                      </c:pt>
                      <c:pt idx="1">
                        <c:v>5000</c:v>
                      </c:pt>
                      <c:pt idx="2">
                        <c:v>8000</c:v>
                      </c:pt>
                      <c:pt idx="3">
                        <c:v>11000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(USDA!$H$16,USDA!$H$33,USDA!$H$52,USDA!$H$72)</c15:sqref>
                        </c15:formulaRef>
                      </c:ext>
                    </c:extLst>
                    <c:numCache>
                      <c:formatCode>"$"#,##0.00</c:formatCode>
                      <c:ptCount val="4"/>
                      <c:pt idx="0">
                        <c:v>3.3253290322580651</c:v>
                      </c:pt>
                      <c:pt idx="1">
                        <c:v>4.3749839999999995</c:v>
                      </c:pt>
                      <c:pt idx="2">
                        <c:v>4.5759425</c:v>
                      </c:pt>
                      <c:pt idx="3">
                        <c:v>4.6381236363636367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AE6C-47E5-933F-234D80F38A07}"/>
                  </c:ext>
                </c:extLst>
              </c15:ser>
            </c15:filteredScatterSeries>
          </c:ext>
        </c:extLst>
      </c:scatterChart>
      <c:valAx>
        <c:axId val="1005400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5402704"/>
        <c:crosses val="autoZero"/>
        <c:crossBetween val="midCat"/>
      </c:valAx>
      <c:valAx>
        <c:axId val="100540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5400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 interpolation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total w/o pipes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2408136482939633E-2"/>
                  <c:y val="-4.232419223459136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(USDA!$B$6,USDA!$B$23,USDA!$B$40,USDA!$B$59)</c:f>
              <c:numCache>
                <c:formatCode>General</c:formatCode>
                <c:ptCount val="4"/>
                <c:pt idx="0">
                  <c:v>3100</c:v>
                </c:pt>
                <c:pt idx="1">
                  <c:v>5000</c:v>
                </c:pt>
                <c:pt idx="2">
                  <c:v>8000</c:v>
                </c:pt>
                <c:pt idx="3">
                  <c:v>11000</c:v>
                </c:pt>
              </c:numCache>
            </c:numRef>
          </c:xVal>
          <c:yVal>
            <c:numRef>
              <c:f>(USDA!$G$17,USDA!$G$34,USDA!$G$53,USDA!$G$73)</c:f>
              <c:numCache>
                <c:formatCode>"$"#,##0.00</c:formatCode>
                <c:ptCount val="4"/>
                <c:pt idx="0">
                  <c:v>10077.920000000002</c:v>
                </c:pt>
                <c:pt idx="1">
                  <c:v>21237.919999999998</c:v>
                </c:pt>
                <c:pt idx="2">
                  <c:v>34397.54</c:v>
                </c:pt>
                <c:pt idx="3">
                  <c:v>47875.840000000004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D06-4DA3-BD39-8A57D4239A65}"/>
            </c:ext>
          </c:extLst>
        </c:ser>
        <c:ser>
          <c:idx val="3"/>
          <c:order val="2"/>
          <c:tx>
            <c:v>equipment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(USDA!$B$6,USDA!$B$23,USDA!$B$40,USDA!$B$59)</c:f>
              <c:numCache>
                <c:formatCode>General</c:formatCode>
                <c:ptCount val="4"/>
                <c:pt idx="0">
                  <c:v>3100</c:v>
                </c:pt>
                <c:pt idx="1">
                  <c:v>5000</c:v>
                </c:pt>
                <c:pt idx="2">
                  <c:v>8000</c:v>
                </c:pt>
                <c:pt idx="3">
                  <c:v>11000</c:v>
                </c:pt>
              </c:numCache>
            </c:numRef>
          </c:xVal>
          <c:yVal>
            <c:numRef>
              <c:f>(USDA!$G$4,USDA!$G$21,USDA!$G$38,USDA!$G$57)</c:f>
              <c:numCache>
                <c:formatCode>"$"#,##0.00</c:formatCode>
                <c:ptCount val="4"/>
                <c:pt idx="0">
                  <c:v>7582.2800000000007</c:v>
                </c:pt>
                <c:pt idx="1">
                  <c:v>17658.759999999998</c:v>
                </c:pt>
                <c:pt idx="2">
                  <c:v>28885.48</c:v>
                </c:pt>
                <c:pt idx="3">
                  <c:v>40144.120000000003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D06-4DA3-BD39-8A57D4239A65}"/>
            </c:ext>
          </c:extLst>
        </c:ser>
        <c:ser>
          <c:idx val="4"/>
          <c:order val="3"/>
          <c:tx>
            <c:v>labor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(USDA!$B$6,USDA!$B$23,USDA!$B$40,USDA!$B$59)</c:f>
              <c:numCache>
                <c:formatCode>General</c:formatCode>
                <c:ptCount val="4"/>
                <c:pt idx="0">
                  <c:v>3100</c:v>
                </c:pt>
                <c:pt idx="1">
                  <c:v>5000</c:v>
                </c:pt>
                <c:pt idx="2">
                  <c:v>8000</c:v>
                </c:pt>
                <c:pt idx="3">
                  <c:v>11000</c:v>
                </c:pt>
              </c:numCache>
            </c:numRef>
          </c:xVal>
          <c:yVal>
            <c:numRef>
              <c:f>(USDA!$G$8,USDA!$G$26,USDA!$G$44,USDA!$G$63)</c:f>
              <c:numCache>
                <c:formatCode>"$"#,##0.00</c:formatCode>
                <c:ptCount val="4"/>
                <c:pt idx="0">
                  <c:v>1964.44</c:v>
                </c:pt>
                <c:pt idx="1">
                  <c:v>2782.36</c:v>
                </c:pt>
                <c:pt idx="2">
                  <c:v>4641.92</c:v>
                </c:pt>
                <c:pt idx="3">
                  <c:v>6861.58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D06-4DA3-BD39-8A57D4239A65}"/>
            </c:ext>
          </c:extLst>
        </c:ser>
        <c:ser>
          <c:idx val="5"/>
          <c:order val="4"/>
          <c:tx>
            <c:v>mobilization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(USDA!$B$6,USDA!$B$23,USDA!$B$40,USDA!$B$59)</c:f>
              <c:numCache>
                <c:formatCode>General</c:formatCode>
                <c:ptCount val="4"/>
                <c:pt idx="0">
                  <c:v>3100</c:v>
                </c:pt>
                <c:pt idx="1">
                  <c:v>5000</c:v>
                </c:pt>
                <c:pt idx="2">
                  <c:v>8000</c:v>
                </c:pt>
                <c:pt idx="3">
                  <c:v>11000</c:v>
                </c:pt>
              </c:numCache>
            </c:numRef>
          </c:xVal>
          <c:yVal>
            <c:numRef>
              <c:f>(USDA!$G$11,USDA!$G$29,USDA!$G$47,USDA!$G$66)</c:f>
              <c:numCache>
                <c:formatCode>"$"#,##0.00</c:formatCode>
                <c:ptCount val="4"/>
                <c:pt idx="0">
                  <c:v>531.20000000000005</c:v>
                </c:pt>
                <c:pt idx="1">
                  <c:v>796.80000000000007</c:v>
                </c:pt>
                <c:pt idx="2">
                  <c:v>870.1400000000001</c:v>
                </c:pt>
                <c:pt idx="3">
                  <c:v>870.1400000000001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D06-4DA3-BD39-8A57D4239A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5400624"/>
        <c:axId val="1005402704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1"/>
                <c:tx>
                  <c:v>total w/ pipes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(USDA!$B$6,USDA!$B$23,USDA!$B$40,USDA!$B$59)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3100</c:v>
                      </c:pt>
                      <c:pt idx="1">
                        <c:v>5000</c:v>
                      </c:pt>
                      <c:pt idx="2">
                        <c:v>8000</c:v>
                      </c:pt>
                      <c:pt idx="3">
                        <c:v>11000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(USDA!$G$16,USDA!$G$33,USDA!$G$52,USDA!$G$72)</c15:sqref>
                        </c15:formulaRef>
                      </c:ext>
                    </c:extLst>
                    <c:numCache>
                      <c:formatCode>"$"#,##0.00</c:formatCode>
                      <c:ptCount val="4"/>
                      <c:pt idx="0">
                        <c:v>10308.520000000002</c:v>
                      </c:pt>
                      <c:pt idx="1">
                        <c:v>21874.92</c:v>
                      </c:pt>
                      <c:pt idx="2">
                        <c:v>36607.54</c:v>
                      </c:pt>
                      <c:pt idx="3">
                        <c:v>51019.360000000001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5-AD06-4DA3-BD39-8A57D4239A65}"/>
                  </c:ext>
                </c:extLst>
              </c15:ser>
            </c15:filteredScatterSeries>
          </c:ext>
        </c:extLst>
      </c:scatterChart>
      <c:valAx>
        <c:axId val="1005400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5402704"/>
        <c:crosses val="autoZero"/>
        <c:crossBetween val="midCat"/>
      </c:valAx>
      <c:valAx>
        <c:axId val="100540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5400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Power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total w/o pipes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forward val="10000"/>
            <c:backward val="3000"/>
            <c:dispRSqr val="1"/>
            <c:dispEq val="1"/>
            <c:trendlineLbl>
              <c:layout>
                <c:manualLayout>
                  <c:x val="-0.21903674540682413"/>
                  <c:y val="-2.256551724137933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(USDA!$B$6,USDA!$B$23,USDA!$B$40,USDA!$B$59)</c:f>
              <c:numCache>
                <c:formatCode>General</c:formatCode>
                <c:ptCount val="4"/>
                <c:pt idx="0">
                  <c:v>3100</c:v>
                </c:pt>
                <c:pt idx="1">
                  <c:v>5000</c:v>
                </c:pt>
                <c:pt idx="2">
                  <c:v>8000</c:v>
                </c:pt>
                <c:pt idx="3">
                  <c:v>11000</c:v>
                </c:pt>
              </c:numCache>
            </c:numRef>
          </c:xVal>
          <c:yVal>
            <c:numRef>
              <c:f>(USDA!$H$17,USDA!$H$34,USDA!$H$53,USDA!$H$73)</c:f>
              <c:numCache>
                <c:formatCode>"$"#,##0.00</c:formatCode>
                <c:ptCount val="4"/>
                <c:pt idx="0">
                  <c:v>3.2509419354838718</c:v>
                </c:pt>
                <c:pt idx="1">
                  <c:v>4.2475839999999998</c:v>
                </c:pt>
                <c:pt idx="2">
                  <c:v>4.2996924999999999</c:v>
                </c:pt>
                <c:pt idx="3">
                  <c:v>4.3523490909090912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169-4F12-81E2-B0FCA8DBD066}"/>
            </c:ext>
          </c:extLst>
        </c:ser>
        <c:ser>
          <c:idx val="3"/>
          <c:order val="2"/>
          <c:tx>
            <c:v>equipment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(USDA!$B$6,USDA!$B$23,USDA!$B$40,USDA!$B$59)</c:f>
              <c:numCache>
                <c:formatCode>General</c:formatCode>
                <c:ptCount val="4"/>
                <c:pt idx="0">
                  <c:v>3100</c:v>
                </c:pt>
                <c:pt idx="1">
                  <c:v>5000</c:v>
                </c:pt>
                <c:pt idx="2">
                  <c:v>8000</c:v>
                </c:pt>
                <c:pt idx="3">
                  <c:v>11000</c:v>
                </c:pt>
              </c:numCache>
            </c:numRef>
          </c:xVal>
          <c:yVal>
            <c:numRef>
              <c:f>(USDA!$H$4,USDA!$H$21,USDA!$H$38,USDA!$H$57)</c:f>
              <c:numCache>
                <c:formatCode>"$"#,##0.00</c:formatCode>
                <c:ptCount val="4"/>
                <c:pt idx="0">
                  <c:v>2.4458967741935487</c:v>
                </c:pt>
                <c:pt idx="1">
                  <c:v>3.5317519999999996</c:v>
                </c:pt>
                <c:pt idx="2">
                  <c:v>3.6106850000000001</c:v>
                </c:pt>
                <c:pt idx="3">
                  <c:v>3.6494654545454548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169-4F12-81E2-B0FCA8DBD066}"/>
            </c:ext>
          </c:extLst>
        </c:ser>
        <c:ser>
          <c:idx val="4"/>
          <c:order val="3"/>
          <c:tx>
            <c:v>labor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(USDA!$B$6,USDA!$B$23,USDA!$B$40,USDA!$B$59)</c:f>
              <c:numCache>
                <c:formatCode>General</c:formatCode>
                <c:ptCount val="4"/>
                <c:pt idx="0">
                  <c:v>3100</c:v>
                </c:pt>
                <c:pt idx="1">
                  <c:v>5000</c:v>
                </c:pt>
                <c:pt idx="2">
                  <c:v>8000</c:v>
                </c:pt>
                <c:pt idx="3">
                  <c:v>11000</c:v>
                </c:pt>
              </c:numCache>
            </c:numRef>
          </c:xVal>
          <c:yVal>
            <c:numRef>
              <c:f>(USDA!$H$8,USDA!$H$26,USDA!$H$44,USDA!$H$63)</c:f>
              <c:numCache>
                <c:formatCode>"$"#,##0.00</c:formatCode>
                <c:ptCount val="4"/>
                <c:pt idx="0">
                  <c:v>0.63369032258064517</c:v>
                </c:pt>
                <c:pt idx="1">
                  <c:v>0.55647200000000008</c:v>
                </c:pt>
                <c:pt idx="2">
                  <c:v>0.58023999999999998</c:v>
                </c:pt>
                <c:pt idx="3">
                  <c:v>0.62378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169-4F12-81E2-B0FCA8DBD066}"/>
            </c:ext>
          </c:extLst>
        </c:ser>
        <c:ser>
          <c:idx val="5"/>
          <c:order val="4"/>
          <c:tx>
            <c:v>mobilization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(USDA!$B$6,USDA!$B$23,USDA!$B$40,USDA!$B$59)</c:f>
              <c:numCache>
                <c:formatCode>General</c:formatCode>
                <c:ptCount val="4"/>
                <c:pt idx="0">
                  <c:v>3100</c:v>
                </c:pt>
                <c:pt idx="1">
                  <c:v>5000</c:v>
                </c:pt>
                <c:pt idx="2">
                  <c:v>8000</c:v>
                </c:pt>
                <c:pt idx="3">
                  <c:v>11000</c:v>
                </c:pt>
              </c:numCache>
            </c:numRef>
          </c:xVal>
          <c:yVal>
            <c:numRef>
              <c:f>(USDA!$H$11,USDA!$H$29,USDA!$H$47,USDA!$H$66)</c:f>
              <c:numCache>
                <c:formatCode>"$"#,##0.00</c:formatCode>
                <c:ptCount val="4"/>
                <c:pt idx="0">
                  <c:v>0.17135483870967744</c:v>
                </c:pt>
                <c:pt idx="1">
                  <c:v>0.15936</c:v>
                </c:pt>
                <c:pt idx="2">
                  <c:v>0.10876750000000002</c:v>
                </c:pt>
                <c:pt idx="3">
                  <c:v>7.9103636363636376E-2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169-4F12-81E2-B0FCA8DBD0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5400624"/>
        <c:axId val="1005402704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1"/>
                <c:tx>
                  <c:v>total w/ pipes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(USDA!$B$6,USDA!$B$23,USDA!$B$40,USDA!$B$59)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3100</c:v>
                      </c:pt>
                      <c:pt idx="1">
                        <c:v>5000</c:v>
                      </c:pt>
                      <c:pt idx="2">
                        <c:v>8000</c:v>
                      </c:pt>
                      <c:pt idx="3">
                        <c:v>11000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(USDA!$H$16,USDA!$H$33,USDA!$H$52,USDA!$H$72)</c15:sqref>
                        </c15:formulaRef>
                      </c:ext>
                    </c:extLst>
                    <c:numCache>
                      <c:formatCode>"$"#,##0.00</c:formatCode>
                      <c:ptCount val="4"/>
                      <c:pt idx="0">
                        <c:v>3.3253290322580651</c:v>
                      </c:pt>
                      <c:pt idx="1">
                        <c:v>4.3749839999999995</c:v>
                      </c:pt>
                      <c:pt idx="2">
                        <c:v>4.5759425</c:v>
                      </c:pt>
                      <c:pt idx="3">
                        <c:v>4.6381236363636367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5-B169-4F12-81E2-B0FCA8DBD066}"/>
                  </c:ext>
                </c:extLst>
              </c15:ser>
            </c15:filteredScatterSeries>
          </c:ext>
        </c:extLst>
      </c:scatterChart>
      <c:valAx>
        <c:axId val="1005400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5402704"/>
        <c:crosses val="autoZero"/>
        <c:crossBetween val="midCat"/>
      </c:valAx>
      <c:valAx>
        <c:axId val="100540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5400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</a:t>
            </a:r>
            <a:r>
              <a:rPr lang="en-US" baseline="0"/>
              <a:t> reduction  vs  "USDA-dike" cost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mitig-cost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(DSRs!$O$8,DSRs!$O$14,DSRs!$O$26,DSRs!$O$49,DSRs!$O$74,DSRs!$O$103,DSRs!$O$132,DSRs!$O$153)</c:f>
              <c:numCache>
                <c:formatCode>0.00%</c:formatCode>
                <c:ptCount val="8"/>
                <c:pt idx="0">
                  <c:v>-4.2682926829268296E-2</c:v>
                </c:pt>
                <c:pt idx="1">
                  <c:v>-9.1463414634146339E-2</c:v>
                </c:pt>
                <c:pt idx="2">
                  <c:v>-2.4390243902439025E-2</c:v>
                </c:pt>
                <c:pt idx="3">
                  <c:v>-4.878048780487805E-2</c:v>
                </c:pt>
                <c:pt idx="4">
                  <c:v>-6.097560975609756E-2</c:v>
                </c:pt>
                <c:pt idx="5">
                  <c:v>-0.1402439024390244</c:v>
                </c:pt>
                <c:pt idx="6">
                  <c:v>-5.4878048780487805E-2</c:v>
                </c:pt>
                <c:pt idx="7">
                  <c:v>-7.926829268292683E-2</c:v>
                </c:pt>
              </c:numCache>
            </c:numRef>
          </c:xVal>
          <c:yVal>
            <c:numRef>
              <c:f>(DSRs!$M$10,DSRs!$M$22,DSRs!$M$45,DSRs!$M$70,DSRs!$M$99,DSRs!$M$128,DSRs!$M$149,DSRs!$M$167)</c:f>
              <c:numCache>
                <c:formatCode>"$"#,##0.00</c:formatCode>
                <c:ptCount val="8"/>
                <c:pt idx="0">
                  <c:v>193656.47030669099</c:v>
                </c:pt>
                <c:pt idx="1">
                  <c:v>306604.20249145309</c:v>
                </c:pt>
                <c:pt idx="2">
                  <c:v>602786.5396385463</c:v>
                </c:pt>
                <c:pt idx="3">
                  <c:v>731536.07012958848</c:v>
                </c:pt>
                <c:pt idx="4">
                  <c:v>611214.32932899625</c:v>
                </c:pt>
                <c:pt idx="5">
                  <c:v>954520.10054154298</c:v>
                </c:pt>
                <c:pt idx="6">
                  <c:v>382550.32307043707</c:v>
                </c:pt>
                <c:pt idx="7">
                  <c:v>498105.12193004054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3D-46FA-BC27-EF45E1B374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5991471"/>
        <c:axId val="1926010607"/>
      </c:scatterChart>
      <c:valAx>
        <c:axId val="1925991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6010607"/>
        <c:crosses val="autoZero"/>
        <c:crossBetween val="midCat"/>
      </c:valAx>
      <c:valAx>
        <c:axId val="1926010607"/>
        <c:scaling>
          <c:orientation val="minMax"/>
          <c:max val="1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59914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 reduction</a:t>
            </a:r>
            <a:r>
              <a:rPr lang="en-US" baseline="0"/>
              <a:t>  vs  inundated area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mitig-area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(DSRs!$O$8,DSRs!$O$14,DSRs!$O$26,DSRs!$O$49,DSRs!$O$74,DSRs!$O$103,DSRs!$O$132,DSRs!$O$153)</c:f>
              <c:numCache>
                <c:formatCode>0.00%</c:formatCode>
                <c:ptCount val="8"/>
                <c:pt idx="0">
                  <c:v>-4.2682926829268296E-2</c:v>
                </c:pt>
                <c:pt idx="1">
                  <c:v>-9.1463414634146339E-2</c:v>
                </c:pt>
                <c:pt idx="2">
                  <c:v>-2.4390243902439025E-2</c:v>
                </c:pt>
                <c:pt idx="3">
                  <c:v>-4.878048780487805E-2</c:v>
                </c:pt>
                <c:pt idx="4">
                  <c:v>-6.097560975609756E-2</c:v>
                </c:pt>
                <c:pt idx="5">
                  <c:v>-0.1402439024390244</c:v>
                </c:pt>
                <c:pt idx="6">
                  <c:v>-5.4878048780487805E-2</c:v>
                </c:pt>
                <c:pt idx="7">
                  <c:v>-7.926829268292683E-2</c:v>
                </c:pt>
              </c:numCache>
            </c:numRef>
          </c:xVal>
          <c:yVal>
            <c:numRef>
              <c:f>(DSRs!$D$10,DSRs!$D$22,DSRs!$D$45,DSRs!$D$70,DSRs!$D$99,DSRs!$D$128,DSRs!$D$149,DSRs!$D$167)</c:f>
              <c:numCache>
                <c:formatCode>0.00</c:formatCode>
                <c:ptCount val="8"/>
                <c:pt idx="0" formatCode="General">
                  <c:v>70945.294229999898</c:v>
                </c:pt>
                <c:pt idx="1">
                  <c:v>44892.237065699876</c:v>
                </c:pt>
                <c:pt idx="2">
                  <c:v>164607.00510599985</c:v>
                </c:pt>
                <c:pt idx="3">
                  <c:v>174552.03832299978</c:v>
                </c:pt>
                <c:pt idx="4">
                  <c:v>138215.84864769969</c:v>
                </c:pt>
                <c:pt idx="5">
                  <c:v>153388.80807179972</c:v>
                </c:pt>
                <c:pt idx="6">
                  <c:v>251606.40904099966</c:v>
                </c:pt>
                <c:pt idx="7">
                  <c:v>235238.19746299958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A9-4448-AA3A-BED5C1CB1B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5991471"/>
        <c:axId val="1926010607"/>
      </c:scatterChart>
      <c:valAx>
        <c:axId val="1925991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6010607"/>
        <c:crosses val="autoZero"/>
        <c:crossBetween val="midCat"/>
      </c:valAx>
      <c:valAx>
        <c:axId val="1926010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59914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 reduction</a:t>
            </a:r>
            <a:r>
              <a:rPr lang="en-US" baseline="0"/>
              <a:t>  vs  "USDA ponds" </a:t>
            </a:r>
            <a:r>
              <a:rPr lang="en-US"/>
              <a:t>power func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mitig-FIXED_cost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(DSRs!$O$8,DSRs!$O$14,DSRs!$O$26,DSRs!$O$49,DSRs!$O$74,DSRs!$O$103,DSRs!$O$132,DSRs!$O$153)</c:f>
              <c:numCache>
                <c:formatCode>0.00%</c:formatCode>
                <c:ptCount val="8"/>
                <c:pt idx="0">
                  <c:v>-4.2682926829268296E-2</c:v>
                </c:pt>
                <c:pt idx="1">
                  <c:v>-9.1463414634146339E-2</c:v>
                </c:pt>
                <c:pt idx="2">
                  <c:v>-2.4390243902439025E-2</c:v>
                </c:pt>
                <c:pt idx="3">
                  <c:v>-4.878048780487805E-2</c:v>
                </c:pt>
                <c:pt idx="4">
                  <c:v>-6.097560975609756E-2</c:v>
                </c:pt>
                <c:pt idx="5">
                  <c:v>-0.1402439024390244</c:v>
                </c:pt>
                <c:pt idx="6">
                  <c:v>-5.4878048780487805E-2</c:v>
                </c:pt>
                <c:pt idx="7">
                  <c:v>-7.926829268292683E-2</c:v>
                </c:pt>
              </c:numCache>
            </c:numRef>
          </c:xVal>
          <c:yVal>
            <c:numRef>
              <c:f>(DSRs!$L$10,DSRs!$L$22,DSRs!$L$45,DSRs!$L$70,DSRs!$L$99,DSRs!$L$128,DSRs!$L$149,DSRs!$L$167)</c:f>
              <c:numCache>
                <c:formatCode>"$"#,##0.00</c:formatCode>
                <c:ptCount val="8"/>
                <c:pt idx="0">
                  <c:v>193329.37706405501</c:v>
                </c:pt>
                <c:pt idx="1">
                  <c:v>280622.8599846455</c:v>
                </c:pt>
                <c:pt idx="2">
                  <c:v>515106.86821963557</c:v>
                </c:pt>
                <c:pt idx="3">
                  <c:v>635853.38752558106</c:v>
                </c:pt>
                <c:pt idx="4">
                  <c:v>500996.20372546889</c:v>
                </c:pt>
                <c:pt idx="5">
                  <c:v>848565.19895849947</c:v>
                </c:pt>
                <c:pt idx="6">
                  <c:v>314996.96473552997</c:v>
                </c:pt>
                <c:pt idx="7">
                  <c:v>439146.92193391203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64-4E5D-B9A1-0679EC58C4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5991471"/>
        <c:axId val="1926010607"/>
      </c:scatterChart>
      <c:valAx>
        <c:axId val="1925991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6010607"/>
        <c:crosses val="autoZero"/>
        <c:crossBetween val="midCat"/>
      </c:valAx>
      <c:valAx>
        <c:axId val="1926010607"/>
        <c:scaling>
          <c:orientation val="minMax"/>
          <c:max val="1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59914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</a:t>
            </a:r>
            <a:r>
              <a:rPr lang="en-US" baseline="0"/>
              <a:t> reduction  vs  "CC ponds" cost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mitig-cost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(DSRs!$O$8,DSRs!$O$14,DSRs!$O$26,DSRs!$O$49,DSRs!$O$74,DSRs!$O$103,DSRs!$O$132,DSRs!$O$153)</c:f>
              <c:numCache>
                <c:formatCode>0.00%</c:formatCode>
                <c:ptCount val="8"/>
                <c:pt idx="0">
                  <c:v>-4.2682926829268296E-2</c:v>
                </c:pt>
                <c:pt idx="1">
                  <c:v>-9.1463414634146339E-2</c:v>
                </c:pt>
                <c:pt idx="2">
                  <c:v>-2.4390243902439025E-2</c:v>
                </c:pt>
                <c:pt idx="3">
                  <c:v>-4.878048780487805E-2</c:v>
                </c:pt>
                <c:pt idx="4">
                  <c:v>-6.097560975609756E-2</c:v>
                </c:pt>
                <c:pt idx="5">
                  <c:v>-0.1402439024390244</c:v>
                </c:pt>
                <c:pt idx="6">
                  <c:v>-5.4878048780487805E-2</c:v>
                </c:pt>
                <c:pt idx="7">
                  <c:v>-7.926829268292683E-2</c:v>
                </c:pt>
              </c:numCache>
            </c:numRef>
          </c:xVal>
          <c:yVal>
            <c:numRef>
              <c:f>(DSRs!$N$10,DSRs!$N$22,DSRs!$N$45,DSRs!$N$70,DSRs!$N$99,DSRs!$N$128,DSRs!$N$149,DSRs!$N$167)</c:f>
              <c:numCache>
                <c:formatCode>"$"#,##0.00</c:formatCode>
                <c:ptCount val="8"/>
                <c:pt idx="0">
                  <c:v>174086.87808596299</c:v>
                </c:pt>
                <c:pt idx="1">
                  <c:v>276881.20907322166</c:v>
                </c:pt>
                <c:pt idx="2">
                  <c:v>482282.34950478113</c:v>
                </c:pt>
                <c:pt idx="3">
                  <c:v>611334.36158625048</c:v>
                </c:pt>
                <c:pt idx="4">
                  <c:v>489921.11232727411</c:v>
                </c:pt>
                <c:pt idx="5">
                  <c:v>834671.4066737449</c:v>
                </c:pt>
                <c:pt idx="6">
                  <c:v>319546.46555889345</c:v>
                </c:pt>
                <c:pt idx="7">
                  <c:v>435701.65374963469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1A-429B-B6E1-99406DEB58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5991471"/>
        <c:axId val="1926010607"/>
      </c:scatterChart>
      <c:valAx>
        <c:axId val="1925991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6010607"/>
        <c:crosses val="autoZero"/>
        <c:crossBetween val="midCat"/>
      </c:valAx>
      <c:valAx>
        <c:axId val="1926010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59914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</a:t>
            </a:r>
            <a:r>
              <a:rPr lang="en-US" baseline="0"/>
              <a:t> reduction  vs  "CC ponds hauled earthfill" cost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mitig-cost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(DSRs!$O$8,DSRs!$O$14,DSRs!$O$26,DSRs!$O$49,DSRs!$O$74,DSRs!$O$103,DSRs!$O$132,DSRs!$O$153)</c:f>
              <c:numCache>
                <c:formatCode>0.00%</c:formatCode>
                <c:ptCount val="8"/>
                <c:pt idx="0">
                  <c:v>-4.2682926829268296E-2</c:v>
                </c:pt>
                <c:pt idx="1">
                  <c:v>-9.1463414634146339E-2</c:v>
                </c:pt>
                <c:pt idx="2">
                  <c:v>-2.4390243902439025E-2</c:v>
                </c:pt>
                <c:pt idx="3">
                  <c:v>-4.878048780487805E-2</c:v>
                </c:pt>
                <c:pt idx="4">
                  <c:v>-6.097560975609756E-2</c:v>
                </c:pt>
                <c:pt idx="5">
                  <c:v>-0.1402439024390244</c:v>
                </c:pt>
                <c:pt idx="6">
                  <c:v>-5.4878048780487805E-2</c:v>
                </c:pt>
                <c:pt idx="7">
                  <c:v>-7.926829268292683E-2</c:v>
                </c:pt>
              </c:numCache>
            </c:numRef>
          </c:xVal>
          <c:yVal>
            <c:numRef>
              <c:f>(DSRs!$O$10,DSRs!$O$22,DSRs!$O$45,DSRs!$O$70,DSRs!$O$99,DSRs!$O$128,DSRs!$O$149,DSRs!$O$167)</c:f>
              <c:numCache>
                <c:formatCode>"$"#,##0.00</c:formatCode>
                <c:ptCount val="8"/>
                <c:pt idx="0">
                  <c:v>200027.481198742</c:v>
                </c:pt>
                <c:pt idx="1">
                  <c:v>324698.06060591689</c:v>
                </c:pt>
                <c:pt idx="2">
                  <c:v>654173.69524954061</c:v>
                </c:pt>
                <c:pt idx="3">
                  <c:v>789124.76237908367</c:v>
                </c:pt>
                <c:pt idx="4">
                  <c:v>674922.72379682318</c:v>
                </c:pt>
                <c:pt idx="5">
                  <c:v>1020766.8504542671</c:v>
                </c:pt>
                <c:pt idx="6">
                  <c:v>411234.8811853276</c:v>
                </c:pt>
                <c:pt idx="7">
                  <c:v>524263.92691913684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07-40A1-946E-56FB4E6600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5991471"/>
        <c:axId val="1926010607"/>
      </c:scatterChart>
      <c:valAx>
        <c:axId val="1925991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6010607"/>
        <c:crosses val="autoZero"/>
        <c:crossBetween val="midCat"/>
      </c:valAx>
      <c:valAx>
        <c:axId val="1926010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59914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5.xml"/><Relationship Id="rId13" Type="http://schemas.openxmlformats.org/officeDocument/2006/relationships/chart" Target="../charts/chart20.xml"/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12" Type="http://schemas.openxmlformats.org/officeDocument/2006/relationships/chart" Target="../charts/chart19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11" Type="http://schemas.openxmlformats.org/officeDocument/2006/relationships/chart" Target="../charts/chart18.xml"/><Relationship Id="rId5" Type="http://schemas.openxmlformats.org/officeDocument/2006/relationships/chart" Target="../charts/chart12.xml"/><Relationship Id="rId10" Type="http://schemas.openxmlformats.org/officeDocument/2006/relationships/chart" Target="../charts/chart17.xml"/><Relationship Id="rId4" Type="http://schemas.openxmlformats.org/officeDocument/2006/relationships/chart" Target="../charts/chart11.xml"/><Relationship Id="rId9" Type="http://schemas.openxmlformats.org/officeDocument/2006/relationships/chart" Target="../charts/chart16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3.xml"/><Relationship Id="rId2" Type="http://schemas.openxmlformats.org/officeDocument/2006/relationships/chart" Target="../charts/chart22.xml"/><Relationship Id="rId1" Type="http://schemas.openxmlformats.org/officeDocument/2006/relationships/chart" Target="../charts/chart21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6.xml"/><Relationship Id="rId2" Type="http://schemas.openxmlformats.org/officeDocument/2006/relationships/chart" Target="../charts/chart25.xml"/><Relationship Id="rId1" Type="http://schemas.openxmlformats.org/officeDocument/2006/relationships/chart" Target="../charts/chart24.xml"/><Relationship Id="rId5" Type="http://schemas.openxmlformats.org/officeDocument/2006/relationships/chart" Target="../charts/chart28.xml"/><Relationship Id="rId4" Type="http://schemas.openxmlformats.org/officeDocument/2006/relationships/chart" Target="../charts/chart2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263525</xdr:colOff>
      <xdr:row>1</xdr:row>
      <xdr:rowOff>6350</xdr:rowOff>
    </xdr:from>
    <xdr:to>
      <xdr:col>15</xdr:col>
      <xdr:colOff>568325</xdr:colOff>
      <xdr:row>15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E036DD-C676-4030-8059-FBE7E7A2F1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606425</xdr:colOff>
      <xdr:row>26</xdr:row>
      <xdr:rowOff>38100</xdr:rowOff>
    </xdr:from>
    <xdr:to>
      <xdr:col>12</xdr:col>
      <xdr:colOff>85725</xdr:colOff>
      <xdr:row>41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3CEF08-6AF3-476B-81E7-CA9AD307F8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467178</xdr:colOff>
      <xdr:row>6</xdr:row>
      <xdr:rowOff>48079</xdr:rowOff>
    </xdr:from>
    <xdr:to>
      <xdr:col>35</xdr:col>
      <xdr:colOff>176892</xdr:colOff>
      <xdr:row>21</xdr:row>
      <xdr:rowOff>69850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EE983BA-FF0F-4705-AF59-4B6BDD9DB8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258536</xdr:colOff>
      <xdr:row>45</xdr:row>
      <xdr:rowOff>25400</xdr:rowOff>
    </xdr:from>
    <xdr:to>
      <xdr:col>16</xdr:col>
      <xdr:colOff>576036</xdr:colOff>
      <xdr:row>60</xdr:row>
      <xdr:rowOff>47172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6975E0B-A082-4043-A17B-5657C4B2C0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136525</xdr:colOff>
      <xdr:row>2</xdr:row>
      <xdr:rowOff>66675</xdr:rowOff>
    </xdr:from>
    <xdr:to>
      <xdr:col>14</xdr:col>
      <xdr:colOff>441325</xdr:colOff>
      <xdr:row>17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5E1A1E-8248-4A13-8CEA-F35377ED24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190500</xdr:colOff>
      <xdr:row>23</xdr:row>
      <xdr:rowOff>127000</xdr:rowOff>
    </xdr:from>
    <xdr:to>
      <xdr:col>14</xdr:col>
      <xdr:colOff>495300</xdr:colOff>
      <xdr:row>38</xdr:row>
      <xdr:rowOff>107950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27C538D-7817-40B7-B170-5E0FF497CA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390525</xdr:colOff>
      <xdr:row>0</xdr:row>
      <xdr:rowOff>177800</xdr:rowOff>
    </xdr:from>
    <xdr:to>
      <xdr:col>13</xdr:col>
      <xdr:colOff>85725</xdr:colOff>
      <xdr:row>15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8FCC95-1374-4BDF-98F4-16F1D270B0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22225</xdr:colOff>
      <xdr:row>2</xdr:row>
      <xdr:rowOff>28575</xdr:rowOff>
    </xdr:from>
    <xdr:to>
      <xdr:col>13</xdr:col>
      <xdr:colOff>327025</xdr:colOff>
      <xdr:row>17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0E9F13-FB11-4AE4-B2FD-8E76B3E0EF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789215</xdr:colOff>
      <xdr:row>37</xdr:row>
      <xdr:rowOff>170542</xdr:rowOff>
    </xdr:from>
    <xdr:to>
      <xdr:col>15</xdr:col>
      <xdr:colOff>127000</xdr:colOff>
      <xdr:row>61</xdr:row>
      <xdr:rowOff>45357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65CFC43-C2A1-437F-B20A-BF983DE471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362857</xdr:colOff>
      <xdr:row>16</xdr:row>
      <xdr:rowOff>9072</xdr:rowOff>
    </xdr:from>
    <xdr:to>
      <xdr:col>26</xdr:col>
      <xdr:colOff>72571</xdr:colOff>
      <xdr:row>31</xdr:row>
      <xdr:rowOff>30843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39195E2-E647-4A66-A85E-48E275EC00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589642</xdr:colOff>
      <xdr:row>38</xdr:row>
      <xdr:rowOff>54428</xdr:rowOff>
    </xdr:from>
    <xdr:to>
      <xdr:col>27</xdr:col>
      <xdr:colOff>240393</xdr:colOff>
      <xdr:row>61</xdr:row>
      <xdr:rowOff>110672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C762498-80F9-45D4-A145-CFE5305847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27</xdr:col>
      <xdr:colOff>40820</xdr:colOff>
      <xdr:row>13</xdr:row>
      <xdr:rowOff>61686</xdr:rowOff>
    </xdr:from>
    <xdr:to>
      <xdr:col>34</xdr:col>
      <xdr:colOff>358320</xdr:colOff>
      <xdr:row>28</xdr:row>
      <xdr:rowOff>83457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59AC2B6-B422-479B-8239-DD70C528AB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28</xdr:col>
      <xdr:colOff>72572</xdr:colOff>
      <xdr:row>38</xdr:row>
      <xdr:rowOff>72572</xdr:rowOff>
    </xdr:from>
    <xdr:to>
      <xdr:col>35</xdr:col>
      <xdr:colOff>390072</xdr:colOff>
      <xdr:row>58</xdr:row>
      <xdr:rowOff>94344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3DBA146-8CC2-478E-BDDC-4CEC765646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19</xdr:col>
      <xdr:colOff>458106</xdr:colOff>
      <xdr:row>63</xdr:row>
      <xdr:rowOff>134256</xdr:rowOff>
    </xdr:from>
    <xdr:to>
      <xdr:col>27</xdr:col>
      <xdr:colOff>167821</xdr:colOff>
      <xdr:row>78</xdr:row>
      <xdr:rowOff>156027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DBABC09-5B14-45CE-B2E6-0B14B59898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27</xdr:col>
      <xdr:colOff>444501</xdr:colOff>
      <xdr:row>63</xdr:row>
      <xdr:rowOff>145144</xdr:rowOff>
    </xdr:from>
    <xdr:to>
      <xdr:col>35</xdr:col>
      <xdr:colOff>154215</xdr:colOff>
      <xdr:row>78</xdr:row>
      <xdr:rowOff>166915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569E4D7-78A3-460C-8D1A-00CF2F44EC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19</xdr:col>
      <xdr:colOff>467178</xdr:colOff>
      <xdr:row>79</xdr:row>
      <xdr:rowOff>134258</xdr:rowOff>
    </xdr:from>
    <xdr:to>
      <xdr:col>27</xdr:col>
      <xdr:colOff>176893</xdr:colOff>
      <xdr:row>94</xdr:row>
      <xdr:rowOff>156029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9222E9E1-77B5-4C21-B27C-2C14FA409A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20</xdr:col>
      <xdr:colOff>0</xdr:colOff>
      <xdr:row>98</xdr:row>
      <xdr:rowOff>0</xdr:rowOff>
    </xdr:from>
    <xdr:to>
      <xdr:col>27</xdr:col>
      <xdr:colOff>317500</xdr:colOff>
      <xdr:row>113</xdr:row>
      <xdr:rowOff>21771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1DC8BC54-DCE1-491A-9712-77DA3335A2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27</xdr:col>
      <xdr:colOff>594180</xdr:colOff>
      <xdr:row>98</xdr:row>
      <xdr:rowOff>10888</xdr:rowOff>
    </xdr:from>
    <xdr:to>
      <xdr:col>35</xdr:col>
      <xdr:colOff>303894</xdr:colOff>
      <xdr:row>113</xdr:row>
      <xdr:rowOff>32659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C3C1C493-A7D3-4D59-B9B1-4815C91C85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20</xdr:col>
      <xdr:colOff>0</xdr:colOff>
      <xdr:row>118</xdr:row>
      <xdr:rowOff>0</xdr:rowOff>
    </xdr:from>
    <xdr:to>
      <xdr:col>27</xdr:col>
      <xdr:colOff>317500</xdr:colOff>
      <xdr:row>133</xdr:row>
      <xdr:rowOff>21771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8D4756A-CAA4-442F-83D2-4384994765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27</xdr:col>
      <xdr:colOff>594180</xdr:colOff>
      <xdr:row>118</xdr:row>
      <xdr:rowOff>10888</xdr:rowOff>
    </xdr:from>
    <xdr:to>
      <xdr:col>35</xdr:col>
      <xdr:colOff>303894</xdr:colOff>
      <xdr:row>133</xdr:row>
      <xdr:rowOff>32659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908975BC-7D96-4341-B219-660C934BCE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125319</xdr:colOff>
      <xdr:row>11</xdr:row>
      <xdr:rowOff>195543</xdr:rowOff>
    </xdr:from>
    <xdr:to>
      <xdr:col>16</xdr:col>
      <xdr:colOff>430119</xdr:colOff>
      <xdr:row>21</xdr:row>
      <xdr:rowOff>94503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03F298-403B-4EC8-A6A4-0F908DB955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134471</xdr:colOff>
      <xdr:row>1</xdr:row>
      <xdr:rowOff>82177</xdr:rowOff>
    </xdr:from>
    <xdr:to>
      <xdr:col>16</xdr:col>
      <xdr:colOff>439271</xdr:colOff>
      <xdr:row>10</xdr:row>
      <xdr:rowOff>181723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719395D-BA41-41A1-942E-97BC145BF4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127000</xdr:colOff>
      <xdr:row>21</xdr:row>
      <xdr:rowOff>201707</xdr:rowOff>
    </xdr:from>
    <xdr:to>
      <xdr:col>16</xdr:col>
      <xdr:colOff>431800</xdr:colOff>
      <xdr:row>30</xdr:row>
      <xdr:rowOff>108137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E25B38D-01C1-4807-95C9-A1629C45E6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796636</xdr:colOff>
      <xdr:row>1</xdr:row>
      <xdr:rowOff>135709</xdr:rowOff>
    </xdr:from>
    <xdr:to>
      <xdr:col>33</xdr:col>
      <xdr:colOff>537436</xdr:colOff>
      <xdr:row>19</xdr:row>
      <xdr:rowOff>47923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BC34EA-CF46-4205-85D1-96CAD65E4C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31</xdr:col>
      <xdr:colOff>262306</xdr:colOff>
      <xdr:row>21</xdr:row>
      <xdr:rowOff>139413</xdr:rowOff>
    </xdr:from>
    <xdr:to>
      <xdr:col>37</xdr:col>
      <xdr:colOff>504658</xdr:colOff>
      <xdr:row>39</xdr:row>
      <xdr:rowOff>59585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FD34B09-38DC-452D-9488-44BB01BD3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773545</xdr:colOff>
      <xdr:row>1</xdr:row>
      <xdr:rowOff>134089</xdr:rowOff>
    </xdr:from>
    <xdr:to>
      <xdr:col>28</xdr:col>
      <xdr:colOff>624266</xdr:colOff>
      <xdr:row>19</xdr:row>
      <xdr:rowOff>46303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7896AB8-C409-4339-948C-58779DF1C7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33</xdr:col>
      <xdr:colOff>780143</xdr:colOff>
      <xdr:row>1</xdr:row>
      <xdr:rowOff>145143</xdr:rowOff>
    </xdr:from>
    <xdr:to>
      <xdr:col>40</xdr:col>
      <xdr:colOff>196273</xdr:colOff>
      <xdr:row>19</xdr:row>
      <xdr:rowOff>57357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32E23C1-F325-4826-AD0A-4A17589F6E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0</xdr:colOff>
      <xdr:row>22</xdr:row>
      <xdr:rowOff>0</xdr:rowOff>
    </xdr:from>
    <xdr:to>
      <xdr:col>30</xdr:col>
      <xdr:colOff>570676</xdr:colOff>
      <xdr:row>39</xdr:row>
      <xdr:rowOff>96941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78ADA76-FDA2-4CBE-8295-15CC5FBCC1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997C35-D547-4FC8-A74B-C29FCE222685}" name="Table2" displayName="Table2" ref="B27:S45" totalsRowShown="0" headerRowDxfId="172" headerRowBorderDxfId="171" tableBorderDxfId="170">
  <autoFilter ref="B27:S45" xr:uid="{A0997C35-D547-4FC8-A74B-C29FCE222685}"/>
  <tableColumns count="18">
    <tableColumn id="1" xr3:uid="{7FB88A76-042E-4839-B395-C4508F05F609}" name="damID" dataDxfId="169"/>
    <tableColumn id="2" xr3:uid="{39E51ED8-F1D0-439E-8706-BB7D1B7378FD}" name="VOLmax" dataDxfId="168"/>
    <tableColumn id="3" xr3:uid="{B1670CC3-DBE6-4411-B343-B174AF3748F7}" name="AREAmax" dataDxfId="167"/>
    <tableColumn id="4" xr3:uid="{930339A9-3A09-4A4A-B826-AC2F7F917314}" name="damVol_yds" dataDxfId="166"/>
    <tableColumn id="5" xr3:uid="{BC8EFCC8-F26A-4A11-8AB2-09BCA4511B5B}" name="pipe_cost" dataDxfId="165" dataCellStyle="Currency"/>
    <tableColumn id="6" xr3:uid="{89C01737-6908-4FCC-933E-9E8643165F49}" name="planting_c" dataDxfId="164" dataCellStyle="Currency"/>
    <tableColumn id="7" xr3:uid="{84C338FA-172B-493E-933F-09084262C4CA}" name="ef_USDA_po" dataDxfId="163"/>
    <tableColumn id="8" xr3:uid="{DEED31C9-6095-4ACE-85A7-D733F567170F}" name="ef_dikeUSD" dataDxfId="162"/>
    <tableColumn id="9" xr3:uid="{8DB19F42-3C27-41E9-9D90-9F028F8731EC}" name="ef_CC_cost" dataDxfId="161"/>
    <tableColumn id="13" xr3:uid="{426CBB56-09B7-4F5F-A2F8-8FF4B94161FF}" name="ef_CChaul_" dataDxfId="160"/>
    <tableColumn id="10" xr3:uid="{92C9E5A9-9035-4B9D-827A-5412CAECF71D}" name="USDA_pow_t" dataDxfId="159"/>
    <tableColumn id="11" xr3:uid="{B5DCB378-5309-4079-8109-5FFF03F6B4EA}" name="dikeUSDA_t" dataDxfId="158"/>
    <tableColumn id="12" xr3:uid="{A7A37027-3E20-40D8-88CD-E30CD4DC918B}" name="cc_total" dataDxfId="157"/>
    <tableColumn id="14" xr3:uid="{0A5DBBEF-A1D9-4D41-B43A-AEF8F6FC0CD3}" name="CChaul_tot" dataDxfId="156"/>
    <tableColumn id="15" xr3:uid="{871DE2F1-0D65-415C-83F3-36CA95586283}" name="pow_x_yd3" dataDxfId="155"/>
    <tableColumn id="16" xr3:uid="{100CBBDF-BECE-4B8D-B3EF-0BB052479BEF}" name="dike_x_yd3" dataDxfId="154"/>
    <tableColumn id="17" xr3:uid="{43B802A7-07BD-4F65-9942-B6BB7AF13947}" name="cc_x_yd3" dataDxfId="153"/>
    <tableColumn id="18" xr3:uid="{77341955-F7E8-4F96-984B-814500CE40D1}" name="CChaul_x_y" dataDxfId="15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E2D5744-52DD-4A51-8591-C55B2B72FE16}" name="Table24" displayName="Table24" ref="B15:S23" totalsRowCount="1" headerRowDxfId="151" headerRowBorderDxfId="150" tableBorderDxfId="149">
  <autoFilter ref="B15:S22" xr:uid="{5E2D5744-52DD-4A51-8591-C55B2B72FE16}"/>
  <tableColumns count="18">
    <tableColumn id="1" xr3:uid="{C0441F01-B78B-4A72-963A-78830BF905C7}" name="damID" dataDxfId="148" totalsRowDxfId="147"/>
    <tableColumn id="2" xr3:uid="{FDB162FB-0FDE-4A5B-81EB-5D52E580C404}" name="VOLmax" dataDxfId="146" totalsRowDxfId="145"/>
    <tableColumn id="3" xr3:uid="{0B2A3538-5911-471B-8335-8FBF2F37F3EB}" name="AREAmax" dataDxfId="144" totalsRowDxfId="143"/>
    <tableColumn id="4" xr3:uid="{35BF2671-2C22-45BF-9E20-45501EE08877}" name="damVol_yds" dataDxfId="142" totalsRowDxfId="141"/>
    <tableColumn id="5" xr3:uid="{8D6F828D-5B9E-4992-8C5D-64EA71A189D5}" name="pipe_cost" dataDxfId="140" totalsRowDxfId="139" dataCellStyle="Currency"/>
    <tableColumn id="6" xr3:uid="{07C6AA0F-805B-47CF-BD3C-13FD4A948D61}" name="planting_c" dataDxfId="138" totalsRowDxfId="137" dataCellStyle="Currency"/>
    <tableColumn id="7" xr3:uid="{829F312E-2289-4F7E-A6C7-7D534E85665B}" name="ef_USDA_po" totalsRowFunction="custom" dataDxfId="136" totalsRowDxfId="135">
      <totalsRowFormula array="1">H22-Table8[ef_USDA_po]</totalsRowFormula>
    </tableColumn>
    <tableColumn id="8" xr3:uid="{E669BE96-6D6F-48DF-AFF3-69BD66DB4FA0}" name="ef_dikeUSD" totalsRowFunction="custom" dataDxfId="134" totalsRowDxfId="133">
      <totalsRowFormula array="1">I22-Table8[ef_dikeUSD]</totalsRowFormula>
    </tableColumn>
    <tableColumn id="9" xr3:uid="{B9903A92-A6D3-4705-8EB0-4DB43D187C51}" name="ef_CC_cost" totalsRowFunction="custom" dataDxfId="132" totalsRowDxfId="131">
      <totalsRowFormula array="1">J22-Table8[ef_CC_cost]</totalsRowFormula>
    </tableColumn>
    <tableColumn id="16" xr3:uid="{D8C0AD9F-290E-41D1-BEB4-AB5C09979D75}" name="ef_CChaul_" dataDxfId="130" totalsRowDxfId="129"/>
    <tableColumn id="10" xr3:uid="{5723EFBC-5561-4273-A88B-CF90B44FD3B3}" name="USDA_pow_t" totalsRowFunction="custom" dataDxfId="128" totalsRowDxfId="127">
      <totalsRowFormula array="1">L22-Table8[USDA_pow_t]</totalsRowFormula>
    </tableColumn>
    <tableColumn id="11" xr3:uid="{549704B2-AEBF-4447-BEAF-8F6713793619}" name="dikeUSDA_t" totalsRowFunction="custom" dataDxfId="126" totalsRowDxfId="125">
      <totalsRowFormula array="1">M22-Table8[dikeUSDA_t]</totalsRowFormula>
    </tableColumn>
    <tableColumn id="12" xr3:uid="{445A15EB-E2A2-4E41-B4B7-552A899E7D1B}" name="cc_total" totalsRowFunction="custom" dataDxfId="124" totalsRowDxfId="123">
      <totalsRowFormula array="1">N22-Table8[cc_total]</totalsRowFormula>
    </tableColumn>
    <tableColumn id="17" xr3:uid="{5BE55202-D43B-449A-82BE-E08F8F7BD58F}" name="CChaul_tot" dataDxfId="122" totalsRowDxfId="121"/>
    <tableColumn id="13" xr3:uid="{1FB6185D-B139-457E-961B-1FB811434979}" name="pow_x_yd3" dataDxfId="120" totalsRowDxfId="119"/>
    <tableColumn id="14" xr3:uid="{DAF1DDC3-1D87-4BEE-8377-FB6E4B68126B}" name="dike_x_yd3" dataDxfId="118" totalsRowDxfId="117"/>
    <tableColumn id="15" xr3:uid="{F488FCC0-D938-462D-9100-50D41709A5F8}" name="cc_x_yd3" totalsRowDxfId="116"/>
    <tableColumn id="18" xr3:uid="{21E49EAD-D079-43FD-AEE2-AC65BBB89437}" name="CChaul_x_y" dataDxfId="115" totalsRowDxfId="11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9E7AE21-B49F-446D-AE27-AA6C7C74F3DE}" name="Table26" displayName="Table26" ref="B50:S70" totalsRowShown="0" headerRowDxfId="113" headerRowBorderDxfId="112" tableBorderDxfId="111">
  <autoFilter ref="B50:S70" xr:uid="{99E7AE21-B49F-446D-AE27-AA6C7C74F3DE}"/>
  <tableColumns count="18">
    <tableColumn id="1" xr3:uid="{19EBC475-2D1F-4318-A83D-E27C8A84F45D}" name="damID" dataDxfId="110"/>
    <tableColumn id="2" xr3:uid="{88CBE2A0-8199-461E-AD2D-1A559893D2B7}" name="VOLmax" dataDxfId="109"/>
    <tableColumn id="3" xr3:uid="{433C8885-5E1C-4089-B2FA-E834BF80789B}" name="AREAmax" dataDxfId="108"/>
    <tableColumn id="4" xr3:uid="{ACAEC588-244D-4C80-9A57-A3159F2D75BD}" name="damVol_yds" dataDxfId="107"/>
    <tableColumn id="5" xr3:uid="{2E7A5DB7-EFB5-44F7-B172-B82FDE32D949}" name="pipe_cost" dataDxfId="106" dataCellStyle="Currency"/>
    <tableColumn id="6" xr3:uid="{8BA9C763-B25B-4620-8E62-24A95F102479}" name="planting_c" dataDxfId="105" dataCellStyle="Currency"/>
    <tableColumn id="7" xr3:uid="{08A39FF5-4281-45E3-912C-18068C5B9989}" name="ef_USDA_po" dataDxfId="104"/>
    <tableColumn id="8" xr3:uid="{ED713A8C-BE60-473B-84E1-63D6C1E9394B}" name="ef_dikeUSD" dataDxfId="103"/>
    <tableColumn id="9" xr3:uid="{BF3AE9A6-50D2-4C93-818E-4EE9E6EA3EEF}" name="ef_CC_cost" dataDxfId="102"/>
    <tableColumn id="16" xr3:uid="{8F069472-339E-4FB2-8CB4-654BDDA1DEC9}" name="ef_CChaul_"/>
    <tableColumn id="10" xr3:uid="{E4734B24-76CD-4CAF-8683-2AA96FDD2020}" name="USDA_pow_t" dataDxfId="101"/>
    <tableColumn id="11" xr3:uid="{B633CAD2-2297-41F5-97A7-8471E814148F}" name="dikeUSDA_t" dataDxfId="100"/>
    <tableColumn id="12" xr3:uid="{0B27DD40-A068-439D-9F1D-624CC30F5468}" name="cc_total" dataDxfId="99"/>
    <tableColumn id="17" xr3:uid="{8C56E7AA-A2FD-4BFD-B03E-6832B6C16876}" name="CChaul_tot"/>
    <tableColumn id="13" xr3:uid="{A9EB618E-120D-453F-825B-E15C7F437006}" name="pow_x_yd3" dataDxfId="98"/>
    <tableColumn id="14" xr3:uid="{1899318D-0439-488F-B85E-E46B7C1C73E1}" name="dike_x_yd3" dataDxfId="97"/>
    <tableColumn id="15" xr3:uid="{79361FC0-F0DD-4872-B52B-360EAA2587B7}" name="cc_x_yd3"/>
    <tableColumn id="18" xr3:uid="{8565BCF9-71E9-4D39-8BEE-BCDCB3598450}" name="CChaul_x_y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ADFAFCE-9780-4BA9-839D-8DFD39670768}" name="Table27" displayName="Table27" ref="B75:S99" totalsRowShown="0" headerRowDxfId="96" headerRowBorderDxfId="95" tableBorderDxfId="94">
  <autoFilter ref="B75:S99" xr:uid="{6ADFAFCE-9780-4BA9-839D-8DFD39670768}"/>
  <tableColumns count="18">
    <tableColumn id="1" xr3:uid="{3024F6E0-6365-4ECA-97EB-43A436E5BC59}" name="damID" dataDxfId="93"/>
    <tableColumn id="2" xr3:uid="{109786C7-9EED-409A-90BF-C1AB6C6DAF2A}" name="VOLmax" dataDxfId="92"/>
    <tableColumn id="3" xr3:uid="{120E7886-5044-43FA-9E78-51EDC38AE6A2}" name="AREAmax" dataDxfId="91"/>
    <tableColumn id="4" xr3:uid="{A3B97E4D-6EAA-49B2-B878-E5216F892A5B}" name="damVol_yds" dataDxfId="90"/>
    <tableColumn id="5" xr3:uid="{1E2DD745-6D2D-4CF6-8749-90736199DB42}" name="pipe_cost" dataDxfId="89" dataCellStyle="Currency"/>
    <tableColumn id="6" xr3:uid="{EB9DE3CB-5DBD-439A-AD60-C9633FEE4DA0}" name="planting_c" dataDxfId="88" dataCellStyle="Currency"/>
    <tableColumn id="7" xr3:uid="{9ADEC0AE-339B-4D00-A4F5-D3206805CCFE}" name="ef_USDA_po" dataDxfId="87"/>
    <tableColumn id="8" xr3:uid="{178C2766-1B1E-423B-86FB-FDCA5ED715E5}" name="ef_dikeUSD" dataDxfId="86"/>
    <tableColumn id="9" xr3:uid="{812DE4AF-D55B-42F4-B385-17CEE7161FDA}" name="ef_CC_cost" dataDxfId="85"/>
    <tableColumn id="17" xr3:uid="{486C2B47-8358-40C4-8F9F-8EA014D241B1}" name="ef_CChaul_" dataDxfId="84"/>
    <tableColumn id="10" xr3:uid="{393A044C-EAE7-45D2-A59D-0AFFCF8E8AAD}" name="USDA_pow_t" dataDxfId="83"/>
    <tableColumn id="11" xr3:uid="{1B722BB3-83FB-4A89-9143-E8D4C0C68648}" name="dikeUSDA_t" dataDxfId="82"/>
    <tableColumn id="12" xr3:uid="{7D13F0E4-D109-43E0-8BD2-AD8EDD396B6B}" name="cc_total" dataDxfId="81"/>
    <tableColumn id="16" xr3:uid="{B94F49D8-AB9D-49F4-8813-AF6004284B5D}" name="CChaul_tot" dataDxfId="80"/>
    <tableColumn id="13" xr3:uid="{12CA280E-001D-47B2-925B-C425B375E990}" name="pow_x_yd3" dataDxfId="79"/>
    <tableColumn id="14" xr3:uid="{3B1161E7-2652-49AC-BCDB-12BE5002558A}" name="dike_x_yd3" dataDxfId="78"/>
    <tableColumn id="15" xr3:uid="{D5F859F4-72FC-474D-BDA2-D181C15F015D}" name="cc_x_yd3"/>
    <tableColumn id="18" xr3:uid="{5CD21AE2-A159-4011-BB55-1A3DAA2FCDBF}" name="CChaul_x_y" dataDxfId="77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155618-8BDD-420B-BB9F-6F07868262AA}" name="Table272" displayName="Table272" ref="B154:S167" totalsRowShown="0" headerRowDxfId="76" headerRowBorderDxfId="75" tableBorderDxfId="74">
  <autoFilter ref="B154:S167" xr:uid="{FB155618-8BDD-420B-BB9F-6F07868262AA}"/>
  <tableColumns count="18">
    <tableColumn id="1" xr3:uid="{3D2ABAE7-F4BB-480D-96C1-9FAAF942499B}" name="damID" dataDxfId="73"/>
    <tableColumn id="2" xr3:uid="{732DABC6-7BA9-443C-B723-8C74340D8B0E}" name="VOLmax" dataDxfId="72"/>
    <tableColumn id="3" xr3:uid="{D8D4DE6C-CBEA-4A61-96FC-8FFFECB9CDFB}" name="AREAmax" dataDxfId="71"/>
    <tableColumn id="4" xr3:uid="{0867522B-865A-4548-8C70-17226FFC9151}" name="damVol_yds" dataDxfId="70"/>
    <tableColumn id="5" xr3:uid="{205F75E9-66E1-4D25-AF18-7CE28CA7C7B1}" name="pipe_cost" dataDxfId="69" dataCellStyle="Currency"/>
    <tableColumn id="6" xr3:uid="{9849ACE6-1539-4F13-8305-ABAD9DFA8A0C}" name="planting_c" dataDxfId="68" dataCellStyle="Currency"/>
    <tableColumn id="7" xr3:uid="{EC9C5623-B53B-41B3-8E94-B5BDA72A8C10}" name="ef_USDA_po" dataDxfId="67"/>
    <tableColumn id="8" xr3:uid="{D46FFC66-C59D-4ACA-A4C1-74ABB9C42298}" name="ef_dikeUSD" dataDxfId="66"/>
    <tableColumn id="9" xr3:uid="{25B62B82-140A-4000-8B51-5120F534F900}" name="ef_CC_cost" dataDxfId="65"/>
    <tableColumn id="16" xr3:uid="{860E7063-E99E-4BEF-BFE0-284B8AD31297}" name="ef_CChaul_" dataDxfId="64"/>
    <tableColumn id="10" xr3:uid="{33E336ED-5B5B-4540-B21D-46ADBBAA7C0A}" name="USDA_pow_t" dataDxfId="63"/>
    <tableColumn id="11" xr3:uid="{C8AF32F4-DF99-4E85-B8F3-FCC0D21358D9}" name="dikeUSDA_t" dataDxfId="62"/>
    <tableColumn id="12" xr3:uid="{FE555FBA-61AF-4C73-899D-ABFAA0FE0936}" name="cc_total" dataDxfId="61"/>
    <tableColumn id="17" xr3:uid="{15354629-B18A-461B-950F-6D3D5CEB01DE}" name="CChaul_tot" dataDxfId="60"/>
    <tableColumn id="13" xr3:uid="{FD9064F4-6B55-4D06-AB61-436F6F1B7201}" name="pow_x_yd3" dataDxfId="59"/>
    <tableColumn id="14" xr3:uid="{3AE613CB-876B-4F7F-9D77-2AACC5F29EA9}" name="dike_x_yd3" dataDxfId="58"/>
    <tableColumn id="15" xr3:uid="{78660734-F419-41AF-B141-1509590809B5}" name="cc_x_yd3" dataDxfId="57"/>
    <tableColumn id="19" xr3:uid="{3C9A7231-968D-4F87-A874-62017A85BB2F}" name="CChaul_x_y" dataDxfId="56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77EF8CB-6AE4-4FF1-89BE-69D14B3D030C}" name="Table275" displayName="Table275" ref="B133:S149" totalsRowShown="0" headerRowDxfId="55" headerRowBorderDxfId="54" tableBorderDxfId="53">
  <autoFilter ref="B133:S149" xr:uid="{877EF8CB-6AE4-4FF1-89BE-69D14B3D030C}"/>
  <tableColumns count="18">
    <tableColumn id="1" xr3:uid="{2682BFE5-F8FA-41BE-80FD-19752161F84B}" name="damID" dataDxfId="52"/>
    <tableColumn id="2" xr3:uid="{CB32284F-2661-42FB-BA4B-D93D120EE009}" name="VOLmax" dataDxfId="51"/>
    <tableColumn id="3" xr3:uid="{7F8D60B1-978E-4266-94E0-21401159AEE1}" name="AREAmax" dataDxfId="50"/>
    <tableColumn id="4" xr3:uid="{BACF3671-6CE6-4F82-BE48-124E0F940EF6}" name="damVol_yds" dataDxfId="49"/>
    <tableColumn id="5" xr3:uid="{445414BB-988E-4877-8B1F-EA2FADA814E0}" name="pipe_cost" dataDxfId="48" dataCellStyle="Currency"/>
    <tableColumn id="6" xr3:uid="{3396A2E1-6555-45C1-A2BE-01F43944FDC9}" name="planting_c" dataDxfId="47" dataCellStyle="Currency"/>
    <tableColumn id="7" xr3:uid="{BAA960F3-CDE6-4AF6-9864-81C188B5A51B}" name="ef_USDA_po" dataDxfId="46"/>
    <tableColumn id="8" xr3:uid="{6405C244-02EC-42C0-99A5-AE5E90CCB7CC}" name="ef_dikeUSD" dataDxfId="45"/>
    <tableColumn id="9" xr3:uid="{6B57B60D-CDE4-4CC8-8298-F8527AD3216E}" name="ef_CC_cost" dataDxfId="44"/>
    <tableColumn id="16" xr3:uid="{B0205A41-A0EE-49E9-9481-02E4BA2E97D8}" name="ef_CChaul_" dataDxfId="43"/>
    <tableColumn id="10" xr3:uid="{48ABA0A8-FBD9-45DC-956E-4172E7BFB77C}" name="USDA_pow_t" dataDxfId="42"/>
    <tableColumn id="11" xr3:uid="{0CF1AA62-26F9-45DA-82B5-01E52ECDE321}" name="dikeUSDA_t" dataDxfId="41"/>
    <tableColumn id="12" xr3:uid="{06184B3F-1A0F-4E89-8955-E99878046792}" name="cc_total" dataDxfId="40"/>
    <tableColumn id="17" xr3:uid="{94403201-AC11-4ED8-A228-B2CBF7685A0C}" name="CChaul_tot" dataDxfId="39"/>
    <tableColumn id="13" xr3:uid="{FEA176AA-283A-4C28-8B6E-0EDAD5F57200}" name="pow_x_yd3" dataDxfId="38"/>
    <tableColumn id="14" xr3:uid="{71E51409-9477-4D5F-891C-715ABAB520B7}" name="dike_x_yd3" dataDxfId="37"/>
    <tableColumn id="15" xr3:uid="{1466067F-8B32-4935-85AE-D128DEE0A909}" name="cc_x_yd3" dataDxfId="36"/>
    <tableColumn id="19" xr3:uid="{561DB751-EF61-498A-90B8-E0AC4230A99D}" name="CChaul_x_y" dataDxfId="35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0D17848-F70F-4A8E-9AD2-AAF48277C425}" name="Table8" displayName="Table8" ref="B9:S10" totalsRowShown="0" headerRowDxfId="34" headerRowBorderDxfId="33" tableBorderDxfId="32">
  <autoFilter ref="B9:S10" xr:uid="{30D17848-F70F-4A8E-9AD2-AAF48277C425}"/>
  <tableColumns count="18">
    <tableColumn id="1" xr3:uid="{AB1DED01-2622-42B5-9BAD-D5FBB5D899BC}" name="damID" dataDxfId="31"/>
    <tableColumn id="2" xr3:uid="{9FE315CA-D7B0-4609-9999-E3D89476EB20}" name="VOLmax" dataDxfId="30"/>
    <tableColumn id="3" xr3:uid="{9D5652BC-EE69-45DC-A8A9-3629793E2521}" name="AREAmax" dataDxfId="29"/>
    <tableColumn id="4" xr3:uid="{0CAF477F-F433-4E62-94C0-79795E691DF7}" name="damVol_yds" dataDxfId="28"/>
    <tableColumn id="5" xr3:uid="{A1346802-793D-44E3-A5A1-C1249A8E88EE}" name="pipe_cost" dataDxfId="27" dataCellStyle="Currency"/>
    <tableColumn id="6" xr3:uid="{FBE11072-376D-4FE8-8DD4-416377D077AF}" name="planting_c" dataDxfId="26" dataCellStyle="Currency"/>
    <tableColumn id="7" xr3:uid="{AB27A1A5-039A-43CB-802C-ACF1BEBD5FF4}" name="ef_USDA_po" dataDxfId="25"/>
    <tableColumn id="8" xr3:uid="{0B03BAEC-5E1C-4E39-9F8D-3103A2EA086A}" name="ef_dikeUSD" dataDxfId="24"/>
    <tableColumn id="9" xr3:uid="{D6CA2929-7E10-46BB-8405-F1627D946BDF}" name="ef_CC_cost" dataDxfId="23"/>
    <tableColumn id="18" xr3:uid="{D6630D5B-117E-4AE0-B96E-9A0D2EDB48B6}" name="ef_CChaul_" dataDxfId="22"/>
    <tableColumn id="10" xr3:uid="{95A2A4A7-0B80-4B95-9A5C-2E3DFA682B83}" name="USDA_pow_t" dataDxfId="21"/>
    <tableColumn id="11" xr3:uid="{D5733862-5444-4C43-91A7-FD354A2102EE}" name="dikeUSDA_t" dataDxfId="20"/>
    <tableColumn id="12" xr3:uid="{74346C18-4BC4-407F-81A6-345C001A363A}" name="cc_total" dataDxfId="19"/>
    <tableColumn id="16" xr3:uid="{C8FB4E97-670D-4B89-B7F2-AE9463785270}" name="CChaul_tot" dataDxfId="18"/>
    <tableColumn id="13" xr3:uid="{302EAE6D-8038-45FB-BD41-C422F11D2C7E}" name="pow_x_yd3" dataDxfId="17"/>
    <tableColumn id="14" xr3:uid="{6FBF83CE-26DA-4304-8B50-9AB37DE1A1E6}" name="dike_x_yd3" dataDxfId="16"/>
    <tableColumn id="15" xr3:uid="{6F0B1016-8D79-463D-BF7E-02201C623FE7}" name="cc_x_yd3" dataDxfId="15"/>
    <tableColumn id="17" xr3:uid="{AFBAC007-2730-4712-ACD8-969C289B5111}" name="CChaul_x_y" dataDxfId="14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3686911-B9E9-443C-8771-8E80BBE65FC7}" name="Table9" displayName="Table9" ref="B104:S128" totalsRowShown="0" headerRowDxfId="13" tableBorderDxfId="12">
  <autoFilter ref="B104:S128" xr:uid="{63686911-B9E9-443C-8771-8E80BBE65FC7}"/>
  <tableColumns count="18">
    <tableColumn id="1" xr3:uid="{55693526-50ED-4AF1-BA5D-113EE4723146}" name="damID"/>
    <tableColumn id="2" xr3:uid="{6D5EB040-0B88-4BF0-AFF6-E4166717FD73}" name="VOLmax"/>
    <tableColumn id="3" xr3:uid="{1FF47890-9163-47A4-9980-3CFBB00A7F35}" name="AREAmax"/>
    <tableColumn id="4" xr3:uid="{66064952-F90B-4CCE-9655-07E88F5D86CD}" name="damVol_yds"/>
    <tableColumn id="5" xr3:uid="{0AB074B0-4AEA-4CB3-AE12-3A72F212B526}" name="pipe_cost" dataDxfId="11"/>
    <tableColumn id="6" xr3:uid="{663C5A7C-40F0-4DC1-A8AE-1923B9A3C67C}" name="planting_c" dataDxfId="10"/>
    <tableColumn id="7" xr3:uid="{A4C6146E-37B7-4F55-BDD1-FFFE31FE8976}" name="ef_USDA_po" dataDxfId="9"/>
    <tableColumn id="8" xr3:uid="{DF600ABF-AC8F-4E7C-B48F-089B041B47F7}" name="ef_dikeUSD" dataDxfId="8"/>
    <tableColumn id="9" xr3:uid="{6F3B87DF-3D53-4058-A4CF-6C076ED39995}" name="ef_CC_cost" dataDxfId="7"/>
    <tableColumn id="16" xr3:uid="{415DA317-F929-4352-ABE0-38B3BA7DE9F8}" name="ef_CChaul_"/>
    <tableColumn id="10" xr3:uid="{E42955A6-2DB4-4005-AD2D-9E37ECD5CAD4}" name="USDA_pow_t" dataDxfId="6"/>
    <tableColumn id="11" xr3:uid="{40364167-9087-4C1F-8023-DEC6D63B2A78}" name="dikeUSDA_t" dataDxfId="5"/>
    <tableColumn id="12" xr3:uid="{B2DF6183-BDDC-4497-B80F-66A2EE37F25A}" name="cc_total" dataDxfId="4"/>
    <tableColumn id="17" xr3:uid="{FF29008B-739A-477B-80D5-42C294B8600A}" name="CChaul_tot"/>
    <tableColumn id="13" xr3:uid="{8EC8DF92-08B8-4DBA-9D8E-594E0FFFF947}" name="pow_x_yd3" dataDxfId="3"/>
    <tableColumn id="14" xr3:uid="{E5A9E74C-D0BC-4368-A68D-8FFD230611EE}" name="dike_x_yd3" dataDxfId="2"/>
    <tableColumn id="15" xr3:uid="{357FF97E-B561-40D2-8904-ECF2A1D67D84}" name="cc_x_yd3" dataDxfId="1"/>
    <tableColumn id="18" xr3:uid="{11E11D11-9B94-4577-A88C-B6EBB47A7868}" name="CChaul_x_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10" Type="http://schemas.openxmlformats.org/officeDocument/2006/relationships/table" Target="../tables/table8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B09E0-93B8-427E-923C-1ABF83035E37}">
  <dimension ref="A1:F16"/>
  <sheetViews>
    <sheetView workbookViewId="0">
      <selection activeCell="B8" sqref="B8"/>
    </sheetView>
  </sheetViews>
  <sheetFormatPr defaultRowHeight="14.5" x14ac:dyDescent="0.35"/>
  <sheetData>
    <row r="1" spans="1:6" x14ac:dyDescent="0.35">
      <c r="B1" t="s">
        <v>2</v>
      </c>
      <c r="C1" t="s">
        <v>10</v>
      </c>
      <c r="D1" t="s">
        <v>11</v>
      </c>
      <c r="E1" t="s">
        <v>12</v>
      </c>
    </row>
    <row r="2" spans="1:6" x14ac:dyDescent="0.35">
      <c r="A2">
        <v>4</v>
      </c>
      <c r="B2">
        <v>8.1099999999999992E-3</v>
      </c>
      <c r="E2">
        <v>2</v>
      </c>
      <c r="F2">
        <f>165*B2+20</f>
        <v>21.338149999999999</v>
      </c>
    </row>
    <row r="3" spans="1:6" x14ac:dyDescent="0.35">
      <c r="A3">
        <v>6</v>
      </c>
      <c r="B3">
        <v>1.8239999999999999E-2</v>
      </c>
      <c r="E3">
        <v>3.5</v>
      </c>
      <c r="F3">
        <f t="shared" ref="F3:F13" si="0">165*B3+20</f>
        <v>23.009599999999999</v>
      </c>
    </row>
    <row r="4" spans="1:6" x14ac:dyDescent="0.35">
      <c r="A4">
        <v>8</v>
      </c>
      <c r="B4">
        <v>3.243E-2</v>
      </c>
      <c r="E4">
        <v>5.5</v>
      </c>
      <c r="F4">
        <f t="shared" si="0"/>
        <v>25.350950000000001</v>
      </c>
    </row>
    <row r="5" spans="1:6" x14ac:dyDescent="0.35">
      <c r="A5">
        <v>10</v>
      </c>
      <c r="B5">
        <v>5.067E-2</v>
      </c>
      <c r="E5">
        <v>8</v>
      </c>
      <c r="F5">
        <f t="shared" si="0"/>
        <v>28.36055</v>
      </c>
    </row>
    <row r="6" spans="1:6" x14ac:dyDescent="0.35">
      <c r="A6">
        <v>12</v>
      </c>
      <c r="B6">
        <v>7.2969999999999993E-2</v>
      </c>
      <c r="D6">
        <v>51</v>
      </c>
      <c r="E6">
        <v>11.5</v>
      </c>
      <c r="F6">
        <f t="shared" si="0"/>
        <v>32.040050000000001</v>
      </c>
    </row>
    <row r="7" spans="1:6" x14ac:dyDescent="0.35">
      <c r="A7">
        <v>15</v>
      </c>
      <c r="B7">
        <v>0.11401</v>
      </c>
      <c r="E7">
        <v>20</v>
      </c>
      <c r="F7">
        <f t="shared" si="0"/>
        <v>38.81165</v>
      </c>
    </row>
    <row r="8" spans="1:6" x14ac:dyDescent="0.35">
      <c r="A8">
        <v>18</v>
      </c>
      <c r="B8">
        <v>0.16417000000000001</v>
      </c>
      <c r="C8">
        <v>8.61</v>
      </c>
      <c r="E8">
        <v>29</v>
      </c>
      <c r="F8">
        <f t="shared" si="0"/>
        <v>47.088050000000003</v>
      </c>
    </row>
    <row r="9" spans="1:6" x14ac:dyDescent="0.35">
      <c r="A9">
        <v>24</v>
      </c>
      <c r="B9">
        <v>0.29186000000000001</v>
      </c>
      <c r="C9">
        <v>14.79</v>
      </c>
      <c r="E9">
        <v>58</v>
      </c>
      <c r="F9">
        <f t="shared" si="0"/>
        <v>68.156900000000007</v>
      </c>
    </row>
    <row r="10" spans="1:6" x14ac:dyDescent="0.35">
      <c r="A10">
        <v>30</v>
      </c>
      <c r="B10">
        <v>0.45604</v>
      </c>
      <c r="C10">
        <v>20.12</v>
      </c>
      <c r="D10">
        <v>117</v>
      </c>
      <c r="E10">
        <v>88</v>
      </c>
      <c r="F10">
        <f t="shared" si="0"/>
        <v>95.246600000000001</v>
      </c>
    </row>
    <row r="11" spans="1:6" x14ac:dyDescent="0.35">
      <c r="A11">
        <v>36</v>
      </c>
      <c r="B11">
        <v>0.65698999999999996</v>
      </c>
      <c r="C11">
        <v>26.79</v>
      </c>
      <c r="E11">
        <v>120.5</v>
      </c>
      <c r="F11">
        <f t="shared" si="0"/>
        <v>128.40334999999999</v>
      </c>
    </row>
    <row r="12" spans="1:6" x14ac:dyDescent="0.35">
      <c r="A12">
        <v>42</v>
      </c>
      <c r="B12">
        <v>0.89383000000000001</v>
      </c>
      <c r="C12">
        <v>38.22</v>
      </c>
      <c r="E12">
        <v>155.5</v>
      </c>
      <c r="F12">
        <f t="shared" si="0"/>
        <v>167.48195000000001</v>
      </c>
    </row>
    <row r="13" spans="1:6" x14ac:dyDescent="0.35">
      <c r="A13">
        <v>48</v>
      </c>
      <c r="B13">
        <v>1.1674500000000001</v>
      </c>
      <c r="C13">
        <v>43.77</v>
      </c>
      <c r="D13">
        <v>193</v>
      </c>
      <c r="E13">
        <v>193.5</v>
      </c>
      <c r="F13">
        <f t="shared" si="0"/>
        <v>212.62925000000001</v>
      </c>
    </row>
    <row r="15" spans="1:6" x14ac:dyDescent="0.35">
      <c r="B15">
        <f>B13*6</f>
        <v>7.0047000000000006</v>
      </c>
      <c r="C15">
        <f t="shared" ref="C15:E15" si="1">C13*6</f>
        <v>262.62</v>
      </c>
      <c r="D15">
        <f t="shared" si="1"/>
        <v>1158</v>
      </c>
      <c r="E15">
        <f t="shared" si="1"/>
        <v>1161</v>
      </c>
    </row>
    <row r="16" spans="1:6" x14ac:dyDescent="0.35">
      <c r="E16">
        <f>E15*34</f>
        <v>39474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306BA-E03A-48C6-B5E1-90E20599328E}">
  <dimension ref="A1:AI76"/>
  <sheetViews>
    <sheetView topLeftCell="B39" zoomScale="70" zoomScaleNormal="70" workbookViewId="0">
      <selection activeCell="B44" sqref="B44"/>
    </sheetView>
  </sheetViews>
  <sheetFormatPr defaultRowHeight="14.5" x14ac:dyDescent="0.35"/>
  <cols>
    <col min="7" max="7" width="11.81640625" bestFit="1" customWidth="1"/>
    <col min="8" max="8" width="11.81640625" customWidth="1"/>
  </cols>
  <sheetData>
    <row r="1" spans="1:23" x14ac:dyDescent="0.35">
      <c r="A1" t="s">
        <v>20</v>
      </c>
      <c r="B1" t="s">
        <v>2</v>
      </c>
      <c r="C1" s="1" t="s">
        <v>12</v>
      </c>
      <c r="D1" s="1"/>
      <c r="E1" s="6" t="s">
        <v>16</v>
      </c>
      <c r="F1" s="7"/>
      <c r="G1" s="6" t="s">
        <v>17</v>
      </c>
      <c r="H1" s="7"/>
      <c r="I1" s="6" t="s">
        <v>18</v>
      </c>
      <c r="J1" s="7"/>
      <c r="K1" s="6" t="s">
        <v>19</v>
      </c>
      <c r="L1" s="7"/>
    </row>
    <row r="2" spans="1:23" x14ac:dyDescent="0.35">
      <c r="A2">
        <v>4</v>
      </c>
      <c r="B2">
        <v>8.1099999999999992E-3</v>
      </c>
      <c r="C2" s="1">
        <v>2</v>
      </c>
      <c r="D2" s="1"/>
      <c r="E2" s="2">
        <f>168.5*B2+5</f>
        <v>6.3665349999999998</v>
      </c>
      <c r="F2" s="3">
        <f>100*(E2-$C2)/$C2</f>
        <v>218.32675</v>
      </c>
      <c r="G2" s="2">
        <f>170.16*B2+2.5794</f>
        <v>3.9593976</v>
      </c>
      <c r="H2" s="3">
        <f>100*(G2-$C2)/$C2</f>
        <v>97.969880000000003</v>
      </c>
      <c r="I2" s="2">
        <f>168.38*B2+5.5295</f>
        <v>6.8950617999999997</v>
      </c>
      <c r="J2" s="3">
        <f>100*(I2-$C2)/$C2</f>
        <v>244.75308999999999</v>
      </c>
      <c r="K2" s="2">
        <f>168.68*B2+3.9642</f>
        <v>5.3321947999999999</v>
      </c>
      <c r="L2" s="3">
        <f>100*(K2-$C2)/$C2</f>
        <v>166.60973999999999</v>
      </c>
    </row>
    <row r="3" spans="1:23" x14ac:dyDescent="0.35">
      <c r="A3">
        <v>6</v>
      </c>
      <c r="B3">
        <v>1.8239999999999999E-2</v>
      </c>
      <c r="C3" s="1">
        <v>3.5</v>
      </c>
      <c r="D3" s="1"/>
      <c r="E3" s="2">
        <f t="shared" ref="E3:E25" si="0">168.5*B3+5</f>
        <v>8.0734399999999997</v>
      </c>
      <c r="F3" s="3">
        <f t="shared" ref="F3:F25" si="1">100*(E3-$C3)/$C3</f>
        <v>130.66971428571429</v>
      </c>
      <c r="G3" s="2">
        <f t="shared" ref="G3:G25" si="2">170.16*B3+2.5794</f>
        <v>5.6831183999999997</v>
      </c>
      <c r="H3" s="3">
        <f t="shared" ref="H3:H13" si="3">100*(G3-$C3)/$C3</f>
        <v>62.374811428571419</v>
      </c>
      <c r="I3" s="2">
        <f t="shared" ref="I3:I25" si="4">168.38*B3+5.5295</f>
        <v>8.6007511999999995</v>
      </c>
      <c r="J3" s="3">
        <f t="shared" ref="J3:J13" si="5">100*(I3-$C3)/$C3</f>
        <v>145.73574857142856</v>
      </c>
      <c r="K3" s="2">
        <f t="shared" ref="K3:K25" si="6">168.68*B3+3.9642</f>
        <v>7.0409231999999999</v>
      </c>
      <c r="L3" s="3">
        <f t="shared" ref="L3:L25" si="7">100*(K3-$C3)/$C3</f>
        <v>101.16923428571428</v>
      </c>
    </row>
    <row r="4" spans="1:23" x14ac:dyDescent="0.35">
      <c r="A4">
        <v>8</v>
      </c>
      <c r="B4">
        <v>3.243E-2</v>
      </c>
      <c r="C4" s="1">
        <v>5.5</v>
      </c>
      <c r="D4" s="1"/>
      <c r="E4" s="2">
        <f t="shared" si="0"/>
        <v>10.464455000000001</v>
      </c>
      <c r="F4" s="3">
        <f t="shared" si="1"/>
        <v>90.262818181818204</v>
      </c>
      <c r="G4" s="2">
        <f t="shared" si="2"/>
        <v>8.0976888000000002</v>
      </c>
      <c r="H4" s="3">
        <f t="shared" si="3"/>
        <v>47.230705454545458</v>
      </c>
      <c r="I4" s="2">
        <f t="shared" si="4"/>
        <v>10.9900634</v>
      </c>
      <c r="J4" s="3">
        <f t="shared" si="5"/>
        <v>99.819334545454552</v>
      </c>
      <c r="K4" s="2">
        <f t="shared" si="6"/>
        <v>9.4344923999999999</v>
      </c>
      <c r="L4" s="3">
        <f t="shared" si="7"/>
        <v>71.536225454545445</v>
      </c>
    </row>
    <row r="5" spans="1:23" x14ac:dyDescent="0.35">
      <c r="A5">
        <v>10</v>
      </c>
      <c r="B5">
        <v>5.067E-2</v>
      </c>
      <c r="C5" s="1">
        <v>8</v>
      </c>
      <c r="D5" s="1"/>
      <c r="E5" s="2">
        <f>168.5*B5+5</f>
        <v>13.537895000000001</v>
      </c>
      <c r="F5" s="3">
        <f t="shared" si="1"/>
        <v>69.223687500000011</v>
      </c>
      <c r="G5" s="2">
        <f t="shared" si="2"/>
        <v>11.2014072</v>
      </c>
      <c r="H5" s="3">
        <f t="shared" si="3"/>
        <v>40.017590000000006</v>
      </c>
      <c r="I5" s="2">
        <f t="shared" si="4"/>
        <v>14.061314599999999</v>
      </c>
      <c r="J5" s="3">
        <f t="shared" si="5"/>
        <v>75.766432499999993</v>
      </c>
      <c r="K5" s="2">
        <f t="shared" si="6"/>
        <v>12.5112156</v>
      </c>
      <c r="L5" s="3">
        <f t="shared" si="7"/>
        <v>56.390194999999999</v>
      </c>
    </row>
    <row r="6" spans="1:23" x14ac:dyDescent="0.35">
      <c r="A6">
        <v>12</v>
      </c>
      <c r="B6">
        <v>7.2969999999999993E-2</v>
      </c>
      <c r="C6" s="1">
        <v>11.5</v>
      </c>
      <c r="D6" s="1"/>
      <c r="E6" s="2">
        <f t="shared" si="0"/>
        <v>17.295445000000001</v>
      </c>
      <c r="F6" s="3">
        <f t="shared" si="1"/>
        <v>50.395173913043486</v>
      </c>
      <c r="G6" s="2">
        <f t="shared" si="2"/>
        <v>14.995975199999998</v>
      </c>
      <c r="H6" s="3">
        <f t="shared" si="3"/>
        <v>30.399784347826074</v>
      </c>
      <c r="I6" s="2">
        <f t="shared" si="4"/>
        <v>17.816188599999997</v>
      </c>
      <c r="J6" s="3">
        <f t="shared" si="5"/>
        <v>54.923379130434753</v>
      </c>
      <c r="K6" s="2">
        <f t="shared" si="6"/>
        <v>16.2727796</v>
      </c>
      <c r="L6" s="3">
        <f t="shared" si="7"/>
        <v>41.50243130434783</v>
      </c>
    </row>
    <row r="7" spans="1:23" x14ac:dyDescent="0.35">
      <c r="A7">
        <v>15</v>
      </c>
      <c r="B7">
        <v>0.11401</v>
      </c>
      <c r="C7" s="1">
        <v>20</v>
      </c>
      <c r="D7" s="1"/>
      <c r="E7" s="2">
        <f t="shared" si="0"/>
        <v>24.210685000000002</v>
      </c>
      <c r="F7" s="3">
        <f t="shared" si="1"/>
        <v>21.053425000000008</v>
      </c>
      <c r="G7" s="2">
        <f t="shared" si="2"/>
        <v>21.979341599999998</v>
      </c>
      <c r="H7" s="3">
        <f t="shared" si="3"/>
        <v>9.8967079999999896</v>
      </c>
      <c r="I7" s="2">
        <f t="shared" si="4"/>
        <v>24.7265038</v>
      </c>
      <c r="J7" s="3">
        <f t="shared" si="5"/>
        <v>23.632518999999998</v>
      </c>
      <c r="K7" s="2">
        <f t="shared" si="6"/>
        <v>23.195406800000001</v>
      </c>
      <c r="L7" s="3">
        <f t="shared" si="7"/>
        <v>15.977034000000003</v>
      </c>
      <c r="T7" t="s">
        <v>21</v>
      </c>
      <c r="U7" t="s">
        <v>22</v>
      </c>
      <c r="V7" t="s">
        <v>23</v>
      </c>
      <c r="W7" t="s">
        <v>24</v>
      </c>
    </row>
    <row r="8" spans="1:23" x14ac:dyDescent="0.35">
      <c r="A8">
        <v>18</v>
      </c>
      <c r="B8">
        <v>0.16417000000000001</v>
      </c>
      <c r="C8" s="1">
        <v>29</v>
      </c>
      <c r="D8" s="1"/>
      <c r="E8" s="2">
        <f t="shared" si="0"/>
        <v>32.662644999999998</v>
      </c>
      <c r="F8" s="3">
        <f t="shared" si="1"/>
        <v>12.629810344827579</v>
      </c>
      <c r="G8" s="2">
        <f t="shared" si="2"/>
        <v>30.514567200000002</v>
      </c>
      <c r="H8" s="3">
        <f t="shared" si="3"/>
        <v>5.2226455172413857</v>
      </c>
      <c r="I8" s="2">
        <f t="shared" si="4"/>
        <v>33.172444599999999</v>
      </c>
      <c r="J8" s="3">
        <f t="shared" si="5"/>
        <v>14.387739999999996</v>
      </c>
      <c r="K8" s="2">
        <f t="shared" si="6"/>
        <v>31.656395600000003</v>
      </c>
      <c r="L8" s="3">
        <f t="shared" si="7"/>
        <v>9.1599848275862179</v>
      </c>
      <c r="T8">
        <v>7.0047241910437998</v>
      </c>
      <c r="U8">
        <v>1161.28796283879</v>
      </c>
      <c r="V8">
        <f t="shared" ref="V8:V24" si="8">(T8-T$25)^2</f>
        <v>25.766550606564039</v>
      </c>
      <c r="W8">
        <f t="shared" ref="W8:W24" si="9">(U8-U$25)^2</f>
        <v>691204.00610127579</v>
      </c>
    </row>
    <row r="9" spans="1:23" x14ac:dyDescent="0.35">
      <c r="A9">
        <v>24</v>
      </c>
      <c r="B9">
        <v>0.29186000000000001</v>
      </c>
      <c r="C9" s="1">
        <v>58</v>
      </c>
      <c r="D9" s="1"/>
      <c r="E9" s="2">
        <f t="shared" si="0"/>
        <v>54.17841</v>
      </c>
      <c r="F9" s="3">
        <f t="shared" si="1"/>
        <v>-6.5889482758620694</v>
      </c>
      <c r="G9" s="2">
        <f t="shared" si="2"/>
        <v>52.242297600000001</v>
      </c>
      <c r="H9" s="3">
        <f t="shared" si="3"/>
        <v>-9.9270731034482758</v>
      </c>
      <c r="I9" s="2">
        <f t="shared" si="4"/>
        <v>54.672886800000001</v>
      </c>
      <c r="J9" s="3">
        <f t="shared" si="5"/>
        <v>-5.736402068965516</v>
      </c>
      <c r="K9" s="2">
        <f t="shared" si="6"/>
        <v>53.195144800000001</v>
      </c>
      <c r="L9" s="3">
        <f t="shared" si="7"/>
        <v>-8.2842331034482726</v>
      </c>
      <c r="T9">
        <v>4.5968502503725004</v>
      </c>
      <c r="U9">
        <v>842.77197303129731</v>
      </c>
      <c r="V9">
        <f t="shared" si="8"/>
        <v>7.119303831978999</v>
      </c>
      <c r="W9">
        <f t="shared" si="9"/>
        <v>263036.46479340317</v>
      </c>
    </row>
    <row r="10" spans="1:23" x14ac:dyDescent="0.35">
      <c r="A10">
        <v>30</v>
      </c>
      <c r="B10">
        <v>0.45604</v>
      </c>
      <c r="C10" s="1">
        <v>88</v>
      </c>
      <c r="D10" s="1"/>
      <c r="E10" s="2">
        <f t="shared" si="0"/>
        <v>81.842740000000006</v>
      </c>
      <c r="F10" s="3">
        <f t="shared" si="1"/>
        <v>-6.9968863636363574</v>
      </c>
      <c r="G10" s="2">
        <f t="shared" si="2"/>
        <v>80.1791664</v>
      </c>
      <c r="H10" s="3">
        <f t="shared" si="3"/>
        <v>-8.8873109090909104</v>
      </c>
      <c r="I10" s="2">
        <f t="shared" si="4"/>
        <v>82.317515200000003</v>
      </c>
      <c r="J10" s="3">
        <f t="shared" si="5"/>
        <v>-6.4573690909090882</v>
      </c>
      <c r="K10" s="2">
        <f t="shared" si="6"/>
        <v>80.889027200000015</v>
      </c>
      <c r="L10" s="3">
        <f t="shared" si="7"/>
        <v>-8.0806509090908918</v>
      </c>
      <c r="T10">
        <v>5.3629919587679096</v>
      </c>
      <c r="U10">
        <v>932.68797015398434</v>
      </c>
      <c r="V10">
        <f t="shared" si="8"/>
        <v>11.79471917763782</v>
      </c>
      <c r="W10">
        <f t="shared" si="9"/>
        <v>363351.93136615312</v>
      </c>
    </row>
    <row r="11" spans="1:23" x14ac:dyDescent="0.35">
      <c r="A11">
        <v>36</v>
      </c>
      <c r="B11">
        <v>0.65698999999999996</v>
      </c>
      <c r="C11" s="1">
        <v>120.5</v>
      </c>
      <c r="D11" s="1"/>
      <c r="E11" s="2">
        <f t="shared" si="0"/>
        <v>115.70281499999999</v>
      </c>
      <c r="F11" s="3">
        <f t="shared" si="1"/>
        <v>-3.9810663900415046</v>
      </c>
      <c r="G11" s="2">
        <f t="shared" si="2"/>
        <v>114.3728184</v>
      </c>
      <c r="H11" s="3">
        <f t="shared" si="3"/>
        <v>-5.0847980082987556</v>
      </c>
      <c r="I11" s="2">
        <f t="shared" si="4"/>
        <v>116.15347619999999</v>
      </c>
      <c r="J11" s="3">
        <f t="shared" si="5"/>
        <v>-3.6070736929460701</v>
      </c>
      <c r="K11" s="2">
        <f t="shared" si="6"/>
        <v>114.78527320000001</v>
      </c>
      <c r="L11" s="3">
        <f t="shared" si="7"/>
        <v>-4.7425118672199122</v>
      </c>
      <c r="T11">
        <v>5.8372701592031699</v>
      </c>
      <c r="U11">
        <v>967.73996903232319</v>
      </c>
      <c r="V11">
        <f t="shared" si="8"/>
        <v>15.277328037570937</v>
      </c>
      <c r="W11">
        <f t="shared" si="9"/>
        <v>406838.33876373252</v>
      </c>
    </row>
    <row r="12" spans="1:23" x14ac:dyDescent="0.35">
      <c r="A12">
        <v>42</v>
      </c>
      <c r="B12">
        <v>0.89383000000000001</v>
      </c>
      <c r="C12" s="1">
        <v>155.5</v>
      </c>
      <c r="D12" s="1"/>
      <c r="E12" s="2">
        <f t="shared" si="0"/>
        <v>155.610355</v>
      </c>
      <c r="F12" s="3">
        <f t="shared" si="1"/>
        <v>7.0967845659162976E-2</v>
      </c>
      <c r="G12" s="2">
        <f t="shared" si="2"/>
        <v>154.6735128</v>
      </c>
      <c r="H12" s="3">
        <f t="shared" si="3"/>
        <v>-0.53150302250804027</v>
      </c>
      <c r="I12" s="2">
        <f t="shared" si="4"/>
        <v>156.03259540000002</v>
      </c>
      <c r="J12" s="3">
        <f t="shared" si="5"/>
        <v>0.34250508038586464</v>
      </c>
      <c r="K12" s="2">
        <f t="shared" si="6"/>
        <v>154.73544440000001</v>
      </c>
      <c r="L12" s="3">
        <f t="shared" si="7"/>
        <v>-0.49167562700964257</v>
      </c>
      <c r="T12">
        <v>0.16214639331119901</v>
      </c>
      <c r="U12">
        <v>27.431999122176027</v>
      </c>
      <c r="V12">
        <f t="shared" si="8"/>
        <v>3.1205275403979664</v>
      </c>
      <c r="W12">
        <f t="shared" si="9"/>
        <v>91487.596859589714</v>
      </c>
    </row>
    <row r="13" spans="1:23" x14ac:dyDescent="0.35">
      <c r="A13">
        <v>48</v>
      </c>
      <c r="B13">
        <v>1.1674500000000001</v>
      </c>
      <c r="C13" s="1">
        <v>193.5</v>
      </c>
      <c r="D13" s="1"/>
      <c r="E13" s="2">
        <f t="shared" si="0"/>
        <v>201.71532500000001</v>
      </c>
      <c r="F13" s="3">
        <f t="shared" si="1"/>
        <v>4.2456459948320449</v>
      </c>
      <c r="G13" s="2">
        <f t="shared" si="2"/>
        <v>201.23269200000001</v>
      </c>
      <c r="H13" s="3">
        <f t="shared" si="3"/>
        <v>3.9962232558139608</v>
      </c>
      <c r="I13" s="2">
        <f t="shared" si="4"/>
        <v>202.10473100000002</v>
      </c>
      <c r="J13" s="3">
        <f t="shared" si="5"/>
        <v>4.4468894056847628</v>
      </c>
      <c r="K13" s="2">
        <f t="shared" si="6"/>
        <v>200.88966600000003</v>
      </c>
      <c r="L13" s="3">
        <f t="shared" si="7"/>
        <v>3.8189488372093199</v>
      </c>
      <c r="T13">
        <v>0.15201224372924901</v>
      </c>
      <c r="U13">
        <v>23.774399239219221</v>
      </c>
      <c r="V13">
        <f t="shared" si="8"/>
        <v>3.1564342222089641</v>
      </c>
      <c r="W13">
        <f t="shared" si="9"/>
        <v>93713.597274603322</v>
      </c>
    </row>
    <row r="14" spans="1:23" x14ac:dyDescent="0.35">
      <c r="B14">
        <v>7.0047241910437998</v>
      </c>
      <c r="C14" s="1">
        <v>1161.28796283879</v>
      </c>
      <c r="D14" s="1"/>
      <c r="E14" s="2">
        <f t="shared" si="0"/>
        <v>1185.2960261908802</v>
      </c>
      <c r="F14" s="3">
        <f t="shared" si="1"/>
        <v>2.0673652117603991</v>
      </c>
      <c r="G14" s="2">
        <f t="shared" si="2"/>
        <v>1194.5032683480131</v>
      </c>
      <c r="H14" s="3"/>
      <c r="I14" s="2">
        <f t="shared" si="4"/>
        <v>1184.984959287955</v>
      </c>
      <c r="J14" s="3"/>
      <c r="K14" s="2">
        <f>168.68*B14+3.9642</f>
        <v>1185.521076545268</v>
      </c>
      <c r="L14" s="3">
        <f t="shared" si="7"/>
        <v>2.0867445872115717</v>
      </c>
      <c r="T14">
        <v>0.25335373954874901</v>
      </c>
      <c r="U14">
        <v>39.623998732032064</v>
      </c>
      <c r="V14">
        <f t="shared" si="8"/>
        <v>2.8066104929964291</v>
      </c>
      <c r="W14">
        <f t="shared" si="9"/>
        <v>84260.83378704371</v>
      </c>
    </row>
    <row r="15" spans="1:23" x14ac:dyDescent="0.35">
      <c r="B15">
        <v>4.5968502503725004</v>
      </c>
      <c r="C15" s="1">
        <v>842.77197303129731</v>
      </c>
      <c r="D15" s="1"/>
      <c r="E15" s="2">
        <f t="shared" si="0"/>
        <v>779.56926718776629</v>
      </c>
      <c r="F15" s="3">
        <f t="shared" si="1"/>
        <v>-7.4993839218694465</v>
      </c>
      <c r="G15" s="2">
        <f t="shared" si="2"/>
        <v>784.77943860338462</v>
      </c>
      <c r="H15" s="3"/>
      <c r="I15" s="2">
        <f t="shared" si="4"/>
        <v>779.54714515772162</v>
      </c>
      <c r="J15" s="3"/>
      <c r="K15" s="2">
        <f t="shared" si="6"/>
        <v>779.36090023283339</v>
      </c>
      <c r="L15" s="3">
        <f t="shared" si="7"/>
        <v>-7.5241079233313659</v>
      </c>
      <c r="T15">
        <v>0.36482938495019801</v>
      </c>
      <c r="U15">
        <v>57.911998146815804</v>
      </c>
      <c r="V15">
        <f t="shared" si="8"/>
        <v>2.4455283190327406</v>
      </c>
      <c r="W15">
        <f t="shared" si="9"/>
        <v>73978.107382550123</v>
      </c>
    </row>
    <row r="16" spans="1:23" x14ac:dyDescent="0.35">
      <c r="B16">
        <v>5.3629919587679096</v>
      </c>
      <c r="C16" s="1">
        <v>932.68797015398434</v>
      </c>
      <c r="D16" s="1"/>
      <c r="E16" s="2">
        <f t="shared" si="0"/>
        <v>908.66414505239277</v>
      </c>
      <c r="F16" s="3">
        <f t="shared" si="1"/>
        <v>-2.5757622988988804</v>
      </c>
      <c r="G16" s="2">
        <f t="shared" si="2"/>
        <v>915.14611170394744</v>
      </c>
      <c r="H16" s="3"/>
      <c r="I16" s="2">
        <f t="shared" si="4"/>
        <v>908.55008601734062</v>
      </c>
      <c r="J16" s="3"/>
      <c r="K16" s="2">
        <f t="shared" si="6"/>
        <v>908.59368360497103</v>
      </c>
      <c r="L16" s="3">
        <f t="shared" si="7"/>
        <v>-2.5833169634465643</v>
      </c>
      <c r="T16">
        <v>0.30402448745849903</v>
      </c>
      <c r="U16">
        <v>47.548798478438577</v>
      </c>
      <c r="V16">
        <f t="shared" si="8"/>
        <v>2.6394012024713618</v>
      </c>
      <c r="W16">
        <f t="shared" si="9"/>
        <v>79722.859396325774</v>
      </c>
    </row>
    <row r="17" spans="2:35" x14ac:dyDescent="0.35">
      <c r="B17">
        <v>5.8372701592031699</v>
      </c>
      <c r="C17" s="1">
        <v>967.73996903232319</v>
      </c>
      <c r="D17" s="1"/>
      <c r="E17" s="2">
        <f t="shared" si="0"/>
        <v>988.58002182573409</v>
      </c>
      <c r="F17" s="3">
        <f t="shared" si="1"/>
        <v>2.1534764978498924</v>
      </c>
      <c r="G17" s="2">
        <f t="shared" si="2"/>
        <v>995.84929029001137</v>
      </c>
      <c r="H17" s="3"/>
      <c r="I17" s="2">
        <f t="shared" si="4"/>
        <v>988.40904940662972</v>
      </c>
      <c r="J17" s="3"/>
      <c r="K17" s="2">
        <f t="shared" si="6"/>
        <v>988.59493045439081</v>
      </c>
      <c r="L17" s="3">
        <f t="shared" si="7"/>
        <v>2.1550170592748401</v>
      </c>
      <c r="T17">
        <v>0.202682991638999</v>
      </c>
      <c r="U17">
        <v>31.699198985625362</v>
      </c>
      <c r="V17">
        <f t="shared" si="8"/>
        <v>2.9789548329089635</v>
      </c>
      <c r="W17">
        <f t="shared" si="9"/>
        <v>88924.413079803053</v>
      </c>
    </row>
    <row r="18" spans="2:35" x14ac:dyDescent="0.35">
      <c r="B18">
        <v>3.5023620955218999</v>
      </c>
      <c r="C18" s="1">
        <v>580.64398141939296</v>
      </c>
      <c r="D18" s="1"/>
      <c r="E18" s="2">
        <f t="shared" si="0"/>
        <v>595.14801309544009</v>
      </c>
      <c r="F18" s="3">
        <f t="shared" si="1"/>
        <v>2.4979216422069528</v>
      </c>
      <c r="G18" s="2">
        <f t="shared" si="2"/>
        <v>598.54133417400647</v>
      </c>
      <c r="H18" s="3"/>
      <c r="I18" s="2">
        <f t="shared" si="4"/>
        <v>595.25722964397744</v>
      </c>
      <c r="J18" s="3"/>
      <c r="K18" s="2">
        <f t="shared" si="6"/>
        <v>594.74263827263405</v>
      </c>
      <c r="L18" s="3">
        <f t="shared" si="7"/>
        <v>2.4281069475269024</v>
      </c>
      <c r="T18">
        <v>3.5023620955218999</v>
      </c>
      <c r="U18">
        <v>580.64398141939296</v>
      </c>
      <c r="V18">
        <f t="shared" si="8"/>
        <v>2.4765763983503493</v>
      </c>
      <c r="W18">
        <f t="shared" si="9"/>
        <v>62871.959527696308</v>
      </c>
    </row>
    <row r="19" spans="2:35" x14ac:dyDescent="0.35">
      <c r="B19">
        <v>0.16214639331119901</v>
      </c>
      <c r="C19" s="1">
        <v>27.431999122176027</v>
      </c>
      <c r="D19" s="1"/>
      <c r="E19" s="2">
        <f t="shared" si="0"/>
        <v>32.321667272937034</v>
      </c>
      <c r="F19" s="3">
        <f t="shared" si="1"/>
        <v>17.824687617491939</v>
      </c>
      <c r="G19" s="2">
        <f t="shared" si="2"/>
        <v>30.170230285833622</v>
      </c>
      <c r="H19" s="3"/>
      <c r="I19" s="2">
        <f t="shared" si="4"/>
        <v>32.831709705739691</v>
      </c>
      <c r="J19" s="3"/>
      <c r="K19" s="2">
        <f t="shared" si="6"/>
        <v>31.31505362373305</v>
      </c>
      <c r="L19" s="3">
        <f t="shared" si="7"/>
        <v>14.155200589875939</v>
      </c>
      <c r="T19">
        <v>0.79806427957855897</v>
      </c>
      <c r="U19">
        <v>138.68399556211216</v>
      </c>
      <c r="V19">
        <f t="shared" si="8"/>
        <v>1.278219301813897</v>
      </c>
      <c r="W19">
        <f t="shared" si="9"/>
        <v>36564.006237287736</v>
      </c>
    </row>
    <row r="20" spans="2:35" x14ac:dyDescent="0.35">
      <c r="B20">
        <v>0.15201224372924901</v>
      </c>
      <c r="C20" s="1">
        <v>23.774399239219221</v>
      </c>
      <c r="D20" s="1"/>
      <c r="E20" s="2">
        <f t="shared" si="0"/>
        <v>30.61406306837846</v>
      </c>
      <c r="F20" s="3">
        <f t="shared" si="1"/>
        <v>28.769029073408717</v>
      </c>
      <c r="G20" s="2">
        <f t="shared" si="2"/>
        <v>28.445803392969012</v>
      </c>
      <c r="H20" s="3"/>
      <c r="I20" s="2">
        <f t="shared" si="4"/>
        <v>31.125321599130945</v>
      </c>
      <c r="J20" s="3"/>
      <c r="K20" s="2">
        <f t="shared" si="6"/>
        <v>29.605625272249725</v>
      </c>
      <c r="L20" s="3">
        <f t="shared" si="7"/>
        <v>24.527332843856154</v>
      </c>
      <c r="T20">
        <v>1.97007867873107</v>
      </c>
      <c r="U20">
        <v>361.18798844198471</v>
      </c>
      <c r="V20">
        <f t="shared" si="8"/>
        <v>1.7165101940354466E-3</v>
      </c>
      <c r="W20">
        <f t="shared" si="9"/>
        <v>978.86526391318102</v>
      </c>
    </row>
    <row r="21" spans="2:35" x14ac:dyDescent="0.35">
      <c r="B21">
        <v>0.25335373954874901</v>
      </c>
      <c r="C21" s="1">
        <v>39.623998732032064</v>
      </c>
      <c r="D21" s="1"/>
      <c r="E21" s="2">
        <f t="shared" si="0"/>
        <v>47.690105113964208</v>
      </c>
      <c r="F21" s="3">
        <f t="shared" si="1"/>
        <v>20.356618816998648</v>
      </c>
      <c r="G21" s="2">
        <f t="shared" si="2"/>
        <v>45.690072321615133</v>
      </c>
      <c r="H21" s="3"/>
      <c r="I21" s="2">
        <f t="shared" si="4"/>
        <v>48.189202665218353</v>
      </c>
      <c r="J21" s="3"/>
      <c r="K21" s="2">
        <f t="shared" si="6"/>
        <v>46.699908787082983</v>
      </c>
      <c r="L21" s="3">
        <f t="shared" si="7"/>
        <v>17.857637496164031</v>
      </c>
      <c r="T21">
        <v>0.492519669682768</v>
      </c>
      <c r="U21">
        <v>86.867997220224751</v>
      </c>
      <c r="V21">
        <f t="shared" si="8"/>
        <v>2.0624642673005633</v>
      </c>
      <c r="W21">
        <f t="shared" si="9"/>
        <v>59065.121085216073</v>
      </c>
    </row>
    <row r="22" spans="2:35" x14ac:dyDescent="0.35">
      <c r="B22">
        <v>0.36482938495019801</v>
      </c>
      <c r="C22" s="1">
        <v>57.911998146815804</v>
      </c>
      <c r="D22" s="1"/>
      <c r="E22" s="2">
        <f t="shared" si="0"/>
        <v>66.473751364108367</v>
      </c>
      <c r="F22" s="3">
        <f t="shared" si="1"/>
        <v>14.784074960748555</v>
      </c>
      <c r="G22" s="2">
        <f t="shared" si="2"/>
        <v>64.658768143125698</v>
      </c>
      <c r="H22" s="3"/>
      <c r="I22" s="2">
        <f t="shared" si="4"/>
        <v>66.959471837914336</v>
      </c>
      <c r="J22" s="3"/>
      <c r="K22" s="2">
        <f t="shared" si="6"/>
        <v>65.503620653399409</v>
      </c>
      <c r="L22" s="3">
        <f t="shared" si="7"/>
        <v>13.108894097105191</v>
      </c>
      <c r="T22">
        <v>1.14921256259312</v>
      </c>
      <c r="U22">
        <v>202.69199351385478</v>
      </c>
      <c r="V22">
        <f t="shared" si="8"/>
        <v>0.60751943075450865</v>
      </c>
      <c r="W22">
        <f t="shared" si="9"/>
        <v>16182.173542666565</v>
      </c>
    </row>
    <row r="23" spans="2:35" ht="15" thickBot="1" x14ac:dyDescent="0.4">
      <c r="B23">
        <v>0.79806427957855897</v>
      </c>
      <c r="C23" s="1">
        <v>138.68399556211216</v>
      </c>
      <c r="D23" s="1"/>
      <c r="E23" s="2">
        <f t="shared" si="0"/>
        <v>139.47383110898718</v>
      </c>
      <c r="F23" s="3">
        <f t="shared" si="1"/>
        <v>0.56952177046361707</v>
      </c>
      <c r="G23" s="2">
        <f t="shared" si="2"/>
        <v>138.37801781308758</v>
      </c>
      <c r="H23" s="3"/>
      <c r="I23" s="2">
        <f t="shared" si="4"/>
        <v>139.90756339543776</v>
      </c>
      <c r="J23" s="3"/>
      <c r="K23" s="2">
        <f t="shared" si="6"/>
        <v>138.58168267931134</v>
      </c>
      <c r="L23" s="3">
        <f t="shared" si="7"/>
        <v>-7.3774109540270749E-2</v>
      </c>
      <c r="T23">
        <v>0.34202754839081101</v>
      </c>
      <c r="U23">
        <v>59.435998098048131</v>
      </c>
      <c r="V23">
        <f t="shared" si="8"/>
        <v>2.5173641107380877</v>
      </c>
      <c r="W23">
        <f t="shared" si="9"/>
        <v>73151.40700157643</v>
      </c>
    </row>
    <row r="24" spans="2:35" ht="15" thickTop="1" x14ac:dyDescent="0.35">
      <c r="B24">
        <v>5.8372701592031699</v>
      </c>
      <c r="C24" s="1">
        <v>967.73996903232864</v>
      </c>
      <c r="D24" s="1"/>
      <c r="E24" s="2">
        <f t="shared" si="0"/>
        <v>988.58002182573409</v>
      </c>
      <c r="F24" s="3">
        <f t="shared" si="1"/>
        <v>2.1534764978493164</v>
      </c>
      <c r="G24" s="2">
        <f t="shared" si="2"/>
        <v>995.84929029001137</v>
      </c>
      <c r="H24" s="3"/>
      <c r="I24" s="2">
        <f t="shared" si="4"/>
        <v>988.40904940662972</v>
      </c>
      <c r="J24" s="3"/>
      <c r="K24" s="2">
        <f t="shared" si="6"/>
        <v>988.59493045439081</v>
      </c>
      <c r="L24" s="3">
        <f t="shared" si="7"/>
        <v>2.1550170592742637</v>
      </c>
      <c r="T24">
        <v>0.29186350796015897</v>
      </c>
      <c r="U24">
        <v>46.329598517452695</v>
      </c>
      <c r="V24">
        <f t="shared" si="8"/>
        <v>2.679063115693241</v>
      </c>
      <c r="W24">
        <f t="shared" si="9"/>
        <v>80412.833835593468</v>
      </c>
      <c r="AB24">
        <v>169.8290052777341</v>
      </c>
      <c r="AE24" s="229">
        <v>167.38282424648261</v>
      </c>
      <c r="AF24" s="230"/>
      <c r="AH24">
        <v>0.5</v>
      </c>
      <c r="AI24">
        <f>AE$24*AH24+AE$25</f>
        <v>89.057909368437876</v>
      </c>
    </row>
    <row r="25" spans="2:35" x14ac:dyDescent="0.35">
      <c r="B25">
        <v>1.97007867873107</v>
      </c>
      <c r="C25" s="1">
        <v>361.18798844198471</v>
      </c>
      <c r="D25" s="1"/>
      <c r="E25" s="4">
        <f t="shared" si="0"/>
        <v>336.95825736618531</v>
      </c>
      <c r="F25" s="5">
        <f t="shared" si="1"/>
        <v>-6.7083435360949926</v>
      </c>
      <c r="G25" s="4">
        <f t="shared" si="2"/>
        <v>337.80798797287889</v>
      </c>
      <c r="H25" s="5"/>
      <c r="I25" s="4">
        <f t="shared" si="4"/>
        <v>337.25134792473756</v>
      </c>
      <c r="J25" s="5"/>
      <c r="K25" s="4">
        <f t="shared" si="6"/>
        <v>336.27707152835688</v>
      </c>
      <c r="L25" s="5">
        <f t="shared" si="7"/>
        <v>-6.8969394638739789</v>
      </c>
      <c r="T25">
        <f>AVERAGE(T8:T24)</f>
        <v>1.9286478907342741</v>
      </c>
      <c r="U25">
        <f>AVERAGE(U8:U24)</f>
        <v>329.90116591375119</v>
      </c>
      <c r="AB25">
        <v>2.3608130993494001</v>
      </c>
      <c r="AE25" s="231">
        <v>5.3664972451965696</v>
      </c>
      <c r="AF25" s="232"/>
      <c r="AH25">
        <v>1</v>
      </c>
      <c r="AI25">
        <f t="shared" ref="AI25:AI38" si="10">AE$24*AH25+AE$25</f>
        <v>172.74932149167918</v>
      </c>
    </row>
    <row r="26" spans="2:35" x14ac:dyDescent="0.35">
      <c r="AH26">
        <v>1.5</v>
      </c>
      <c r="AI26">
        <f t="shared" si="10"/>
        <v>256.44073361492048</v>
      </c>
    </row>
    <row r="27" spans="2:35" x14ac:dyDescent="0.35">
      <c r="AH27">
        <v>2</v>
      </c>
      <c r="AI27">
        <f t="shared" si="10"/>
        <v>340.1321457381618</v>
      </c>
    </row>
    <row r="28" spans="2:35" x14ac:dyDescent="0.35">
      <c r="AH28">
        <v>2.5</v>
      </c>
      <c r="AI28">
        <f t="shared" si="10"/>
        <v>423.82355786140312</v>
      </c>
    </row>
    <row r="29" spans="2:35" x14ac:dyDescent="0.35">
      <c r="AH29">
        <v>3</v>
      </c>
      <c r="AI29">
        <f t="shared" si="10"/>
        <v>507.51496998464438</v>
      </c>
    </row>
    <row r="30" spans="2:35" x14ac:dyDescent="0.35">
      <c r="AH30">
        <v>3.5</v>
      </c>
      <c r="AI30">
        <f t="shared" si="10"/>
        <v>591.2063821078857</v>
      </c>
    </row>
    <row r="31" spans="2:35" x14ac:dyDescent="0.35">
      <c r="AH31">
        <v>4</v>
      </c>
      <c r="AI31">
        <f t="shared" si="10"/>
        <v>674.89779423112702</v>
      </c>
    </row>
    <row r="32" spans="2:35" x14ac:dyDescent="0.35">
      <c r="AH32">
        <v>4.5</v>
      </c>
      <c r="AI32">
        <f t="shared" si="10"/>
        <v>758.58920635436834</v>
      </c>
    </row>
    <row r="33" spans="2:35" x14ac:dyDescent="0.35">
      <c r="AH33">
        <v>5</v>
      </c>
      <c r="AI33">
        <f t="shared" si="10"/>
        <v>842.28061847760966</v>
      </c>
    </row>
    <row r="34" spans="2:35" x14ac:dyDescent="0.35">
      <c r="AH34">
        <v>5.5</v>
      </c>
      <c r="AI34">
        <f t="shared" si="10"/>
        <v>925.97203060085099</v>
      </c>
    </row>
    <row r="35" spans="2:35" x14ac:dyDescent="0.35">
      <c r="AH35">
        <v>6</v>
      </c>
      <c r="AI35">
        <f t="shared" si="10"/>
        <v>1009.6634427240922</v>
      </c>
    </row>
    <row r="36" spans="2:35" x14ac:dyDescent="0.35">
      <c r="AH36">
        <v>6.5</v>
      </c>
      <c r="AI36">
        <f t="shared" si="10"/>
        <v>1093.3548548473336</v>
      </c>
    </row>
    <row r="37" spans="2:35" x14ac:dyDescent="0.35">
      <c r="AH37">
        <v>7</v>
      </c>
      <c r="AI37">
        <f t="shared" si="10"/>
        <v>1177.0462669705748</v>
      </c>
    </row>
    <row r="38" spans="2:35" x14ac:dyDescent="0.35">
      <c r="AH38">
        <v>7.5</v>
      </c>
      <c r="AI38">
        <f t="shared" si="10"/>
        <v>1260.7376790938163</v>
      </c>
    </row>
    <row r="44" spans="2:35" x14ac:dyDescent="0.35">
      <c r="B44" t="s">
        <v>30</v>
      </c>
      <c r="C44" t="s">
        <v>28</v>
      </c>
      <c r="D44" t="s">
        <v>27</v>
      </c>
      <c r="F44" t="s">
        <v>30</v>
      </c>
      <c r="G44" t="s">
        <v>28</v>
      </c>
      <c r="H44" t="s">
        <v>27</v>
      </c>
    </row>
    <row r="45" spans="2:35" x14ac:dyDescent="0.35">
      <c r="C45" s="8">
        <v>0.12971711464895899</v>
      </c>
      <c r="D45">
        <v>21.945599297740848</v>
      </c>
      <c r="G45" s="8">
        <v>0.12971711464895899</v>
      </c>
      <c r="H45">
        <v>21.945599297740848</v>
      </c>
    </row>
    <row r="46" spans="2:35" x14ac:dyDescent="0.35">
      <c r="C46" s="8">
        <v>0.36482938495019801</v>
      </c>
      <c r="D46">
        <v>57.911998146815804</v>
      </c>
      <c r="G46" s="8">
        <v>0.36482938495019801</v>
      </c>
      <c r="H46">
        <v>57.911998146815804</v>
      </c>
      <c r="T46" t="s">
        <v>25</v>
      </c>
      <c r="U46">
        <v>169.87426266192</v>
      </c>
    </row>
    <row r="47" spans="2:35" x14ac:dyDescent="0.35">
      <c r="C47" s="8">
        <v>7.0047241910437998</v>
      </c>
      <c r="D47">
        <v>1161.2879628387896</v>
      </c>
      <c r="G47" s="8">
        <v>7.0047241910437998</v>
      </c>
      <c r="H47">
        <v>1161.2879628387896</v>
      </c>
      <c r="T47" t="s">
        <v>26</v>
      </c>
      <c r="U47">
        <v>2.1422204603177901</v>
      </c>
    </row>
    <row r="48" spans="2:35" x14ac:dyDescent="0.35">
      <c r="C48" s="8">
        <v>0.30402448745849903</v>
      </c>
      <c r="D48">
        <v>47.548798478438577</v>
      </c>
      <c r="G48" s="8">
        <v>0.30402448745849903</v>
      </c>
      <c r="H48">
        <v>47.548798478438577</v>
      </c>
    </row>
    <row r="49" spans="2:21" x14ac:dyDescent="0.35">
      <c r="C49" s="8">
        <v>0.25335373954874901</v>
      </c>
      <c r="D49">
        <v>39.623998732032064</v>
      </c>
      <c r="G49" s="8">
        <v>0.25335373954874901</v>
      </c>
      <c r="H49">
        <v>39.623998732032064</v>
      </c>
      <c r="T49" t="s">
        <v>25</v>
      </c>
      <c r="U49">
        <v>169.87208776744399</v>
      </c>
    </row>
    <row r="50" spans="2:21" x14ac:dyDescent="0.35">
      <c r="C50" s="8">
        <v>0.202682991638999</v>
      </c>
      <c r="D50">
        <v>31.699198985625362</v>
      </c>
      <c r="G50" s="8">
        <v>0.202682991638999</v>
      </c>
      <c r="H50">
        <v>31.699198985625362</v>
      </c>
      <c r="T50" t="s">
        <v>26</v>
      </c>
      <c r="U50">
        <v>2.2194313540044801</v>
      </c>
    </row>
    <row r="51" spans="2:21" x14ac:dyDescent="0.35">
      <c r="C51" s="8">
        <v>3.5023620955218999</v>
      </c>
      <c r="D51">
        <v>580.64398141939296</v>
      </c>
      <c r="G51" s="8">
        <v>3.5023620955218999</v>
      </c>
      <c r="H51">
        <v>580.64398141939296</v>
      </c>
    </row>
    <row r="52" spans="2:21" x14ac:dyDescent="0.35">
      <c r="C52" s="8">
        <v>0.16214639331119901</v>
      </c>
      <c r="D52">
        <v>27.431999122176027</v>
      </c>
      <c r="G52" s="8">
        <v>0.16214639331119901</v>
      </c>
      <c r="H52">
        <v>27.431999122176027</v>
      </c>
    </row>
    <row r="53" spans="2:21" x14ac:dyDescent="0.35">
      <c r="C53" s="8">
        <v>0.15201224372924901</v>
      </c>
      <c r="D53">
        <v>23.774399239219221</v>
      </c>
      <c r="G53" s="8">
        <v>0.15201224372924901</v>
      </c>
      <c r="H53">
        <v>23.774399239219221</v>
      </c>
    </row>
    <row r="54" spans="2:21" x14ac:dyDescent="0.35">
      <c r="C54" s="8">
        <v>0.79806427957855897</v>
      </c>
      <c r="D54">
        <v>138.68399556211216</v>
      </c>
      <c r="G54" s="8">
        <v>0.79806427957855897</v>
      </c>
      <c r="H54">
        <v>138.68399556211216</v>
      </c>
    </row>
    <row r="55" spans="2:21" x14ac:dyDescent="0.35">
      <c r="C55" s="8">
        <v>0.492519669682768</v>
      </c>
      <c r="D55">
        <v>86.867997220224751</v>
      </c>
      <c r="G55" s="8">
        <v>0.492519669682768</v>
      </c>
      <c r="H55">
        <v>86.867997220224751</v>
      </c>
    </row>
    <row r="56" spans="2:21" x14ac:dyDescent="0.35">
      <c r="C56" s="8">
        <v>0.34202754839081101</v>
      </c>
      <c r="D56">
        <v>59.435998098048131</v>
      </c>
      <c r="G56" s="8">
        <v>0.34202754839081101</v>
      </c>
      <c r="H56">
        <v>59.435998098048131</v>
      </c>
    </row>
    <row r="57" spans="2:21" x14ac:dyDescent="0.35">
      <c r="C57" s="8">
        <v>0.29186350796015897</v>
      </c>
      <c r="D57">
        <v>46.329598517452695</v>
      </c>
      <c r="G57" s="8">
        <v>0.29186350796015897</v>
      </c>
      <c r="H57">
        <v>46.329598517452695</v>
      </c>
    </row>
    <row r="58" spans="2:21" x14ac:dyDescent="0.35">
      <c r="C58" s="8">
        <v>1.97007867873107</v>
      </c>
      <c r="D58">
        <v>361.18798844198471</v>
      </c>
      <c r="G58" s="8">
        <v>1.97007867873107</v>
      </c>
      <c r="H58">
        <v>361.18798844198471</v>
      </c>
    </row>
    <row r="59" spans="2:21" x14ac:dyDescent="0.35">
      <c r="C59" s="8">
        <v>4.5968502503725004</v>
      </c>
      <c r="D59">
        <v>842.77197303129662</v>
      </c>
      <c r="G59" s="8">
        <v>4.5968502503725004</v>
      </c>
      <c r="H59">
        <v>842.77197303129662</v>
      </c>
    </row>
    <row r="60" spans="2:21" x14ac:dyDescent="0.35">
      <c r="B60" t="s">
        <v>29</v>
      </c>
      <c r="C60">
        <v>0.29186350796015897</v>
      </c>
      <c r="D60">
        <v>46.329598517452695</v>
      </c>
      <c r="F60" t="s">
        <v>29</v>
      </c>
      <c r="G60">
        <v>5.8372701592031699</v>
      </c>
      <c r="H60">
        <v>967.73996903232864</v>
      </c>
    </row>
    <row r="61" spans="2:21" x14ac:dyDescent="0.35">
      <c r="C61">
        <v>5.8372701592031699</v>
      </c>
      <c r="D61">
        <v>967.73996903232864</v>
      </c>
      <c r="G61">
        <v>5.3629919587679096</v>
      </c>
      <c r="H61">
        <v>932.68797015399184</v>
      </c>
    </row>
    <row r="62" spans="2:21" x14ac:dyDescent="0.35">
      <c r="C62">
        <v>5.3629919587679096</v>
      </c>
      <c r="D62">
        <v>932.68797015399184</v>
      </c>
      <c r="G62">
        <v>1.14921256259312</v>
      </c>
      <c r="H62">
        <v>202.69199351385478</v>
      </c>
    </row>
    <row r="63" spans="2:21" x14ac:dyDescent="0.35">
      <c r="C63">
        <v>0.34202754839081101</v>
      </c>
      <c r="D63">
        <v>59.435998098048131</v>
      </c>
      <c r="G63">
        <v>8.1099999999999992E-3</v>
      </c>
      <c r="H63">
        <v>2</v>
      </c>
    </row>
    <row r="64" spans="2:21" x14ac:dyDescent="0.35">
      <c r="C64">
        <v>1.14921256259312</v>
      </c>
      <c r="D64">
        <v>202.69199351385478</v>
      </c>
      <c r="G64">
        <v>1.8239999999999999E-2</v>
      </c>
      <c r="H64">
        <v>3.5</v>
      </c>
    </row>
    <row r="65" spans="3:8" x14ac:dyDescent="0.35">
      <c r="C65">
        <v>7.0047241910437998</v>
      </c>
      <c r="D65">
        <v>1161.2879628387802</v>
      </c>
      <c r="G65">
        <v>3.243E-2</v>
      </c>
      <c r="H65">
        <v>5.5</v>
      </c>
    </row>
    <row r="66" spans="3:8" x14ac:dyDescent="0.35">
      <c r="C66">
        <v>0.492519669682768</v>
      </c>
      <c r="D66">
        <v>86.867997220224751</v>
      </c>
      <c r="G66">
        <v>5.067E-2</v>
      </c>
      <c r="H66">
        <v>8</v>
      </c>
    </row>
    <row r="67" spans="3:8" x14ac:dyDescent="0.35">
      <c r="C67">
        <v>1.97007867873107</v>
      </c>
      <c r="D67">
        <v>361.18798844198471</v>
      </c>
      <c r="G67">
        <v>7.2969999999999993E-2</v>
      </c>
      <c r="H67">
        <v>11.5</v>
      </c>
    </row>
    <row r="68" spans="3:8" x14ac:dyDescent="0.35">
      <c r="C68">
        <v>0.79806427957855897</v>
      </c>
      <c r="D68">
        <v>138.68399556211216</v>
      </c>
      <c r="G68">
        <v>0.11401</v>
      </c>
      <c r="H68">
        <v>20</v>
      </c>
    </row>
    <row r="69" spans="3:8" x14ac:dyDescent="0.35">
      <c r="C69">
        <v>4.5968502503725004</v>
      </c>
      <c r="D69">
        <v>842.77197303129662</v>
      </c>
      <c r="G69">
        <v>0.16417000000000001</v>
      </c>
      <c r="H69">
        <v>29</v>
      </c>
    </row>
    <row r="70" spans="3:8" x14ac:dyDescent="0.35">
      <c r="C70">
        <v>3.5023620955218999</v>
      </c>
      <c r="D70">
        <v>580.64398141939296</v>
      </c>
      <c r="G70">
        <v>0.29186000000000001</v>
      </c>
      <c r="H70">
        <v>58</v>
      </c>
    </row>
    <row r="71" spans="3:8" x14ac:dyDescent="0.35">
      <c r="C71">
        <v>0.36482938495019801</v>
      </c>
      <c r="D71">
        <v>57.911998146815804</v>
      </c>
      <c r="G71">
        <v>0.45604</v>
      </c>
      <c r="H71">
        <v>88</v>
      </c>
    </row>
    <row r="72" spans="3:8" x14ac:dyDescent="0.35">
      <c r="C72">
        <v>0.30402448745849903</v>
      </c>
      <c r="D72">
        <v>47.548798478438577</v>
      </c>
      <c r="G72">
        <v>0.65698999999999996</v>
      </c>
      <c r="H72">
        <v>120.5</v>
      </c>
    </row>
    <row r="73" spans="3:8" x14ac:dyDescent="0.35">
      <c r="C73">
        <v>0.25335373954874901</v>
      </c>
      <c r="D73">
        <v>39.623998732032064</v>
      </c>
      <c r="G73">
        <v>0.89383000000000001</v>
      </c>
      <c r="H73">
        <v>155.5</v>
      </c>
    </row>
    <row r="74" spans="3:8" x14ac:dyDescent="0.35">
      <c r="C74">
        <v>0.202682991638999</v>
      </c>
      <c r="D74">
        <v>31.699198985625362</v>
      </c>
      <c r="G74">
        <v>1.1674500000000001</v>
      </c>
      <c r="H74">
        <v>193.5</v>
      </c>
    </row>
    <row r="75" spans="3:8" x14ac:dyDescent="0.35">
      <c r="C75">
        <v>0.16214639331119901</v>
      </c>
      <c r="D75">
        <v>27.431999122176027</v>
      </c>
    </row>
    <row r="76" spans="3:8" x14ac:dyDescent="0.35">
      <c r="C76">
        <v>0.15201224372924901</v>
      </c>
      <c r="D76">
        <v>23.774399239219221</v>
      </c>
    </row>
  </sheetData>
  <mergeCells count="2">
    <mergeCell ref="AE24:AF24"/>
    <mergeCell ref="AE25:AF25"/>
  </mergeCells>
  <conditionalFormatting sqref="F2:F25 L2:L25 H2:H13 J2:J13">
    <cfRule type="colorScale" priority="2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F4 H4 J4 L4">
    <cfRule type="colorScale" priority="1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H5 F5 J5 L5">
    <cfRule type="colorScale" priority="1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F6 H6 J6 L6">
    <cfRule type="colorScale" priority="1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F7 H7 J7 L7">
    <cfRule type="colorScale" priority="1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H8 F8 J8 L8">
    <cfRule type="colorScale" priority="1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F9 H9 J9 L9">
    <cfRule type="colorScale" priority="1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F10 H10 J10 L10">
    <cfRule type="colorScale" priority="1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H11 F11 J11 L11">
    <cfRule type="colorScale" priority="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H12 F12 J12 L12">
    <cfRule type="colorScale" priority="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H13 F13 J13 L13">
    <cfRule type="colorScale" priority="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L14 F14">
    <cfRule type="colorScale" priority="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F15 L15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F16 L16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L18 F18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F17 L17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L19 F19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5FE6A-1548-49C7-AE0C-02523932F339}">
  <dimension ref="A2:L140"/>
  <sheetViews>
    <sheetView topLeftCell="A16" workbookViewId="0">
      <selection activeCell="F32" sqref="F32"/>
    </sheetView>
  </sheetViews>
  <sheetFormatPr defaultRowHeight="14.5" x14ac:dyDescent="0.35"/>
  <sheetData>
    <row r="2" spans="1:6" x14ac:dyDescent="0.35">
      <c r="A2" t="s">
        <v>29</v>
      </c>
      <c r="B2" t="s">
        <v>2</v>
      </c>
      <c r="C2" t="s">
        <v>27</v>
      </c>
      <c r="E2" t="s">
        <v>2</v>
      </c>
      <c r="F2" t="s">
        <v>27</v>
      </c>
    </row>
    <row r="3" spans="1:6" x14ac:dyDescent="0.35">
      <c r="B3">
        <v>0.29186350796015897</v>
      </c>
      <c r="C3">
        <v>46.329598517452695</v>
      </c>
      <c r="E3">
        <v>6.4858557324479996E-2</v>
      </c>
      <c r="F3">
        <v>10.972799648870383</v>
      </c>
    </row>
    <row r="4" spans="1:6" x14ac:dyDescent="0.35">
      <c r="B4">
        <v>0.29186350796015897</v>
      </c>
      <c r="C4">
        <v>46.329598517452922</v>
      </c>
      <c r="E4">
        <v>0.12971711464895899</v>
      </c>
      <c r="F4">
        <v>21.945599297740788</v>
      </c>
    </row>
    <row r="5" spans="1:6" x14ac:dyDescent="0.35">
      <c r="B5">
        <v>2.9186350796015801</v>
      </c>
      <c r="C5">
        <v>579.11998146815961</v>
      </c>
      <c r="E5">
        <v>0.15201224372924901</v>
      </c>
      <c r="F5">
        <v>23.774399239219221</v>
      </c>
    </row>
    <row r="6" spans="1:6" x14ac:dyDescent="0.35">
      <c r="B6">
        <v>2.9186350796015801</v>
      </c>
      <c r="C6">
        <v>579.11998146816052</v>
      </c>
      <c r="E6">
        <v>0.16214639331119901</v>
      </c>
      <c r="F6">
        <v>27.431999122175991</v>
      </c>
    </row>
    <row r="7" spans="1:6" x14ac:dyDescent="0.35">
      <c r="B7">
        <v>2.9186350796015801</v>
      </c>
      <c r="C7">
        <v>579.11998146816074</v>
      </c>
      <c r="E7">
        <v>0.202682991638999</v>
      </c>
      <c r="F7">
        <v>31.699198985625362</v>
      </c>
    </row>
    <row r="8" spans="1:6" x14ac:dyDescent="0.35">
      <c r="B8">
        <v>5.8372701592031699</v>
      </c>
      <c r="C8">
        <v>967.73996903232614</v>
      </c>
      <c r="E8">
        <v>0.25335373954874901</v>
      </c>
      <c r="F8">
        <v>39.623998732032064</v>
      </c>
    </row>
    <row r="9" spans="1:6" x14ac:dyDescent="0.35">
      <c r="B9">
        <v>5.8372701592031699</v>
      </c>
      <c r="C9">
        <v>967.73996903232864</v>
      </c>
      <c r="E9">
        <v>0.29186350796015897</v>
      </c>
      <c r="F9">
        <v>46.329598517452695</v>
      </c>
    </row>
    <row r="10" spans="1:6" x14ac:dyDescent="0.35">
      <c r="B10">
        <v>5.3629919587679096</v>
      </c>
      <c r="C10">
        <v>932.68797015398445</v>
      </c>
      <c r="E10">
        <v>0.30402448745849903</v>
      </c>
      <c r="F10">
        <v>47.548798478438577</v>
      </c>
    </row>
    <row r="11" spans="1:6" x14ac:dyDescent="0.35">
      <c r="B11">
        <v>5.3629919587679096</v>
      </c>
      <c r="C11">
        <v>932.68797015399184</v>
      </c>
      <c r="E11">
        <v>0.32429278662239902</v>
      </c>
      <c r="F11">
        <v>54.863998244351869</v>
      </c>
    </row>
    <row r="12" spans="1:6" x14ac:dyDescent="0.35">
      <c r="B12">
        <v>0.34202754839081101</v>
      </c>
      <c r="C12">
        <v>59.435998098048131</v>
      </c>
      <c r="E12">
        <v>0.34202754839081101</v>
      </c>
      <c r="F12">
        <v>59.435998098048131</v>
      </c>
    </row>
    <row r="13" spans="1:6" x14ac:dyDescent="0.35">
      <c r="B13">
        <v>1.14921256259312</v>
      </c>
      <c r="C13">
        <v>202.69199351385478</v>
      </c>
      <c r="E13">
        <v>0.36482938495019801</v>
      </c>
      <c r="F13">
        <v>57.911998146815804</v>
      </c>
    </row>
    <row r="14" spans="1:6" x14ac:dyDescent="0.35">
      <c r="B14">
        <v>7.0047241910437998</v>
      </c>
      <c r="C14">
        <v>1161.2879628387802</v>
      </c>
      <c r="E14">
        <v>0.45603673118774801</v>
      </c>
      <c r="F14">
        <v>71.323197717657592</v>
      </c>
    </row>
    <row r="15" spans="1:6" x14ac:dyDescent="0.35">
      <c r="B15">
        <v>7.0047241910437998</v>
      </c>
      <c r="C15">
        <v>1161.2879628387825</v>
      </c>
      <c r="E15">
        <v>0.492519669682768</v>
      </c>
      <c r="F15">
        <v>86.867997220223316</v>
      </c>
    </row>
    <row r="16" spans="1:6" x14ac:dyDescent="0.35">
      <c r="B16">
        <v>7.0047241910437998</v>
      </c>
      <c r="C16">
        <v>1161.2879628387827</v>
      </c>
      <c r="E16">
        <v>0.79806427957855897</v>
      </c>
      <c r="F16">
        <v>138.68399556211216</v>
      </c>
    </row>
    <row r="17" spans="2:12" x14ac:dyDescent="0.35">
      <c r="B17">
        <v>0.492519669682768</v>
      </c>
      <c r="C17">
        <v>86.867997220223316</v>
      </c>
      <c r="E17">
        <v>1.1400918279693699</v>
      </c>
      <c r="F17">
        <v>198.11999366016053</v>
      </c>
    </row>
    <row r="18" spans="2:12" x14ac:dyDescent="0.35">
      <c r="B18">
        <v>0.492519669682768</v>
      </c>
      <c r="C18">
        <v>86.867997220223415</v>
      </c>
      <c r="E18">
        <v>1.14921256259312</v>
      </c>
      <c r="F18">
        <v>202.69199351385478</v>
      </c>
    </row>
    <row r="19" spans="2:12" x14ac:dyDescent="0.35">
      <c r="B19">
        <v>0.492519669682768</v>
      </c>
      <c r="C19">
        <v>86.867997220223501</v>
      </c>
      <c r="E19">
        <v>1.97007867873107</v>
      </c>
      <c r="F19">
        <v>361.18798844198471</v>
      </c>
    </row>
    <row r="20" spans="2:12" x14ac:dyDescent="0.35">
      <c r="B20">
        <v>0.492519669682768</v>
      </c>
      <c r="C20">
        <v>86.867997220223515</v>
      </c>
      <c r="E20">
        <v>3.5023620955218999</v>
      </c>
      <c r="F20">
        <v>580.64398141939171</v>
      </c>
      <c r="J20" t="s">
        <v>25</v>
      </c>
      <c r="K20">
        <v>170.02</v>
      </c>
      <c r="L20">
        <v>168.4</v>
      </c>
    </row>
    <row r="21" spans="2:12" x14ac:dyDescent="0.35">
      <c r="B21">
        <v>0.492519669682768</v>
      </c>
      <c r="C21">
        <v>86.867997220223543</v>
      </c>
      <c r="E21">
        <v>4.5968502503725004</v>
      </c>
      <c r="F21">
        <v>842.77197303129617</v>
      </c>
      <c r="J21" t="s">
        <v>26</v>
      </c>
      <c r="K21">
        <v>1.4266000000000001</v>
      </c>
      <c r="L21">
        <v>2.9034</v>
      </c>
    </row>
    <row r="22" spans="2:12" x14ac:dyDescent="0.35">
      <c r="B22">
        <v>0.492519669682768</v>
      </c>
      <c r="C22">
        <v>86.867997220223614</v>
      </c>
      <c r="E22">
        <v>5.3629919587679096</v>
      </c>
      <c r="F22">
        <v>932.68797015398445</v>
      </c>
    </row>
    <row r="23" spans="2:12" x14ac:dyDescent="0.35">
      <c r="B23">
        <v>0.492519669682768</v>
      </c>
      <c r="C23">
        <v>86.867997220223771</v>
      </c>
      <c r="E23">
        <v>5.8372701592031699</v>
      </c>
      <c r="F23">
        <v>967.73996903232614</v>
      </c>
    </row>
    <row r="24" spans="2:12" x14ac:dyDescent="0.35">
      <c r="B24">
        <v>0.492519669682768</v>
      </c>
      <c r="C24">
        <v>86.86799722022397</v>
      </c>
      <c r="E24">
        <v>7.0047241910437998</v>
      </c>
      <c r="F24">
        <v>1161.2879628387802</v>
      </c>
    </row>
    <row r="25" spans="2:12" x14ac:dyDescent="0.35">
      <c r="B25">
        <v>0.492519669682768</v>
      </c>
      <c r="C25">
        <v>86.867997220223984</v>
      </c>
    </row>
    <row r="26" spans="2:12" x14ac:dyDescent="0.35">
      <c r="B26">
        <v>0.492519669682768</v>
      </c>
      <c r="C26">
        <v>86.867997220223984</v>
      </c>
    </row>
    <row r="27" spans="2:12" x14ac:dyDescent="0.35">
      <c r="B27">
        <v>0.492519669682768</v>
      </c>
      <c r="C27">
        <v>86.867997220224112</v>
      </c>
    </row>
    <row r="28" spans="2:12" x14ac:dyDescent="0.35">
      <c r="B28">
        <v>0.492519669682768</v>
      </c>
      <c r="C28">
        <v>86.867997220224126</v>
      </c>
    </row>
    <row r="29" spans="2:12" x14ac:dyDescent="0.35">
      <c r="B29">
        <v>0.492519669682768</v>
      </c>
      <c r="C29">
        <v>86.867997220224169</v>
      </c>
    </row>
    <row r="30" spans="2:12" x14ac:dyDescent="0.35">
      <c r="B30">
        <v>0.492519669682768</v>
      </c>
      <c r="C30">
        <v>86.867997220224183</v>
      </c>
    </row>
    <row r="31" spans="2:12" x14ac:dyDescent="0.35">
      <c r="B31">
        <v>0.492519669682768</v>
      </c>
      <c r="C31">
        <v>86.867997220224183</v>
      </c>
    </row>
    <row r="32" spans="2:12" x14ac:dyDescent="0.35">
      <c r="B32">
        <v>0.492519669682768</v>
      </c>
      <c r="C32">
        <v>86.867997220224296</v>
      </c>
    </row>
    <row r="33" spans="2:3" x14ac:dyDescent="0.35">
      <c r="B33">
        <v>0.492519669682768</v>
      </c>
      <c r="C33">
        <v>86.867997220224353</v>
      </c>
    </row>
    <row r="34" spans="2:3" x14ac:dyDescent="0.35">
      <c r="B34">
        <v>0.492519669682768</v>
      </c>
      <c r="C34">
        <v>86.867997220224396</v>
      </c>
    </row>
    <row r="35" spans="2:3" x14ac:dyDescent="0.35">
      <c r="B35">
        <v>0.492519669682768</v>
      </c>
      <c r="C35">
        <v>86.867997220224453</v>
      </c>
    </row>
    <row r="36" spans="2:3" x14ac:dyDescent="0.35">
      <c r="B36">
        <v>0.492519669682768</v>
      </c>
      <c r="C36">
        <v>86.867997220224467</v>
      </c>
    </row>
    <row r="37" spans="2:3" x14ac:dyDescent="0.35">
      <c r="B37">
        <v>0.492519669682768</v>
      </c>
      <c r="C37">
        <v>86.867997220224481</v>
      </c>
    </row>
    <row r="38" spans="2:3" x14ac:dyDescent="0.35">
      <c r="B38">
        <v>0.492519669682768</v>
      </c>
      <c r="C38">
        <v>86.867997220224481</v>
      </c>
    </row>
    <row r="39" spans="2:3" x14ac:dyDescent="0.35">
      <c r="B39">
        <v>0.492519669682768</v>
      </c>
      <c r="C39">
        <v>86.867997220224566</v>
      </c>
    </row>
    <row r="40" spans="2:3" x14ac:dyDescent="0.35">
      <c r="B40">
        <v>0.492519669682768</v>
      </c>
      <c r="C40">
        <v>86.867997220224581</v>
      </c>
    </row>
    <row r="41" spans="2:3" x14ac:dyDescent="0.35">
      <c r="B41">
        <v>0.492519669682768</v>
      </c>
      <c r="C41">
        <v>86.867997220224623</v>
      </c>
    </row>
    <row r="42" spans="2:3" x14ac:dyDescent="0.35">
      <c r="B42">
        <v>0.492519669682768</v>
      </c>
      <c r="C42">
        <v>86.867997220224638</v>
      </c>
    </row>
    <row r="43" spans="2:3" x14ac:dyDescent="0.35">
      <c r="B43">
        <v>0.492519669682768</v>
      </c>
      <c r="C43">
        <v>86.867997220224694</v>
      </c>
    </row>
    <row r="44" spans="2:3" x14ac:dyDescent="0.35">
      <c r="B44">
        <v>0.492519669682768</v>
      </c>
      <c r="C44">
        <v>86.867997220224694</v>
      </c>
    </row>
    <row r="45" spans="2:3" x14ac:dyDescent="0.35">
      <c r="B45">
        <v>0.492519669682768</v>
      </c>
      <c r="C45">
        <v>86.867997220224723</v>
      </c>
    </row>
    <row r="46" spans="2:3" x14ac:dyDescent="0.35">
      <c r="B46">
        <v>0.492519669682768</v>
      </c>
      <c r="C46">
        <v>86.867997220224751</v>
      </c>
    </row>
    <row r="47" spans="2:3" x14ac:dyDescent="0.35">
      <c r="B47">
        <v>0.492519669682768</v>
      </c>
      <c r="C47">
        <v>86.867997220224822</v>
      </c>
    </row>
    <row r="48" spans="2:3" x14ac:dyDescent="0.35">
      <c r="B48">
        <v>1.97007867873107</v>
      </c>
      <c r="C48">
        <v>361.18798844198471</v>
      </c>
    </row>
    <row r="49" spans="2:3" x14ac:dyDescent="0.35">
      <c r="B49">
        <v>0.79806427957855897</v>
      </c>
      <c r="C49">
        <v>138.68399556211216</v>
      </c>
    </row>
    <row r="50" spans="2:3" x14ac:dyDescent="0.35">
      <c r="B50">
        <v>4.5968502503725004</v>
      </c>
      <c r="C50">
        <v>842.77197303129662</v>
      </c>
    </row>
    <row r="51" spans="2:3" x14ac:dyDescent="0.35">
      <c r="B51">
        <v>3.5023620955218999</v>
      </c>
      <c r="C51">
        <v>580.64398141939171</v>
      </c>
    </row>
    <row r="52" spans="2:3" x14ac:dyDescent="0.35">
      <c r="B52">
        <v>3.5023620955218999</v>
      </c>
      <c r="C52">
        <v>580.64398141939296</v>
      </c>
    </row>
    <row r="53" spans="2:3" x14ac:dyDescent="0.35">
      <c r="B53">
        <v>7.0047241910437998</v>
      </c>
      <c r="C53">
        <v>1161.2879628387852</v>
      </c>
    </row>
    <row r="54" spans="2:3" x14ac:dyDescent="0.35">
      <c r="B54">
        <v>7.0047241910437998</v>
      </c>
      <c r="C54">
        <v>1161.2879628387896</v>
      </c>
    </row>
    <row r="55" spans="2:3" x14ac:dyDescent="0.35">
      <c r="B55">
        <v>0.15201224372924901</v>
      </c>
      <c r="C55">
        <v>23.774399239219221</v>
      </c>
    </row>
    <row r="56" spans="2:3" x14ac:dyDescent="0.35">
      <c r="B56">
        <v>0.16214639331119901</v>
      </c>
      <c r="C56">
        <v>27.431999122175991</v>
      </c>
    </row>
    <row r="57" spans="2:3" x14ac:dyDescent="0.35">
      <c r="B57">
        <v>0.16214639331119901</v>
      </c>
      <c r="C57">
        <v>27.431999122176027</v>
      </c>
    </row>
    <row r="58" spans="2:3" x14ac:dyDescent="0.35">
      <c r="B58">
        <v>0.202682991638999</v>
      </c>
      <c r="C58">
        <v>31.699198985625362</v>
      </c>
    </row>
    <row r="59" spans="2:3" x14ac:dyDescent="0.35">
      <c r="B59">
        <v>0.25335373954874901</v>
      </c>
      <c r="C59">
        <v>39.623998732032064</v>
      </c>
    </row>
    <row r="60" spans="2:3" x14ac:dyDescent="0.35">
      <c r="B60">
        <v>0.30402448745849903</v>
      </c>
      <c r="C60">
        <v>47.548798478438577</v>
      </c>
    </row>
    <row r="61" spans="2:3" x14ac:dyDescent="0.35">
      <c r="B61">
        <v>0.30402448745849903</v>
      </c>
      <c r="C61">
        <v>47.548798478438606</v>
      </c>
    </row>
    <row r="62" spans="2:3" x14ac:dyDescent="0.35">
      <c r="B62">
        <v>0.32429278662239902</v>
      </c>
      <c r="C62">
        <v>54.863998244351869</v>
      </c>
    </row>
    <row r="63" spans="2:3" x14ac:dyDescent="0.35">
      <c r="B63">
        <v>0.36482938495019801</v>
      </c>
      <c r="C63">
        <v>57.911998146815804</v>
      </c>
    </row>
    <row r="64" spans="2:3" x14ac:dyDescent="0.35">
      <c r="B64">
        <v>0.45603673118774801</v>
      </c>
      <c r="C64">
        <v>71.323197717657592</v>
      </c>
    </row>
    <row r="65" spans="2:3" x14ac:dyDescent="0.35">
      <c r="B65">
        <v>0.45603673118774801</v>
      </c>
      <c r="C65">
        <v>71.323197717657763</v>
      </c>
    </row>
    <row r="66" spans="2:3" x14ac:dyDescent="0.35">
      <c r="B66">
        <v>0.50670747909749803</v>
      </c>
      <c r="C66">
        <v>79.247997464063985</v>
      </c>
    </row>
    <row r="67" spans="2:3" x14ac:dyDescent="0.35">
      <c r="B67">
        <v>5.8372701592031699</v>
      </c>
      <c r="C67">
        <v>967.73996903231875</v>
      </c>
    </row>
    <row r="68" spans="2:3" x14ac:dyDescent="0.35">
      <c r="B68">
        <v>5.8372701592031699</v>
      </c>
      <c r="C68">
        <v>967.7399690323216</v>
      </c>
    </row>
    <row r="69" spans="2:3" x14ac:dyDescent="0.35">
      <c r="B69">
        <v>5.8372701592031699</v>
      </c>
      <c r="C69">
        <v>967.73996903232319</v>
      </c>
    </row>
    <row r="70" spans="2:3" x14ac:dyDescent="0.35">
      <c r="B70">
        <v>5.8372701592031699</v>
      </c>
      <c r="C70">
        <v>967.7399690323233</v>
      </c>
    </row>
    <row r="71" spans="2:3" x14ac:dyDescent="0.35">
      <c r="B71">
        <v>5.8372701592031699</v>
      </c>
      <c r="C71">
        <v>967.73996903232569</v>
      </c>
    </row>
    <row r="72" spans="2:3" x14ac:dyDescent="0.35">
      <c r="B72">
        <v>7.0047241910437998</v>
      </c>
      <c r="C72">
        <v>1161.2879628387889</v>
      </c>
    </row>
    <row r="73" spans="2:3" x14ac:dyDescent="0.35">
      <c r="B73">
        <v>1.1400918279693699</v>
      </c>
      <c r="C73">
        <v>198.11999366016053</v>
      </c>
    </row>
    <row r="74" spans="2:3" x14ac:dyDescent="0.35">
      <c r="B74">
        <v>4.5968502503725004</v>
      </c>
      <c r="C74">
        <v>842.77197303129617</v>
      </c>
    </row>
    <row r="75" spans="2:3" x14ac:dyDescent="0.35">
      <c r="B75">
        <v>4.5968502503725004</v>
      </c>
      <c r="C75">
        <v>842.77197303129731</v>
      </c>
    </row>
    <row r="76" spans="2:3" x14ac:dyDescent="0.35">
      <c r="B76">
        <v>5.3629919587679096</v>
      </c>
      <c r="C76">
        <v>932.68797015398434</v>
      </c>
    </row>
    <row r="77" spans="2:3" x14ac:dyDescent="0.35">
      <c r="B77">
        <v>5.3629919587679096</v>
      </c>
      <c r="C77">
        <v>932.68797015398559</v>
      </c>
    </row>
    <row r="78" spans="2:3" x14ac:dyDescent="0.35">
      <c r="B78">
        <v>7.0047241910437998</v>
      </c>
      <c r="C78">
        <v>1161.2879628387775</v>
      </c>
    </row>
    <row r="79" spans="2:3" x14ac:dyDescent="0.35">
      <c r="B79">
        <v>7.0047241910437998</v>
      </c>
      <c r="C79">
        <v>1161.2879628387882</v>
      </c>
    </row>
    <row r="80" spans="2:3" x14ac:dyDescent="0.35">
      <c r="B80">
        <v>7.0047241910437998</v>
      </c>
      <c r="C80">
        <v>1161.28796283879</v>
      </c>
    </row>
    <row r="82" spans="1:3" x14ac:dyDescent="0.35">
      <c r="A82" t="s">
        <v>30</v>
      </c>
      <c r="B82">
        <v>0.29186350796015897</v>
      </c>
      <c r="C82">
        <v>49.377598419917028</v>
      </c>
    </row>
    <row r="83" spans="1:3" x14ac:dyDescent="0.35">
      <c r="B83">
        <v>0.12971711464895899</v>
      </c>
      <c r="C83">
        <v>21.945599297740788</v>
      </c>
    </row>
    <row r="84" spans="1:3" x14ac:dyDescent="0.35">
      <c r="B84">
        <v>0.12971711464895899</v>
      </c>
      <c r="C84">
        <v>21.945599297740848</v>
      </c>
    </row>
    <row r="85" spans="1:3" x14ac:dyDescent="0.35">
      <c r="B85">
        <v>0.12971711464895899</v>
      </c>
      <c r="C85">
        <v>21.945599297740848</v>
      </c>
    </row>
    <row r="86" spans="1:3" x14ac:dyDescent="0.35">
      <c r="B86">
        <v>0.12971711464895899</v>
      </c>
      <c r="C86">
        <v>21.945599297740852</v>
      </c>
    </row>
    <row r="87" spans="1:3" x14ac:dyDescent="0.35">
      <c r="B87">
        <v>0.12971711464895899</v>
      </c>
      <c r="C87">
        <v>21.94559929774087</v>
      </c>
    </row>
    <row r="88" spans="1:3" x14ac:dyDescent="0.35">
      <c r="B88">
        <v>0.50670747909749803</v>
      </c>
      <c r="C88">
        <v>79.247997464063985</v>
      </c>
    </row>
    <row r="89" spans="1:3" x14ac:dyDescent="0.35">
      <c r="B89">
        <v>0.45603673118774801</v>
      </c>
      <c r="C89">
        <v>71.323197717657592</v>
      </c>
    </row>
    <row r="90" spans="1:3" x14ac:dyDescent="0.35">
      <c r="B90">
        <v>0.45603673118774801</v>
      </c>
      <c r="C90">
        <v>71.323197717657763</v>
      </c>
    </row>
    <row r="91" spans="1:3" x14ac:dyDescent="0.35">
      <c r="B91">
        <v>0.36482938495019801</v>
      </c>
      <c r="C91">
        <v>57.911998146815804</v>
      </c>
    </row>
    <row r="92" spans="1:3" x14ac:dyDescent="0.35">
      <c r="B92">
        <v>7.0047241910437998</v>
      </c>
      <c r="C92">
        <v>1161.2879628387852</v>
      </c>
    </row>
    <row r="93" spans="1:3" x14ac:dyDescent="0.35">
      <c r="B93">
        <v>7.0047241910437998</v>
      </c>
      <c r="C93">
        <v>1161.2879628387896</v>
      </c>
    </row>
    <row r="94" spans="1:3" x14ac:dyDescent="0.35">
      <c r="B94">
        <v>0.32429278662239902</v>
      </c>
      <c r="C94">
        <v>54.863998244351869</v>
      </c>
    </row>
    <row r="95" spans="1:3" x14ac:dyDescent="0.35">
      <c r="B95">
        <v>0.30402448745849903</v>
      </c>
      <c r="C95">
        <v>47.548798478438577</v>
      </c>
    </row>
    <row r="96" spans="1:3" x14ac:dyDescent="0.35">
      <c r="B96">
        <v>0.30402448745849903</v>
      </c>
      <c r="C96">
        <v>47.548798478438606</v>
      </c>
    </row>
    <row r="97" spans="2:3" x14ac:dyDescent="0.35">
      <c r="B97">
        <v>0.25335373954874901</v>
      </c>
      <c r="C97">
        <v>39.623998732032064</v>
      </c>
    </row>
    <row r="98" spans="2:3" x14ac:dyDescent="0.35">
      <c r="B98">
        <v>0.202682991638999</v>
      </c>
      <c r="C98">
        <v>31.699198985625362</v>
      </c>
    </row>
    <row r="99" spans="2:3" x14ac:dyDescent="0.35">
      <c r="B99">
        <v>3.5023620955218999</v>
      </c>
      <c r="C99">
        <v>580.64398141939171</v>
      </c>
    </row>
    <row r="100" spans="2:3" x14ac:dyDescent="0.35">
      <c r="B100">
        <v>3.5023620955218999</v>
      </c>
      <c r="C100">
        <v>580.64398141939296</v>
      </c>
    </row>
    <row r="101" spans="2:3" x14ac:dyDescent="0.35">
      <c r="B101">
        <v>0.16214639331119901</v>
      </c>
      <c r="C101">
        <v>27.431999122175991</v>
      </c>
    </row>
    <row r="102" spans="2:3" x14ac:dyDescent="0.35">
      <c r="B102">
        <v>0.16214639331119901</v>
      </c>
      <c r="C102">
        <v>27.431999122176027</v>
      </c>
    </row>
    <row r="103" spans="2:3" x14ac:dyDescent="0.35">
      <c r="B103">
        <v>0.15201224372924901</v>
      </c>
      <c r="C103">
        <v>23.774399239219221</v>
      </c>
    </row>
    <row r="104" spans="2:3" x14ac:dyDescent="0.35">
      <c r="B104">
        <v>0.79806427957855897</v>
      </c>
      <c r="C104">
        <v>138.68399556211216</v>
      </c>
    </row>
    <row r="105" spans="2:3" x14ac:dyDescent="0.35">
      <c r="B105">
        <v>0.492519669682768</v>
      </c>
      <c r="C105">
        <v>86.867997220223316</v>
      </c>
    </row>
    <row r="106" spans="2:3" x14ac:dyDescent="0.35">
      <c r="B106">
        <v>0.492519669682768</v>
      </c>
      <c r="C106">
        <v>86.867997220223415</v>
      </c>
    </row>
    <row r="107" spans="2:3" x14ac:dyDescent="0.35">
      <c r="B107">
        <v>0.492519669682768</v>
      </c>
      <c r="C107">
        <v>86.867997220223501</v>
      </c>
    </row>
    <row r="108" spans="2:3" x14ac:dyDescent="0.35">
      <c r="B108">
        <v>0.492519669682768</v>
      </c>
      <c r="C108">
        <v>86.867997220223515</v>
      </c>
    </row>
    <row r="109" spans="2:3" x14ac:dyDescent="0.35">
      <c r="B109">
        <v>0.492519669682768</v>
      </c>
      <c r="C109">
        <v>86.867997220223543</v>
      </c>
    </row>
    <row r="110" spans="2:3" x14ac:dyDescent="0.35">
      <c r="B110">
        <v>0.492519669682768</v>
      </c>
      <c r="C110">
        <v>86.867997220223614</v>
      </c>
    </row>
    <row r="111" spans="2:3" x14ac:dyDescent="0.35">
      <c r="B111">
        <v>0.492519669682768</v>
      </c>
      <c r="C111">
        <v>86.867997220223771</v>
      </c>
    </row>
    <row r="112" spans="2:3" x14ac:dyDescent="0.35">
      <c r="B112">
        <v>0.492519669682768</v>
      </c>
      <c r="C112">
        <v>86.86799722022397</v>
      </c>
    </row>
    <row r="113" spans="2:3" x14ac:dyDescent="0.35">
      <c r="B113">
        <v>0.492519669682768</v>
      </c>
      <c r="C113">
        <v>86.867997220223984</v>
      </c>
    </row>
    <row r="114" spans="2:3" x14ac:dyDescent="0.35">
      <c r="B114">
        <v>0.492519669682768</v>
      </c>
      <c r="C114">
        <v>86.867997220223984</v>
      </c>
    </row>
    <row r="115" spans="2:3" x14ac:dyDescent="0.35">
      <c r="B115">
        <v>0.492519669682768</v>
      </c>
      <c r="C115">
        <v>86.867997220224112</v>
      </c>
    </row>
    <row r="116" spans="2:3" x14ac:dyDescent="0.35">
      <c r="B116">
        <v>0.492519669682768</v>
      </c>
      <c r="C116">
        <v>86.867997220224126</v>
      </c>
    </row>
    <row r="117" spans="2:3" x14ac:dyDescent="0.35">
      <c r="B117">
        <v>0.492519669682768</v>
      </c>
      <c r="C117">
        <v>86.867997220224169</v>
      </c>
    </row>
    <row r="118" spans="2:3" x14ac:dyDescent="0.35">
      <c r="B118">
        <v>0.492519669682768</v>
      </c>
      <c r="C118">
        <v>86.867997220224183</v>
      </c>
    </row>
    <row r="119" spans="2:3" x14ac:dyDescent="0.35">
      <c r="B119">
        <v>0.492519669682768</v>
      </c>
      <c r="C119">
        <v>86.867997220224183</v>
      </c>
    </row>
    <row r="120" spans="2:3" x14ac:dyDescent="0.35">
      <c r="B120">
        <v>0.492519669682768</v>
      </c>
      <c r="C120">
        <v>86.867997220224296</v>
      </c>
    </row>
    <row r="121" spans="2:3" x14ac:dyDescent="0.35">
      <c r="B121">
        <v>0.492519669682768</v>
      </c>
      <c r="C121">
        <v>86.867997220224353</v>
      </c>
    </row>
    <row r="122" spans="2:3" x14ac:dyDescent="0.35">
      <c r="B122">
        <v>0.492519669682768</v>
      </c>
      <c r="C122">
        <v>86.867997220224396</v>
      </c>
    </row>
    <row r="123" spans="2:3" x14ac:dyDescent="0.35">
      <c r="B123">
        <v>0.492519669682768</v>
      </c>
      <c r="C123">
        <v>86.867997220224453</v>
      </c>
    </row>
    <row r="124" spans="2:3" x14ac:dyDescent="0.35">
      <c r="B124">
        <v>0.492519669682768</v>
      </c>
      <c r="C124">
        <v>86.867997220224467</v>
      </c>
    </row>
    <row r="125" spans="2:3" x14ac:dyDescent="0.35">
      <c r="B125">
        <v>0.492519669682768</v>
      </c>
      <c r="C125">
        <v>86.867997220224481</v>
      </c>
    </row>
    <row r="126" spans="2:3" x14ac:dyDescent="0.35">
      <c r="B126">
        <v>0.492519669682768</v>
      </c>
      <c r="C126">
        <v>86.867997220224481</v>
      </c>
    </row>
    <row r="127" spans="2:3" x14ac:dyDescent="0.35">
      <c r="B127">
        <v>0.492519669682768</v>
      </c>
      <c r="C127">
        <v>86.867997220224566</v>
      </c>
    </row>
    <row r="128" spans="2:3" x14ac:dyDescent="0.35">
      <c r="B128">
        <v>0.492519669682768</v>
      </c>
      <c r="C128">
        <v>86.867997220224581</v>
      </c>
    </row>
    <row r="129" spans="2:3" x14ac:dyDescent="0.35">
      <c r="B129">
        <v>0.492519669682768</v>
      </c>
      <c r="C129">
        <v>86.867997220224623</v>
      </c>
    </row>
    <row r="130" spans="2:3" x14ac:dyDescent="0.35">
      <c r="B130">
        <v>0.492519669682768</v>
      </c>
      <c r="C130">
        <v>86.867997220224638</v>
      </c>
    </row>
    <row r="131" spans="2:3" x14ac:dyDescent="0.35">
      <c r="B131">
        <v>0.492519669682768</v>
      </c>
      <c r="C131">
        <v>86.867997220224694</v>
      </c>
    </row>
    <row r="132" spans="2:3" x14ac:dyDescent="0.35">
      <c r="B132">
        <v>0.492519669682768</v>
      </c>
      <c r="C132">
        <v>86.867997220224694</v>
      </c>
    </row>
    <row r="133" spans="2:3" x14ac:dyDescent="0.35">
      <c r="B133">
        <v>0.492519669682768</v>
      </c>
      <c r="C133">
        <v>86.867997220224723</v>
      </c>
    </row>
    <row r="134" spans="2:3" x14ac:dyDescent="0.35">
      <c r="B134">
        <v>0.492519669682768</v>
      </c>
      <c r="C134">
        <v>86.867997220224751</v>
      </c>
    </row>
    <row r="135" spans="2:3" x14ac:dyDescent="0.35">
      <c r="B135">
        <v>0.492519669682768</v>
      </c>
      <c r="C135">
        <v>86.867997220224822</v>
      </c>
    </row>
    <row r="136" spans="2:3" x14ac:dyDescent="0.35">
      <c r="B136">
        <v>0.34202754839081101</v>
      </c>
      <c r="C136">
        <v>59.435998098048131</v>
      </c>
    </row>
    <row r="137" spans="2:3" x14ac:dyDescent="0.35">
      <c r="B137">
        <v>0.29186350796015897</v>
      </c>
      <c r="C137">
        <v>46.329598517452695</v>
      </c>
    </row>
    <row r="138" spans="2:3" x14ac:dyDescent="0.35">
      <c r="B138">
        <v>0.29186350796015897</v>
      </c>
      <c r="C138">
        <v>46.329598517452922</v>
      </c>
    </row>
    <row r="139" spans="2:3" x14ac:dyDescent="0.35">
      <c r="B139">
        <v>1.97007867873107</v>
      </c>
      <c r="C139">
        <v>361.18798844198471</v>
      </c>
    </row>
    <row r="140" spans="2:3" x14ac:dyDescent="0.35">
      <c r="B140">
        <v>4.5968502503725004</v>
      </c>
      <c r="C140">
        <v>842.77197303129662</v>
      </c>
    </row>
  </sheetData>
  <autoFilter ref="E2:F2" xr:uid="{6515FE6A-1548-49C7-AE0C-02523932F339}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66A06-106E-4B18-A3F5-C6DC94284901}">
  <dimension ref="A1:D14"/>
  <sheetViews>
    <sheetView workbookViewId="0">
      <selection activeCell="C15" sqref="C15"/>
    </sheetView>
  </sheetViews>
  <sheetFormatPr defaultRowHeight="14.5" x14ac:dyDescent="0.35"/>
  <cols>
    <col min="3" max="3" width="10.81640625" bestFit="1" customWidth="1"/>
  </cols>
  <sheetData>
    <row r="1" spans="1:4" x14ac:dyDescent="0.35">
      <c r="B1" t="s">
        <v>2</v>
      </c>
      <c r="C1" t="s">
        <v>0</v>
      </c>
      <c r="D1" t="s">
        <v>1</v>
      </c>
    </row>
    <row r="2" spans="1:4" x14ac:dyDescent="0.35">
      <c r="A2" t="s">
        <v>3</v>
      </c>
      <c r="B2">
        <v>1.3935500000000001</v>
      </c>
      <c r="C2">
        <v>375</v>
      </c>
    </row>
    <row r="3" spans="1:4" x14ac:dyDescent="0.35">
      <c r="A3" t="s">
        <v>9</v>
      </c>
      <c r="B3">
        <v>1.48645</v>
      </c>
      <c r="D3">
        <v>345</v>
      </c>
    </row>
    <row r="4" spans="1:4" x14ac:dyDescent="0.35">
      <c r="A4" t="s">
        <v>4</v>
      </c>
      <c r="B4">
        <v>1.85806</v>
      </c>
      <c r="C4">
        <v>400</v>
      </c>
    </row>
    <row r="5" spans="1:4" x14ac:dyDescent="0.35">
      <c r="A5" t="s">
        <v>5</v>
      </c>
      <c r="B5">
        <v>2.22967</v>
      </c>
      <c r="C5">
        <v>415</v>
      </c>
      <c r="D5">
        <v>415</v>
      </c>
    </row>
    <row r="6" spans="1:4" x14ac:dyDescent="0.35">
      <c r="A6" t="s">
        <v>6</v>
      </c>
      <c r="B6">
        <v>2.3225799999999999</v>
      </c>
      <c r="C6">
        <v>425</v>
      </c>
      <c r="D6">
        <v>415</v>
      </c>
    </row>
    <row r="7" spans="1:4" x14ac:dyDescent="0.35">
      <c r="A7" t="s">
        <v>7</v>
      </c>
      <c r="B7">
        <v>2.6012900000000001</v>
      </c>
      <c r="C7">
        <v>450</v>
      </c>
    </row>
    <row r="8" spans="1:4" x14ac:dyDescent="0.35">
      <c r="A8" t="s">
        <v>13</v>
      </c>
      <c r="B8">
        <v>3.3445100000000001</v>
      </c>
      <c r="D8">
        <v>500</v>
      </c>
    </row>
    <row r="9" spans="1:4" x14ac:dyDescent="0.35">
      <c r="A9" t="s">
        <v>8</v>
      </c>
      <c r="B9">
        <v>3.7161200000000001</v>
      </c>
      <c r="C9">
        <v>550</v>
      </c>
    </row>
    <row r="10" spans="1:4" x14ac:dyDescent="0.35">
      <c r="A10" t="s">
        <v>14</v>
      </c>
      <c r="B10">
        <v>4.4593499999999997</v>
      </c>
      <c r="D10">
        <v>550</v>
      </c>
    </row>
    <row r="11" spans="1:4" x14ac:dyDescent="0.35">
      <c r="A11" t="s">
        <v>15</v>
      </c>
      <c r="B11">
        <v>4.5522499999999999</v>
      </c>
      <c r="D11">
        <v>550</v>
      </c>
    </row>
    <row r="13" spans="1:4" x14ac:dyDescent="0.35">
      <c r="B13">
        <f>B6*3</f>
        <v>6.9677399999999992</v>
      </c>
      <c r="C13">
        <f t="shared" ref="C13:D13" si="0">C6*3</f>
        <v>1275</v>
      </c>
      <c r="D13">
        <f t="shared" si="0"/>
        <v>1245</v>
      </c>
    </row>
    <row r="14" spans="1:4" x14ac:dyDescent="0.35">
      <c r="C14">
        <f>C13*34</f>
        <v>43350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CF281-D058-485D-AE4B-68A5E5F41099}">
  <dimension ref="B2:X136"/>
  <sheetViews>
    <sheetView zoomScale="70" zoomScaleNormal="70" workbookViewId="0">
      <selection activeCell="D24" sqref="D24"/>
    </sheetView>
  </sheetViews>
  <sheetFormatPr defaultRowHeight="14.5" x14ac:dyDescent="0.35"/>
  <cols>
    <col min="2" max="2" width="13" bestFit="1" customWidth="1"/>
    <col min="3" max="3" width="13" customWidth="1"/>
    <col min="4" max="4" width="36.7265625" bestFit="1" customWidth="1"/>
    <col min="5" max="5" width="10" bestFit="1" customWidth="1"/>
  </cols>
  <sheetData>
    <row r="2" spans="2:24" x14ac:dyDescent="0.35">
      <c r="B2" t="s">
        <v>55</v>
      </c>
      <c r="C2" t="s">
        <v>54</v>
      </c>
      <c r="D2" t="s">
        <v>56</v>
      </c>
      <c r="E2" t="s">
        <v>57</v>
      </c>
      <c r="P2" s="10" t="s">
        <v>142</v>
      </c>
      <c r="Q2" s="198"/>
      <c r="R2" s="198"/>
      <c r="S2" s="199"/>
      <c r="U2" s="10" t="s">
        <v>146</v>
      </c>
      <c r="V2" s="198"/>
      <c r="W2" s="198"/>
      <c r="X2" s="199"/>
    </row>
    <row r="3" spans="2:24" x14ac:dyDescent="0.35">
      <c r="B3">
        <v>11</v>
      </c>
      <c r="C3" t="s">
        <v>49</v>
      </c>
      <c r="D3" s="237">
        <v>8840</v>
      </c>
      <c r="E3" s="237">
        <v>5.8764047134238311</v>
      </c>
      <c r="P3" s="200" t="s">
        <v>55</v>
      </c>
      <c r="Q3" s="200" t="s">
        <v>119</v>
      </c>
      <c r="R3" s="200" t="s">
        <v>141</v>
      </c>
      <c r="S3" s="3"/>
      <c r="U3" s="200" t="s">
        <v>55</v>
      </c>
      <c r="V3" s="200" t="s">
        <v>147</v>
      </c>
      <c r="W3" s="200" t="s">
        <v>139</v>
      </c>
      <c r="X3" s="3"/>
    </row>
    <row r="4" spans="2:24" x14ac:dyDescent="0.35">
      <c r="B4">
        <v>11</v>
      </c>
      <c r="C4" t="s">
        <v>50</v>
      </c>
      <c r="D4" s="237">
        <v>8520</v>
      </c>
      <c r="E4" s="237">
        <v>4.6920662754303599</v>
      </c>
      <c r="P4" s="129">
        <v>15</v>
      </c>
      <c r="Q4" s="129">
        <v>1130</v>
      </c>
      <c r="R4" s="129">
        <v>2.2200000000000002</v>
      </c>
      <c r="S4" s="129">
        <f>Q4*R4</f>
        <v>2508.6000000000004</v>
      </c>
      <c r="U4" s="129">
        <v>11</v>
      </c>
      <c r="V4" s="129">
        <v>17360</v>
      </c>
      <c r="W4" s="129">
        <v>2.86</v>
      </c>
      <c r="X4" s="129">
        <f>V4*W4</f>
        <v>49649.599999999999</v>
      </c>
    </row>
    <row r="5" spans="2:24" x14ac:dyDescent="0.35">
      <c r="B5">
        <v>12</v>
      </c>
      <c r="C5" t="s">
        <v>51</v>
      </c>
      <c r="D5" s="237">
        <v>4845</v>
      </c>
      <c r="E5" s="237">
        <v>5.0440127278981768</v>
      </c>
      <c r="P5" s="130">
        <v>14</v>
      </c>
      <c r="Q5" s="130">
        <v>1455</v>
      </c>
      <c r="R5" s="130">
        <v>2.37</v>
      </c>
      <c r="S5" s="130">
        <f t="shared" ref="S5:S7" si="0">Q5*R5</f>
        <v>3448.3500000000004</v>
      </c>
      <c r="U5" s="130">
        <v>12</v>
      </c>
      <c r="V5" s="11">
        <v>15145</v>
      </c>
      <c r="W5" s="130">
        <v>2.64</v>
      </c>
      <c r="X5" s="130">
        <f t="shared" ref="X5:X7" si="1">V5*W5</f>
        <v>39982.800000000003</v>
      </c>
    </row>
    <row r="6" spans="2:24" x14ac:dyDescent="0.35">
      <c r="B6">
        <v>12</v>
      </c>
      <c r="C6" t="s">
        <v>53</v>
      </c>
      <c r="D6" s="237">
        <v>8900</v>
      </c>
      <c r="E6" s="237">
        <v>4.438525280898876</v>
      </c>
      <c r="P6" s="130">
        <v>12</v>
      </c>
      <c r="Q6" s="130">
        <v>1335</v>
      </c>
      <c r="R6" s="130">
        <v>2.19</v>
      </c>
      <c r="S6" s="130">
        <f t="shared" si="0"/>
        <v>2923.65</v>
      </c>
      <c r="U6" s="130">
        <v>14</v>
      </c>
      <c r="V6" s="11">
        <v>22050</v>
      </c>
      <c r="W6" s="130">
        <v>2.73</v>
      </c>
      <c r="X6" s="130">
        <f t="shared" si="1"/>
        <v>60196.5</v>
      </c>
    </row>
    <row r="7" spans="2:24" x14ac:dyDescent="0.35">
      <c r="B7">
        <v>14</v>
      </c>
      <c r="C7" t="s">
        <v>46</v>
      </c>
      <c r="D7" s="237">
        <v>7610</v>
      </c>
      <c r="E7" s="237">
        <v>4.0257471372254559</v>
      </c>
      <c r="P7" s="131">
        <v>11</v>
      </c>
      <c r="Q7" s="131">
        <v>1300</v>
      </c>
      <c r="R7" s="131">
        <v>2.17</v>
      </c>
      <c r="S7" s="131">
        <f t="shared" si="0"/>
        <v>2821</v>
      </c>
      <c r="U7" s="131">
        <v>15</v>
      </c>
      <c r="V7" s="131">
        <v>23000</v>
      </c>
      <c r="W7" s="131">
        <v>2.62</v>
      </c>
      <c r="X7" s="131">
        <f t="shared" si="1"/>
        <v>60260</v>
      </c>
    </row>
    <row r="8" spans="2:24" x14ac:dyDescent="0.35">
      <c r="B8">
        <v>14</v>
      </c>
      <c r="C8" t="s">
        <v>47</v>
      </c>
      <c r="D8" s="237">
        <v>9800</v>
      </c>
      <c r="E8" s="237">
        <v>3.7694650145772597</v>
      </c>
      <c r="P8" s="2" t="s">
        <v>138</v>
      </c>
      <c r="Q8">
        <f>SUM(Q4:Q7)</f>
        <v>5220</v>
      </c>
      <c r="S8" s="3">
        <f>SUM(S4:S7)</f>
        <v>11701.6</v>
      </c>
      <c r="U8" s="2" t="s">
        <v>138</v>
      </c>
      <c r="V8">
        <f>SUM(V4:V7)</f>
        <v>77555</v>
      </c>
      <c r="X8" s="3">
        <f>SUM(X4:X7)</f>
        <v>210088.9</v>
      </c>
    </row>
    <row r="9" spans="2:24" x14ac:dyDescent="0.35">
      <c r="B9">
        <v>14</v>
      </c>
      <c r="C9" t="s">
        <v>48</v>
      </c>
      <c r="D9" s="237">
        <v>4640</v>
      </c>
      <c r="E9" s="237">
        <v>4.9804572044334963</v>
      </c>
      <c r="P9" s="4"/>
      <c r="Q9" s="12"/>
      <c r="R9" s="6" t="s">
        <v>144</v>
      </c>
      <c r="S9" s="20">
        <f>S8/Q8</f>
        <v>2.2416858237547892</v>
      </c>
      <c r="U9" s="4"/>
      <c r="V9" s="12"/>
      <c r="W9" s="6" t="s">
        <v>140</v>
      </c>
      <c r="X9" s="20">
        <f>X8/V8</f>
        <v>2.7089020694990653</v>
      </c>
    </row>
    <row r="10" spans="2:24" x14ac:dyDescent="0.35">
      <c r="B10">
        <v>15</v>
      </c>
      <c r="C10" t="s">
        <v>44</v>
      </c>
      <c r="D10" s="237">
        <v>16500</v>
      </c>
      <c r="E10" s="237">
        <v>3.9740692640692639</v>
      </c>
    </row>
    <row r="11" spans="2:24" x14ac:dyDescent="0.35">
      <c r="B11">
        <v>15</v>
      </c>
      <c r="C11" t="s">
        <v>45</v>
      </c>
      <c r="D11" s="237">
        <v>6500</v>
      </c>
      <c r="E11" s="237">
        <v>4.3908351648351642</v>
      </c>
    </row>
    <row r="20" spans="3:18" x14ac:dyDescent="0.35">
      <c r="E20" s="233" t="s">
        <v>130</v>
      </c>
      <c r="F20" s="235"/>
      <c r="G20" s="234"/>
      <c r="H20" s="233" t="s">
        <v>131</v>
      </c>
      <c r="I20" s="235"/>
      <c r="J20" s="235"/>
      <c r="K20" s="236"/>
      <c r="L20" s="233" t="s">
        <v>132</v>
      </c>
      <c r="M20" s="235"/>
      <c r="N20" s="235"/>
      <c r="O20" s="236"/>
      <c r="P20" s="233" t="s">
        <v>43</v>
      </c>
      <c r="Q20" s="235"/>
      <c r="R20" s="234"/>
    </row>
    <row r="21" spans="3:18" x14ac:dyDescent="0.35">
      <c r="E21" s="191" t="s">
        <v>49</v>
      </c>
      <c r="F21" s="192" t="s">
        <v>50</v>
      </c>
      <c r="G21" s="193"/>
      <c r="H21" s="191" t="s">
        <v>51</v>
      </c>
      <c r="I21" s="192" t="s">
        <v>52</v>
      </c>
      <c r="J21" s="192" t="s">
        <v>53</v>
      </c>
      <c r="K21" s="193"/>
      <c r="L21" s="191" t="s">
        <v>46</v>
      </c>
      <c r="M21" s="192" t="s">
        <v>47</v>
      </c>
      <c r="N21" s="192" t="s">
        <v>48</v>
      </c>
      <c r="O21" s="193"/>
      <c r="P21" s="191" t="s">
        <v>44</v>
      </c>
      <c r="Q21" s="192" t="s">
        <v>45</v>
      </c>
      <c r="R21" s="193"/>
    </row>
    <row r="22" spans="3:18" x14ac:dyDescent="0.35">
      <c r="D22" s="182" t="s">
        <v>133</v>
      </c>
      <c r="E22" s="194">
        <v>8840</v>
      </c>
      <c r="F22" s="33">
        <v>8520</v>
      </c>
      <c r="G22" s="195">
        <v>17360</v>
      </c>
      <c r="H22" s="118">
        <v>4845</v>
      </c>
      <c r="I22" s="13">
        <v>1400</v>
      </c>
      <c r="J22" s="13">
        <v>8900</v>
      </c>
      <c r="K22" s="195">
        <v>15145</v>
      </c>
      <c r="L22" s="194">
        <v>7610</v>
      </c>
      <c r="M22" s="33">
        <v>9800</v>
      </c>
      <c r="N22" s="33">
        <v>4640</v>
      </c>
      <c r="O22" s="195">
        <v>22050</v>
      </c>
      <c r="P22" s="196">
        <v>16500</v>
      </c>
      <c r="Q22" s="33">
        <v>6500</v>
      </c>
      <c r="R22" s="195">
        <v>23000</v>
      </c>
    </row>
    <row r="23" spans="3:18" x14ac:dyDescent="0.35">
      <c r="C23" s="176"/>
      <c r="D23" s="24" t="s">
        <v>33</v>
      </c>
      <c r="E23" s="186">
        <v>0.48904374057315231</v>
      </c>
      <c r="F23" s="177">
        <v>0.25370579029733958</v>
      </c>
      <c r="G23" s="183">
        <v>0.24902918586789555</v>
      </c>
      <c r="H23" s="43">
        <v>0.31475748194014447</v>
      </c>
      <c r="I23" s="43">
        <v>1.0892857142857142</v>
      </c>
      <c r="J23" s="43">
        <v>0.17134831460674158</v>
      </c>
      <c r="K23" s="177">
        <v>0.30207989435457244</v>
      </c>
      <c r="L23" s="186">
        <v>0.2072461047493899</v>
      </c>
      <c r="M23" s="177">
        <v>0.160932944606414</v>
      </c>
      <c r="N23" s="177">
        <v>0.33990147783251229</v>
      </c>
      <c r="O23" s="177">
        <v>0.21457725947521866</v>
      </c>
      <c r="P23" s="34">
        <v>0.16168831168831169</v>
      </c>
      <c r="Q23" s="189">
        <v>0.41043956043956042</v>
      </c>
      <c r="R23" s="183">
        <v>0.23198757763975153</v>
      </c>
    </row>
    <row r="24" spans="3:18" x14ac:dyDescent="0.35">
      <c r="C24" s="176"/>
      <c r="D24" s="24" t="s">
        <v>34</v>
      </c>
      <c r="E24" s="187">
        <v>0.68520033936651592</v>
      </c>
      <c r="F24" s="178">
        <v>0.68460461658841953</v>
      </c>
      <c r="G24" s="184">
        <v>0.6849079685099847</v>
      </c>
      <c r="H24" s="39">
        <v>0.21413828689370484</v>
      </c>
      <c r="I24" s="39">
        <v>1.3339285714285714</v>
      </c>
      <c r="J24" s="39">
        <v>0.23314606741573032</v>
      </c>
      <c r="K24" s="178">
        <v>0.32882139319907561</v>
      </c>
      <c r="L24" s="187">
        <v>0</v>
      </c>
      <c r="M24" s="178">
        <v>0</v>
      </c>
      <c r="N24" s="178">
        <v>0.41687192118226601</v>
      </c>
      <c r="O24" s="178">
        <v>8.7722708130871394E-2</v>
      </c>
      <c r="P24" s="35">
        <v>6.4415584415584412E-2</v>
      </c>
      <c r="Q24" s="28">
        <v>0</v>
      </c>
      <c r="R24" s="184">
        <v>4.6211180124223601E-2</v>
      </c>
    </row>
    <row r="25" spans="3:18" x14ac:dyDescent="0.35">
      <c r="D25" s="24" t="s">
        <v>35</v>
      </c>
      <c r="E25" s="187">
        <v>0.44366892911010553</v>
      </c>
      <c r="F25" s="178">
        <v>0.39626564945226911</v>
      </c>
      <c r="G25" s="184">
        <v>0.42040418586789552</v>
      </c>
      <c r="H25" s="39">
        <v>0.44117647058823528</v>
      </c>
      <c r="I25" s="39">
        <v>0.9107142857142857</v>
      </c>
      <c r="J25" s="39">
        <v>0.3433988764044944</v>
      </c>
      <c r="K25" s="178">
        <v>0.42712116209970286</v>
      </c>
      <c r="L25" s="187">
        <v>0.35128214755021592</v>
      </c>
      <c r="M25" s="178">
        <v>0.25301457725947524</v>
      </c>
      <c r="N25" s="178">
        <v>0.39243842364532022</v>
      </c>
      <c r="O25" s="178">
        <v>0.31626822157434403</v>
      </c>
      <c r="P25" s="35">
        <v>0.30694805194805191</v>
      </c>
      <c r="Q25" s="28">
        <v>0.24987362637362637</v>
      </c>
      <c r="R25" s="184">
        <v>0.29081832298136645</v>
      </c>
    </row>
    <row r="26" spans="3:18" x14ac:dyDescent="0.35">
      <c r="D26" s="24" t="s">
        <v>36</v>
      </c>
      <c r="E26" s="187">
        <v>0.41665158371040723</v>
      </c>
      <c r="F26" s="178">
        <v>0.36700508607198745</v>
      </c>
      <c r="G26" s="184">
        <v>0.39228590629800303</v>
      </c>
      <c r="H26" s="39">
        <v>1.0065359477124183</v>
      </c>
      <c r="I26" s="39">
        <v>0.90979166666666678</v>
      </c>
      <c r="J26" s="39">
        <v>0.65969101123595508</v>
      </c>
      <c r="K26" s="178">
        <v>0.79376857048530869</v>
      </c>
      <c r="L26" s="187">
        <v>0.27423972217007697</v>
      </c>
      <c r="M26" s="178">
        <v>0.24820335276967931</v>
      </c>
      <c r="N26" s="178">
        <v>0.32570043103448276</v>
      </c>
      <c r="O26" s="178">
        <v>0.27349692257855523</v>
      </c>
      <c r="P26" s="35">
        <v>0.46636363636363637</v>
      </c>
      <c r="Q26" s="28">
        <v>0.30911538461538463</v>
      </c>
      <c r="R26" s="184">
        <v>0.42192391304347826</v>
      </c>
    </row>
    <row r="27" spans="3:18" x14ac:dyDescent="0.35">
      <c r="D27" s="24" t="s">
        <v>37</v>
      </c>
      <c r="E27" s="187">
        <v>2.8633333333333333</v>
      </c>
      <c r="F27" s="178">
        <v>2.8633333333333333</v>
      </c>
      <c r="G27" s="184">
        <v>2.8633333333333333</v>
      </c>
      <c r="H27" s="39">
        <v>2.6349999999999998</v>
      </c>
      <c r="I27" s="39">
        <v>2.6349999999999998</v>
      </c>
      <c r="J27" s="39">
        <v>2.6349999999999998</v>
      </c>
      <c r="K27" s="178">
        <v>2.6349999999999998</v>
      </c>
      <c r="L27" s="187">
        <v>2.7285714285714286</v>
      </c>
      <c r="M27" s="178">
        <v>2.7285714285714286</v>
      </c>
      <c r="N27" s="178">
        <v>2.7285714285714286</v>
      </c>
      <c r="O27" s="178">
        <v>2.7285714285714286</v>
      </c>
      <c r="P27" s="35">
        <v>2.6242857142857141</v>
      </c>
      <c r="Q27" s="28">
        <v>2.6242857142857141</v>
      </c>
      <c r="R27" s="184">
        <v>2.6242857142857141</v>
      </c>
    </row>
    <row r="28" spans="3:18" x14ac:dyDescent="0.35">
      <c r="D28" s="24" t="s">
        <v>38</v>
      </c>
      <c r="E28" s="187">
        <v>0.19607843137254902</v>
      </c>
      <c r="F28" s="178">
        <v>0.12715179968701096</v>
      </c>
      <c r="G28" s="184">
        <v>0.16225038402457756</v>
      </c>
      <c r="H28" s="39">
        <v>0.14447884416924664</v>
      </c>
      <c r="I28" s="39">
        <v>0.4140625</v>
      </c>
      <c r="J28" s="39">
        <v>0.18433988764044945</v>
      </c>
      <c r="K28" s="178">
        <v>0.19282353912182237</v>
      </c>
      <c r="L28" s="187">
        <v>0.13997559602027407</v>
      </c>
      <c r="M28" s="178">
        <v>0.12681122448979593</v>
      </c>
      <c r="N28" s="178">
        <v>0.24487684729064035</v>
      </c>
      <c r="O28" s="178">
        <v>0.15619922254616131</v>
      </c>
      <c r="P28" s="35">
        <v>9.4242424242424239E-2</v>
      </c>
      <c r="Q28" s="28">
        <v>0.14695604395604397</v>
      </c>
      <c r="R28" s="184">
        <v>0.10913975155279504</v>
      </c>
    </row>
    <row r="29" spans="3:18" x14ac:dyDescent="0.35">
      <c r="D29" s="24" t="s">
        <v>39</v>
      </c>
      <c r="E29" s="188">
        <v>0.78242835595776772</v>
      </c>
      <c r="F29" s="179">
        <v>0</v>
      </c>
      <c r="G29" s="185">
        <v>0.39842549923195086</v>
      </c>
      <c r="H29" s="42">
        <v>0.28792569659442724</v>
      </c>
      <c r="I29" s="42">
        <v>0.99642857142857144</v>
      </c>
      <c r="J29" s="42">
        <v>0.21160112359550565</v>
      </c>
      <c r="K29" s="179">
        <v>0.30856718388907228</v>
      </c>
      <c r="L29" s="188">
        <v>0.32443213816406985</v>
      </c>
      <c r="M29" s="42">
        <v>0.25193148688046646</v>
      </c>
      <c r="N29" s="179">
        <v>0.53209667487684731</v>
      </c>
      <c r="O29" s="179">
        <v>0.3359086491739553</v>
      </c>
      <c r="P29" s="36">
        <v>0.25612554112554115</v>
      </c>
      <c r="Q29" s="190">
        <v>0.65016483516483514</v>
      </c>
      <c r="R29" s="185">
        <v>0.36748447204968943</v>
      </c>
    </row>
    <row r="30" spans="3:18" x14ac:dyDescent="0.35">
      <c r="D30" s="24" t="s">
        <v>42</v>
      </c>
      <c r="E30" s="9">
        <f>SUM(E23:E29)</f>
        <v>5.8764047134238311</v>
      </c>
      <c r="F30" s="9">
        <f t="shared" ref="F30:R30" si="2">SUM(F23:F29)</f>
        <v>4.6920662754303599</v>
      </c>
      <c r="G30" s="9">
        <f t="shared" si="2"/>
        <v>5.1706364631336408</v>
      </c>
      <c r="H30" s="9">
        <f t="shared" si="2"/>
        <v>5.0440127278981768</v>
      </c>
      <c r="I30" s="9">
        <f t="shared" si="2"/>
        <v>8.2892113095238091</v>
      </c>
      <c r="J30" s="9">
        <f t="shared" si="2"/>
        <v>4.438525280898876</v>
      </c>
      <c r="K30" s="9">
        <f t="shared" si="2"/>
        <v>4.9881817431495534</v>
      </c>
      <c r="L30" s="9">
        <f t="shared" si="2"/>
        <v>4.0257471372254559</v>
      </c>
      <c r="M30" s="9">
        <f t="shared" si="2"/>
        <v>3.7694650145772597</v>
      </c>
      <c r="N30" s="9">
        <f t="shared" si="2"/>
        <v>4.9804572044334963</v>
      </c>
      <c r="O30" s="9">
        <f t="shared" si="2"/>
        <v>4.1127444120505343</v>
      </c>
      <c r="P30" s="9">
        <f t="shared" si="2"/>
        <v>3.9740692640692639</v>
      </c>
      <c r="Q30" s="9">
        <f t="shared" si="2"/>
        <v>4.3908351648351642</v>
      </c>
      <c r="R30" s="9">
        <f t="shared" si="2"/>
        <v>4.0918509316770182</v>
      </c>
    </row>
    <row r="31" spans="3:18" x14ac:dyDescent="0.35">
      <c r="D31" s="24" t="s">
        <v>136</v>
      </c>
      <c r="E31" s="9">
        <f t="shared" ref="E31:F31" si="3">E25+E26</f>
        <v>0.8603205128205127</v>
      </c>
      <c r="F31" s="9">
        <f t="shared" si="3"/>
        <v>0.76327073552425651</v>
      </c>
      <c r="G31" s="9">
        <f>G25+G26</f>
        <v>0.8126900921658986</v>
      </c>
      <c r="H31" s="9">
        <f t="shared" ref="H31:R31" si="4">H25+H26</f>
        <v>1.4477124183006536</v>
      </c>
      <c r="I31" s="9">
        <f t="shared" si="4"/>
        <v>1.8205059523809526</v>
      </c>
      <c r="J31" s="9">
        <f t="shared" si="4"/>
        <v>1.0030898876404495</v>
      </c>
      <c r="K31" s="9">
        <f t="shared" si="4"/>
        <v>1.2208897325850114</v>
      </c>
      <c r="L31" s="9">
        <f t="shared" si="4"/>
        <v>0.62552186972029289</v>
      </c>
      <c r="M31" s="9">
        <f t="shared" si="4"/>
        <v>0.5012179300291546</v>
      </c>
      <c r="N31" s="9">
        <f t="shared" si="4"/>
        <v>0.71813885467980298</v>
      </c>
      <c r="O31" s="9">
        <f t="shared" si="4"/>
        <v>0.58976514415289927</v>
      </c>
      <c r="P31" s="9">
        <f t="shared" si="4"/>
        <v>0.77331168831168828</v>
      </c>
      <c r="Q31" s="9">
        <f t="shared" si="4"/>
        <v>0.55898901098901099</v>
      </c>
      <c r="R31" s="9">
        <f t="shared" si="4"/>
        <v>0.71274223602484477</v>
      </c>
    </row>
    <row r="32" spans="3:18" x14ac:dyDescent="0.35">
      <c r="C32" t="s">
        <v>134</v>
      </c>
      <c r="D32" s="24" t="s">
        <v>135</v>
      </c>
      <c r="G32" s="9">
        <f>G23+G24</f>
        <v>0.93393715437788027</v>
      </c>
      <c r="K32" s="9">
        <f>K23+K24</f>
        <v>0.63090128755364805</v>
      </c>
      <c r="N32" s="9">
        <f>N23+N24</f>
        <v>0.75677339901477825</v>
      </c>
      <c r="R32" s="9">
        <f>R23+R24</f>
        <v>0.27819875776397512</v>
      </c>
    </row>
    <row r="33" spans="4:18" x14ac:dyDescent="0.35">
      <c r="D33" s="24" t="s">
        <v>137</v>
      </c>
    </row>
    <row r="34" spans="4:18" x14ac:dyDescent="0.35">
      <c r="D34" s="24"/>
      <c r="G34" s="9"/>
      <c r="K34" s="9"/>
      <c r="N34" s="9"/>
      <c r="R34" s="9"/>
    </row>
    <row r="35" spans="4:18" x14ac:dyDescent="0.35">
      <c r="D35" s="24"/>
      <c r="G35" s="9"/>
      <c r="K35" s="9"/>
      <c r="N35" s="9"/>
      <c r="R35" s="9"/>
    </row>
    <row r="36" spans="4:18" x14ac:dyDescent="0.35">
      <c r="D36" s="24"/>
      <c r="G36" s="9"/>
      <c r="K36" s="9"/>
      <c r="N36" s="9"/>
      <c r="R36" s="9"/>
    </row>
    <row r="37" spans="4:18" x14ac:dyDescent="0.35">
      <c r="D37" s="24"/>
      <c r="G37" s="9"/>
      <c r="K37" s="9"/>
      <c r="N37" s="9"/>
      <c r="R37" s="9"/>
    </row>
    <row r="69" spans="4:19" x14ac:dyDescent="0.35">
      <c r="E69" s="233" t="s">
        <v>130</v>
      </c>
      <c r="F69" s="235"/>
      <c r="G69" s="234"/>
      <c r="H69" s="233" t="s">
        <v>131</v>
      </c>
      <c r="I69" s="235"/>
      <c r="J69" s="235"/>
      <c r="K69" s="236"/>
      <c r="L69" s="233" t="s">
        <v>132</v>
      </c>
      <c r="M69" s="235"/>
      <c r="N69" s="235"/>
      <c r="O69" s="236"/>
      <c r="P69" s="233" t="s">
        <v>43</v>
      </c>
      <c r="Q69" s="235"/>
      <c r="R69" s="234"/>
    </row>
    <row r="70" spans="4:19" x14ac:dyDescent="0.35">
      <c r="E70" s="191" t="s">
        <v>49</v>
      </c>
      <c r="F70" s="192" t="s">
        <v>50</v>
      </c>
      <c r="G70" s="193"/>
      <c r="H70" s="191" t="s">
        <v>51</v>
      </c>
      <c r="I70" s="192" t="s">
        <v>52</v>
      </c>
      <c r="J70" s="192" t="s">
        <v>53</v>
      </c>
      <c r="K70" s="193"/>
      <c r="L70" s="191" t="s">
        <v>46</v>
      </c>
      <c r="M70" s="192" t="s">
        <v>47</v>
      </c>
      <c r="N70" s="192" t="s">
        <v>48</v>
      </c>
      <c r="O70" s="193"/>
      <c r="P70" s="191" t="s">
        <v>44</v>
      </c>
      <c r="Q70" s="192" t="s">
        <v>45</v>
      </c>
      <c r="R70" s="193"/>
    </row>
    <row r="71" spans="4:19" x14ac:dyDescent="0.35">
      <c r="D71" s="182" t="s">
        <v>133</v>
      </c>
      <c r="E71" s="194">
        <v>8840</v>
      </c>
      <c r="F71" s="33">
        <v>8520</v>
      </c>
      <c r="G71" s="195">
        <v>17360</v>
      </c>
      <c r="H71" s="118">
        <v>4845</v>
      </c>
      <c r="I71" s="13">
        <v>1400</v>
      </c>
      <c r="J71" s="13">
        <v>8900</v>
      </c>
      <c r="K71" s="195">
        <v>15145</v>
      </c>
      <c r="L71" s="194">
        <v>7610</v>
      </c>
      <c r="M71" s="33">
        <v>9800</v>
      </c>
      <c r="N71" s="33">
        <v>4640</v>
      </c>
      <c r="O71" s="195">
        <v>22050</v>
      </c>
      <c r="P71" s="196">
        <v>16500</v>
      </c>
      <c r="Q71" s="33">
        <v>6500</v>
      </c>
      <c r="R71" s="195">
        <v>23000</v>
      </c>
    </row>
    <row r="72" spans="4:19" x14ac:dyDescent="0.35">
      <c r="D72" s="180" t="s">
        <v>36</v>
      </c>
      <c r="E72" s="25">
        <v>960</v>
      </c>
      <c r="F72" s="25">
        <v>815</v>
      </c>
      <c r="G72" s="25">
        <v>1775</v>
      </c>
      <c r="H72" s="25">
        <v>1520</v>
      </c>
      <c r="I72" s="25">
        <v>397</v>
      </c>
      <c r="J72" s="25">
        <v>1830</v>
      </c>
      <c r="K72" s="25">
        <v>3747</v>
      </c>
      <c r="L72" s="25">
        <v>725</v>
      </c>
      <c r="M72" s="25">
        <v>845</v>
      </c>
      <c r="N72" s="25">
        <v>525</v>
      </c>
      <c r="O72" s="25">
        <v>2095</v>
      </c>
      <c r="P72" s="27">
        <v>2700</v>
      </c>
      <c r="Q72" s="25">
        <v>705</v>
      </c>
      <c r="R72" s="25">
        <v>3405</v>
      </c>
    </row>
    <row r="73" spans="4:19" x14ac:dyDescent="0.35">
      <c r="D73" s="180" t="s">
        <v>37</v>
      </c>
      <c r="E73" s="25">
        <v>8840</v>
      </c>
      <c r="F73" s="25">
        <v>8520</v>
      </c>
      <c r="G73" s="25">
        <v>17360</v>
      </c>
      <c r="H73" s="25">
        <v>4845</v>
      </c>
      <c r="I73" s="25">
        <v>1400</v>
      </c>
      <c r="J73" s="25">
        <v>8900</v>
      </c>
      <c r="K73" s="25">
        <v>15145</v>
      </c>
      <c r="L73" s="25">
        <v>7610</v>
      </c>
      <c r="M73" s="25">
        <v>9800</v>
      </c>
      <c r="N73" s="25">
        <v>4640</v>
      </c>
      <c r="O73" s="25">
        <v>22050</v>
      </c>
      <c r="P73" s="27">
        <v>16500</v>
      </c>
      <c r="Q73" s="25">
        <v>6500</v>
      </c>
      <c r="R73" s="25">
        <v>23000</v>
      </c>
    </row>
    <row r="74" spans="4:19" x14ac:dyDescent="0.35">
      <c r="E74" s="197">
        <f>E72/E73</f>
        <v>0.10859728506787331</v>
      </c>
      <c r="F74" s="197">
        <f t="shared" ref="F74:R74" si="5">F72/F73</f>
        <v>9.5657276995305171E-2</v>
      </c>
      <c r="G74" s="197">
        <f t="shared" si="5"/>
        <v>0.10224654377880184</v>
      </c>
      <c r="H74" s="197">
        <f t="shared" si="5"/>
        <v>0.31372549019607843</v>
      </c>
      <c r="I74" s="197">
        <f t="shared" si="5"/>
        <v>0.28357142857142859</v>
      </c>
      <c r="J74" s="197">
        <f t="shared" si="5"/>
        <v>0.20561797752808988</v>
      </c>
      <c r="K74" s="197">
        <f t="shared" si="5"/>
        <v>0.24740838560581049</v>
      </c>
      <c r="L74" s="197">
        <f t="shared" si="5"/>
        <v>9.526938239159001E-2</v>
      </c>
      <c r="M74" s="197">
        <f t="shared" si="5"/>
        <v>8.6224489795918374E-2</v>
      </c>
      <c r="N74" s="197">
        <f t="shared" si="5"/>
        <v>0.11314655172413793</v>
      </c>
      <c r="O74" s="197">
        <f t="shared" si="5"/>
        <v>9.5011337868480719E-2</v>
      </c>
      <c r="P74" s="197">
        <f t="shared" si="5"/>
        <v>0.16363636363636364</v>
      </c>
      <c r="Q74" s="197">
        <f t="shared" si="5"/>
        <v>0.10846153846153846</v>
      </c>
      <c r="R74" s="197">
        <f t="shared" si="5"/>
        <v>0.14804347826086955</v>
      </c>
    </row>
    <row r="77" spans="4:19" x14ac:dyDescent="0.35">
      <c r="P77" s="10" t="s">
        <v>143</v>
      </c>
      <c r="Q77" s="198"/>
      <c r="R77" s="198"/>
      <c r="S77" s="199"/>
    </row>
    <row r="78" spans="4:19" x14ac:dyDescent="0.35">
      <c r="P78" s="200" t="s">
        <v>55</v>
      </c>
      <c r="Q78" s="200" t="s">
        <v>127</v>
      </c>
      <c r="R78" s="200" t="s">
        <v>139</v>
      </c>
      <c r="S78" s="3"/>
    </row>
    <row r="79" spans="4:19" x14ac:dyDescent="0.35">
      <c r="P79" s="129">
        <v>11</v>
      </c>
      <c r="Q79" s="120">
        <v>1775</v>
      </c>
      <c r="R79" s="202">
        <v>3.8366666666666664</v>
      </c>
      <c r="S79" s="129">
        <f>Q79*R79</f>
        <v>6810.083333333333</v>
      </c>
    </row>
    <row r="80" spans="4:19" x14ac:dyDescent="0.35">
      <c r="P80" s="130">
        <v>12</v>
      </c>
      <c r="Q80" s="121">
        <v>3747</v>
      </c>
      <c r="R80" s="203">
        <v>3.2083333333333335</v>
      </c>
      <c r="S80" s="130">
        <f t="shared" ref="S80:S82" si="6">Q80*R80</f>
        <v>12021.625</v>
      </c>
    </row>
    <row r="81" spans="16:19" x14ac:dyDescent="0.35">
      <c r="P81" s="130">
        <v>14</v>
      </c>
      <c r="Q81" s="121">
        <v>2095</v>
      </c>
      <c r="R81" s="203">
        <v>2.8785714285714286</v>
      </c>
      <c r="S81" s="130">
        <f t="shared" si="6"/>
        <v>6030.6071428571431</v>
      </c>
    </row>
    <row r="82" spans="16:19" x14ac:dyDescent="0.35">
      <c r="P82" s="131">
        <v>15</v>
      </c>
      <c r="Q82" s="201">
        <v>3405</v>
      </c>
      <c r="R82" s="204">
        <v>2.85</v>
      </c>
      <c r="S82" s="131">
        <f t="shared" si="6"/>
        <v>9704.25</v>
      </c>
    </row>
    <row r="83" spans="16:19" x14ac:dyDescent="0.35">
      <c r="P83" s="2" t="s">
        <v>138</v>
      </c>
      <c r="Q83">
        <f>SUM(Q79:Q82)</f>
        <v>11022</v>
      </c>
      <c r="S83" s="3">
        <f>SUM(S79:S82)</f>
        <v>34566.565476190473</v>
      </c>
    </row>
    <row r="84" spans="16:19" x14ac:dyDescent="0.35">
      <c r="P84" s="4"/>
      <c r="Q84" s="12"/>
      <c r="R84" s="6" t="s">
        <v>140</v>
      </c>
      <c r="S84" s="20">
        <f>S83/Q83</f>
        <v>3.1361427577744942</v>
      </c>
    </row>
    <row r="101" spans="4:19" x14ac:dyDescent="0.35">
      <c r="E101" s="233" t="s">
        <v>130</v>
      </c>
      <c r="F101" s="235"/>
      <c r="G101" s="234"/>
      <c r="H101" s="233" t="s">
        <v>131</v>
      </c>
      <c r="I101" s="235"/>
      <c r="J101" s="235"/>
      <c r="K101" s="236"/>
      <c r="L101" s="233" t="s">
        <v>132</v>
      </c>
      <c r="M101" s="235"/>
      <c r="N101" s="235"/>
      <c r="O101" s="236"/>
      <c r="P101" s="233" t="s">
        <v>43</v>
      </c>
      <c r="Q101" s="235"/>
      <c r="R101" s="234"/>
    </row>
    <row r="102" spans="4:19" x14ac:dyDescent="0.35">
      <c r="E102" s="191" t="s">
        <v>49</v>
      </c>
      <c r="F102" s="192" t="s">
        <v>50</v>
      </c>
      <c r="G102" s="193"/>
      <c r="H102" s="191" t="s">
        <v>51</v>
      </c>
      <c r="I102" s="192" t="s">
        <v>52</v>
      </c>
      <c r="J102" s="192" t="s">
        <v>53</v>
      </c>
      <c r="K102" s="193"/>
      <c r="L102" s="191" t="s">
        <v>46</v>
      </c>
      <c r="M102" s="192" t="s">
        <v>47</v>
      </c>
      <c r="N102" s="192" t="s">
        <v>48</v>
      </c>
      <c r="O102" s="193"/>
      <c r="P102" s="191" t="s">
        <v>44</v>
      </c>
      <c r="Q102" s="192" t="s">
        <v>45</v>
      </c>
      <c r="R102" s="193"/>
    </row>
    <row r="103" spans="4:19" x14ac:dyDescent="0.35">
      <c r="D103" s="182" t="s">
        <v>133</v>
      </c>
      <c r="E103" s="194">
        <v>8840</v>
      </c>
      <c r="F103" s="33">
        <v>8520</v>
      </c>
      <c r="G103" s="195">
        <v>17360</v>
      </c>
      <c r="H103" s="118">
        <v>4845</v>
      </c>
      <c r="I103" s="13">
        <v>1400</v>
      </c>
      <c r="J103" s="13">
        <v>8900</v>
      </c>
      <c r="K103" s="195">
        <v>15145</v>
      </c>
      <c r="L103" s="194">
        <v>7610</v>
      </c>
      <c r="M103" s="33">
        <v>9800</v>
      </c>
      <c r="N103" s="33">
        <v>4640</v>
      </c>
      <c r="O103" s="195">
        <v>22050</v>
      </c>
      <c r="P103" s="196">
        <v>16500</v>
      </c>
      <c r="Q103" s="33">
        <v>6500</v>
      </c>
      <c r="R103" s="195">
        <v>23000</v>
      </c>
    </row>
    <row r="104" spans="4:19" x14ac:dyDescent="0.35">
      <c r="D104" s="180" t="s">
        <v>35</v>
      </c>
      <c r="E104" s="25">
        <v>970</v>
      </c>
      <c r="F104" s="25">
        <v>835</v>
      </c>
      <c r="G104" s="25">
        <v>1805</v>
      </c>
      <c r="H104" s="25">
        <v>570</v>
      </c>
      <c r="I104" s="25">
        <v>340</v>
      </c>
      <c r="J104" s="25">
        <v>815</v>
      </c>
      <c r="K104" s="25">
        <v>1725</v>
      </c>
      <c r="L104" s="25">
        <v>690</v>
      </c>
      <c r="M104" s="25">
        <v>640</v>
      </c>
      <c r="N104" s="25">
        <v>470</v>
      </c>
      <c r="O104" s="25">
        <v>1800</v>
      </c>
      <c r="P104" s="27">
        <v>1450</v>
      </c>
      <c r="Q104" s="25">
        <v>465</v>
      </c>
      <c r="R104" s="25">
        <v>1915</v>
      </c>
    </row>
    <row r="105" spans="4:19" x14ac:dyDescent="0.35">
      <c r="D105" s="180" t="s">
        <v>37</v>
      </c>
      <c r="E105" s="25">
        <v>8840</v>
      </c>
      <c r="F105" s="25">
        <v>8520</v>
      </c>
      <c r="G105" s="25">
        <v>17360</v>
      </c>
      <c r="H105" s="25">
        <v>4845</v>
      </c>
      <c r="I105" s="25">
        <v>1400</v>
      </c>
      <c r="J105" s="25">
        <v>8900</v>
      </c>
      <c r="K105" s="25">
        <v>15145</v>
      </c>
      <c r="L105" s="25">
        <v>7610</v>
      </c>
      <c r="M105" s="25">
        <v>9800</v>
      </c>
      <c r="N105" s="25">
        <v>4640</v>
      </c>
      <c r="O105" s="25">
        <v>22050</v>
      </c>
      <c r="P105" s="27">
        <v>16500</v>
      </c>
      <c r="Q105" s="25">
        <v>6500</v>
      </c>
      <c r="R105" s="25">
        <v>23000</v>
      </c>
    </row>
    <row r="106" spans="4:19" x14ac:dyDescent="0.35">
      <c r="E106" s="197">
        <f>E104/E105</f>
        <v>0.10972850678733032</v>
      </c>
      <c r="F106" s="197">
        <f t="shared" ref="F106" si="7">F104/F105</f>
        <v>9.800469483568075E-2</v>
      </c>
      <c r="G106" s="197">
        <f t="shared" ref="G106" si="8">G104/G105</f>
        <v>0.10397465437788019</v>
      </c>
      <c r="H106" s="197">
        <f t="shared" ref="H106" si="9">H104/H105</f>
        <v>0.11764705882352941</v>
      </c>
      <c r="I106" s="197">
        <f t="shared" ref="I106" si="10">I104/I105</f>
        <v>0.24285714285714285</v>
      </c>
      <c r="J106" s="197">
        <f t="shared" ref="J106" si="11">J104/J105</f>
        <v>9.1573033707865167E-2</v>
      </c>
      <c r="K106" s="197">
        <f t="shared" ref="K106" si="12">K104/K105</f>
        <v>0.11389897655992076</v>
      </c>
      <c r="L106" s="197">
        <f t="shared" ref="L106" si="13">L104/L105</f>
        <v>9.0670170827858082E-2</v>
      </c>
      <c r="M106" s="197">
        <f t="shared" ref="M106" si="14">M104/M105</f>
        <v>6.5306122448979598E-2</v>
      </c>
      <c r="N106" s="197">
        <f t="shared" ref="N106" si="15">N104/N105</f>
        <v>0.10129310344827586</v>
      </c>
      <c r="O106" s="197">
        <f t="shared" ref="O106" si="16">O104/O105</f>
        <v>8.1632653061224483E-2</v>
      </c>
      <c r="P106" s="197">
        <f t="shared" ref="P106" si="17">P104/P105</f>
        <v>8.7878787878787876E-2</v>
      </c>
      <c r="Q106" s="197">
        <f t="shared" ref="Q106" si="18">Q104/Q105</f>
        <v>7.1538461538461537E-2</v>
      </c>
      <c r="R106" s="197">
        <f t="shared" ref="R106" si="19">R104/R105</f>
        <v>8.3260869565217388E-2</v>
      </c>
    </row>
    <row r="108" spans="4:19" x14ac:dyDescent="0.35">
      <c r="N108" s="11"/>
    </row>
    <row r="109" spans="4:19" x14ac:dyDescent="0.35">
      <c r="P109" s="10" t="s">
        <v>145</v>
      </c>
      <c r="Q109" s="198"/>
      <c r="R109" s="198"/>
      <c r="S109" s="199"/>
    </row>
    <row r="110" spans="4:19" x14ac:dyDescent="0.35">
      <c r="P110" s="200" t="s">
        <v>55</v>
      </c>
      <c r="Q110" s="200" t="s">
        <v>127</v>
      </c>
      <c r="R110" s="200" t="s">
        <v>139</v>
      </c>
      <c r="S110" s="3"/>
    </row>
    <row r="111" spans="4:19" x14ac:dyDescent="0.35">
      <c r="P111" s="129">
        <v>11</v>
      </c>
      <c r="Q111" s="25">
        <v>1805</v>
      </c>
      <c r="R111" s="202">
        <v>4.04</v>
      </c>
      <c r="S111" s="129">
        <f>Q111*R111</f>
        <v>7292.2</v>
      </c>
    </row>
    <row r="112" spans="4:19" x14ac:dyDescent="0.35">
      <c r="P112" s="130">
        <v>12</v>
      </c>
      <c r="Q112" s="25">
        <v>1725</v>
      </c>
      <c r="R112" s="203">
        <v>3.75</v>
      </c>
      <c r="S112" s="130">
        <f t="shared" ref="S112:S114" si="20">Q112*R112</f>
        <v>6468.75</v>
      </c>
    </row>
    <row r="113" spans="4:19" x14ac:dyDescent="0.35">
      <c r="P113" s="130">
        <v>14</v>
      </c>
      <c r="Q113" s="25">
        <v>1800</v>
      </c>
      <c r="R113" s="203">
        <v>3.8742857142857146</v>
      </c>
      <c r="S113" s="130">
        <f t="shared" si="20"/>
        <v>6973.7142857142862</v>
      </c>
    </row>
    <row r="114" spans="4:19" x14ac:dyDescent="0.35">
      <c r="P114" s="131">
        <v>15</v>
      </c>
      <c r="Q114" s="25">
        <v>1915</v>
      </c>
      <c r="R114" s="35">
        <v>3.4928571428571429</v>
      </c>
      <c r="S114" s="131">
        <f t="shared" si="20"/>
        <v>6688.8214285714284</v>
      </c>
    </row>
    <row r="115" spans="4:19" x14ac:dyDescent="0.35">
      <c r="P115" s="2" t="s">
        <v>138</v>
      </c>
      <c r="Q115">
        <f>SUM(Q111:Q114)</f>
        <v>7245</v>
      </c>
      <c r="S115" s="3">
        <f>SUM(S111:S114)</f>
        <v>27423.485714285714</v>
      </c>
    </row>
    <row r="116" spans="4:19" x14ac:dyDescent="0.35">
      <c r="P116" s="4"/>
      <c r="Q116" s="12"/>
      <c r="R116" s="6" t="s">
        <v>140</v>
      </c>
      <c r="S116" s="20">
        <f>S115/Q115</f>
        <v>3.7851602090111407</v>
      </c>
    </row>
    <row r="121" spans="4:19" x14ac:dyDescent="0.35">
      <c r="E121" s="233" t="s">
        <v>130</v>
      </c>
      <c r="F121" s="235"/>
      <c r="G121" s="234"/>
      <c r="H121" s="233" t="s">
        <v>131</v>
      </c>
      <c r="I121" s="235"/>
      <c r="J121" s="235"/>
      <c r="K121" s="236"/>
      <c r="L121" s="233" t="s">
        <v>132</v>
      </c>
      <c r="M121" s="235"/>
      <c r="N121" s="235"/>
      <c r="O121" s="236"/>
      <c r="P121" s="233" t="s">
        <v>43</v>
      </c>
      <c r="Q121" s="235"/>
      <c r="R121" s="234"/>
    </row>
    <row r="122" spans="4:19" x14ac:dyDescent="0.35">
      <c r="E122" s="191" t="s">
        <v>49</v>
      </c>
      <c r="F122" s="192" t="s">
        <v>50</v>
      </c>
      <c r="G122" s="193"/>
      <c r="H122" s="191" t="s">
        <v>51</v>
      </c>
      <c r="I122" s="192" t="s">
        <v>52</v>
      </c>
      <c r="J122" s="192" t="s">
        <v>53</v>
      </c>
      <c r="K122" s="193"/>
      <c r="L122" s="191" t="s">
        <v>46</v>
      </c>
      <c r="M122" s="192" t="s">
        <v>47</v>
      </c>
      <c r="N122" s="192" t="s">
        <v>48</v>
      </c>
      <c r="O122" s="193"/>
      <c r="P122" s="191" t="s">
        <v>44</v>
      </c>
      <c r="Q122" s="192" t="s">
        <v>45</v>
      </c>
      <c r="R122" s="193"/>
    </row>
    <row r="123" spans="4:19" x14ac:dyDescent="0.35">
      <c r="D123" s="182" t="s">
        <v>133</v>
      </c>
      <c r="E123" s="205">
        <v>8840</v>
      </c>
      <c r="F123" s="25">
        <v>8520</v>
      </c>
      <c r="G123" s="206">
        <v>17360</v>
      </c>
      <c r="H123" s="116">
        <v>4845</v>
      </c>
      <c r="I123" s="11">
        <v>1400</v>
      </c>
      <c r="J123" s="11">
        <v>8900</v>
      </c>
      <c r="K123" s="206">
        <v>15145</v>
      </c>
      <c r="L123" s="205">
        <v>7610</v>
      </c>
      <c r="M123" s="25">
        <v>9800</v>
      </c>
      <c r="N123" s="25">
        <v>4640</v>
      </c>
      <c r="O123" s="206">
        <v>22050</v>
      </c>
      <c r="P123" s="207">
        <v>16500</v>
      </c>
      <c r="Q123" s="25">
        <v>6500</v>
      </c>
      <c r="R123" s="206">
        <v>23000</v>
      </c>
    </row>
    <row r="124" spans="4:19" x14ac:dyDescent="0.35">
      <c r="D124" s="181" t="s">
        <v>39</v>
      </c>
      <c r="E124" s="38">
        <v>6916.666666666667</v>
      </c>
      <c r="F124" s="26">
        <v>0</v>
      </c>
      <c r="G124" s="26">
        <v>6916.666666666667</v>
      </c>
      <c r="H124" s="38">
        <v>1395</v>
      </c>
      <c r="I124" s="26">
        <v>1395</v>
      </c>
      <c r="J124" s="26">
        <v>1883.2500000000002</v>
      </c>
      <c r="K124" s="26">
        <v>4673.25</v>
      </c>
      <c r="L124" s="38">
        <v>2468.9285714285716</v>
      </c>
      <c r="M124" s="26">
        <v>2468.9285714285716</v>
      </c>
      <c r="N124" s="26">
        <v>2468.9285714285716</v>
      </c>
      <c r="O124" s="26">
        <v>7406.7857142857147</v>
      </c>
      <c r="P124" s="38">
        <v>4226.0714285714284</v>
      </c>
      <c r="Q124" s="26">
        <v>4226.0714285714284</v>
      </c>
      <c r="R124" s="32">
        <v>8452.1428571428569</v>
      </c>
    </row>
    <row r="125" spans="4:19" x14ac:dyDescent="0.35">
      <c r="D125" s="180" t="s">
        <v>37</v>
      </c>
      <c r="E125" s="25">
        <v>8840</v>
      </c>
      <c r="F125" s="25">
        <v>8520</v>
      </c>
      <c r="G125" s="25">
        <v>17360</v>
      </c>
      <c r="H125" s="25">
        <v>4845</v>
      </c>
      <c r="I125" s="25">
        <v>1400</v>
      </c>
      <c r="J125" s="25">
        <v>8900</v>
      </c>
      <c r="K125" s="25">
        <v>15145</v>
      </c>
      <c r="L125" s="25">
        <v>7610</v>
      </c>
      <c r="M125" s="25">
        <v>9800</v>
      </c>
      <c r="N125" s="25">
        <v>4640</v>
      </c>
      <c r="O125" s="25">
        <v>22050</v>
      </c>
      <c r="P125" s="27">
        <v>16500</v>
      </c>
      <c r="Q125" s="25">
        <v>6500</v>
      </c>
      <c r="R125" s="25">
        <v>23000</v>
      </c>
    </row>
    <row r="126" spans="4:19" x14ac:dyDescent="0.35">
      <c r="E126" s="26">
        <f>E124/E125</f>
        <v>0.78242835595776772</v>
      </c>
      <c r="F126" s="26">
        <f t="shared" ref="F126:R126" si="21">F124/F125</f>
        <v>0</v>
      </c>
      <c r="G126" s="26">
        <f t="shared" si="21"/>
        <v>0.39842549923195086</v>
      </c>
      <c r="H126" s="26">
        <f t="shared" si="21"/>
        <v>0.28792569659442724</v>
      </c>
      <c r="I126" s="26">
        <f t="shared" si="21"/>
        <v>0.99642857142857144</v>
      </c>
      <c r="J126" s="26">
        <f t="shared" si="21"/>
        <v>0.21160112359550565</v>
      </c>
      <c r="K126" s="26">
        <f t="shared" si="21"/>
        <v>0.30856718388907228</v>
      </c>
      <c r="L126" s="26">
        <f t="shared" si="21"/>
        <v>0.32443213816406985</v>
      </c>
      <c r="M126" s="26">
        <f t="shared" si="21"/>
        <v>0.25193148688046646</v>
      </c>
      <c r="N126" s="26">
        <f t="shared" si="21"/>
        <v>0.53209667487684731</v>
      </c>
      <c r="O126" s="26">
        <f t="shared" si="21"/>
        <v>0.3359086491739553</v>
      </c>
      <c r="P126" s="26">
        <f t="shared" si="21"/>
        <v>0.25612554112554115</v>
      </c>
      <c r="Q126" s="26">
        <f t="shared" si="21"/>
        <v>0.65016483516483514</v>
      </c>
      <c r="R126" s="26">
        <f t="shared" si="21"/>
        <v>0.36748447204968943</v>
      </c>
    </row>
    <row r="128" spans="4:19" x14ac:dyDescent="0.35">
      <c r="N128" s="11"/>
    </row>
    <row r="129" spans="16:19" x14ac:dyDescent="0.35">
      <c r="P129" s="10" t="s">
        <v>148</v>
      </c>
      <c r="Q129" s="198"/>
      <c r="R129" s="198"/>
      <c r="S129" s="199"/>
    </row>
    <row r="130" spans="16:19" x14ac:dyDescent="0.35">
      <c r="P130" s="200" t="s">
        <v>55</v>
      </c>
      <c r="Q130" s="200" t="s">
        <v>127</v>
      </c>
      <c r="R130" s="200" t="s">
        <v>139</v>
      </c>
      <c r="S130" s="3"/>
    </row>
    <row r="131" spans="16:19" x14ac:dyDescent="0.35">
      <c r="P131" s="129">
        <v>11</v>
      </c>
      <c r="Q131" s="25"/>
      <c r="R131" s="202"/>
      <c r="S131" s="129">
        <f>Q131*R131</f>
        <v>0</v>
      </c>
    </row>
    <row r="132" spans="16:19" x14ac:dyDescent="0.35">
      <c r="P132" s="130">
        <v>12</v>
      </c>
      <c r="Q132" s="206">
        <v>15145</v>
      </c>
      <c r="R132" s="26">
        <v>0.30856718388907228</v>
      </c>
      <c r="S132" s="130">
        <f t="shared" ref="S132:S134" si="22">Q132*R132</f>
        <v>4673.25</v>
      </c>
    </row>
    <row r="133" spans="16:19" x14ac:dyDescent="0.35">
      <c r="P133" s="130">
        <v>14</v>
      </c>
      <c r="Q133" s="206">
        <v>22050</v>
      </c>
      <c r="R133" s="26">
        <v>0.3359086491739553</v>
      </c>
      <c r="S133" s="130">
        <f t="shared" si="22"/>
        <v>7406.7857142857147</v>
      </c>
    </row>
    <row r="134" spans="16:19" x14ac:dyDescent="0.35">
      <c r="P134" s="131">
        <v>15</v>
      </c>
      <c r="Q134" s="206">
        <v>23000</v>
      </c>
      <c r="R134" s="26">
        <v>0.36748447204968943</v>
      </c>
      <c r="S134" s="131">
        <f t="shared" si="22"/>
        <v>8452.1428571428569</v>
      </c>
    </row>
    <row r="135" spans="16:19" x14ac:dyDescent="0.35">
      <c r="P135" s="2" t="s">
        <v>138</v>
      </c>
      <c r="Q135">
        <f>SUM(Q131:Q134)</f>
        <v>60195</v>
      </c>
      <c r="S135" s="3">
        <f>SUM(S131:S134)</f>
        <v>20532.178571428572</v>
      </c>
    </row>
    <row r="136" spans="16:19" x14ac:dyDescent="0.35">
      <c r="P136" s="4"/>
      <c r="Q136" s="12"/>
      <c r="R136" s="6" t="s">
        <v>140</v>
      </c>
      <c r="S136" s="20">
        <f>S135/Q135</f>
        <v>0.34109441932766132</v>
      </c>
    </row>
  </sheetData>
  <mergeCells count="16">
    <mergeCell ref="E121:G121"/>
    <mergeCell ref="H121:K121"/>
    <mergeCell ref="L121:O121"/>
    <mergeCell ref="P121:R121"/>
    <mergeCell ref="E101:G101"/>
    <mergeCell ref="H101:K101"/>
    <mergeCell ref="L101:O101"/>
    <mergeCell ref="P101:R101"/>
    <mergeCell ref="E20:G20"/>
    <mergeCell ref="H20:K20"/>
    <mergeCell ref="L20:O20"/>
    <mergeCell ref="P20:R20"/>
    <mergeCell ref="E69:G69"/>
    <mergeCell ref="H69:K69"/>
    <mergeCell ref="L69:O69"/>
    <mergeCell ref="P69:R69"/>
  </mergeCells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95060-A09D-46D7-91BE-D6AF0E7ADD45}">
  <dimension ref="A1:AK94"/>
  <sheetViews>
    <sheetView tabSelected="1" zoomScale="85" zoomScaleNormal="85" workbookViewId="0">
      <selection activeCell="AF31" sqref="AF31"/>
    </sheetView>
  </sheetViews>
  <sheetFormatPr defaultRowHeight="14.5" x14ac:dyDescent="0.35"/>
  <cols>
    <col min="2" max="2" width="26.6328125" bestFit="1" customWidth="1"/>
    <col min="3" max="3" width="20.453125" style="44" customWidth="1"/>
    <col min="6" max="6" width="12.1796875" bestFit="1" customWidth="1"/>
    <col min="7" max="7" width="10.54296875" bestFit="1" customWidth="1"/>
    <col min="19" max="19" width="17.54296875" bestFit="1" customWidth="1"/>
    <col min="20" max="20" width="16.1796875" bestFit="1" customWidth="1"/>
    <col min="21" max="22" width="16.1796875" customWidth="1"/>
    <col min="23" max="23" width="11.36328125" bestFit="1" customWidth="1"/>
    <col min="24" max="24" width="10.54296875" bestFit="1" customWidth="1"/>
    <col min="25" max="25" width="12.1796875" bestFit="1" customWidth="1"/>
    <col min="26" max="26" width="3.7265625" customWidth="1"/>
    <col min="28" max="31" width="12.7265625" bestFit="1" customWidth="1"/>
    <col min="33" max="34" width="12.7265625" bestFit="1" customWidth="1"/>
    <col min="35" max="35" width="11.81640625" bestFit="1" customWidth="1"/>
    <col min="36" max="36" width="12.90625" bestFit="1" customWidth="1"/>
    <col min="37" max="37" width="12.81640625" bestFit="1" customWidth="1"/>
  </cols>
  <sheetData>
    <row r="1" spans="1:26" x14ac:dyDescent="0.35">
      <c r="A1" t="s">
        <v>162</v>
      </c>
      <c r="T1">
        <f>0.6145*14000^0.2153</f>
        <v>4.7993591791373991</v>
      </c>
    </row>
    <row r="3" spans="1:26" x14ac:dyDescent="0.35">
      <c r="B3" s="45" t="s">
        <v>54</v>
      </c>
      <c r="C3" s="45" t="s">
        <v>59</v>
      </c>
      <c r="D3" s="45" t="s">
        <v>31</v>
      </c>
      <c r="E3" s="45" t="s">
        <v>58</v>
      </c>
      <c r="F3" s="45" t="s">
        <v>32</v>
      </c>
      <c r="G3" s="45" t="s">
        <v>42</v>
      </c>
      <c r="H3" s="45" t="s">
        <v>74</v>
      </c>
      <c r="S3" s="1" t="s">
        <v>86</v>
      </c>
    </row>
    <row r="4" spans="1:26" x14ac:dyDescent="0.35">
      <c r="B4" s="45" t="s">
        <v>60</v>
      </c>
      <c r="C4" s="75" t="s">
        <v>61</v>
      </c>
      <c r="D4" s="76"/>
      <c r="E4" s="77"/>
      <c r="F4" s="78"/>
      <c r="G4" s="46">
        <f>SUM(G5:G7)</f>
        <v>7582.2800000000007</v>
      </c>
      <c r="H4" s="47">
        <f>G4/$B$6</f>
        <v>2.4458967741935487</v>
      </c>
      <c r="S4" t="s">
        <v>87</v>
      </c>
      <c r="T4" t="s">
        <v>90</v>
      </c>
      <c r="U4" t="s">
        <v>91</v>
      </c>
      <c r="V4" t="s">
        <v>95</v>
      </c>
      <c r="W4" t="s">
        <v>89</v>
      </c>
      <c r="X4" t="s">
        <v>88</v>
      </c>
      <c r="Y4" t="s">
        <v>103</v>
      </c>
    </row>
    <row r="5" spans="1:26" ht="29" x14ac:dyDescent="0.35">
      <c r="B5" s="48" t="s">
        <v>75</v>
      </c>
      <c r="C5" s="49" t="s">
        <v>62</v>
      </c>
      <c r="D5" s="50" t="s">
        <v>40</v>
      </c>
      <c r="E5" s="51">
        <v>5.68</v>
      </c>
      <c r="F5" s="50">
        <v>20</v>
      </c>
      <c r="G5" s="52">
        <f>E5*F5</f>
        <v>113.6</v>
      </c>
      <c r="H5" s="53">
        <f t="shared" ref="H5:H16" si="0">G5/$B$6</f>
        <v>3.6645161290322581E-2</v>
      </c>
      <c r="S5" s="241">
        <v>8840</v>
      </c>
      <c r="T5" s="242">
        <v>38128.131999999998</v>
      </c>
      <c r="U5" s="239">
        <v>38427.782583964559</v>
      </c>
      <c r="V5" s="239">
        <v>38387.700790214811</v>
      </c>
      <c r="W5" s="242">
        <v>51947.417666666661</v>
      </c>
      <c r="X5" s="242">
        <v>43700</v>
      </c>
      <c r="Y5" s="9">
        <v>44730</v>
      </c>
      <c r="Z5" s="9"/>
    </row>
    <row r="6" spans="1:26" x14ac:dyDescent="0.35">
      <c r="B6" s="54">
        <v>3100</v>
      </c>
      <c r="C6" s="55" t="s">
        <v>63</v>
      </c>
      <c r="D6" s="56" t="s">
        <v>73</v>
      </c>
      <c r="E6" s="57">
        <v>125.17</v>
      </c>
      <c r="F6" s="56">
        <v>56</v>
      </c>
      <c r="G6" s="58">
        <f t="shared" ref="G6:G7" si="1">E6*F6</f>
        <v>7009.52</v>
      </c>
      <c r="H6" s="59">
        <f t="shared" si="0"/>
        <v>2.2611354838709681</v>
      </c>
      <c r="S6" s="240">
        <v>8520</v>
      </c>
      <c r="T6" s="239">
        <v>36620.196000000004</v>
      </c>
      <c r="U6" s="239">
        <v>36743.889532624307</v>
      </c>
      <c r="V6" s="239">
        <v>36742.581754208019</v>
      </c>
      <c r="W6" s="239">
        <v>39976.404666666669</v>
      </c>
      <c r="X6" s="239">
        <v>30821.25</v>
      </c>
      <c r="Y6" s="9">
        <v>43100</v>
      </c>
      <c r="Z6" s="9"/>
    </row>
    <row r="7" spans="1:26" ht="29" x14ac:dyDescent="0.35">
      <c r="B7" s="56"/>
      <c r="C7" s="60" t="s">
        <v>64</v>
      </c>
      <c r="D7" s="61" t="s">
        <v>73</v>
      </c>
      <c r="E7" s="62">
        <v>114.79</v>
      </c>
      <c r="F7" s="61">
        <v>4</v>
      </c>
      <c r="G7" s="63">
        <f t="shared" si="1"/>
        <v>459.16</v>
      </c>
      <c r="H7" s="64">
        <f t="shared" si="0"/>
        <v>0.14811612903225807</v>
      </c>
      <c r="S7" s="240">
        <v>4845</v>
      </c>
      <c r="T7" s="239">
        <v>19302.4935</v>
      </c>
      <c r="U7" s="239">
        <v>18503.735837388027</v>
      </c>
      <c r="V7" s="239">
        <v>18669.579749269924</v>
      </c>
      <c r="W7" s="239">
        <v>24438.241666666669</v>
      </c>
      <c r="X7" s="239">
        <v>21325.75</v>
      </c>
      <c r="Y7" s="9">
        <v>24520</v>
      </c>
      <c r="Z7" s="9"/>
    </row>
    <row r="8" spans="1:26" x14ac:dyDescent="0.35">
      <c r="B8" s="56"/>
      <c r="C8" s="75" t="s">
        <v>65</v>
      </c>
      <c r="D8" s="76"/>
      <c r="E8" s="77"/>
      <c r="F8" s="78"/>
      <c r="G8" s="46">
        <f>SUM(G9:G10)</f>
        <v>1964.44</v>
      </c>
      <c r="H8" s="47">
        <f t="shared" si="0"/>
        <v>0.63369032258064517</v>
      </c>
      <c r="S8" s="240">
        <v>8900</v>
      </c>
      <c r="T8" s="239">
        <v>38410.870000000003</v>
      </c>
      <c r="U8" s="239">
        <v>38744.990817153215</v>
      </c>
      <c r="V8" s="239">
        <v>38697.220046563234</v>
      </c>
      <c r="W8" s="239">
        <v>39502.875</v>
      </c>
      <c r="X8" s="239">
        <v>33846.25</v>
      </c>
      <c r="Y8" s="9">
        <v>45050</v>
      </c>
      <c r="Z8" s="9"/>
    </row>
    <row r="9" spans="1:26" x14ac:dyDescent="0.35">
      <c r="B9" s="56"/>
      <c r="C9" s="49" t="s">
        <v>66</v>
      </c>
      <c r="D9" s="50" t="s">
        <v>73</v>
      </c>
      <c r="E9" s="51">
        <v>22.73</v>
      </c>
      <c r="F9" s="50">
        <v>8</v>
      </c>
      <c r="G9" s="52">
        <f t="shared" ref="G9:G10" si="2">E9*F9</f>
        <v>181.84</v>
      </c>
      <c r="H9" s="53">
        <f t="shared" si="0"/>
        <v>5.8658064516129031E-2</v>
      </c>
      <c r="S9" s="240">
        <v>7610</v>
      </c>
      <c r="T9" s="239">
        <v>32332.003000000004</v>
      </c>
      <c r="U9" s="239">
        <v>32030.864525252422</v>
      </c>
      <c r="V9" s="239">
        <v>32119.020843117247</v>
      </c>
      <c r="W9" s="239">
        <v>30635.935714285715</v>
      </c>
      <c r="X9" s="239">
        <v>24144</v>
      </c>
      <c r="Y9" s="9">
        <v>38530</v>
      </c>
      <c r="Z9" s="9"/>
    </row>
    <row r="10" spans="1:26" ht="29" x14ac:dyDescent="0.35">
      <c r="B10" s="56"/>
      <c r="C10" s="60" t="s">
        <v>67</v>
      </c>
      <c r="D10" s="61" t="s">
        <v>73</v>
      </c>
      <c r="E10" s="62">
        <v>29.71</v>
      </c>
      <c r="F10" s="61">
        <v>60</v>
      </c>
      <c r="G10" s="63">
        <f t="shared" si="2"/>
        <v>1782.6000000000001</v>
      </c>
      <c r="H10" s="64">
        <f t="shared" si="0"/>
        <v>0.57503225806451619</v>
      </c>
      <c r="S10" s="240">
        <v>9800</v>
      </c>
      <c r="T10" s="239">
        <v>42651.94</v>
      </c>
      <c r="U10" s="239">
        <v>43557.097991679504</v>
      </c>
      <c r="V10" s="239">
        <v>43378.308169046897</v>
      </c>
      <c r="W10" s="239">
        <v>36940.757142857146</v>
      </c>
      <c r="X10" s="239">
        <v>29152.5</v>
      </c>
      <c r="Y10" s="9">
        <v>49610</v>
      </c>
      <c r="Z10" s="9"/>
    </row>
    <row r="11" spans="1:26" x14ac:dyDescent="0.35">
      <c r="B11" s="56"/>
      <c r="C11" s="75" t="s">
        <v>39</v>
      </c>
      <c r="D11" s="76"/>
      <c r="E11" s="77"/>
      <c r="F11" s="78"/>
      <c r="G11" s="46">
        <f>SUM(G12)</f>
        <v>531.20000000000005</v>
      </c>
      <c r="H11" s="47">
        <f t="shared" si="0"/>
        <v>0.17135483870967744</v>
      </c>
      <c r="S11" s="240">
        <v>4640</v>
      </c>
      <c r="T11" s="239">
        <v>18336.472000000002</v>
      </c>
      <c r="U11" s="239">
        <v>17556.631308468517</v>
      </c>
      <c r="V11" s="239">
        <v>17716.470315718972</v>
      </c>
      <c r="W11" s="239">
        <v>23109.321428571431</v>
      </c>
      <c r="X11" s="239">
        <v>17858.5</v>
      </c>
      <c r="Y11" s="9">
        <v>23500</v>
      </c>
      <c r="Z11" s="9"/>
    </row>
    <row r="12" spans="1:26" ht="29" x14ac:dyDescent="0.35">
      <c r="B12" s="56"/>
      <c r="C12" s="65" t="s">
        <v>71</v>
      </c>
      <c r="D12" s="66" t="s">
        <v>41</v>
      </c>
      <c r="E12" s="67">
        <v>265.60000000000002</v>
      </c>
      <c r="F12" s="66">
        <v>2</v>
      </c>
      <c r="G12" s="68">
        <f>E12*F12</f>
        <v>531.20000000000005</v>
      </c>
      <c r="H12" s="69">
        <f t="shared" si="0"/>
        <v>0.17135483870967744</v>
      </c>
      <c r="S12" s="240">
        <v>16500</v>
      </c>
      <c r="T12" s="239">
        <v>74224.349999999991</v>
      </c>
      <c r="U12" s="239">
        <v>82040.844958951013</v>
      </c>
      <c r="V12" s="239">
        <v>80027.004382931846</v>
      </c>
      <c r="W12" s="239">
        <v>65572.142857142841</v>
      </c>
      <c r="X12" s="239">
        <v>51060</v>
      </c>
      <c r="Y12" s="9">
        <v>83470</v>
      </c>
      <c r="Z12" s="9"/>
    </row>
    <row r="13" spans="1:26" x14ac:dyDescent="0.35">
      <c r="B13" s="56"/>
      <c r="C13" s="75" t="s">
        <v>68</v>
      </c>
      <c r="D13" s="76"/>
      <c r="E13" s="77"/>
      <c r="F13" s="78"/>
      <c r="G13" s="46">
        <f>SUM(G14:G15)</f>
        <v>230.60000000000002</v>
      </c>
      <c r="H13" s="47">
        <f t="shared" si="0"/>
        <v>7.4387096774193556E-2</v>
      </c>
      <c r="S13" s="240">
        <v>6500</v>
      </c>
      <c r="T13" s="239">
        <v>27101.350000000002</v>
      </c>
      <c r="U13" s="239">
        <v>26445.725731084916</v>
      </c>
      <c r="V13" s="239">
        <v>26600.548225002851</v>
      </c>
      <c r="W13" s="239">
        <v>28540.428571428569</v>
      </c>
      <c r="X13" s="239">
        <v>20124</v>
      </c>
      <c r="Y13" s="9">
        <v>32900</v>
      </c>
      <c r="Z13" s="9"/>
    </row>
    <row r="14" spans="1:26" x14ac:dyDescent="0.35">
      <c r="B14" s="56"/>
      <c r="C14" s="49" t="s">
        <v>69</v>
      </c>
      <c r="D14" s="50" t="s">
        <v>72</v>
      </c>
      <c r="E14" s="51">
        <v>6.37</v>
      </c>
      <c r="F14" s="50">
        <v>20</v>
      </c>
      <c r="G14" s="52">
        <f t="shared" ref="G14:G15" si="3">E14*F14</f>
        <v>127.4</v>
      </c>
      <c r="H14" s="53">
        <f t="shared" si="0"/>
        <v>4.1096774193548388E-2</v>
      </c>
      <c r="S14">
        <v>39835</v>
      </c>
      <c r="T14" s="9">
        <f t="shared" ref="T6:T24" si="4">4.7123*S14-3528.6</f>
        <v>184185.87049999999</v>
      </c>
      <c r="U14" s="9">
        <f t="shared" ref="U14:U24" si="5">S14*(0.6145*S14^0.2153)</f>
        <v>239454.89795633941</v>
      </c>
      <c r="V14" s="9">
        <f t="shared" ref="V6:V24" si="6">S14*(0.8134*LN(S14)-3.0489)</f>
        <v>221763.05742343876</v>
      </c>
      <c r="W14" s="9"/>
      <c r="X14" s="9"/>
      <c r="Y14" s="9">
        <v>201617</v>
      </c>
      <c r="Z14" s="9"/>
    </row>
    <row r="15" spans="1:26" ht="29" x14ac:dyDescent="0.35">
      <c r="B15" s="56"/>
      <c r="C15" s="60" t="s">
        <v>70</v>
      </c>
      <c r="D15" s="61" t="s">
        <v>72</v>
      </c>
      <c r="E15" s="62">
        <v>1.29</v>
      </c>
      <c r="F15" s="61">
        <v>80</v>
      </c>
      <c r="G15" s="63">
        <f t="shared" si="3"/>
        <v>103.2</v>
      </c>
      <c r="H15" s="64">
        <f t="shared" si="0"/>
        <v>3.3290322580645161E-2</v>
      </c>
      <c r="S15">
        <v>30000</v>
      </c>
      <c r="T15" s="9">
        <f t="shared" si="4"/>
        <v>137840.4</v>
      </c>
      <c r="U15" s="9">
        <f t="shared" si="5"/>
        <v>169655.26742460884</v>
      </c>
      <c r="V15" s="9">
        <f t="shared" si="6"/>
        <v>160092.06282504206</v>
      </c>
      <c r="W15" s="9"/>
      <c r="X15" s="9"/>
      <c r="Y15" s="9">
        <v>151500</v>
      </c>
      <c r="Z15" s="9"/>
    </row>
    <row r="16" spans="1:26" x14ac:dyDescent="0.35">
      <c r="B16" s="56"/>
      <c r="C16" s="75" t="s">
        <v>42</v>
      </c>
      <c r="D16" s="76"/>
      <c r="E16" s="77"/>
      <c r="F16" s="78"/>
      <c r="G16" s="46">
        <f>SUM(G4,G8,G11,G13)</f>
        <v>10308.520000000002</v>
      </c>
      <c r="H16" s="47">
        <f t="shared" si="0"/>
        <v>3.3253290322580651</v>
      </c>
      <c r="S16">
        <v>25000</v>
      </c>
      <c r="T16" s="9">
        <f t="shared" si="4"/>
        <v>114278.9</v>
      </c>
      <c r="U16" s="9">
        <f t="shared" si="5"/>
        <v>135937.21864611478</v>
      </c>
      <c r="V16" s="9">
        <f t="shared" si="6"/>
        <v>129702.54349679661</v>
      </c>
      <c r="W16" s="9"/>
      <c r="X16" s="9"/>
      <c r="Y16" s="9">
        <v>126500</v>
      </c>
      <c r="Z16" s="9"/>
    </row>
    <row r="17" spans="2:37" x14ac:dyDescent="0.35">
      <c r="C17" s="75" t="s">
        <v>85</v>
      </c>
      <c r="D17" s="76"/>
      <c r="E17" s="77"/>
      <c r="F17" s="78"/>
      <c r="G17" s="46">
        <f>SUM(G4,G8,G11)</f>
        <v>10077.920000000002</v>
      </c>
      <c r="H17" s="47">
        <f>G17/$B$6</f>
        <v>3.2509419354838718</v>
      </c>
      <c r="R17" t="s">
        <v>92</v>
      </c>
      <c r="S17">
        <v>20000</v>
      </c>
      <c r="T17" s="9">
        <f t="shared" si="4"/>
        <v>90717.4</v>
      </c>
      <c r="U17" s="9">
        <f t="shared" si="5"/>
        <v>103648.64786940145</v>
      </c>
      <c r="V17" s="9">
        <f t="shared" si="6"/>
        <v>100131.93550465773</v>
      </c>
      <c r="W17" s="9"/>
      <c r="X17" s="9"/>
      <c r="Y17" s="9">
        <v>101200</v>
      </c>
      <c r="Z17" s="9"/>
      <c r="AA17" t="s">
        <v>92</v>
      </c>
      <c r="AB17" t="s">
        <v>96</v>
      </c>
      <c r="AC17" t="s">
        <v>97</v>
      </c>
      <c r="AD17" t="s">
        <v>98</v>
      </c>
      <c r="AE17" t="s">
        <v>99</v>
      </c>
      <c r="AF17" t="s">
        <v>100</v>
      </c>
      <c r="AG17" t="s">
        <v>101</v>
      </c>
      <c r="AH17" s="104" t="s">
        <v>102</v>
      </c>
      <c r="AI17" s="105" t="s">
        <v>104</v>
      </c>
      <c r="AJ17" s="105" t="s">
        <v>106</v>
      </c>
      <c r="AK17" s="106" t="s">
        <v>105</v>
      </c>
    </row>
    <row r="18" spans="2:37" ht="29" x14ac:dyDescent="0.35">
      <c r="C18" s="75" t="s">
        <v>122</v>
      </c>
      <c r="D18" s="76"/>
      <c r="E18" s="77"/>
      <c r="F18" s="78"/>
      <c r="G18" s="46">
        <f>SUM(G4,G8)</f>
        <v>9546.7200000000012</v>
      </c>
      <c r="H18" s="47">
        <f>G18/$B$6</f>
        <v>3.0795870967741941</v>
      </c>
      <c r="R18" s="1">
        <v>601667</v>
      </c>
      <c r="S18" s="100">
        <v>15295.2636754469</v>
      </c>
      <c r="T18" s="101">
        <f t="shared" si="4"/>
        <v>68547.271017808423</v>
      </c>
      <c r="U18" s="31">
        <f t="shared" si="5"/>
        <v>74819.356851417411</v>
      </c>
      <c r="V18" s="31">
        <f t="shared" si="6"/>
        <v>73240.632823882203</v>
      </c>
      <c r="W18" s="31"/>
      <c r="X18" s="31"/>
      <c r="Y18" s="102">
        <v>77414.767790403901</v>
      </c>
      <c r="Z18" s="9"/>
      <c r="AA18">
        <v>301067</v>
      </c>
      <c r="AB18">
        <v>1201.2356560000001</v>
      </c>
      <c r="AC18">
        <v>621.99287170000002</v>
      </c>
      <c r="AD18">
        <v>1364.8986674945099</v>
      </c>
      <c r="AE18" s="9">
        <v>1677.7506370742401</v>
      </c>
      <c r="AF18" s="9">
        <v>21.0623814157792</v>
      </c>
      <c r="AG18" s="9">
        <v>77414.767790403901</v>
      </c>
      <c r="AH18" s="16">
        <v>8607.0504731432702</v>
      </c>
      <c r="AI18" s="9">
        <v>4602.0250093244404</v>
      </c>
      <c r="AJ18" s="9">
        <v>5551.7865181447996</v>
      </c>
      <c r="AK18" s="17">
        <v>5667.1579582446902</v>
      </c>
    </row>
    <row r="19" spans="2:37" x14ac:dyDescent="0.35">
      <c r="R19">
        <v>401440</v>
      </c>
      <c r="S19" s="11">
        <v>8944.1042675997996</v>
      </c>
      <c r="T19" s="9">
        <f t="shared" si="4"/>
        <v>38618.702540210536</v>
      </c>
      <c r="U19" s="9">
        <f t="shared" si="5"/>
        <v>38978.45538962249</v>
      </c>
      <c r="V19" s="9">
        <f t="shared" si="6"/>
        <v>38924.948654689673</v>
      </c>
      <c r="Y19" s="103">
        <v>45269.291831882503</v>
      </c>
      <c r="Z19" s="9"/>
      <c r="AA19">
        <v>401263</v>
      </c>
      <c r="AB19">
        <v>4378.9293770000004</v>
      </c>
      <c r="AC19">
        <v>1995.056822</v>
      </c>
      <c r="AD19">
        <v>3541.0484124415002</v>
      </c>
      <c r="AE19" s="9">
        <v>25558.328995218799</v>
      </c>
      <c r="AF19" s="9">
        <v>53.315108622054296</v>
      </c>
      <c r="AG19" s="9">
        <v>45269.291831882503</v>
      </c>
      <c r="AH19" s="16">
        <v>43534.149161650901</v>
      </c>
      <c r="AI19" s="9">
        <v>38769.526537788901</v>
      </c>
      <c r="AJ19" s="9">
        <v>38353.574547041899</v>
      </c>
      <c r="AK19" s="17">
        <v>38252.656057303597</v>
      </c>
    </row>
    <row r="20" spans="2:37" x14ac:dyDescent="0.35">
      <c r="B20" s="45" t="s">
        <v>54</v>
      </c>
      <c r="C20" s="73" t="s">
        <v>59</v>
      </c>
      <c r="D20" s="73" t="s">
        <v>31</v>
      </c>
      <c r="E20" s="73" t="s">
        <v>58</v>
      </c>
      <c r="F20" s="73" t="s">
        <v>32</v>
      </c>
      <c r="G20" s="45" t="s">
        <v>42</v>
      </c>
      <c r="H20" s="45" t="s">
        <v>74</v>
      </c>
      <c r="R20">
        <v>401301</v>
      </c>
      <c r="S20" s="11">
        <v>5210.2002999623501</v>
      </c>
      <c r="T20" s="9">
        <f t="shared" si="4"/>
        <v>21023.426873512584</v>
      </c>
      <c r="U20" s="9">
        <f t="shared" si="5"/>
        <v>20212.268710904387</v>
      </c>
      <c r="V20" s="9">
        <f t="shared" si="6"/>
        <v>20384.810041392997</v>
      </c>
      <c r="Y20" s="103">
        <v>26370.676238197801</v>
      </c>
      <c r="Z20" s="9"/>
      <c r="AA20">
        <v>401301</v>
      </c>
      <c r="AB20">
        <v>22363.870129999901</v>
      </c>
      <c r="AC20">
        <v>11000.562959999899</v>
      </c>
      <c r="AD20">
        <v>5210.2002999623501</v>
      </c>
      <c r="AE20" s="9">
        <v>19362.859398082401</v>
      </c>
      <c r="AF20" s="9">
        <v>79.744438570770399</v>
      </c>
      <c r="AG20" s="9">
        <v>26370.676238197801</v>
      </c>
      <c r="AH20" s="16">
        <v>45813.280074850903</v>
      </c>
      <c r="AI20" s="9">
        <v>40466.030710165804</v>
      </c>
      <c r="AJ20" s="9">
        <v>39827.413878046202</v>
      </c>
      <c r="AK20" s="17">
        <v>39654.872547557599</v>
      </c>
    </row>
    <row r="21" spans="2:37" x14ac:dyDescent="0.35">
      <c r="B21" s="72" t="s">
        <v>76</v>
      </c>
      <c r="C21" s="75" t="s">
        <v>61</v>
      </c>
      <c r="D21" s="76"/>
      <c r="E21" s="77"/>
      <c r="F21" s="78"/>
      <c r="G21" s="46">
        <f>SUM(G22:G25)</f>
        <v>17658.759999999998</v>
      </c>
      <c r="H21" s="47">
        <f t="shared" ref="H21:H34" si="7">G21/$B$23</f>
        <v>3.5317519999999996</v>
      </c>
      <c r="R21">
        <v>501504</v>
      </c>
      <c r="S21" s="11">
        <v>4406.73358438999</v>
      </c>
      <c r="T21" s="9">
        <f t="shared" si="4"/>
        <v>17237.25066972095</v>
      </c>
      <c r="U21" s="9">
        <f t="shared" si="5"/>
        <v>16489.862285180334</v>
      </c>
      <c r="V21" s="9">
        <f t="shared" si="6"/>
        <v>16640.923824033121</v>
      </c>
      <c r="Y21" s="103">
        <v>22304.045512949</v>
      </c>
      <c r="Z21" s="9"/>
      <c r="AA21">
        <v>401440</v>
      </c>
      <c r="AB21">
        <v>22760.815770000001</v>
      </c>
      <c r="AC21">
        <v>15196.21277</v>
      </c>
      <c r="AD21">
        <v>8944.1042675997996</v>
      </c>
      <c r="AE21" s="9">
        <v>25546.011245477301</v>
      </c>
      <c r="AF21" s="9">
        <v>137.79448004442301</v>
      </c>
      <c r="AG21" s="9">
        <v>22304.045512949</v>
      </c>
      <c r="AH21" s="16">
        <v>70953.097557404297</v>
      </c>
      <c r="AI21" s="9">
        <v>64302.5082657323</v>
      </c>
      <c r="AJ21" s="9">
        <v>64608.754380211401</v>
      </c>
      <c r="AK21" s="17">
        <v>64662.261115144298</v>
      </c>
    </row>
    <row r="22" spans="2:37" ht="29" x14ac:dyDescent="0.35">
      <c r="B22" s="79" t="s">
        <v>75</v>
      </c>
      <c r="C22" s="49" t="s">
        <v>62</v>
      </c>
      <c r="D22" s="50" t="s">
        <v>40</v>
      </c>
      <c r="E22" s="51">
        <v>5.68</v>
      </c>
      <c r="F22" s="81">
        <v>20</v>
      </c>
      <c r="G22" s="52">
        <f>E22*F22</f>
        <v>113.6</v>
      </c>
      <c r="H22" s="53">
        <f t="shared" si="7"/>
        <v>2.2719999999999997E-2</v>
      </c>
      <c r="R22">
        <v>501497</v>
      </c>
      <c r="S22" s="11">
        <v>4059.6674556652101</v>
      </c>
      <c r="T22" s="9">
        <f t="shared" si="4"/>
        <v>15601.770951331169</v>
      </c>
      <c r="U22" s="9">
        <f t="shared" si="5"/>
        <v>14925.206323367769</v>
      </c>
      <c r="V22" s="9">
        <f t="shared" si="6"/>
        <v>15059.432837377848</v>
      </c>
      <c r="Y22" s="103">
        <v>20547.420433887899</v>
      </c>
      <c r="Z22" s="9"/>
      <c r="AA22">
        <v>501497</v>
      </c>
      <c r="AB22">
        <v>21018.85194</v>
      </c>
      <c r="AC22">
        <v>9639.3329049999902</v>
      </c>
      <c r="AD22">
        <v>4059.6674556652101</v>
      </c>
      <c r="AE22" s="9">
        <v>59043.380763009802</v>
      </c>
      <c r="AF22" s="9">
        <v>59.529794384727502</v>
      </c>
      <c r="AG22" s="9">
        <v>20547.420433887899</v>
      </c>
      <c r="AH22" s="16">
        <v>79650.330991282404</v>
      </c>
      <c r="AI22" s="9">
        <v>74704.681508725698</v>
      </c>
      <c r="AJ22" s="9">
        <v>74162.343394772397</v>
      </c>
      <c r="AK22" s="17">
        <v>74028.116880762303</v>
      </c>
    </row>
    <row r="23" spans="2:37" x14ac:dyDescent="0.35">
      <c r="B23" s="80">
        <v>5000</v>
      </c>
      <c r="C23" s="55" t="s">
        <v>63</v>
      </c>
      <c r="D23" s="56" t="s">
        <v>73</v>
      </c>
      <c r="E23" s="57">
        <v>125.17</v>
      </c>
      <c r="F23" s="82">
        <v>8</v>
      </c>
      <c r="G23" s="58">
        <f t="shared" ref="G23:G25" si="8">E23*F23</f>
        <v>1001.36</v>
      </c>
      <c r="H23" s="59">
        <f t="shared" si="7"/>
        <v>0.20027200000000001</v>
      </c>
      <c r="R23">
        <v>401263</v>
      </c>
      <c r="S23" s="11">
        <v>3541.0484124415002</v>
      </c>
      <c r="T23" s="9">
        <f t="shared" si="4"/>
        <v>13157.88243394808</v>
      </c>
      <c r="U23" s="9">
        <f t="shared" si="5"/>
        <v>12641.011953462728</v>
      </c>
      <c r="V23" s="9">
        <f t="shared" si="6"/>
        <v>12741.930443201039</v>
      </c>
      <c r="Y23" s="103">
        <v>17922.5050578101</v>
      </c>
      <c r="Z23" s="9"/>
      <c r="AA23">
        <v>501504</v>
      </c>
      <c r="AB23">
        <v>16095.098889999899</v>
      </c>
      <c r="AC23">
        <v>6439.0787369999898</v>
      </c>
      <c r="AD23">
        <v>4406.73358438999</v>
      </c>
      <c r="AE23" s="9">
        <v>40460.498696886498</v>
      </c>
      <c r="AF23" s="9">
        <v>65.905928722572199</v>
      </c>
      <c r="AG23" s="9">
        <v>17922.5050578101</v>
      </c>
      <c r="AH23" s="16">
        <v>62830.450138558197</v>
      </c>
      <c r="AI23" s="9">
        <v>57763.6552953301</v>
      </c>
      <c r="AJ23" s="9">
        <v>57167.3284496423</v>
      </c>
      <c r="AK23" s="17">
        <v>57016.266910789498</v>
      </c>
    </row>
    <row r="24" spans="2:37" x14ac:dyDescent="0.35">
      <c r="B24" s="70"/>
      <c r="C24" s="2" t="s">
        <v>77</v>
      </c>
      <c r="D24" s="56" t="s">
        <v>73</v>
      </c>
      <c r="E24" s="83">
        <v>195.94</v>
      </c>
      <c r="F24" s="82">
        <v>78</v>
      </c>
      <c r="G24" s="58">
        <f t="shared" ref="G24" si="9">E24*F24</f>
        <v>15283.32</v>
      </c>
      <c r="H24" s="59">
        <f t="shared" si="7"/>
        <v>3.056664</v>
      </c>
      <c r="R24">
        <v>301067</v>
      </c>
      <c r="S24" s="11">
        <v>1364.8986674945099</v>
      </c>
      <c r="T24" s="9">
        <f t="shared" si="4"/>
        <v>2903.2119908343789</v>
      </c>
      <c r="U24" s="9">
        <f t="shared" si="5"/>
        <v>3968.3449397546397</v>
      </c>
      <c r="V24" s="9">
        <f t="shared" si="6"/>
        <v>3852.9734996547472</v>
      </c>
      <c r="Y24" s="103">
        <v>6908.2374546532501</v>
      </c>
      <c r="Z24" s="9"/>
      <c r="AA24" s="1">
        <v>601667</v>
      </c>
      <c r="AB24">
        <v>87258.328370000003</v>
      </c>
      <c r="AC24">
        <v>70945.294229999898</v>
      </c>
      <c r="AD24">
        <v>15295.2636754469</v>
      </c>
      <c r="AE24" s="9">
        <v>117709.35572793501</v>
      </c>
      <c r="AF24" s="9">
        <v>278.343120394268</v>
      </c>
      <c r="AG24" s="9">
        <v>6908.2374546532501</v>
      </c>
      <c r="AH24" s="18">
        <v>195402.46663873299</v>
      </c>
      <c r="AI24" s="30">
        <v>186534.96986613801</v>
      </c>
      <c r="AJ24" s="30">
        <v>191228.33167221199</v>
      </c>
      <c r="AK24" s="19">
        <v>192807.055699747</v>
      </c>
    </row>
    <row r="25" spans="2:37" x14ac:dyDescent="0.35">
      <c r="B25" s="56"/>
      <c r="C25" s="60" t="s">
        <v>78</v>
      </c>
      <c r="D25" s="61" t="s">
        <v>73</v>
      </c>
      <c r="E25" s="62">
        <v>16.16</v>
      </c>
      <c r="F25" s="84">
        <v>78</v>
      </c>
      <c r="G25" s="63">
        <f t="shared" si="8"/>
        <v>1260.48</v>
      </c>
      <c r="H25" s="64">
        <f t="shared" si="7"/>
        <v>0.25209599999999999</v>
      </c>
      <c r="Y25" s="9"/>
      <c r="Z25" s="9"/>
    </row>
    <row r="26" spans="2:37" x14ac:dyDescent="0.35">
      <c r="B26" s="56"/>
      <c r="C26" s="75" t="s">
        <v>65</v>
      </c>
      <c r="D26" s="76"/>
      <c r="E26" s="77"/>
      <c r="F26" s="78"/>
      <c r="G26" s="46">
        <f>SUM(G27:G28)</f>
        <v>2782.36</v>
      </c>
      <c r="H26" s="47">
        <f t="shared" si="7"/>
        <v>0.55647200000000008</v>
      </c>
      <c r="R26" s="1" t="s">
        <v>93</v>
      </c>
      <c r="S26" s="100">
        <f>SUM(S19:S24)</f>
        <v>27526.65268755336</v>
      </c>
      <c r="T26" s="31">
        <f t="shared" ref="T26:V26" si="10">SUM(T19:T24)</f>
        <v>108542.24545955769</v>
      </c>
      <c r="U26" s="101">
        <f t="shared" si="10"/>
        <v>107215.14960229234</v>
      </c>
      <c r="V26" s="101">
        <f t="shared" si="10"/>
        <v>107605.01930034942</v>
      </c>
      <c r="W26" s="1"/>
      <c r="X26" s="1"/>
      <c r="Y26" s="102">
        <f t="shared" ref="Y26" si="11">SUM(Y19:Y24)</f>
        <v>139322.17652938055</v>
      </c>
      <c r="Z26" s="9"/>
      <c r="AB26" s="100">
        <f>SUM(AB18:AB23)</f>
        <v>87818.801762999821</v>
      </c>
      <c r="AC26" s="107">
        <f t="shared" ref="AC26:AK26" si="12">SUM(AC18:AC23)</f>
        <v>44892.237065699876</v>
      </c>
      <c r="AD26" s="100">
        <f t="shared" si="12"/>
        <v>27526.65268755336</v>
      </c>
      <c r="AE26" s="100">
        <f t="shared" si="12"/>
        <v>171648.82973574902</v>
      </c>
      <c r="AF26" s="100">
        <f t="shared" si="12"/>
        <v>417.35213176032659</v>
      </c>
      <c r="AG26" s="100">
        <f t="shared" si="12"/>
        <v>209828.70686513121</v>
      </c>
      <c r="AH26" s="100">
        <f t="shared" si="12"/>
        <v>311388.35839688999</v>
      </c>
      <c r="AI26" s="100">
        <f t="shared" si="12"/>
        <v>280608.42732706724</v>
      </c>
      <c r="AJ26" s="100">
        <f t="shared" si="12"/>
        <v>279671.20116785896</v>
      </c>
      <c r="AK26" s="100">
        <f t="shared" si="12"/>
        <v>279281.33146980195</v>
      </c>
    </row>
    <row r="27" spans="2:37" x14ac:dyDescent="0.35">
      <c r="B27" s="56"/>
      <c r="C27" s="49" t="s">
        <v>66</v>
      </c>
      <c r="D27" s="50" t="s">
        <v>73</v>
      </c>
      <c r="E27" s="51">
        <v>22.73</v>
      </c>
      <c r="F27" s="50">
        <v>10</v>
      </c>
      <c r="G27" s="52">
        <f t="shared" ref="G27:G28" si="13">E27*F27</f>
        <v>227.3</v>
      </c>
      <c r="H27" s="53">
        <f t="shared" si="7"/>
        <v>4.546E-2</v>
      </c>
      <c r="R27" s="1" t="s">
        <v>94</v>
      </c>
      <c r="S27" s="100">
        <f>S26+S18</f>
        <v>42821.916363000259</v>
      </c>
      <c r="T27" s="31">
        <f>T26-T18</f>
        <v>39994.974441749262</v>
      </c>
      <c r="U27" s="31">
        <f>U26-U18</f>
        <v>32395.792750874927</v>
      </c>
      <c r="V27" s="31"/>
      <c r="W27" s="1"/>
      <c r="X27" s="1"/>
      <c r="Y27" s="31">
        <f>Y26-Y18</f>
        <v>61907.40873897665</v>
      </c>
      <c r="Z27" s="9"/>
      <c r="AD27" s="100">
        <f>AD26-AD24</f>
        <v>12231.38901210646</v>
      </c>
      <c r="AE27" s="100">
        <f t="shared" ref="AE27:AK27" si="14">AE26-AE24</f>
        <v>53939.474007814017</v>
      </c>
      <c r="AF27" s="100">
        <f t="shared" si="14"/>
        <v>139.00901136605859</v>
      </c>
      <c r="AG27" s="100">
        <f t="shared" si="14"/>
        <v>202920.46941047796</v>
      </c>
      <c r="AH27" s="100">
        <f t="shared" si="14"/>
        <v>115985.891758157</v>
      </c>
      <c r="AI27" s="100">
        <f t="shared" si="14"/>
        <v>94073.457460929232</v>
      </c>
      <c r="AJ27" s="100">
        <f t="shared" si="14"/>
        <v>88442.86949564697</v>
      </c>
      <c r="AK27" s="100">
        <f t="shared" si="14"/>
        <v>86474.275770054956</v>
      </c>
    </row>
    <row r="28" spans="2:37" ht="29" x14ac:dyDescent="0.35">
      <c r="B28" s="56"/>
      <c r="C28" s="60" t="s">
        <v>67</v>
      </c>
      <c r="D28" s="61" t="s">
        <v>73</v>
      </c>
      <c r="E28" s="62">
        <v>29.71</v>
      </c>
      <c r="F28" s="61">
        <v>86</v>
      </c>
      <c r="G28" s="63">
        <f t="shared" si="13"/>
        <v>2555.06</v>
      </c>
      <c r="H28" s="64">
        <f t="shared" si="7"/>
        <v>0.51101200000000002</v>
      </c>
    </row>
    <row r="29" spans="2:37" x14ac:dyDescent="0.35">
      <c r="B29" s="56"/>
      <c r="C29" s="75" t="s">
        <v>39</v>
      </c>
      <c r="D29" s="76"/>
      <c r="E29" s="77"/>
      <c r="F29" s="78"/>
      <c r="G29" s="46">
        <f>SUM(G30)</f>
        <v>796.80000000000007</v>
      </c>
      <c r="H29" s="47">
        <f t="shared" si="7"/>
        <v>0.15936</v>
      </c>
    </row>
    <row r="30" spans="2:37" ht="29" x14ac:dyDescent="0.35">
      <c r="B30" s="56"/>
      <c r="C30" s="65" t="s">
        <v>71</v>
      </c>
      <c r="D30" s="66" t="s">
        <v>41</v>
      </c>
      <c r="E30" s="67">
        <v>265.60000000000002</v>
      </c>
      <c r="F30" s="66">
        <v>3</v>
      </c>
      <c r="G30" s="68">
        <f>E30*F30</f>
        <v>796.80000000000007</v>
      </c>
      <c r="H30" s="69">
        <f t="shared" si="7"/>
        <v>0.15936</v>
      </c>
    </row>
    <row r="31" spans="2:37" x14ac:dyDescent="0.35">
      <c r="B31" s="56"/>
      <c r="C31" s="75" t="s">
        <v>68</v>
      </c>
      <c r="D31" s="76"/>
      <c r="E31" s="77"/>
      <c r="F31" s="78"/>
      <c r="G31" s="46">
        <f>SUM(G32:G32)</f>
        <v>637</v>
      </c>
      <c r="H31" s="47">
        <f t="shared" si="7"/>
        <v>0.12740000000000001</v>
      </c>
      <c r="R31" s="1" t="s">
        <v>107</v>
      </c>
      <c r="AA31" t="s">
        <v>92</v>
      </c>
      <c r="AB31" t="s">
        <v>96</v>
      </c>
      <c r="AC31" t="s">
        <v>97</v>
      </c>
      <c r="AD31" t="s">
        <v>98</v>
      </c>
      <c r="AE31" t="s">
        <v>99</v>
      </c>
      <c r="AF31" t="s">
        <v>100</v>
      </c>
      <c r="AG31" t="s">
        <v>101</v>
      </c>
      <c r="AH31" s="104" t="s">
        <v>102</v>
      </c>
      <c r="AI31" s="105" t="s">
        <v>104</v>
      </c>
      <c r="AJ31" s="105" t="s">
        <v>105</v>
      </c>
      <c r="AK31" s="106" t="s">
        <v>106</v>
      </c>
    </row>
    <row r="32" spans="2:37" x14ac:dyDescent="0.35">
      <c r="B32" s="56"/>
      <c r="C32" s="6" t="s">
        <v>69</v>
      </c>
      <c r="D32" s="66" t="s">
        <v>72</v>
      </c>
      <c r="E32" s="67">
        <v>6.37</v>
      </c>
      <c r="F32" s="71">
        <v>100</v>
      </c>
      <c r="G32" s="52">
        <f t="shared" ref="G32" si="15">E32*F32</f>
        <v>637</v>
      </c>
      <c r="H32" s="53">
        <f t="shared" si="7"/>
        <v>0.12740000000000001</v>
      </c>
      <c r="R32">
        <v>401337</v>
      </c>
      <c r="S32" s="11">
        <v>7612.7735730854101</v>
      </c>
      <c r="T32" s="9">
        <f>4.7123*S32-3528.6</f>
        <v>32345.072908450376</v>
      </c>
      <c r="U32" s="9">
        <f>S32*(0.6145*S32^0.2153)</f>
        <v>32045.052622398558</v>
      </c>
      <c r="V32" s="9">
        <f>S32*(0.8134*LN(S32)-3.0489)</f>
        <v>32132.983513980605</v>
      </c>
      <c r="W32" s="9"/>
      <c r="X32" s="9"/>
      <c r="Y32" s="9">
        <v>38530.953823789401</v>
      </c>
      <c r="Z32" s="9"/>
      <c r="AA32">
        <v>401337</v>
      </c>
      <c r="AB32">
        <v>66453.227540000007</v>
      </c>
      <c r="AC32">
        <v>53867.114589999903</v>
      </c>
      <c r="AD32" s="11">
        <v>7612.7735730854101</v>
      </c>
      <c r="AE32" s="9">
        <v>20356.794374879901</v>
      </c>
      <c r="AF32" s="9">
        <v>117.32851062470399</v>
      </c>
      <c r="AG32" s="9">
        <v>38530.953823789401</v>
      </c>
      <c r="AH32" s="16">
        <v>59005.076709294102</v>
      </c>
      <c r="AI32" s="9">
        <f>$AE32+$AF32+T32</f>
        <v>52819.195793954983</v>
      </c>
      <c r="AJ32" s="9">
        <f t="shared" ref="AJ32:AJ38" si="16">$AE32+$AF32+U32</f>
        <v>52519.175507903165</v>
      </c>
      <c r="AK32" s="17">
        <f t="shared" ref="AK32:AK38" si="17">$AE32+$AF32+V32</f>
        <v>52607.106399485216</v>
      </c>
    </row>
    <row r="33" spans="2:37" x14ac:dyDescent="0.35">
      <c r="B33" s="56"/>
      <c r="C33" s="75" t="s">
        <v>42</v>
      </c>
      <c r="D33" s="76"/>
      <c r="E33" s="77"/>
      <c r="F33" s="78"/>
      <c r="G33" s="46">
        <f>SUM(G21,G26,G29,G31)</f>
        <v>21874.92</v>
      </c>
      <c r="H33" s="47">
        <f t="shared" si="7"/>
        <v>4.3749839999999995</v>
      </c>
      <c r="R33">
        <v>300871</v>
      </c>
      <c r="S33" s="11">
        <v>6257.0551663718998</v>
      </c>
      <c r="T33" s="9">
        <f t="shared" ref="T33:T46" si="18">4.7123*S33-3528.6</f>
        <v>25956.521060494306</v>
      </c>
      <c r="U33" s="9">
        <f t="shared" ref="U33:U46" si="19">S33*(0.6145*S33^0.2153)</f>
        <v>25249.357346085344</v>
      </c>
      <c r="V33" s="9">
        <f t="shared" ref="V33:V46" si="20">S33*(0.8134*LN(S33)-3.0489)</f>
        <v>25412.451257789839</v>
      </c>
      <c r="W33" s="9"/>
      <c r="X33" s="9"/>
      <c r="Y33" s="9">
        <v>31669.1809330494</v>
      </c>
      <c r="Z33" s="9"/>
      <c r="AA33">
        <v>300871</v>
      </c>
      <c r="AB33">
        <v>13671.546249999899</v>
      </c>
      <c r="AC33">
        <v>5555.7761229999896</v>
      </c>
      <c r="AD33" s="11">
        <v>6257.0551663718998</v>
      </c>
      <c r="AE33" s="9">
        <v>13361.491248120001</v>
      </c>
      <c r="AF33" s="9">
        <v>96.176808536724096</v>
      </c>
      <c r="AG33" s="9">
        <v>31669.1809330494</v>
      </c>
      <c r="AH33" s="16">
        <v>45126.848989706101</v>
      </c>
      <c r="AI33" s="9">
        <f t="shared" ref="AI33:AI39" si="21">$AE33+$AF33+T33</f>
        <v>39414.189117151029</v>
      </c>
      <c r="AJ33" s="9">
        <f t="shared" si="16"/>
        <v>38707.025402742067</v>
      </c>
      <c r="AK33" s="17">
        <f t="shared" si="17"/>
        <v>38870.119314446565</v>
      </c>
    </row>
    <row r="34" spans="2:37" x14ac:dyDescent="0.35">
      <c r="C34" s="75" t="s">
        <v>85</v>
      </c>
      <c r="D34" s="76"/>
      <c r="E34" s="77"/>
      <c r="F34" s="78"/>
      <c r="G34" s="46">
        <f>SUM(G21,G26,G29)</f>
        <v>21237.919999999998</v>
      </c>
      <c r="H34" s="47">
        <f t="shared" si="7"/>
        <v>4.2475839999999998</v>
      </c>
      <c r="J34" s="9">
        <f>H34-(H34-H17)*(B23-4444)/(B23-B6)</f>
        <v>3.95593505901528</v>
      </c>
      <c r="K34">
        <v>5.0599999999999996</v>
      </c>
      <c r="L34" s="9">
        <f>J34*1.28</f>
        <v>5.0635968755395586</v>
      </c>
      <c r="R34">
        <v>401248</v>
      </c>
      <c r="S34" s="11">
        <v>5954.82535565547</v>
      </c>
      <c r="T34" s="9">
        <f t="shared" si="18"/>
        <v>24532.323523455274</v>
      </c>
      <c r="U34" s="9">
        <f t="shared" si="19"/>
        <v>23774.983164523434</v>
      </c>
      <c r="V34" s="9">
        <f t="shared" si="20"/>
        <v>23945.174217737735</v>
      </c>
      <c r="W34" s="9"/>
      <c r="X34" s="9"/>
      <c r="Y34" s="9">
        <v>30139.4884012685</v>
      </c>
      <c r="Z34" s="9"/>
      <c r="AA34">
        <v>401248</v>
      </c>
      <c r="AB34">
        <v>41974.792249999897</v>
      </c>
      <c r="AC34">
        <v>28740.416440000001</v>
      </c>
      <c r="AD34" s="11">
        <v>5954.82535565547</v>
      </c>
      <c r="AE34" s="9">
        <v>30968.541327179999</v>
      </c>
      <c r="AF34" s="9">
        <v>90.921893456055301</v>
      </c>
      <c r="AG34" s="9">
        <v>30139.4884012685</v>
      </c>
      <c r="AH34" s="16">
        <v>61198.951621904598</v>
      </c>
      <c r="AI34" s="9">
        <f t="shared" si="21"/>
        <v>55591.786744091325</v>
      </c>
      <c r="AJ34" s="9">
        <f t="shared" si="16"/>
        <v>54834.446385159492</v>
      </c>
      <c r="AK34" s="17">
        <f t="shared" si="17"/>
        <v>55004.637438373786</v>
      </c>
    </row>
    <row r="35" spans="2:37" ht="29" x14ac:dyDescent="0.35">
      <c r="C35" s="75" t="s">
        <v>122</v>
      </c>
      <c r="D35" s="76"/>
      <c r="E35" s="77"/>
      <c r="F35" s="78"/>
      <c r="G35" s="46">
        <f>SUM(G21,G26)</f>
        <v>20441.12</v>
      </c>
      <c r="H35" s="47">
        <f>G35/$B$23</f>
        <v>4.0882239999999994</v>
      </c>
      <c r="J35" s="9">
        <f>H35-(H35-H18)*(B23-4444)/(B23-B6)</f>
        <v>3.793064990424448</v>
      </c>
      <c r="R35">
        <v>401258</v>
      </c>
      <c r="S35" s="11">
        <v>5935.1003891925702</v>
      </c>
      <c r="T35" s="9">
        <f t="shared" si="18"/>
        <v>24439.373563992151</v>
      </c>
      <c r="U35" s="9">
        <f t="shared" si="19"/>
        <v>23679.308722907568</v>
      </c>
      <c r="V35" s="9">
        <f t="shared" si="20"/>
        <v>23849.839721040291</v>
      </c>
      <c r="W35" s="9"/>
      <c r="X35" s="9"/>
      <c r="Y35" s="9">
        <v>30039.653332661601</v>
      </c>
      <c r="Z35" s="9"/>
      <c r="AA35">
        <v>401258</v>
      </c>
      <c r="AB35">
        <v>41710.485139999902</v>
      </c>
      <c r="AC35">
        <v>40463.988100000002</v>
      </c>
      <c r="AD35" s="11">
        <v>5935.1003891925702</v>
      </c>
      <c r="AE35" s="9">
        <v>12954.764062640001</v>
      </c>
      <c r="AF35" s="9">
        <v>149.02072232337099</v>
      </c>
      <c r="AG35" s="9">
        <v>30039.653332661601</v>
      </c>
      <c r="AH35" s="16">
        <v>43143.438117625003</v>
      </c>
      <c r="AI35" s="9">
        <f t="shared" si="21"/>
        <v>37543.15834895552</v>
      </c>
      <c r="AJ35" s="9">
        <f t="shared" si="16"/>
        <v>36783.093507870937</v>
      </c>
      <c r="AK35" s="17">
        <f t="shared" si="17"/>
        <v>36953.62450600366</v>
      </c>
    </row>
    <row r="36" spans="2:37" x14ac:dyDescent="0.35">
      <c r="R36">
        <v>300971</v>
      </c>
      <c r="S36" s="11">
        <v>5339.5564598387</v>
      </c>
      <c r="T36" s="9">
        <f t="shared" si="18"/>
        <v>21632.991905697909</v>
      </c>
      <c r="U36" s="9">
        <f t="shared" si="19"/>
        <v>20823.749759443122</v>
      </c>
      <c r="V36" s="9">
        <f t="shared" si="20"/>
        <v>20997.42734407543</v>
      </c>
      <c r="W36" s="9"/>
      <c r="X36" s="9"/>
      <c r="Y36" s="9">
        <v>27025.393756743098</v>
      </c>
      <c r="Z36" s="9"/>
      <c r="AA36">
        <v>300971</v>
      </c>
      <c r="AB36">
        <v>20519.748220000001</v>
      </c>
      <c r="AC36">
        <v>14670.671850000001</v>
      </c>
      <c r="AD36" s="11">
        <v>5339.5564598387</v>
      </c>
      <c r="AE36" s="9">
        <v>6752.3756199899899</v>
      </c>
      <c r="AF36" s="9">
        <v>82.604820337451798</v>
      </c>
      <c r="AG36" s="9">
        <v>27025.393756743098</v>
      </c>
      <c r="AH36" s="16">
        <v>33860.374197070501</v>
      </c>
      <c r="AI36" s="9">
        <f t="shared" si="21"/>
        <v>28467.972346025352</v>
      </c>
      <c r="AJ36" s="9">
        <f t="shared" si="16"/>
        <v>27658.730199770565</v>
      </c>
      <c r="AK36" s="17">
        <f t="shared" si="17"/>
        <v>27832.407784402872</v>
      </c>
    </row>
    <row r="37" spans="2:37" x14ac:dyDescent="0.35">
      <c r="B37" s="45" t="s">
        <v>54</v>
      </c>
      <c r="C37" s="73" t="s">
        <v>59</v>
      </c>
      <c r="D37" s="73" t="s">
        <v>31</v>
      </c>
      <c r="E37" s="73" t="s">
        <v>58</v>
      </c>
      <c r="F37" s="73" t="s">
        <v>32</v>
      </c>
      <c r="G37" s="45" t="s">
        <v>42</v>
      </c>
      <c r="H37" s="45" t="s">
        <v>74</v>
      </c>
      <c r="R37">
        <v>300854</v>
      </c>
      <c r="S37" s="11">
        <v>4358.5494825937303</v>
      </c>
      <c r="T37" s="9">
        <f t="shared" si="18"/>
        <v>17010.192726826437</v>
      </c>
      <c r="U37" s="9">
        <f t="shared" si="19"/>
        <v>16270.998183823758</v>
      </c>
      <c r="V37" s="9">
        <f t="shared" si="20"/>
        <v>16419.99076059226</v>
      </c>
      <c r="W37" s="9"/>
      <c r="X37" s="9"/>
      <c r="Y37" s="9">
        <v>22060.168641592201</v>
      </c>
      <c r="Z37" s="9"/>
      <c r="AA37">
        <v>300854</v>
      </c>
      <c r="AB37">
        <v>11879.065070000001</v>
      </c>
      <c r="AC37">
        <v>6404.5819629999896</v>
      </c>
      <c r="AD37" s="11">
        <v>4358.5494825937303</v>
      </c>
      <c r="AE37" s="9">
        <v>13327.143501840001</v>
      </c>
      <c r="AF37" s="9">
        <v>66.784407051081402</v>
      </c>
      <c r="AG37" s="9">
        <v>22060.168641592201</v>
      </c>
      <c r="AH37" s="16">
        <v>35454.096550483198</v>
      </c>
      <c r="AI37" s="9">
        <f t="shared" si="21"/>
        <v>30404.120635717518</v>
      </c>
      <c r="AJ37" s="9">
        <f t="shared" si="16"/>
        <v>29664.926092714843</v>
      </c>
      <c r="AK37" s="17">
        <f t="shared" si="17"/>
        <v>29813.918669483341</v>
      </c>
    </row>
    <row r="38" spans="2:37" ht="29" x14ac:dyDescent="0.35">
      <c r="B38" s="72" t="s">
        <v>79</v>
      </c>
      <c r="C38" s="85" t="s">
        <v>61</v>
      </c>
      <c r="D38" s="86"/>
      <c r="E38" s="87"/>
      <c r="F38" s="88"/>
      <c r="G38" s="46">
        <f>SUM(G39:G43)</f>
        <v>28885.48</v>
      </c>
      <c r="H38" s="47">
        <f t="shared" ref="H38:H53" si="22">G38/$B$40</f>
        <v>3.6106850000000001</v>
      </c>
      <c r="R38">
        <v>200470</v>
      </c>
      <c r="S38" s="11">
        <v>3299.2936237935301</v>
      </c>
      <c r="T38" s="9">
        <f t="shared" si="18"/>
        <v>12018.661343402251</v>
      </c>
      <c r="U38" s="9">
        <f t="shared" si="19"/>
        <v>11600.024040714012</v>
      </c>
      <c r="V38" s="9">
        <f t="shared" si="20"/>
        <v>11682.239656911705</v>
      </c>
      <c r="W38" s="9"/>
      <c r="X38" s="9"/>
      <c r="Y38" s="9">
        <v>16698.8981149992</v>
      </c>
      <c r="Z38" s="9"/>
      <c r="AA38">
        <v>200470</v>
      </c>
      <c r="AB38">
        <v>15281.896360000001</v>
      </c>
      <c r="AC38">
        <v>11512.266320000001</v>
      </c>
      <c r="AD38" s="11">
        <v>3299.2936237935301</v>
      </c>
      <c r="AE38" s="9">
        <v>903.12862571999904</v>
      </c>
      <c r="AF38" s="9">
        <v>71.139388841309</v>
      </c>
      <c r="AG38" s="9">
        <v>16698.8981149992</v>
      </c>
      <c r="AH38" s="16">
        <v>17673.166129560501</v>
      </c>
      <c r="AI38" s="9">
        <f t="shared" si="21"/>
        <v>12992.92935796356</v>
      </c>
      <c r="AJ38" s="9">
        <f t="shared" si="16"/>
        <v>12574.29205527532</v>
      </c>
      <c r="AK38" s="17">
        <f t="shared" si="17"/>
        <v>12656.507671473013</v>
      </c>
    </row>
    <row r="39" spans="2:37" ht="29" x14ac:dyDescent="0.35">
      <c r="B39" s="79" t="s">
        <v>75</v>
      </c>
      <c r="C39" s="49" t="s">
        <v>62</v>
      </c>
      <c r="D39" s="50" t="s">
        <v>40</v>
      </c>
      <c r="E39" s="51">
        <v>5.68</v>
      </c>
      <c r="F39" s="81">
        <v>29</v>
      </c>
      <c r="G39" s="51">
        <f>E39*F39</f>
        <v>164.72</v>
      </c>
      <c r="H39" s="53">
        <f t="shared" si="22"/>
        <v>2.0590000000000001E-2</v>
      </c>
      <c r="R39">
        <v>300839</v>
      </c>
      <c r="S39" s="11">
        <v>2397.3972369828898</v>
      </c>
      <c r="T39" s="9">
        <f t="shared" si="18"/>
        <v>7768.6549998344708</v>
      </c>
      <c r="U39" s="9">
        <f t="shared" si="19"/>
        <v>7869.0066039897192</v>
      </c>
      <c r="V39" s="9">
        <f t="shared" si="20"/>
        <v>7866.0804550518333</v>
      </c>
      <c r="W39" s="9"/>
      <c r="X39" s="9"/>
      <c r="Y39" s="9">
        <v>12134.0798263135</v>
      </c>
      <c r="Z39" s="9"/>
      <c r="AA39">
        <v>300839</v>
      </c>
      <c r="AB39">
        <v>21452.055</v>
      </c>
      <c r="AC39">
        <v>18856.6141099999</v>
      </c>
      <c r="AD39" s="11">
        <v>2397.3972369828898</v>
      </c>
      <c r="AE39" s="9">
        <v>1282.2087082640001</v>
      </c>
      <c r="AF39" s="9">
        <v>76.805255111746902</v>
      </c>
      <c r="AG39" s="9">
        <v>12134.0798263135</v>
      </c>
      <c r="AH39" s="16">
        <v>13493.093789689199</v>
      </c>
      <c r="AI39" s="9">
        <f t="shared" si="21"/>
        <v>9127.668963210217</v>
      </c>
      <c r="AJ39" s="9">
        <f t="shared" ref="AJ39:AJ46" si="23">$AE39+$AF39+U39</f>
        <v>9228.0205673654655</v>
      </c>
      <c r="AK39" s="17">
        <f t="shared" ref="AK39:AK46" si="24">$AE39+$AF39+V39</f>
        <v>9225.0944184275795</v>
      </c>
    </row>
    <row r="40" spans="2:37" x14ac:dyDescent="0.35">
      <c r="B40" s="80">
        <v>8000</v>
      </c>
      <c r="C40" s="55" t="s">
        <v>63</v>
      </c>
      <c r="D40" s="56" t="s">
        <v>73</v>
      </c>
      <c r="E40" s="57">
        <v>125.17</v>
      </c>
      <c r="F40" s="82">
        <v>12</v>
      </c>
      <c r="G40" s="57">
        <f t="shared" ref="G40:G43" si="25">E40*F40</f>
        <v>1502.04</v>
      </c>
      <c r="H40" s="59">
        <f t="shared" si="22"/>
        <v>0.18775500000000001</v>
      </c>
      <c r="R40">
        <v>300891</v>
      </c>
      <c r="S40" s="11">
        <v>2095.3036231965398</v>
      </c>
      <c r="T40" s="9">
        <f t="shared" si="18"/>
        <v>6345.0992635890543</v>
      </c>
      <c r="U40" s="9">
        <f t="shared" si="19"/>
        <v>6680.8746371462257</v>
      </c>
      <c r="V40" s="9">
        <f t="shared" si="20"/>
        <v>6645.3369058660401</v>
      </c>
      <c r="W40" s="9"/>
      <c r="X40" s="9"/>
      <c r="Y40" s="9">
        <v>10605.076635621501</v>
      </c>
      <c r="Z40" s="9"/>
      <c r="AA40">
        <v>300891</v>
      </c>
      <c r="AB40">
        <v>27708.36318</v>
      </c>
      <c r="AC40">
        <v>28305.039290000001</v>
      </c>
      <c r="AD40" s="11">
        <v>2095.3036231965398</v>
      </c>
      <c r="AE40" s="9">
        <v>5479.3205921999897</v>
      </c>
      <c r="AF40" s="9">
        <v>40.019424998391102</v>
      </c>
      <c r="AG40" s="9">
        <v>10605.076635621501</v>
      </c>
      <c r="AH40" s="16">
        <v>16124.4166528199</v>
      </c>
      <c r="AI40" s="9">
        <f t="shared" ref="AI40:AI46" si="26">$AE40+$AF40+T40</f>
        <v>11864.439280787436</v>
      </c>
      <c r="AJ40" s="9">
        <f t="shared" si="23"/>
        <v>12200.214654344607</v>
      </c>
      <c r="AK40" s="17">
        <f t="shared" si="24"/>
        <v>12164.67692306442</v>
      </c>
    </row>
    <row r="41" spans="2:37" x14ac:dyDescent="0.35">
      <c r="B41" s="70"/>
      <c r="C41" s="2" t="s">
        <v>77</v>
      </c>
      <c r="D41" s="56" t="s">
        <v>73</v>
      </c>
      <c r="E41" s="57">
        <v>195.94</v>
      </c>
      <c r="F41" s="82">
        <v>124</v>
      </c>
      <c r="G41" s="57">
        <f t="shared" si="25"/>
        <v>24296.560000000001</v>
      </c>
      <c r="H41" s="59">
        <f t="shared" si="22"/>
        <v>3.0370700000000004</v>
      </c>
      <c r="R41">
        <v>200430</v>
      </c>
      <c r="S41" s="11">
        <v>2024.64805836807</v>
      </c>
      <c r="T41" s="9">
        <f t="shared" si="18"/>
        <v>6012.1490454478553</v>
      </c>
      <c r="U41" s="9">
        <f t="shared" si="19"/>
        <v>6408.0882607864742</v>
      </c>
      <c r="V41" s="9">
        <f t="shared" si="20"/>
        <v>6364.7588691810497</v>
      </c>
      <c r="W41" s="9"/>
      <c r="X41" s="9"/>
      <c r="Y41" s="9">
        <v>10247.463699985899</v>
      </c>
      <c r="Z41" s="9"/>
      <c r="AA41">
        <v>200430</v>
      </c>
      <c r="AB41">
        <v>14061.3558499999</v>
      </c>
      <c r="AC41">
        <v>11003.284390000001</v>
      </c>
      <c r="AD41" s="11">
        <v>2024.64805836807</v>
      </c>
      <c r="AE41" s="9">
        <v>754.87942173600004</v>
      </c>
      <c r="AF41" s="9">
        <v>52.179262330550799</v>
      </c>
      <c r="AG41" s="9">
        <v>10247.463699985899</v>
      </c>
      <c r="AH41" s="16">
        <v>11054.5223840525</v>
      </c>
      <c r="AI41" s="9">
        <f t="shared" si="26"/>
        <v>6819.2077295144063</v>
      </c>
      <c r="AJ41" s="9">
        <f t="shared" si="23"/>
        <v>7215.1469448530252</v>
      </c>
      <c r="AK41" s="17">
        <f t="shared" si="24"/>
        <v>7171.8175532476007</v>
      </c>
    </row>
    <row r="42" spans="2:37" ht="29" x14ac:dyDescent="0.35">
      <c r="B42" s="70"/>
      <c r="C42" s="55" t="s">
        <v>64</v>
      </c>
      <c r="D42" s="56" t="s">
        <v>73</v>
      </c>
      <c r="E42" s="57">
        <v>114.79</v>
      </c>
      <c r="F42" s="82">
        <v>8</v>
      </c>
      <c r="G42" s="57">
        <f t="shared" si="25"/>
        <v>918.32</v>
      </c>
      <c r="H42" s="59">
        <f t="shared" si="22"/>
        <v>0.11479</v>
      </c>
      <c r="R42">
        <v>200266</v>
      </c>
      <c r="S42" s="11">
        <v>1963.55358918565</v>
      </c>
      <c r="T42" s="9">
        <f t="shared" si="18"/>
        <v>5724.2535783195381</v>
      </c>
      <c r="U42" s="9">
        <f t="shared" si="19"/>
        <v>6173.8596381913376</v>
      </c>
      <c r="V42" s="9">
        <f t="shared" si="20"/>
        <v>6123.7632124920201</v>
      </c>
      <c r="W42" s="9"/>
      <c r="X42" s="9"/>
      <c r="Y42" s="9">
        <v>9938.2428689239296</v>
      </c>
      <c r="Z42" s="9"/>
      <c r="AA42">
        <v>200266</v>
      </c>
      <c r="AB42">
        <v>3432.0691230000002</v>
      </c>
      <c r="AC42">
        <v>2553.4393030000001</v>
      </c>
      <c r="AD42" s="11">
        <v>1963.55358918565</v>
      </c>
      <c r="AE42" s="9">
        <v>903.06784137600005</v>
      </c>
      <c r="AF42" s="9">
        <v>42.219919462231097</v>
      </c>
      <c r="AG42" s="9">
        <v>9938.2428689239296</v>
      </c>
      <c r="AH42" s="16">
        <v>10883.530629762099</v>
      </c>
      <c r="AI42" s="9">
        <f t="shared" si="26"/>
        <v>6669.5413391577695</v>
      </c>
      <c r="AJ42" s="9">
        <f t="shared" si="23"/>
        <v>7119.147399029569</v>
      </c>
      <c r="AK42" s="17">
        <f t="shared" si="24"/>
        <v>7069.0509733302515</v>
      </c>
    </row>
    <row r="43" spans="2:37" x14ac:dyDescent="0.35">
      <c r="B43" s="56"/>
      <c r="C43" s="60" t="s">
        <v>78</v>
      </c>
      <c r="D43" s="61" t="s">
        <v>73</v>
      </c>
      <c r="E43" s="62">
        <v>16.16</v>
      </c>
      <c r="F43" s="84">
        <v>124</v>
      </c>
      <c r="G43" s="62">
        <f t="shared" si="25"/>
        <v>2003.84</v>
      </c>
      <c r="H43" s="64">
        <f t="shared" si="22"/>
        <v>0.25047999999999998</v>
      </c>
      <c r="R43">
        <v>200199</v>
      </c>
      <c r="S43" s="11">
        <v>1218.1019562041799</v>
      </c>
      <c r="T43" s="9">
        <f t="shared" si="18"/>
        <v>2211.4618482209576</v>
      </c>
      <c r="U43" s="9">
        <f t="shared" si="19"/>
        <v>3455.8367262347833</v>
      </c>
      <c r="V43" s="9">
        <f t="shared" si="20"/>
        <v>3325.8409983883657</v>
      </c>
      <c r="W43" s="9"/>
      <c r="X43" s="9"/>
      <c r="Y43" s="9">
        <v>6165.2471043019004</v>
      </c>
      <c r="Z43" s="9"/>
      <c r="AA43">
        <v>200199</v>
      </c>
      <c r="AB43">
        <v>6201.1836020000001</v>
      </c>
      <c r="AC43">
        <v>7286.5249610000001</v>
      </c>
      <c r="AD43" s="11">
        <v>1218.1019562041799</v>
      </c>
      <c r="AE43" s="9">
        <v>579.15301478399897</v>
      </c>
      <c r="AF43" s="9">
        <v>41.136073075636197</v>
      </c>
      <c r="AG43" s="9">
        <v>6165.2471043019004</v>
      </c>
      <c r="AH43" s="16">
        <v>6785.5361921615404</v>
      </c>
      <c r="AI43" s="9">
        <f t="shared" si="26"/>
        <v>2831.7509360805925</v>
      </c>
      <c r="AJ43" s="9">
        <f t="shared" si="23"/>
        <v>4076.1258140944183</v>
      </c>
      <c r="AK43" s="17">
        <f t="shared" si="24"/>
        <v>3946.1300862480011</v>
      </c>
    </row>
    <row r="44" spans="2:37" x14ac:dyDescent="0.35">
      <c r="B44" s="56"/>
      <c r="C44" s="89" t="s">
        <v>65</v>
      </c>
      <c r="D44" s="90"/>
      <c r="E44" s="91"/>
      <c r="F44" s="92"/>
      <c r="G44" s="46">
        <f>SUM(G45:G46)</f>
        <v>4641.92</v>
      </c>
      <c r="H44" s="47">
        <f t="shared" si="22"/>
        <v>0.58023999999999998</v>
      </c>
      <c r="R44">
        <v>301029</v>
      </c>
      <c r="S44" s="11">
        <v>1161.61666417942</v>
      </c>
      <c r="T44" s="9">
        <f t="shared" si="18"/>
        <v>1945.2862066126813</v>
      </c>
      <c r="U44" s="9">
        <f t="shared" si="19"/>
        <v>3262.066039565786</v>
      </c>
      <c r="V44" s="9">
        <f t="shared" si="20"/>
        <v>3126.7535481034688</v>
      </c>
      <c r="W44" s="9"/>
      <c r="X44" s="9"/>
      <c r="Y44" s="9">
        <v>5879.3549576572404</v>
      </c>
      <c r="Z44" s="9"/>
      <c r="AA44">
        <v>301029</v>
      </c>
      <c r="AB44">
        <v>4919.7577389999897</v>
      </c>
      <c r="AC44">
        <v>5735.09375</v>
      </c>
      <c r="AD44" s="11">
        <v>1161.61666417942</v>
      </c>
      <c r="AE44" s="9">
        <v>5010.7285339800001</v>
      </c>
      <c r="AF44" s="9">
        <v>36.143190930524099</v>
      </c>
      <c r="AG44" s="9">
        <v>5879.3549576572404</v>
      </c>
      <c r="AH44" s="16">
        <v>10926.2266825677</v>
      </c>
      <c r="AI44" s="9">
        <f t="shared" si="26"/>
        <v>6992.1579315232048</v>
      </c>
      <c r="AJ44" s="9">
        <f t="shared" si="23"/>
        <v>8308.9377644763099</v>
      </c>
      <c r="AK44" s="17">
        <f t="shared" si="24"/>
        <v>8173.6252730139931</v>
      </c>
    </row>
    <row r="45" spans="2:37" x14ac:dyDescent="0.35">
      <c r="B45" s="56"/>
      <c r="C45" s="49" t="s">
        <v>66</v>
      </c>
      <c r="D45" s="50" t="s">
        <v>73</v>
      </c>
      <c r="E45" s="51">
        <v>22.73</v>
      </c>
      <c r="F45" s="50">
        <v>16</v>
      </c>
      <c r="G45" s="52">
        <f t="shared" ref="G45:G46" si="27">E45*F45</f>
        <v>363.68</v>
      </c>
      <c r="H45" s="53">
        <f t="shared" si="22"/>
        <v>4.546E-2</v>
      </c>
      <c r="L45" s="9"/>
      <c r="R45">
        <v>200026</v>
      </c>
      <c r="S45" s="11">
        <v>1120.8416172987299</v>
      </c>
      <c r="T45" s="9">
        <f t="shared" si="18"/>
        <v>1753.1419531968054</v>
      </c>
      <c r="U45" s="9">
        <f t="shared" si="19"/>
        <v>3123.4388794991642</v>
      </c>
      <c r="V45" s="9">
        <f t="shared" si="20"/>
        <v>2984.4209158687863</v>
      </c>
      <c r="W45" s="9"/>
      <c r="X45" s="9"/>
      <c r="Y45" s="9">
        <v>5672.9779475649902</v>
      </c>
      <c r="Z45" s="9"/>
      <c r="AA45">
        <v>200026</v>
      </c>
      <c r="AB45">
        <v>7763.5906940000004</v>
      </c>
      <c r="AC45">
        <v>12493.5059199999</v>
      </c>
      <c r="AD45" s="11">
        <v>1120.8416172987299</v>
      </c>
      <c r="AE45" s="9">
        <v>540.53652916800002</v>
      </c>
      <c r="AF45" s="9">
        <v>40.940634279521802</v>
      </c>
      <c r="AG45" s="9">
        <v>5672.9779475649902</v>
      </c>
      <c r="AH45" s="16">
        <v>6254.4551110125103</v>
      </c>
      <c r="AI45" s="9">
        <f t="shared" si="26"/>
        <v>2334.6191166443273</v>
      </c>
      <c r="AJ45" s="9">
        <f t="shared" si="23"/>
        <v>3704.916042946686</v>
      </c>
      <c r="AK45" s="17">
        <f t="shared" si="24"/>
        <v>3565.8980793163082</v>
      </c>
    </row>
    <row r="46" spans="2:37" ht="29" x14ac:dyDescent="0.35">
      <c r="B46" s="56"/>
      <c r="C46" s="60" t="s">
        <v>67</v>
      </c>
      <c r="D46" s="61" t="s">
        <v>73</v>
      </c>
      <c r="E46" s="62">
        <v>29.71</v>
      </c>
      <c r="F46" s="61">
        <v>144</v>
      </c>
      <c r="G46" s="63">
        <f t="shared" si="27"/>
        <v>4278.24</v>
      </c>
      <c r="H46" s="64">
        <f t="shared" si="22"/>
        <v>0.53477999999999992</v>
      </c>
      <c r="R46">
        <v>200320</v>
      </c>
      <c r="S46" s="11">
        <v>1085.0438733752501</v>
      </c>
      <c r="T46" s="9">
        <f t="shared" si="18"/>
        <v>1584.4522445061907</v>
      </c>
      <c r="U46" s="9">
        <f t="shared" si="19"/>
        <v>3002.6242641536846</v>
      </c>
      <c r="V46" s="9">
        <f t="shared" si="20"/>
        <v>2860.4558037249226</v>
      </c>
      <c r="Y46" s="9">
        <v>5491.7928374511002</v>
      </c>
      <c r="AA46">
        <v>200320</v>
      </c>
      <c r="AB46">
        <v>3582.2982270000002</v>
      </c>
      <c r="AC46">
        <v>4158.0919309999899</v>
      </c>
      <c r="AD46" s="11">
        <v>1085.0438733752501</v>
      </c>
      <c r="AE46" s="9">
        <v>524.87330903999896</v>
      </c>
      <c r="AF46" s="9">
        <v>40.990927678893698</v>
      </c>
      <c r="AG46" s="9">
        <v>5491.7928374511002</v>
      </c>
      <c r="AH46" s="18">
        <v>6057.6570741699898</v>
      </c>
      <c r="AI46" s="30">
        <f t="shared" si="26"/>
        <v>2150.3164812250834</v>
      </c>
      <c r="AJ46" s="30">
        <f t="shared" si="23"/>
        <v>3568.4885008725773</v>
      </c>
      <c r="AK46" s="19">
        <f t="shared" si="24"/>
        <v>3426.3200404438153</v>
      </c>
    </row>
    <row r="47" spans="2:37" x14ac:dyDescent="0.35">
      <c r="B47" s="56"/>
      <c r="C47" s="85" t="s">
        <v>39</v>
      </c>
      <c r="D47" s="86"/>
      <c r="E47" s="87"/>
      <c r="F47" s="88"/>
      <c r="G47" s="93">
        <f>SUM(G48:G49)</f>
        <v>870.1400000000001</v>
      </c>
      <c r="H47" s="94">
        <f t="shared" si="22"/>
        <v>0.10876750000000002</v>
      </c>
      <c r="S47" s="11"/>
    </row>
    <row r="48" spans="2:37" ht="29" x14ac:dyDescent="0.35">
      <c r="B48" s="56"/>
      <c r="C48" s="49" t="s">
        <v>80</v>
      </c>
      <c r="D48" s="50" t="s">
        <v>41</v>
      </c>
      <c r="E48" s="51">
        <v>73.34</v>
      </c>
      <c r="F48" s="50">
        <v>1</v>
      </c>
      <c r="G48" s="52">
        <f>E48*F48</f>
        <v>73.34</v>
      </c>
      <c r="H48" s="53">
        <f t="shared" si="22"/>
        <v>9.1675000000000003E-3</v>
      </c>
      <c r="S48" s="100">
        <f>SUM(S32:S46)</f>
        <v>51823.660669322024</v>
      </c>
      <c r="T48" s="100">
        <f t="shared" ref="T48:V48" si="28">SUM(T32:T46)</f>
        <v>191279.63617204624</v>
      </c>
      <c r="U48" s="100">
        <f t="shared" si="28"/>
        <v>193419.26888946292</v>
      </c>
      <c r="V48" s="100">
        <f t="shared" si="28"/>
        <v>193737.51718080434</v>
      </c>
      <c r="Y48" s="100">
        <f t="shared" ref="Y48" si="29">SUM(Y32:Y46)</f>
        <v>262297.97288192349</v>
      </c>
      <c r="AB48" s="100">
        <f t="shared" ref="AB48:AG48" si="30">SUM(AB32:AB46)</f>
        <v>300611.4342449996</v>
      </c>
      <c r="AC48" s="100">
        <f t="shared" si="30"/>
        <v>251606.40904099963</v>
      </c>
      <c r="AD48" s="100">
        <f t="shared" si="30"/>
        <v>51823.660669322024</v>
      </c>
      <c r="AE48" s="100">
        <f t="shared" si="30"/>
        <v>113699.00671091791</v>
      </c>
      <c r="AF48" s="100">
        <f t="shared" si="30"/>
        <v>1044.4112390381922</v>
      </c>
      <c r="AG48" s="100">
        <f t="shared" si="30"/>
        <v>262297.97288192349</v>
      </c>
      <c r="AH48" s="100">
        <f t="shared" ref="AH48:AJ48" si="31">SUM(AH32:AH46)</f>
        <v>377041.39083187946</v>
      </c>
      <c r="AI48" s="100">
        <f t="shared" si="31"/>
        <v>306023.05412200227</v>
      </c>
      <c r="AJ48" s="100">
        <f t="shared" si="31"/>
        <v>308162.68683941907</v>
      </c>
      <c r="AK48" s="100">
        <f t="shared" ref="AK48" si="32">SUM(AK32:AK46)</f>
        <v>308480.93513076042</v>
      </c>
    </row>
    <row r="49" spans="2:19" ht="29" x14ac:dyDescent="0.35">
      <c r="B49" s="56"/>
      <c r="C49" s="60" t="s">
        <v>71</v>
      </c>
      <c r="D49" s="61" t="s">
        <v>41</v>
      </c>
      <c r="E49" s="62">
        <v>265.60000000000002</v>
      </c>
      <c r="F49" s="61">
        <v>3</v>
      </c>
      <c r="G49" s="63">
        <f>E49*F49</f>
        <v>796.80000000000007</v>
      </c>
      <c r="H49" s="64">
        <f t="shared" si="22"/>
        <v>9.9600000000000008E-2</v>
      </c>
      <c r="S49" s="11"/>
    </row>
    <row r="50" spans="2:19" x14ac:dyDescent="0.35">
      <c r="B50" s="56"/>
      <c r="C50" s="89" t="s">
        <v>68</v>
      </c>
      <c r="D50" s="90"/>
      <c r="E50" s="91"/>
      <c r="F50" s="92"/>
      <c r="G50" s="95">
        <f>SUM(G51:G51)</f>
        <v>2210</v>
      </c>
      <c r="H50" s="96">
        <f t="shared" si="22"/>
        <v>0.27625</v>
      </c>
      <c r="S50" s="11"/>
    </row>
    <row r="51" spans="2:19" x14ac:dyDescent="0.35">
      <c r="B51" s="56"/>
      <c r="C51" s="6" t="s">
        <v>81</v>
      </c>
      <c r="D51" s="66" t="s">
        <v>72</v>
      </c>
      <c r="E51" s="67">
        <v>22.1</v>
      </c>
      <c r="F51" s="71">
        <v>100</v>
      </c>
      <c r="G51" s="52">
        <f t="shared" ref="G51" si="33">E51*F51</f>
        <v>2210</v>
      </c>
      <c r="H51" s="53">
        <f t="shared" si="22"/>
        <v>0.27625</v>
      </c>
      <c r="S51" s="11"/>
    </row>
    <row r="52" spans="2:19" x14ac:dyDescent="0.35">
      <c r="B52" s="56"/>
      <c r="C52" s="75" t="s">
        <v>42</v>
      </c>
      <c r="D52" s="76"/>
      <c r="E52" s="77"/>
      <c r="F52" s="78"/>
      <c r="G52" s="46">
        <f>SUM(G38,G44,G47,G50)</f>
        <v>36607.54</v>
      </c>
      <c r="H52" s="47">
        <f t="shared" si="22"/>
        <v>4.5759425</v>
      </c>
      <c r="S52" s="11"/>
    </row>
    <row r="53" spans="2:19" x14ac:dyDescent="0.35">
      <c r="C53" s="75" t="s">
        <v>85</v>
      </c>
      <c r="D53" s="76"/>
      <c r="E53" s="77"/>
      <c r="F53" s="78"/>
      <c r="G53" s="46">
        <f>SUM(G38,G44,G47)</f>
        <v>34397.54</v>
      </c>
      <c r="H53" s="47">
        <f t="shared" si="22"/>
        <v>4.2996924999999999</v>
      </c>
      <c r="S53" s="11"/>
    </row>
    <row r="54" spans="2:19" ht="29" x14ac:dyDescent="0.35">
      <c r="C54" s="75" t="s">
        <v>122</v>
      </c>
      <c r="D54" s="76"/>
      <c r="E54" s="77"/>
      <c r="F54" s="78"/>
      <c r="G54" s="46">
        <f>SUM(G38,G44)</f>
        <v>33527.4</v>
      </c>
      <c r="H54" s="47">
        <f t="shared" ref="H54" si="34">G54/$B$40</f>
        <v>4.190925</v>
      </c>
      <c r="S54" s="11"/>
    </row>
    <row r="56" spans="2:19" x14ac:dyDescent="0.35">
      <c r="B56" s="45" t="s">
        <v>54</v>
      </c>
      <c r="C56" s="73" t="s">
        <v>59</v>
      </c>
      <c r="D56" s="73" t="s">
        <v>31</v>
      </c>
      <c r="E56" s="73" t="s">
        <v>58</v>
      </c>
      <c r="F56" s="73" t="s">
        <v>32</v>
      </c>
      <c r="G56" s="45" t="s">
        <v>42</v>
      </c>
      <c r="H56" s="45" t="s">
        <v>74</v>
      </c>
    </row>
    <row r="57" spans="2:19" x14ac:dyDescent="0.35">
      <c r="B57" s="72" t="s">
        <v>82</v>
      </c>
      <c r="C57" s="85" t="s">
        <v>61</v>
      </c>
      <c r="D57" s="86"/>
      <c r="E57" s="87"/>
      <c r="F57" s="88"/>
      <c r="G57" s="46">
        <f>SUM(G58:G62)</f>
        <v>40144.120000000003</v>
      </c>
      <c r="H57" s="47">
        <f t="shared" ref="H57:H73" si="35">G57/$B$59</f>
        <v>3.6494654545454548</v>
      </c>
    </row>
    <row r="58" spans="2:19" ht="29" x14ac:dyDescent="0.35">
      <c r="B58" s="79" t="s">
        <v>75</v>
      </c>
      <c r="C58" s="49" t="s">
        <v>62</v>
      </c>
      <c r="D58" s="50" t="s">
        <v>40</v>
      </c>
      <c r="E58" s="51">
        <v>5.68</v>
      </c>
      <c r="F58" s="81">
        <v>29</v>
      </c>
      <c r="G58" s="51">
        <f>E58*F58</f>
        <v>164.72</v>
      </c>
      <c r="H58" s="53">
        <f t="shared" si="35"/>
        <v>1.4974545454545454E-2</v>
      </c>
    </row>
    <row r="59" spans="2:19" x14ac:dyDescent="0.35">
      <c r="B59" s="80">
        <v>11000</v>
      </c>
      <c r="C59" s="55" t="s">
        <v>63</v>
      </c>
      <c r="D59" s="56" t="s">
        <v>73</v>
      </c>
      <c r="E59" s="57">
        <v>125.17</v>
      </c>
      <c r="F59" s="82">
        <v>24</v>
      </c>
      <c r="G59" s="57">
        <f t="shared" ref="G59:G62" si="36">E59*F59</f>
        <v>3004.08</v>
      </c>
      <c r="H59" s="59">
        <f t="shared" si="35"/>
        <v>0.2730981818181818</v>
      </c>
    </row>
    <row r="60" spans="2:19" x14ac:dyDescent="0.35">
      <c r="B60" s="70"/>
      <c r="C60" s="2" t="s">
        <v>77</v>
      </c>
      <c r="D60" s="56" t="s">
        <v>73</v>
      </c>
      <c r="E60" s="57">
        <v>195.94</v>
      </c>
      <c r="F60" s="82">
        <v>170</v>
      </c>
      <c r="G60" s="57">
        <f t="shared" si="36"/>
        <v>33309.800000000003</v>
      </c>
      <c r="H60" s="59">
        <f t="shared" si="35"/>
        <v>3.0281636363636366</v>
      </c>
    </row>
    <row r="61" spans="2:19" ht="29" x14ac:dyDescent="0.35">
      <c r="B61" s="70"/>
      <c r="C61" s="55" t="s">
        <v>64</v>
      </c>
      <c r="D61" s="56" t="s">
        <v>73</v>
      </c>
      <c r="E61" s="57">
        <v>114.79</v>
      </c>
      <c r="F61" s="82">
        <v>8</v>
      </c>
      <c r="G61" s="57">
        <f t="shared" si="36"/>
        <v>918.32</v>
      </c>
      <c r="H61" s="59">
        <f t="shared" si="35"/>
        <v>8.3483636363636371E-2</v>
      </c>
    </row>
    <row r="62" spans="2:19" x14ac:dyDescent="0.35">
      <c r="B62" s="56"/>
      <c r="C62" s="60" t="s">
        <v>78</v>
      </c>
      <c r="D62" s="61" t="s">
        <v>73</v>
      </c>
      <c r="E62" s="62">
        <v>16.16</v>
      </c>
      <c r="F62" s="84">
        <v>170</v>
      </c>
      <c r="G62" s="62">
        <f t="shared" si="36"/>
        <v>2747.2</v>
      </c>
      <c r="H62" s="64">
        <f t="shared" si="35"/>
        <v>0.24974545454545452</v>
      </c>
    </row>
    <row r="63" spans="2:19" x14ac:dyDescent="0.35">
      <c r="B63" s="56"/>
      <c r="C63" s="89" t="s">
        <v>65</v>
      </c>
      <c r="D63" s="90"/>
      <c r="E63" s="91"/>
      <c r="F63" s="92"/>
      <c r="G63" s="46">
        <f>SUM(G64:G65)</f>
        <v>6861.58</v>
      </c>
      <c r="H63" s="47">
        <f t="shared" si="35"/>
        <v>0.62378</v>
      </c>
    </row>
    <row r="64" spans="2:19" x14ac:dyDescent="0.35">
      <c r="B64" s="56"/>
      <c r="C64" s="49" t="s">
        <v>66</v>
      </c>
      <c r="D64" s="50" t="s">
        <v>73</v>
      </c>
      <c r="E64" s="51">
        <v>22.73</v>
      </c>
      <c r="F64" s="50">
        <v>30</v>
      </c>
      <c r="G64" s="52">
        <f t="shared" ref="G64:G65" si="37">E64*F64</f>
        <v>681.9</v>
      </c>
      <c r="H64" s="53">
        <f t="shared" si="35"/>
        <v>6.199090909090909E-2</v>
      </c>
    </row>
    <row r="65" spans="1:13" ht="29" x14ac:dyDescent="0.35">
      <c r="B65" s="56"/>
      <c r="C65" s="60" t="s">
        <v>67</v>
      </c>
      <c r="D65" s="61" t="s">
        <v>73</v>
      </c>
      <c r="E65" s="62">
        <v>29.71</v>
      </c>
      <c r="F65" s="61">
        <v>208</v>
      </c>
      <c r="G65" s="63">
        <f t="shared" si="37"/>
        <v>6179.68</v>
      </c>
      <c r="H65" s="64">
        <f t="shared" si="35"/>
        <v>0.5617890909090909</v>
      </c>
    </row>
    <row r="66" spans="1:13" x14ac:dyDescent="0.35">
      <c r="B66" s="56"/>
      <c r="C66" s="85" t="s">
        <v>39</v>
      </c>
      <c r="D66" s="86"/>
      <c r="E66" s="87"/>
      <c r="F66" s="88"/>
      <c r="G66" s="93">
        <f>SUM(G67:G68)</f>
        <v>870.1400000000001</v>
      </c>
      <c r="H66" s="94">
        <f t="shared" si="35"/>
        <v>7.9103636363636376E-2</v>
      </c>
    </row>
    <row r="67" spans="1:13" ht="29" x14ac:dyDescent="0.35">
      <c r="B67" s="56"/>
      <c r="C67" s="49" t="s">
        <v>80</v>
      </c>
      <c r="D67" s="50" t="s">
        <v>41</v>
      </c>
      <c r="E67" s="51">
        <v>73.34</v>
      </c>
      <c r="F67" s="50">
        <v>1</v>
      </c>
      <c r="G67" s="52">
        <f>E67*F67</f>
        <v>73.34</v>
      </c>
      <c r="H67" s="53">
        <f t="shared" si="35"/>
        <v>6.6672727272727274E-3</v>
      </c>
    </row>
    <row r="68" spans="1:13" ht="29" x14ac:dyDescent="0.35">
      <c r="B68" s="56"/>
      <c r="C68" s="60" t="s">
        <v>71</v>
      </c>
      <c r="D68" s="61" t="s">
        <v>41</v>
      </c>
      <c r="E68" s="62">
        <v>265.60000000000002</v>
      </c>
      <c r="F68" s="61">
        <v>3</v>
      </c>
      <c r="G68" s="63">
        <f>E68*F68</f>
        <v>796.80000000000007</v>
      </c>
      <c r="H68" s="64">
        <f t="shared" si="35"/>
        <v>7.2436363636363646E-2</v>
      </c>
    </row>
    <row r="69" spans="1:13" x14ac:dyDescent="0.35">
      <c r="B69" s="56"/>
      <c r="C69" s="97" t="s">
        <v>68</v>
      </c>
      <c r="D69" s="74"/>
      <c r="E69" s="98"/>
      <c r="F69" s="99"/>
      <c r="G69" s="95">
        <f>SUM(G70:G71)</f>
        <v>3143.5200000000004</v>
      </c>
      <c r="H69" s="96">
        <f t="shared" si="35"/>
        <v>0.2857745454545455</v>
      </c>
    </row>
    <row r="70" spans="1:13" ht="29" x14ac:dyDescent="0.35">
      <c r="B70" s="56"/>
      <c r="C70" s="49" t="s">
        <v>84</v>
      </c>
      <c r="D70" s="50" t="s">
        <v>72</v>
      </c>
      <c r="E70" s="51">
        <v>22.76</v>
      </c>
      <c r="F70" s="81">
        <v>120</v>
      </c>
      <c r="G70" s="52">
        <f t="shared" ref="G70" si="38">E70*F70</f>
        <v>2731.2000000000003</v>
      </c>
      <c r="H70" s="53">
        <f t="shared" si="35"/>
        <v>0.24829090909090912</v>
      </c>
    </row>
    <row r="71" spans="1:13" ht="29" x14ac:dyDescent="0.35">
      <c r="B71" s="56"/>
      <c r="C71" s="60" t="s">
        <v>83</v>
      </c>
      <c r="D71" s="61" t="s">
        <v>40</v>
      </c>
      <c r="E71" s="62">
        <v>25.77</v>
      </c>
      <c r="F71" s="84">
        <v>16</v>
      </c>
      <c r="G71" s="63">
        <f>E71*F71</f>
        <v>412.32</v>
      </c>
      <c r="H71" s="64">
        <f t="shared" si="35"/>
        <v>3.7483636363636365E-2</v>
      </c>
    </row>
    <row r="72" spans="1:13" x14ac:dyDescent="0.35">
      <c r="B72" s="56"/>
      <c r="C72" s="89" t="s">
        <v>42</v>
      </c>
      <c r="D72" s="90"/>
      <c r="E72" s="91"/>
      <c r="F72" s="92"/>
      <c r="G72" s="46">
        <f>SUM(G57,G63,G66,G69)</f>
        <v>51019.360000000001</v>
      </c>
      <c r="H72" s="47">
        <f t="shared" si="35"/>
        <v>4.6381236363636367</v>
      </c>
    </row>
    <row r="73" spans="1:13" x14ac:dyDescent="0.35">
      <c r="C73" s="75" t="s">
        <v>85</v>
      </c>
      <c r="D73" s="76"/>
      <c r="E73" s="77"/>
      <c r="F73" s="78"/>
      <c r="G73" s="46">
        <f>SUM(G57,G63,G66)</f>
        <v>47875.840000000004</v>
      </c>
      <c r="H73" s="47">
        <f t="shared" si="35"/>
        <v>4.3523490909090912</v>
      </c>
    </row>
    <row r="74" spans="1:13" ht="29" x14ac:dyDescent="0.35">
      <c r="C74" s="75" t="s">
        <v>122</v>
      </c>
      <c r="D74" s="76"/>
      <c r="E74" s="77"/>
      <c r="F74" s="78"/>
      <c r="G74" s="46">
        <f>SUM(G57,G63)</f>
        <v>47005.700000000004</v>
      </c>
      <c r="H74" s="47">
        <f>G74/$B$59</f>
        <v>4.2732454545454548</v>
      </c>
    </row>
    <row r="75" spans="1:13" x14ac:dyDescent="0.35">
      <c r="A75" t="s">
        <v>163</v>
      </c>
      <c r="K75" s="57" t="s">
        <v>119</v>
      </c>
      <c r="L75" s="57" t="s">
        <v>120</v>
      </c>
      <c r="M75" t="s">
        <v>129</v>
      </c>
    </row>
    <row r="76" spans="1:13" x14ac:dyDescent="0.35">
      <c r="B76" s="45" t="s">
        <v>54</v>
      </c>
      <c r="C76" s="73" t="s">
        <v>59</v>
      </c>
      <c r="D76" s="73" t="s">
        <v>31</v>
      </c>
      <c r="E76" s="73" t="s">
        <v>58</v>
      </c>
      <c r="F76" s="73" t="s">
        <v>32</v>
      </c>
      <c r="G76" s="45" t="s">
        <v>42</v>
      </c>
      <c r="H76" s="45" t="s">
        <v>74</v>
      </c>
      <c r="J76" t="s">
        <v>123</v>
      </c>
      <c r="K76">
        <v>1000</v>
      </c>
      <c r="L76">
        <f>K76*0.33333</f>
        <v>333.33000000000004</v>
      </c>
      <c r="M76">
        <f>K76*0.3048</f>
        <v>304.8</v>
      </c>
    </row>
    <row r="77" spans="1:13" x14ac:dyDescent="0.35">
      <c r="B77" s="72" t="s">
        <v>116</v>
      </c>
      <c r="C77" s="85" t="s">
        <v>61</v>
      </c>
      <c r="D77" s="86"/>
      <c r="E77" s="87"/>
      <c r="F77" s="88"/>
      <c r="G77" s="46">
        <f>SUM(G78:G79)</f>
        <v>22199.439999999999</v>
      </c>
      <c r="H77" s="47">
        <f t="shared" ref="H77:H82" si="39">G77/$B$79</f>
        <v>4.9953735373537347</v>
      </c>
      <c r="I77" s="175"/>
      <c r="J77" t="s">
        <v>124</v>
      </c>
      <c r="K77">
        <v>6</v>
      </c>
      <c r="L77">
        <f t="shared" ref="L77:L79" si="40">K77*0.33333</f>
        <v>1.9999800000000001</v>
      </c>
      <c r="M77">
        <f t="shared" ref="M77:M79" si="41">K77*0.3048</f>
        <v>1.8288000000000002</v>
      </c>
    </row>
    <row r="78" spans="1:13" ht="29" x14ac:dyDescent="0.35">
      <c r="B78" s="79" t="s">
        <v>75</v>
      </c>
      <c r="C78" s="49" t="s">
        <v>117</v>
      </c>
      <c r="D78" s="50" t="s">
        <v>40</v>
      </c>
      <c r="E78" s="174">
        <v>4.3</v>
      </c>
      <c r="F78" s="81">
        <v>5036</v>
      </c>
      <c r="G78" s="51">
        <f>E78*F78</f>
        <v>21654.799999999999</v>
      </c>
      <c r="H78" s="53">
        <f t="shared" si="39"/>
        <v>4.8728172817281727</v>
      </c>
      <c r="I78" s="57"/>
      <c r="J78" t="s">
        <v>125</v>
      </c>
      <c r="K78">
        <v>8</v>
      </c>
      <c r="L78">
        <f t="shared" si="40"/>
        <v>2.6666400000000001</v>
      </c>
      <c r="M78">
        <f t="shared" si="41"/>
        <v>2.4384000000000001</v>
      </c>
    </row>
    <row r="79" spans="1:13" ht="29" x14ac:dyDescent="0.35">
      <c r="B79" s="80">
        <v>4444</v>
      </c>
      <c r="C79" s="55" t="s">
        <v>118</v>
      </c>
      <c r="D79" s="56" t="s">
        <v>40</v>
      </c>
      <c r="E79" s="57">
        <v>0.92</v>
      </c>
      <c r="F79" s="82">
        <v>592</v>
      </c>
      <c r="G79" s="57">
        <f t="shared" ref="G79" si="42">E79*F79</f>
        <v>544.64</v>
      </c>
      <c r="H79" s="59">
        <f t="shared" si="39"/>
        <v>0.12255625562556255</v>
      </c>
      <c r="I79" s="57"/>
      <c r="J79" t="s">
        <v>126</v>
      </c>
      <c r="K79">
        <f>K78+2*2*K77</f>
        <v>32</v>
      </c>
      <c r="L79">
        <f t="shared" si="40"/>
        <v>10.66656</v>
      </c>
      <c r="M79">
        <f t="shared" si="41"/>
        <v>9.7536000000000005</v>
      </c>
    </row>
    <row r="80" spans="1:13" x14ac:dyDescent="0.35">
      <c r="B80" s="70"/>
      <c r="C80" s="75" t="s">
        <v>39</v>
      </c>
      <c r="D80" s="76"/>
      <c r="E80" s="77"/>
      <c r="F80" s="78"/>
      <c r="G80" s="46">
        <f>SUM(G81)</f>
        <v>265.60000000000002</v>
      </c>
      <c r="H80" s="47">
        <f t="shared" si="39"/>
        <v>5.9765976597659774E-2</v>
      </c>
      <c r="I80" s="175"/>
      <c r="J80" t="s">
        <v>127</v>
      </c>
      <c r="K80">
        <f>(K79+K78)*K77*K76/2</f>
        <v>120000</v>
      </c>
      <c r="L80">
        <f>(L79+L78)*L77*L76/2</f>
        <v>4444.3111124444413</v>
      </c>
      <c r="M80">
        <f>(M79+M78)*M77*M76/2</f>
        <v>3398.0215910400007</v>
      </c>
    </row>
    <row r="81" spans="2:13" ht="29" x14ac:dyDescent="0.35">
      <c r="B81" s="70"/>
      <c r="C81" s="60" t="s">
        <v>71</v>
      </c>
      <c r="D81" s="61" t="s">
        <v>41</v>
      </c>
      <c r="E81" s="62">
        <v>265.60000000000002</v>
      </c>
      <c r="F81" s="61">
        <v>1</v>
      </c>
      <c r="G81" s="63">
        <f>E81*F81</f>
        <v>265.60000000000002</v>
      </c>
      <c r="H81" s="64">
        <f t="shared" si="39"/>
        <v>5.9765976597659774E-2</v>
      </c>
      <c r="I81" s="57"/>
    </row>
    <row r="82" spans="2:13" x14ac:dyDescent="0.35">
      <c r="B82" s="56"/>
      <c r="C82" s="89" t="s">
        <v>42</v>
      </c>
      <c r="D82" s="90"/>
      <c r="E82" s="91"/>
      <c r="F82" s="92"/>
      <c r="G82" s="46">
        <f>SUM(G77,G80)</f>
        <v>22465.039999999997</v>
      </c>
      <c r="H82" s="47">
        <f t="shared" si="39"/>
        <v>5.0551395139513948</v>
      </c>
      <c r="I82" s="175"/>
      <c r="J82" t="s">
        <v>128</v>
      </c>
      <c r="K82">
        <f>K79*K76*0.5</f>
        <v>16000</v>
      </c>
      <c r="L82">
        <f>L79*L76*0.1665</f>
        <v>591.98816005920014</v>
      </c>
      <c r="M82" s="238" t="s">
        <v>161</v>
      </c>
    </row>
    <row r="83" spans="2:13" x14ac:dyDescent="0.35">
      <c r="L83">
        <f>L80+L82</f>
        <v>5036.2992725036411</v>
      </c>
      <c r="M83" t="s">
        <v>121</v>
      </c>
    </row>
    <row r="86" spans="2:13" x14ac:dyDescent="0.35">
      <c r="B86" s="45" t="s">
        <v>54</v>
      </c>
      <c r="C86" s="73" t="s">
        <v>59</v>
      </c>
      <c r="D86" s="73" t="s">
        <v>31</v>
      </c>
      <c r="E86" s="73" t="s">
        <v>58</v>
      </c>
      <c r="F86" s="73" t="s">
        <v>32</v>
      </c>
      <c r="G86" s="45" t="s">
        <v>42</v>
      </c>
      <c r="H86" s="45" t="s">
        <v>74</v>
      </c>
      <c r="K86" s="57" t="s">
        <v>119</v>
      </c>
      <c r="L86" s="57" t="s">
        <v>120</v>
      </c>
      <c r="M86" t="s">
        <v>129</v>
      </c>
    </row>
    <row r="87" spans="2:13" x14ac:dyDescent="0.35">
      <c r="B87" s="72" t="s">
        <v>116</v>
      </c>
      <c r="C87" s="85" t="s">
        <v>61</v>
      </c>
      <c r="D87" s="86"/>
      <c r="E87" s="87"/>
      <c r="F87" s="88"/>
      <c r="G87" s="46">
        <f>SUM(G88:G89)</f>
        <v>21577.650534761015</v>
      </c>
      <c r="H87" s="47">
        <f t="shared" ref="H87:H92" si="43">G87/$B$89</f>
        <v>4.8450886008476495</v>
      </c>
      <c r="J87" t="s">
        <v>123</v>
      </c>
      <c r="K87">
        <v>227.5</v>
      </c>
      <c r="L87">
        <f>K87*0.33333</f>
        <v>75.832575000000006</v>
      </c>
      <c r="M87">
        <f>K87*0.3048</f>
        <v>69.341999999999999</v>
      </c>
    </row>
    <row r="88" spans="2:13" ht="29" x14ac:dyDescent="0.35">
      <c r="B88" s="79" t="s">
        <v>75</v>
      </c>
      <c r="C88" s="49" t="s">
        <v>117</v>
      </c>
      <c r="D88" s="50" t="s">
        <v>40</v>
      </c>
      <c r="E88" s="174">
        <v>4.3</v>
      </c>
      <c r="F88" s="81">
        <f>4453.5+L93</f>
        <v>4918.5575737090066</v>
      </c>
      <c r="G88" s="51">
        <f>E88*F88</f>
        <v>21149.797566948728</v>
      </c>
      <c r="H88" s="53">
        <f t="shared" si="43"/>
        <v>4.7490176438244722</v>
      </c>
      <c r="J88" t="s">
        <v>124</v>
      </c>
      <c r="K88">
        <v>16.5</v>
      </c>
      <c r="L88">
        <f t="shared" ref="L88:L90" si="44">K88*0.33333</f>
        <v>5.4999450000000003</v>
      </c>
      <c r="M88">
        <f t="shared" ref="M88:M90" si="45">K88*0.3048</f>
        <v>5.0292000000000003</v>
      </c>
    </row>
    <row r="89" spans="2:13" ht="29" x14ac:dyDescent="0.35">
      <c r="B89" s="80">
        <v>4453.51</v>
      </c>
      <c r="C89" s="55" t="s">
        <v>118</v>
      </c>
      <c r="D89" s="56" t="s">
        <v>40</v>
      </c>
      <c r="E89" s="57">
        <v>0.92</v>
      </c>
      <c r="F89" s="82">
        <f>L93</f>
        <v>465.05757370900682</v>
      </c>
      <c r="G89" s="57">
        <f t="shared" ref="G89" si="46">E89*F89</f>
        <v>427.85296781228629</v>
      </c>
      <c r="H89" s="59">
        <f t="shared" si="43"/>
        <v>9.607095702317639E-2</v>
      </c>
      <c r="J89" t="s">
        <v>125</v>
      </c>
      <c r="K89">
        <v>11.5</v>
      </c>
      <c r="L89">
        <f t="shared" si="44"/>
        <v>3.8332950000000001</v>
      </c>
      <c r="M89">
        <f t="shared" si="45"/>
        <v>3.5052000000000003</v>
      </c>
    </row>
    <row r="90" spans="2:13" x14ac:dyDescent="0.35">
      <c r="B90" s="70"/>
      <c r="C90" s="75" t="s">
        <v>39</v>
      </c>
      <c r="D90" s="76"/>
      <c r="E90" s="77"/>
      <c r="F90" s="78"/>
      <c r="G90" s="46">
        <f>SUM(G91)</f>
        <v>265.60000000000002</v>
      </c>
      <c r="H90" s="47">
        <f t="shared" si="43"/>
        <v>5.963835267014108E-2</v>
      </c>
      <c r="J90" t="s">
        <v>126</v>
      </c>
      <c r="K90">
        <f>K89+2*3*K88</f>
        <v>110.5</v>
      </c>
      <c r="L90">
        <f t="shared" si="44"/>
        <v>36.832965000000002</v>
      </c>
      <c r="M90">
        <f t="shared" si="45"/>
        <v>33.680399999999999</v>
      </c>
    </row>
    <row r="91" spans="2:13" ht="29" x14ac:dyDescent="0.35">
      <c r="B91" s="70"/>
      <c r="C91" s="60" t="s">
        <v>71</v>
      </c>
      <c r="D91" s="61" t="s">
        <v>41</v>
      </c>
      <c r="E91" s="62">
        <v>265.60000000000002</v>
      </c>
      <c r="F91" s="61">
        <v>1</v>
      </c>
      <c r="G91" s="63">
        <f>E91*F91</f>
        <v>265.60000000000002</v>
      </c>
      <c r="H91" s="64">
        <f t="shared" si="43"/>
        <v>5.963835267014108E-2</v>
      </c>
      <c r="J91" t="s">
        <v>127</v>
      </c>
      <c r="K91">
        <f>(K90+K89)*K88*K87/2</f>
        <v>228978.75</v>
      </c>
      <c r="L91">
        <f>(L90+L89)*L88*L87/2</f>
        <v>8480.4400261553128</v>
      </c>
      <c r="M91">
        <f>(M90+M89)*M88*M87/2</f>
        <v>6483.9561365779209</v>
      </c>
    </row>
    <row r="92" spans="2:13" x14ac:dyDescent="0.35">
      <c r="B92" s="56"/>
      <c r="C92" s="89" t="s">
        <v>42</v>
      </c>
      <c r="D92" s="90"/>
      <c r="E92" s="91"/>
      <c r="F92" s="92"/>
      <c r="G92" s="46">
        <f>SUM(G87,G90)</f>
        <v>21843.250534761013</v>
      </c>
      <c r="H92" s="47">
        <f t="shared" si="43"/>
        <v>4.9047269535177902</v>
      </c>
    </row>
    <row r="93" spans="2:13" x14ac:dyDescent="0.35">
      <c r="J93" t="s">
        <v>128</v>
      </c>
      <c r="K93">
        <f>K90*K87*0.5</f>
        <v>12569.375</v>
      </c>
      <c r="L93">
        <f>L90*L87*0.1665</f>
        <v>465.05757370900682</v>
      </c>
      <c r="M93">
        <f>M90*M87*0.15</f>
        <v>350.31994451999998</v>
      </c>
    </row>
    <row r="94" spans="2:13" x14ac:dyDescent="0.35">
      <c r="L94">
        <f>L91+L93</f>
        <v>8945.4975998643204</v>
      </c>
      <c r="M94" t="s">
        <v>121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6EA75-D7FC-45AF-8DEB-C99EDB366959}">
  <dimension ref="B7:X167"/>
  <sheetViews>
    <sheetView zoomScale="55" zoomScaleNormal="55" workbookViewId="0">
      <selection activeCell="G31" sqref="G31"/>
    </sheetView>
  </sheetViews>
  <sheetFormatPr defaultRowHeight="14.5" x14ac:dyDescent="0.35"/>
  <cols>
    <col min="3" max="3" width="10.36328125" customWidth="1"/>
    <col min="4" max="4" width="11.36328125" customWidth="1"/>
    <col min="5" max="5" width="13.54296875" customWidth="1"/>
    <col min="6" max="6" width="13.36328125" bestFit="1" customWidth="1"/>
    <col min="7" max="7" width="11.81640625" customWidth="1"/>
    <col min="8" max="8" width="13.7265625" customWidth="1"/>
    <col min="9" max="9" width="13.453125" customWidth="1"/>
    <col min="10" max="10" width="13.90625" customWidth="1"/>
    <col min="11" max="11" width="14.453125" customWidth="1"/>
    <col min="12" max="12" width="15" customWidth="1"/>
    <col min="13" max="13" width="14.36328125" customWidth="1"/>
    <col min="14" max="14" width="14.7265625" customWidth="1"/>
    <col min="15" max="15" width="15.26953125" customWidth="1"/>
    <col min="16" max="16" width="11" customWidth="1"/>
    <col min="18" max="18" width="12.81640625" bestFit="1" customWidth="1"/>
    <col min="19" max="19" width="11.54296875" bestFit="1" customWidth="1"/>
    <col min="22" max="22" width="13.90625" customWidth="1"/>
    <col min="23" max="23" width="12.36328125" bestFit="1" customWidth="1"/>
    <col min="24" max="24" width="13.36328125" bestFit="1" customWidth="1"/>
    <col min="25" max="25" width="12.81640625" customWidth="1"/>
    <col min="26" max="26" width="13" bestFit="1" customWidth="1"/>
    <col min="27" max="27" width="11.1796875" customWidth="1"/>
    <col min="28" max="28" width="13" customWidth="1"/>
    <col min="29" max="29" width="15.6328125" bestFit="1" customWidth="1"/>
    <col min="30" max="30" width="16.08984375" bestFit="1" customWidth="1"/>
    <col min="31" max="32" width="16.6328125" bestFit="1" customWidth="1"/>
    <col min="33" max="33" width="16.26953125" bestFit="1" customWidth="1"/>
    <col min="34" max="34" width="16.81640625" bestFit="1" customWidth="1"/>
    <col min="35" max="35" width="17.453125" bestFit="1" customWidth="1"/>
    <col min="36" max="36" width="10" customWidth="1"/>
    <col min="38" max="38" width="12" bestFit="1" customWidth="1"/>
    <col min="39" max="39" width="11.54296875" bestFit="1" customWidth="1"/>
    <col min="42" max="42" width="15.36328125" customWidth="1"/>
    <col min="43" max="43" width="10.7265625" bestFit="1" customWidth="1"/>
    <col min="44" max="44" width="11.81640625" bestFit="1" customWidth="1"/>
    <col min="45" max="45" width="14" bestFit="1" customWidth="1"/>
    <col min="46" max="46" width="11.90625" bestFit="1" customWidth="1"/>
    <col min="47" max="47" width="12.453125" bestFit="1" customWidth="1"/>
    <col min="48" max="48" width="14.26953125" bestFit="1" customWidth="1"/>
    <col min="49" max="49" width="13.6328125" bestFit="1" customWidth="1"/>
    <col min="50" max="50" width="12.90625" bestFit="1" customWidth="1"/>
    <col min="51" max="51" width="14.6328125" bestFit="1" customWidth="1"/>
    <col min="52" max="52" width="13.7265625" bestFit="1" customWidth="1"/>
    <col min="53" max="53" width="11.81640625" bestFit="1" customWidth="1"/>
    <col min="54" max="55" width="13.1796875" bestFit="1" customWidth="1"/>
    <col min="56" max="56" width="11.81640625" bestFit="1" customWidth="1"/>
    <col min="58" max="58" width="12" bestFit="1" customWidth="1"/>
    <col min="59" max="59" width="11.08984375" bestFit="1" customWidth="1"/>
  </cols>
  <sheetData>
    <row r="7" spans="2:23" x14ac:dyDescent="0.35">
      <c r="M7">
        <v>164</v>
      </c>
    </row>
    <row r="8" spans="2:23" x14ac:dyDescent="0.35">
      <c r="M8">
        <v>157</v>
      </c>
      <c r="N8">
        <f>$M$7-M8</f>
        <v>7</v>
      </c>
      <c r="O8" s="172">
        <f>-N8/$M$7</f>
        <v>-4.2682926829268296E-2</v>
      </c>
    </row>
    <row r="9" spans="2:23" x14ac:dyDescent="0.35">
      <c r="B9" s="132" t="s">
        <v>92</v>
      </c>
      <c r="C9" s="108" t="s">
        <v>96</v>
      </c>
      <c r="D9" s="110" t="s">
        <v>97</v>
      </c>
      <c r="E9" s="132" t="s">
        <v>98</v>
      </c>
      <c r="F9" s="108" t="s">
        <v>99</v>
      </c>
      <c r="G9" s="110" t="s">
        <v>100</v>
      </c>
      <c r="H9" s="111" t="s">
        <v>149</v>
      </c>
      <c r="I9" s="112" t="s">
        <v>150</v>
      </c>
      <c r="J9" s="113" t="s">
        <v>151</v>
      </c>
      <c r="K9" s="112" t="s">
        <v>159</v>
      </c>
      <c r="L9" s="111" t="s">
        <v>152</v>
      </c>
      <c r="M9" s="109" t="s">
        <v>153</v>
      </c>
      <c r="N9" s="110" t="s">
        <v>154</v>
      </c>
      <c r="O9" s="109" t="s">
        <v>158</v>
      </c>
      <c r="P9" s="108" t="s">
        <v>155</v>
      </c>
      <c r="Q9" s="109" t="s">
        <v>156</v>
      </c>
      <c r="R9" s="7" t="s">
        <v>157</v>
      </c>
      <c r="S9" s="138" t="s">
        <v>160</v>
      </c>
      <c r="U9" t="s">
        <v>110</v>
      </c>
    </row>
    <row r="10" spans="2:23" x14ac:dyDescent="0.35">
      <c r="B10" s="216">
        <v>601667</v>
      </c>
      <c r="C10" s="214">
        <v>87258.328370000003</v>
      </c>
      <c r="D10" s="215">
        <v>70945.294229999898</v>
      </c>
      <c r="E10" s="213">
        <v>15050.2837290673</v>
      </c>
      <c r="F10" s="211">
        <v>117709.35572793501</v>
      </c>
      <c r="G10" s="212">
        <v>278.343120394268</v>
      </c>
      <c r="H10" s="208">
        <v>73365.510825428893</v>
      </c>
      <c r="I10" s="209">
        <v>71366.694774476695</v>
      </c>
      <c r="J10" s="209">
        <v>49883.119665313097</v>
      </c>
      <c r="K10" s="210">
        <v>70153.832317578897</v>
      </c>
      <c r="L10" s="208">
        <v>193329.37706405501</v>
      </c>
      <c r="M10" s="209">
        <v>193656.47030669099</v>
      </c>
      <c r="N10" s="210">
        <v>174086.87808596299</v>
      </c>
      <c r="O10" s="209">
        <v>200027.481198742</v>
      </c>
      <c r="P10" s="208">
        <v>12.8455636149017</v>
      </c>
      <c r="Q10" s="209">
        <v>12.867296975449801</v>
      </c>
      <c r="R10" s="226">
        <v>11.567016357953401</v>
      </c>
      <c r="S10" s="210">
        <v>13.290611977794001</v>
      </c>
      <c r="U10" s="11">
        <v>107055.00397439901</v>
      </c>
      <c r="V10" s="173">
        <f>F10-U10</f>
        <v>10654.351753536001</v>
      </c>
    </row>
    <row r="14" spans="2:23" x14ac:dyDescent="0.35">
      <c r="B14" s="1" t="s">
        <v>93</v>
      </c>
      <c r="M14">
        <v>149</v>
      </c>
      <c r="N14">
        <f>$M$7-M14</f>
        <v>15</v>
      </c>
      <c r="O14" s="172">
        <f>-N14/$M$7</f>
        <v>-9.1463414634146339E-2</v>
      </c>
    </row>
    <row r="15" spans="2:23" x14ac:dyDescent="0.35">
      <c r="B15" s="132" t="s">
        <v>92</v>
      </c>
      <c r="C15" s="108" t="s">
        <v>96</v>
      </c>
      <c r="D15" s="110" t="s">
        <v>97</v>
      </c>
      <c r="E15" s="132" t="s">
        <v>98</v>
      </c>
      <c r="F15" s="108" t="s">
        <v>99</v>
      </c>
      <c r="G15" s="110" t="s">
        <v>100</v>
      </c>
      <c r="H15" s="136" t="s">
        <v>149</v>
      </c>
      <c r="I15" s="137" t="s">
        <v>150</v>
      </c>
      <c r="J15" s="137" t="s">
        <v>151</v>
      </c>
      <c r="K15" s="112" t="s">
        <v>159</v>
      </c>
      <c r="L15" s="136" t="s">
        <v>152</v>
      </c>
      <c r="M15" s="138" t="s">
        <v>153</v>
      </c>
      <c r="N15" s="135" t="s">
        <v>154</v>
      </c>
      <c r="O15" s="109" t="s">
        <v>158</v>
      </c>
      <c r="P15" s="150" t="s">
        <v>155</v>
      </c>
      <c r="Q15" s="151" t="s">
        <v>156</v>
      </c>
      <c r="R15" s="151" t="s">
        <v>157</v>
      </c>
      <c r="S15" s="138" t="s">
        <v>160</v>
      </c>
    </row>
    <row r="16" spans="2:23" x14ac:dyDescent="0.35">
      <c r="B16" s="129">
        <v>301067</v>
      </c>
      <c r="C16">
        <v>1201.2356560000001</v>
      </c>
      <c r="D16">
        <v>621.99287170000002</v>
      </c>
      <c r="E16" s="120">
        <v>1361.4009037237299</v>
      </c>
      <c r="F16" s="123">
        <v>1677.7506370742401</v>
      </c>
      <c r="G16" s="124">
        <v>21.0623814157792</v>
      </c>
      <c r="H16" s="14">
        <v>3955.9893615823698</v>
      </c>
      <c r="I16" s="29">
        <v>6424.1698232679801</v>
      </c>
      <c r="J16" s="29">
        <v>4371.1881863240897</v>
      </c>
      <c r="K16" s="15">
        <v>6935.8336535769704</v>
      </c>
      <c r="L16" s="14">
        <v>5822.6769687449196</v>
      </c>
      <c r="M16" s="29">
        <v>8494.5261968110299</v>
      </c>
      <c r="N16" s="29">
        <v>7654.2541982110597</v>
      </c>
      <c r="O16" s="15">
        <v>10218.8996654639</v>
      </c>
      <c r="P16" s="14">
        <v>4.2769745141336299</v>
      </c>
      <c r="Q16" s="29">
        <v>6.2395479344670504</v>
      </c>
      <c r="R16" s="29">
        <v>5.6223366513676796</v>
      </c>
      <c r="S16" s="15">
        <v>7.5061648905278</v>
      </c>
      <c r="W16">
        <v>1225.0050971759899</v>
      </c>
    </row>
    <row r="17" spans="2:24" x14ac:dyDescent="0.35">
      <c r="B17" s="130">
        <v>401263</v>
      </c>
      <c r="C17">
        <v>4378.9293770000004</v>
      </c>
      <c r="D17">
        <v>1995.056822</v>
      </c>
      <c r="E17" s="121">
        <v>3485.5275223784402</v>
      </c>
      <c r="F17" s="125">
        <v>25558.328995218799</v>
      </c>
      <c r="G17" s="126">
        <v>53.315108622054296</v>
      </c>
      <c r="H17" s="16">
        <v>12400.5462125166</v>
      </c>
      <c r="I17" s="9">
        <v>16320.190752520701</v>
      </c>
      <c r="J17" s="9">
        <v>10553.543674983301</v>
      </c>
      <c r="K17" s="17">
        <v>16745.475203848098</v>
      </c>
      <c r="L17" s="16">
        <v>38387.574926949703</v>
      </c>
      <c r="M17" s="9">
        <v>42801.427540108198</v>
      </c>
      <c r="N17" s="9">
        <v>39274.886395951296</v>
      </c>
      <c r="O17" s="17">
        <v>45466.817924816103</v>
      </c>
      <c r="P17" s="16">
        <v>11.013418967569899</v>
      </c>
      <c r="Q17" s="9">
        <v>12.2797560097593</v>
      </c>
      <c r="R17" s="9">
        <v>11.267989176327299</v>
      </c>
      <c r="S17" s="17">
        <v>13.0444581581701</v>
      </c>
      <c r="W17">
        <v>30939.909449700001</v>
      </c>
    </row>
    <row r="18" spans="2:24" x14ac:dyDescent="0.35">
      <c r="B18" s="130">
        <v>401301</v>
      </c>
      <c r="C18">
        <v>22363.870129999901</v>
      </c>
      <c r="D18">
        <v>11000.562959999899</v>
      </c>
      <c r="E18" s="121">
        <v>5167.8754329094199</v>
      </c>
      <c r="F18" s="125">
        <v>19362.859398082401</v>
      </c>
      <c r="G18" s="126">
        <v>79.744438570770399</v>
      </c>
      <c r="H18" s="16">
        <v>20012.899090957901</v>
      </c>
      <c r="I18" s="9">
        <v>24349.316121176998</v>
      </c>
      <c r="J18" s="9">
        <v>15450.0845625001</v>
      </c>
      <c r="K18" s="17">
        <v>24514.894324262201</v>
      </c>
      <c r="L18" s="16">
        <v>40062.432500829098</v>
      </c>
      <c r="M18" s="9">
        <v>45164.097782346696</v>
      </c>
      <c r="N18" s="9">
        <v>39277.761563474298</v>
      </c>
      <c r="O18" s="17">
        <v>48342.5713252364</v>
      </c>
      <c r="P18" s="16">
        <v>7.7522055283508804</v>
      </c>
      <c r="Q18" s="9">
        <v>8.7393936577376401</v>
      </c>
      <c r="R18" s="9">
        <v>7.6003692568421002</v>
      </c>
      <c r="S18" s="17">
        <v>9.3544381927991598</v>
      </c>
      <c r="W18">
        <v>20369.65802436</v>
      </c>
    </row>
    <row r="19" spans="2:24" x14ac:dyDescent="0.35">
      <c r="B19" s="130">
        <v>401440</v>
      </c>
      <c r="C19">
        <v>22760.815770000001</v>
      </c>
      <c r="D19">
        <v>15196.21277</v>
      </c>
      <c r="E19" s="121">
        <v>8888.6120721131301</v>
      </c>
      <c r="F19" s="125">
        <v>25546.011245477301</v>
      </c>
      <c r="G19" s="126">
        <v>137.79448004442301</v>
      </c>
      <c r="H19" s="16">
        <v>38684.749575201</v>
      </c>
      <c r="I19" s="9">
        <v>41954.844401029099</v>
      </c>
      <c r="J19" s="9">
        <v>26279.437380368101</v>
      </c>
      <c r="K19" s="17">
        <v>41698.0002714328</v>
      </c>
      <c r="L19" s="16">
        <v>65420.993004389697</v>
      </c>
      <c r="M19" s="9">
        <v>70023.266761909093</v>
      </c>
      <c r="N19" s="9">
        <v>59102.3926558202</v>
      </c>
      <c r="O19" s="17">
        <v>74520.955546884899</v>
      </c>
      <c r="P19" s="16">
        <v>7.3600909201156002</v>
      </c>
      <c r="Q19" s="9">
        <v>7.8778628422313597</v>
      </c>
      <c r="R19" s="9">
        <v>6.6492262432338904</v>
      </c>
      <c r="S19" s="17">
        <v>8.3838685885150497</v>
      </c>
      <c r="W19">
        <v>30924.998065559899</v>
      </c>
    </row>
    <row r="20" spans="2:24" x14ac:dyDescent="0.35">
      <c r="B20" s="130">
        <v>501497</v>
      </c>
      <c r="C20">
        <v>21018.85194</v>
      </c>
      <c r="D20">
        <v>9639.3329049999902</v>
      </c>
      <c r="E20" s="121">
        <v>3935.1854576585001</v>
      </c>
      <c r="F20" s="125">
        <v>59043.380763009802</v>
      </c>
      <c r="G20" s="126">
        <v>59.529794384727502</v>
      </c>
      <c r="H20" s="16">
        <v>14370.871312786299</v>
      </c>
      <c r="I20" s="9">
        <v>18312.413531156599</v>
      </c>
      <c r="J20" s="9">
        <v>11862.291081933299</v>
      </c>
      <c r="K20" s="17">
        <v>18822.085480558399</v>
      </c>
      <c r="L20" s="16">
        <v>73854.117913348702</v>
      </c>
      <c r="M20" s="9">
        <v>78329.405393636</v>
      </c>
      <c r="N20" s="9">
        <v>74358.846451554506</v>
      </c>
      <c r="O20" s="17">
        <v>81318.640850179596</v>
      </c>
      <c r="P20" s="16">
        <v>18.7676333702689</v>
      </c>
      <c r="Q20" s="9">
        <v>19.904882815927799</v>
      </c>
      <c r="R20" s="9">
        <v>18.8958937899204</v>
      </c>
      <c r="S20" s="17">
        <v>20.6645002440534</v>
      </c>
      <c r="W20">
        <v>46540.808660639901</v>
      </c>
    </row>
    <row r="21" spans="2:24" x14ac:dyDescent="0.35">
      <c r="B21" s="130">
        <v>501504</v>
      </c>
      <c r="C21">
        <v>16095.098889999899</v>
      </c>
      <c r="D21">
        <v>6439.0787369999898</v>
      </c>
      <c r="E21" s="121">
        <v>4320.1058086069197</v>
      </c>
      <c r="F21" s="125">
        <v>40460.498696886498</v>
      </c>
      <c r="G21" s="126">
        <v>65.905928722572199</v>
      </c>
      <c r="H21" s="18">
        <v>16096.7504723641</v>
      </c>
      <c r="I21" s="30">
        <v>20205.432785499299</v>
      </c>
      <c r="J21" s="30">
        <v>12982.617160182799</v>
      </c>
      <c r="K21" s="19">
        <v>20599.724645308499</v>
      </c>
      <c r="L21" s="18">
        <v>57075.064670383399</v>
      </c>
      <c r="M21" s="30">
        <v>61791.478816642099</v>
      </c>
      <c r="N21" s="30">
        <v>57213.067808210297</v>
      </c>
      <c r="O21" s="19">
        <v>64830.175293335997</v>
      </c>
      <c r="P21" s="16">
        <v>13.211496939883499</v>
      </c>
      <c r="Q21" s="9">
        <v>14.303232734146199</v>
      </c>
      <c r="R21" s="9">
        <v>13.2434413282714</v>
      </c>
      <c r="S21" s="17">
        <v>15.006617468529299</v>
      </c>
      <c r="W21">
        <v>36838.176267720002</v>
      </c>
    </row>
    <row r="22" spans="2:24" x14ac:dyDescent="0.35">
      <c r="B22" s="37" t="s">
        <v>109</v>
      </c>
      <c r="C22" s="139">
        <f t="shared" ref="C22:O22" si="0">SUM(C16:C21)</f>
        <v>87818.801762999821</v>
      </c>
      <c r="D22" s="140">
        <f t="shared" si="0"/>
        <v>44892.237065699876</v>
      </c>
      <c r="E22" s="141">
        <f t="shared" si="0"/>
        <v>27158.70719739014</v>
      </c>
      <c r="F22" s="22">
        <f t="shared" si="0"/>
        <v>171648.82973574902</v>
      </c>
      <c r="G22" s="21">
        <f t="shared" si="0"/>
        <v>417.35213176032659</v>
      </c>
      <c r="H22" s="22">
        <f t="shared" si="0"/>
        <v>105521.80602540827</v>
      </c>
      <c r="I22" s="223">
        <f t="shared" si="0"/>
        <v>127566.36741465067</v>
      </c>
      <c r="J22" s="223">
        <f t="shared" si="0"/>
        <v>81499.162046291691</v>
      </c>
      <c r="K22" s="21">
        <f t="shared" si="0"/>
        <v>129316.01357898697</v>
      </c>
      <c r="L22" s="22">
        <f t="shared" si="0"/>
        <v>280622.8599846455</v>
      </c>
      <c r="M22" s="223">
        <f t="shared" si="0"/>
        <v>306604.20249145309</v>
      </c>
      <c r="N22" s="223">
        <f t="shared" si="0"/>
        <v>276881.20907322166</v>
      </c>
      <c r="O22" s="223">
        <f t="shared" si="0"/>
        <v>324698.06060591689</v>
      </c>
      <c r="P22" s="22">
        <f>Table24[[#This Row],[USDA_pow_t]]/Table24[[#This Row],[damVol_yds]]</f>
        <v>10.332703171217679</v>
      </c>
      <c r="Q22" s="223">
        <f>Table24[[#This Row],[dikeUSDA_t]]/Table24[[#This Row],[damVol_yds]]</f>
        <v>11.289351892306447</v>
      </c>
      <c r="R22" s="223">
        <f>Table24[[#This Row],[cc_total]]/Table24[[#This Row],[damVol_yds]]</f>
        <v>10.194933325096896</v>
      </c>
      <c r="S22" s="21">
        <f>Table24[[#This Row],[cc_total]]/Table24[[#This Row],[damVol_yds]]</f>
        <v>10.194933325096896</v>
      </c>
      <c r="W22" s="146">
        <f>SUM(W16:W21)</f>
        <v>166838.55556515581</v>
      </c>
      <c r="X22" s="173">
        <f>F22-W22</f>
        <v>4810.2741705932131</v>
      </c>
    </row>
    <row r="23" spans="2:24" x14ac:dyDescent="0.35">
      <c r="B23" s="130"/>
      <c r="C23" s="116"/>
      <c r="D23" s="117"/>
      <c r="E23" s="121"/>
      <c r="F23" s="221"/>
      <c r="G23" s="222"/>
      <c r="H23" s="17" cm="1">
        <f t="array" ref="H23">H22-Table8[ef_USDA_po]</f>
        <v>32156.295199979373</v>
      </c>
      <c r="I23" s="17" cm="1">
        <f t="array" ref="I23">I22-Table8[ef_dikeUSD]</f>
        <v>56199.672640173972</v>
      </c>
      <c r="J23" s="17" cm="1">
        <f t="array" ref="J23">J22-Table8[ef_CC_cost]</f>
        <v>31616.042380978593</v>
      </c>
      <c r="K23" s="17"/>
      <c r="L23" s="17" cm="1">
        <f t="array" ref="L23">L22-Table8[USDA_pow_t]</f>
        <v>87293.482920590497</v>
      </c>
      <c r="M23" s="17" cm="1">
        <f t="array" ref="M23">M22-Table8[dikeUSDA_t]</f>
        <v>112947.73218476211</v>
      </c>
      <c r="N23" s="17" cm="1">
        <f t="array" ref="N23">N22-Table8[cc_total]</f>
        <v>102794.33098725867</v>
      </c>
      <c r="O23" s="17"/>
      <c r="P23" s="9"/>
      <c r="Q23" s="17"/>
      <c r="S23" s="3"/>
    </row>
    <row r="26" spans="2:24" x14ac:dyDescent="0.35">
      <c r="B26" s="1" t="s">
        <v>108</v>
      </c>
      <c r="M26">
        <v>160</v>
      </c>
      <c r="N26">
        <f>$M$7-M26</f>
        <v>4</v>
      </c>
      <c r="O26" s="172">
        <f>-N26/$M$7</f>
        <v>-2.4390243902439025E-2</v>
      </c>
    </row>
    <row r="27" spans="2:24" x14ac:dyDescent="0.35">
      <c r="B27" s="132" t="s">
        <v>92</v>
      </c>
      <c r="C27" s="108" t="s">
        <v>96</v>
      </c>
      <c r="D27" s="110" t="s">
        <v>97</v>
      </c>
      <c r="E27" s="132" t="s">
        <v>98</v>
      </c>
      <c r="F27" s="108" t="s">
        <v>99</v>
      </c>
      <c r="G27" s="110" t="s">
        <v>100</v>
      </c>
      <c r="H27" s="136" t="s">
        <v>149</v>
      </c>
      <c r="I27" s="137" t="s">
        <v>150</v>
      </c>
      <c r="J27" s="137" t="s">
        <v>151</v>
      </c>
      <c r="K27" s="112" t="s">
        <v>159</v>
      </c>
      <c r="L27" s="136" t="s">
        <v>152</v>
      </c>
      <c r="M27" s="138" t="s">
        <v>153</v>
      </c>
      <c r="N27" s="135" t="s">
        <v>154</v>
      </c>
      <c r="O27" s="109" t="s">
        <v>158</v>
      </c>
      <c r="P27" s="138" t="s">
        <v>155</v>
      </c>
      <c r="Q27" s="138" t="s">
        <v>156</v>
      </c>
      <c r="R27" s="135" t="s">
        <v>157</v>
      </c>
      <c r="S27" s="138" t="s">
        <v>160</v>
      </c>
      <c r="U27" t="s">
        <v>110</v>
      </c>
    </row>
    <row r="28" spans="2:24" x14ac:dyDescent="0.35">
      <c r="B28" s="129">
        <v>200444</v>
      </c>
      <c r="C28" s="114">
        <v>7221.3327570000001</v>
      </c>
      <c r="D28" s="115">
        <v>4412.5433540000004</v>
      </c>
      <c r="E28" s="120">
        <v>4450.0154887348299</v>
      </c>
      <c r="F28" s="123">
        <v>1677.59506798284</v>
      </c>
      <c r="G28" s="124">
        <v>69.523389979483099</v>
      </c>
      <c r="H28" s="14">
        <v>16686.899319170199</v>
      </c>
      <c r="I28" s="29">
        <v>21125.5098570952</v>
      </c>
      <c r="J28" s="29">
        <v>13360.724480582199</v>
      </c>
      <c r="K28" s="15">
        <v>21199.673530075201</v>
      </c>
      <c r="L28" s="14">
        <v>19020.141096355201</v>
      </c>
      <c r="M28" s="29">
        <v>24151.614841532901</v>
      </c>
      <c r="N28" s="29">
        <v>19026.706467907701</v>
      </c>
      <c r="O28" s="15">
        <v>26865.655517400599</v>
      </c>
      <c r="P28" s="14">
        <v>4.2741741336641503</v>
      </c>
      <c r="Q28" s="29">
        <v>5.4273102874973</v>
      </c>
      <c r="R28" s="29">
        <v>4.2756494929227999</v>
      </c>
      <c r="S28" s="15">
        <v>6.03720494578294</v>
      </c>
      <c r="U28" s="11">
        <v>1224.8915088240001</v>
      </c>
    </row>
    <row r="29" spans="2:24" x14ac:dyDescent="0.35">
      <c r="B29" s="130">
        <v>200604</v>
      </c>
      <c r="C29" s="116">
        <v>5937.97699499999</v>
      </c>
      <c r="D29" s="117">
        <v>4001.5181899999902</v>
      </c>
      <c r="E29" s="121">
        <v>4794.8945339494603</v>
      </c>
      <c r="F29" s="125">
        <v>1476.59860732519</v>
      </c>
      <c r="G29" s="126">
        <v>86.428240002351501</v>
      </c>
      <c r="H29" s="16">
        <v>18271.435861280301</v>
      </c>
      <c r="I29" s="9">
        <v>23081.892235901501</v>
      </c>
      <c r="J29" s="9">
        <v>14364.508736841201</v>
      </c>
      <c r="K29" s="17">
        <v>22792.393936685399</v>
      </c>
      <c r="L29" s="16">
        <v>20658.7477126054</v>
      </c>
      <c r="M29" s="9">
        <v>26284.0461501299</v>
      </c>
      <c r="N29" s="9">
        <v>20298.5444507006</v>
      </c>
      <c r="O29" s="17">
        <v>28726.429650544698</v>
      </c>
      <c r="P29" s="16">
        <v>4.3084884487728701</v>
      </c>
      <c r="Q29" s="9">
        <v>5.4816734683171999</v>
      </c>
      <c r="R29" s="9">
        <v>4.23336619960671</v>
      </c>
      <c r="S29" s="17">
        <v>5.9910451517029202</v>
      </c>
      <c r="U29" s="11">
        <v>1078.1344858319901</v>
      </c>
    </row>
    <row r="30" spans="2:24" x14ac:dyDescent="0.35">
      <c r="B30" s="130">
        <v>200646</v>
      </c>
      <c r="C30" s="116">
        <v>8403.8674329999903</v>
      </c>
      <c r="D30" s="117">
        <v>8044.5171339999897</v>
      </c>
      <c r="E30" s="121">
        <v>4389.1571483954904</v>
      </c>
      <c r="F30" s="125">
        <v>1488.4237788048699</v>
      </c>
      <c r="G30" s="126">
        <v>78.382518291493795</v>
      </c>
      <c r="H30" s="16">
        <v>16409.9657691826</v>
      </c>
      <c r="I30" s="9">
        <v>21105.4158256423</v>
      </c>
      <c r="J30" s="9">
        <v>13183.593846690999</v>
      </c>
      <c r="K30" s="17">
        <v>20918.61754272</v>
      </c>
      <c r="L30" s="16">
        <v>18717.573357502999</v>
      </c>
      <c r="M30" s="9">
        <v>24153.9256057823</v>
      </c>
      <c r="N30" s="9">
        <v>18786.1814793048</v>
      </c>
      <c r="O30" s="17">
        <v>26521.2051753339</v>
      </c>
      <c r="P30" s="16">
        <v>4.2645028930771902</v>
      </c>
      <c r="Q30" s="9">
        <v>5.5030897252362303</v>
      </c>
      <c r="R30" s="9">
        <v>4.2801341679398304</v>
      </c>
      <c r="S30" s="17">
        <v>6.04243691411894</v>
      </c>
      <c r="U30" s="11">
        <v>1086.7686028559999</v>
      </c>
    </row>
    <row r="31" spans="2:24" x14ac:dyDescent="0.35">
      <c r="B31" s="130">
        <v>200691</v>
      </c>
      <c r="C31" s="116">
        <v>11089.49941</v>
      </c>
      <c r="D31" s="117">
        <v>7870.4652589999896</v>
      </c>
      <c r="E31" s="121">
        <v>3351.7594428818002</v>
      </c>
      <c r="F31" s="125">
        <v>1652.0481616853201</v>
      </c>
      <c r="G31" s="126">
        <v>53.1931901728979</v>
      </c>
      <c r="H31" s="16">
        <v>11824.586744881601</v>
      </c>
      <c r="I31" s="9">
        <v>15923.229000844</v>
      </c>
      <c r="J31" s="9">
        <v>10164.2063288852</v>
      </c>
      <c r="K31" s="17">
        <v>16127.7074591167</v>
      </c>
      <c r="L31" s="16">
        <v>13981.5502007298</v>
      </c>
      <c r="M31" s="9">
        <v>18604.5097266921</v>
      </c>
      <c r="N31" s="9">
        <v>14972.486048663801</v>
      </c>
      <c r="O31" s="17">
        <v>20935.987178895299</v>
      </c>
      <c r="P31" s="16">
        <v>4.1714062238036602</v>
      </c>
      <c r="Q31" s="9">
        <v>5.5506697433799701</v>
      </c>
      <c r="R31" s="9">
        <v>4.4670526939101203</v>
      </c>
      <c r="S31" s="17">
        <v>6.2462678290822904</v>
      </c>
      <c r="U31" s="11">
        <v>1206.2385041760001</v>
      </c>
    </row>
    <row r="32" spans="2:24" x14ac:dyDescent="0.35">
      <c r="B32" s="130">
        <v>200694</v>
      </c>
      <c r="C32" s="116">
        <v>11932.159110000001</v>
      </c>
      <c r="D32" s="117">
        <v>4979.0038729999897</v>
      </c>
      <c r="E32" s="121">
        <v>5098.3399996912804</v>
      </c>
      <c r="F32" s="125">
        <v>1535.67682769472</v>
      </c>
      <c r="G32" s="126">
        <v>87.952903276220795</v>
      </c>
      <c r="H32" s="16">
        <v>19686.118778129701</v>
      </c>
      <c r="I32" s="9">
        <v>24438.2397796513</v>
      </c>
      <c r="J32" s="9">
        <v>15247.698902701401</v>
      </c>
      <c r="K32" s="17">
        <v>24193.7657865742</v>
      </c>
      <c r="L32" s="16">
        <v>22118.8997960919</v>
      </c>
      <c r="M32" s="9">
        <v>27715.095048408999</v>
      </c>
      <c r="N32" s="9">
        <v>21415.479556872098</v>
      </c>
      <c r="O32" s="17">
        <v>30361.5464407449</v>
      </c>
      <c r="P32" s="16">
        <v>4.3384512993310196</v>
      </c>
      <c r="Q32" s="9">
        <v>5.4361017605901703</v>
      </c>
      <c r="R32" s="9">
        <v>4.2004808541934899</v>
      </c>
      <c r="S32" s="17">
        <v>5.9551827541088604</v>
      </c>
      <c r="U32" s="11">
        <v>1121.2702889039899</v>
      </c>
    </row>
    <row r="33" spans="2:22" x14ac:dyDescent="0.35">
      <c r="B33" s="130">
        <v>200781</v>
      </c>
      <c r="C33" s="116">
        <v>4113.4149820000002</v>
      </c>
      <c r="D33" s="117">
        <v>2424.1239580000001</v>
      </c>
      <c r="E33" s="121">
        <v>1965.6098145266601</v>
      </c>
      <c r="F33" s="125">
        <v>1032.4358272238801</v>
      </c>
      <c r="G33" s="126">
        <v>50.785384698315703</v>
      </c>
      <c r="H33" s="16">
        <v>6181.7177307557204</v>
      </c>
      <c r="I33" s="9">
        <v>9892.5055083597708</v>
      </c>
      <c r="J33" s="9">
        <v>6129.76238957242</v>
      </c>
      <c r="K33" s="17">
        <v>9726.1912454470203</v>
      </c>
      <c r="L33" s="16">
        <v>7954.1327275804497</v>
      </c>
      <c r="M33" s="9">
        <v>12091.0321269452</v>
      </c>
      <c r="N33" s="9">
        <v>9693.4432519183592</v>
      </c>
      <c r="O33" s="17">
        <v>13289.8721077929</v>
      </c>
      <c r="P33" s="16">
        <v>4.0466488663193196</v>
      </c>
      <c r="Q33" s="9">
        <v>6.1512880316264198</v>
      </c>
      <c r="R33" s="9">
        <v>4.9315195621632704</v>
      </c>
      <c r="S33" s="17">
        <v>6.7611954364367497</v>
      </c>
      <c r="U33" s="11">
        <v>753.83023132799894</v>
      </c>
    </row>
    <row r="34" spans="2:22" x14ac:dyDescent="0.35">
      <c r="B34" s="130">
        <v>300980</v>
      </c>
      <c r="C34" s="116">
        <v>40972.260300000002</v>
      </c>
      <c r="D34" s="117">
        <v>17021.76641</v>
      </c>
      <c r="E34" s="121">
        <v>8916.4329085543905</v>
      </c>
      <c r="F34" s="125">
        <v>3645.5906369926802</v>
      </c>
      <c r="G34" s="126">
        <v>138.512577436595</v>
      </c>
      <c r="H34" s="16">
        <v>38831.948861503202</v>
      </c>
      <c r="I34" s="9">
        <v>42288.745548048697</v>
      </c>
      <c r="J34" s="9">
        <v>26360.4110376639</v>
      </c>
      <c r="K34" s="17">
        <v>41826.482458285798</v>
      </c>
      <c r="L34" s="16">
        <v>43756.295333470502</v>
      </c>
      <c r="M34" s="9">
        <v>48592.784347544002</v>
      </c>
      <c r="N34" s="9">
        <v>37388.731072072798</v>
      </c>
      <c r="O34" s="17">
        <v>52854.802492694798</v>
      </c>
      <c r="P34" s="16">
        <v>4.9073767258979597</v>
      </c>
      <c r="Q34" s="9">
        <v>5.4498009289033398</v>
      </c>
      <c r="R34" s="9">
        <v>4.1932386477334704</v>
      </c>
      <c r="S34" s="17">
        <v>5.9277968033591204</v>
      </c>
      <c r="U34" s="11">
        <v>2636.5547291439898</v>
      </c>
    </row>
    <row r="35" spans="2:22" x14ac:dyDescent="0.35">
      <c r="B35" s="130">
        <v>301065</v>
      </c>
      <c r="C35" s="116">
        <v>10464.5204499999</v>
      </c>
      <c r="D35" s="117">
        <v>6713.30030299999</v>
      </c>
      <c r="E35" s="121">
        <v>3969.15388741488</v>
      </c>
      <c r="F35" s="125">
        <v>4502.7676286140504</v>
      </c>
      <c r="G35" s="126">
        <v>87.556569554619102</v>
      </c>
      <c r="H35" s="16">
        <v>14521.767870031699</v>
      </c>
      <c r="I35" s="9">
        <v>19528.032051556402</v>
      </c>
      <c r="J35" s="9">
        <v>11961.1575554765</v>
      </c>
      <c r="K35" s="17">
        <v>18978.958482859402</v>
      </c>
      <c r="L35" s="16">
        <v>20115.053507718902</v>
      </c>
      <c r="M35" s="9">
        <v>25885.935924539299</v>
      </c>
      <c r="N35" s="9">
        <v>20588.828014149101</v>
      </c>
      <c r="O35" s="17">
        <v>27606.628941531999</v>
      </c>
      <c r="P35" s="16">
        <v>5.06784420011991</v>
      </c>
      <c r="Q35" s="9">
        <v>6.5217768468530899</v>
      </c>
      <c r="R35" s="9">
        <v>5.1872083063926304</v>
      </c>
      <c r="S35" s="17">
        <v>6.9552931744634998</v>
      </c>
      <c r="U35" s="11">
        <v>4793.3388535499898</v>
      </c>
    </row>
    <row r="36" spans="2:22" x14ac:dyDescent="0.35">
      <c r="B36" s="130">
        <v>301074</v>
      </c>
      <c r="C36" s="116">
        <v>8139.0747570000003</v>
      </c>
      <c r="D36" s="117">
        <v>5209.1639750000004</v>
      </c>
      <c r="E36" s="121">
        <v>6251.7290214322002</v>
      </c>
      <c r="F36" s="125">
        <v>3627.4291744245602</v>
      </c>
      <c r="G36" s="126">
        <v>97.522611303258799</v>
      </c>
      <c r="H36" s="16">
        <v>25223.239520551</v>
      </c>
      <c r="I36" s="9">
        <v>29640.434252785799</v>
      </c>
      <c r="J36" s="9">
        <v>18604.683786039201</v>
      </c>
      <c r="K36" s="17">
        <v>29520.346966778099</v>
      </c>
      <c r="L36" s="16">
        <v>29748.715127196301</v>
      </c>
      <c r="M36" s="9">
        <v>35131.097206246603</v>
      </c>
      <c r="N36" s="9">
        <v>27580.790781322299</v>
      </c>
      <c r="O36" s="17">
        <v>38496.453962061198</v>
      </c>
      <c r="P36" s="16">
        <v>4.7584780186747802</v>
      </c>
      <c r="Q36" s="9">
        <v>5.6194209771104999</v>
      </c>
      <c r="R36" s="9">
        <v>4.4117060555199599</v>
      </c>
      <c r="S36" s="17">
        <v>6.1577291386250996</v>
      </c>
      <c r="U36" s="11">
        <v>2623.4200426719899</v>
      </c>
    </row>
    <row r="37" spans="2:22" x14ac:dyDescent="0.35">
      <c r="B37" s="130">
        <v>301141</v>
      </c>
      <c r="C37" s="116">
        <v>31343.246520000001</v>
      </c>
      <c r="D37" s="117">
        <v>18419.84633</v>
      </c>
      <c r="E37" s="121">
        <v>6334.6279916898202</v>
      </c>
      <c r="F37" s="125">
        <v>14280.933293227799</v>
      </c>
      <c r="G37" s="126">
        <v>97.918066073881803</v>
      </c>
      <c r="H37" s="16">
        <v>25630.292288682998</v>
      </c>
      <c r="I37" s="9">
        <v>29911.416582353901</v>
      </c>
      <c r="J37" s="9">
        <v>18845.964554932802</v>
      </c>
      <c r="K37" s="17">
        <v>29903.190991221902</v>
      </c>
      <c r="L37" s="16">
        <v>40770.955250754298</v>
      </c>
      <c r="M37" s="9">
        <v>46003.951391517403</v>
      </c>
      <c r="N37" s="9">
        <v>38488.694400728004</v>
      </c>
      <c r="O37" s="17">
        <v>49545.920837017002</v>
      </c>
      <c r="P37" s="16">
        <v>6.4362035630569503</v>
      </c>
      <c r="Q37" s="9">
        <v>7.2622972417430702</v>
      </c>
      <c r="R37" s="9">
        <v>6.07592023576127</v>
      </c>
      <c r="S37" s="17">
        <v>7.8214412751647897</v>
      </c>
      <c r="U37" s="11">
        <v>13356.4390211999</v>
      </c>
    </row>
    <row r="38" spans="2:22" x14ac:dyDescent="0.35">
      <c r="B38" s="130">
        <v>301162</v>
      </c>
      <c r="C38" s="116">
        <v>2813.8898869999898</v>
      </c>
      <c r="D38" s="117">
        <v>1929.526515</v>
      </c>
      <c r="E38" s="121">
        <v>4781.3118527570696</v>
      </c>
      <c r="F38" s="125">
        <v>1682.4663893526699</v>
      </c>
      <c r="G38" s="126">
        <v>74.481125898231397</v>
      </c>
      <c r="H38" s="16">
        <v>18208.5533221599</v>
      </c>
      <c r="I38" s="9">
        <v>22695.755769088901</v>
      </c>
      <c r="J38" s="9">
        <v>14324.975799923501</v>
      </c>
      <c r="K38" s="17">
        <v>22729.6663984027</v>
      </c>
      <c r="L38" s="16">
        <v>20592.6986461786</v>
      </c>
      <c r="M38" s="9">
        <v>25823.8090177741</v>
      </c>
      <c r="N38" s="9">
        <v>20247.417476103899</v>
      </c>
      <c r="O38" s="17">
        <v>28652.108074583</v>
      </c>
      <c r="P38" s="16">
        <v>4.3069139349913197</v>
      </c>
      <c r="Q38" s="9">
        <v>5.4009882252050101</v>
      </c>
      <c r="R38" s="9">
        <v>4.2346991996408896</v>
      </c>
      <c r="S38" s="17">
        <v>5.9925202448489499</v>
      </c>
      <c r="U38" s="11">
        <v>1228.448290968</v>
      </c>
    </row>
    <row r="39" spans="2:22" x14ac:dyDescent="0.35">
      <c r="B39" s="130">
        <v>301173</v>
      </c>
      <c r="C39" s="116">
        <v>18205.899809999901</v>
      </c>
      <c r="D39" s="117">
        <v>9358.9373940000005</v>
      </c>
      <c r="E39" s="121">
        <v>7988.5058318531101</v>
      </c>
      <c r="F39" s="125">
        <v>3586.6129827012801</v>
      </c>
      <c r="G39" s="126">
        <v>126.347796110348</v>
      </c>
      <c r="H39" s="16">
        <v>33977.254103852698</v>
      </c>
      <c r="I39" s="9">
        <v>37941.489322517598</v>
      </c>
      <c r="J39" s="9">
        <v>23659.642163841701</v>
      </c>
      <c r="K39" s="17">
        <v>37541.129632664</v>
      </c>
      <c r="L39" s="16">
        <v>38744.357913706903</v>
      </c>
      <c r="M39" s="9">
        <v>43956.192111563199</v>
      </c>
      <c r="N39" s="9">
        <v>33954.977902127401</v>
      </c>
      <c r="O39" s="17">
        <v>47836.4653709497</v>
      </c>
      <c r="P39" s="16">
        <v>4.8500130974704696</v>
      </c>
      <c r="Q39" s="9">
        <v>5.5024297455343598</v>
      </c>
      <c r="R39" s="9">
        <v>4.2504792030990899</v>
      </c>
      <c r="S39" s="17">
        <v>5.9881617886799496</v>
      </c>
      <c r="U39" s="11">
        <v>2593.9010609679999</v>
      </c>
    </row>
    <row r="40" spans="2:22" x14ac:dyDescent="0.35">
      <c r="B40" s="130">
        <v>301197</v>
      </c>
      <c r="C40" s="116">
        <v>46219.539089999897</v>
      </c>
      <c r="D40" s="117">
        <v>17426.531330000002</v>
      </c>
      <c r="E40" s="121">
        <v>7142.5313116028601</v>
      </c>
      <c r="F40" s="125">
        <v>3634.97125650317</v>
      </c>
      <c r="G40" s="126">
        <v>111.225850884938</v>
      </c>
      <c r="H40" s="16">
        <v>29655.7156372315</v>
      </c>
      <c r="I40" s="9">
        <v>33868.703248009901</v>
      </c>
      <c r="J40" s="9">
        <v>21197.399483672601</v>
      </c>
      <c r="K40" s="17">
        <v>33634.250103244303</v>
      </c>
      <c r="L40" s="16">
        <v>34316.005097835601</v>
      </c>
      <c r="M40" s="9">
        <v>39632.742987186502</v>
      </c>
      <c r="N40" s="9">
        <v>30861.027521873799</v>
      </c>
      <c r="O40" s="17">
        <v>43297.878141445501</v>
      </c>
      <c r="P40" s="16">
        <v>4.8044598757432304</v>
      </c>
      <c r="Q40" s="9">
        <v>5.5488371360450399</v>
      </c>
      <c r="R40" s="9">
        <v>4.3207409496043496</v>
      </c>
      <c r="S40" s="17">
        <v>6.0619794653345398</v>
      </c>
      <c r="U40" s="11">
        <v>2628.87460796799</v>
      </c>
    </row>
    <row r="41" spans="2:22" x14ac:dyDescent="0.35">
      <c r="B41" s="130">
        <v>301211</v>
      </c>
      <c r="C41" s="116">
        <v>21332.527190000001</v>
      </c>
      <c r="D41" s="117">
        <v>9561.2527740000005</v>
      </c>
      <c r="E41" s="121">
        <v>5595.7303764025801</v>
      </c>
      <c r="F41" s="125">
        <v>6353.04295320859</v>
      </c>
      <c r="G41" s="126">
        <v>86.670695775627706</v>
      </c>
      <c r="H41" s="16">
        <v>22044.092889859599</v>
      </c>
      <c r="I41" s="9">
        <v>26482.2094965744</v>
      </c>
      <c r="J41" s="9">
        <v>16695.373489734699</v>
      </c>
      <c r="K41" s="17">
        <v>26490.814024302301</v>
      </c>
      <c r="L41" s="16">
        <v>29183.078301284098</v>
      </c>
      <c r="M41" s="9">
        <v>34474.827885885301</v>
      </c>
      <c r="N41" s="9">
        <v>27877.969370502</v>
      </c>
      <c r="O41" s="17">
        <v>37673.409905069602</v>
      </c>
      <c r="P41" s="16">
        <v>5.2152402525236701</v>
      </c>
      <c r="Q41" s="9">
        <v>6.16091655010168</v>
      </c>
      <c r="R41" s="9">
        <v>4.9820072618338704</v>
      </c>
      <c r="S41" s="17">
        <v>6.7325277257710496</v>
      </c>
      <c r="U41" s="11">
        <v>6763.0155801000001</v>
      </c>
    </row>
    <row r="42" spans="2:22" x14ac:dyDescent="0.35">
      <c r="B42" s="130">
        <v>301219</v>
      </c>
      <c r="C42" s="116">
        <v>14979.6939199999</v>
      </c>
      <c r="D42" s="117">
        <v>9111.7041869999903</v>
      </c>
      <c r="E42" s="121">
        <v>4617.18912787507</v>
      </c>
      <c r="F42" s="125">
        <v>1274.9409595889699</v>
      </c>
      <c r="G42" s="126">
        <v>96.386248169941396</v>
      </c>
      <c r="H42" s="16">
        <v>17451.793387274902</v>
      </c>
      <c r="I42" s="9">
        <v>22613.6796052723</v>
      </c>
      <c r="J42" s="9">
        <v>13847.290044245499</v>
      </c>
      <c r="K42" s="17">
        <v>21971.714830352601</v>
      </c>
      <c r="L42" s="16">
        <v>19892.442792090598</v>
      </c>
      <c r="M42" s="9">
        <v>25921.821996592302</v>
      </c>
      <c r="N42" s="9">
        <v>19724.4042153425</v>
      </c>
      <c r="O42" s="17">
        <v>27848.8290014497</v>
      </c>
      <c r="P42" s="16">
        <v>4.3083448048500301</v>
      </c>
      <c r="Q42" s="9">
        <v>5.6141997389918696</v>
      </c>
      <c r="R42" s="9">
        <v>4.2719506758476902</v>
      </c>
      <c r="S42" s="17">
        <v>6.0315547468739501</v>
      </c>
      <c r="U42" s="11">
        <v>930.89469887999996</v>
      </c>
    </row>
    <row r="43" spans="2:22" x14ac:dyDescent="0.35">
      <c r="B43" s="130">
        <v>401439</v>
      </c>
      <c r="C43" s="116">
        <v>27135.56997</v>
      </c>
      <c r="D43" s="117">
        <v>20120.390490000002</v>
      </c>
      <c r="E43" s="121">
        <v>9025.8934797957209</v>
      </c>
      <c r="F43" s="125">
        <v>25589.652839885799</v>
      </c>
      <c r="G43" s="126">
        <v>139.66284554841101</v>
      </c>
      <c r="H43" s="16">
        <v>39412.0596972598</v>
      </c>
      <c r="I43" s="9">
        <v>42598.623492291299</v>
      </c>
      <c r="J43" s="9">
        <v>26679.000408684598</v>
      </c>
      <c r="K43" s="17">
        <v>42331.993268392602</v>
      </c>
      <c r="L43" s="16">
        <v>66207.063660664804</v>
      </c>
      <c r="M43" s="9">
        <v>70745.483159096999</v>
      </c>
      <c r="N43" s="9">
        <v>59645.8938405636</v>
      </c>
      <c r="O43" s="17">
        <v>75298.8867002716</v>
      </c>
      <c r="P43" s="16">
        <v>7.3352365401683404</v>
      </c>
      <c r="Q43" s="9">
        <v>7.8380587270899298</v>
      </c>
      <c r="R43" s="9">
        <v>6.6083090803231501</v>
      </c>
      <c r="S43" s="17">
        <v>8.3425410314033304</v>
      </c>
      <c r="U43" s="11">
        <v>30977.8288660199</v>
      </c>
    </row>
    <row r="44" spans="2:22" x14ac:dyDescent="0.35">
      <c r="B44" s="131">
        <v>401449</v>
      </c>
      <c r="C44" s="118">
        <v>30611.852360000001</v>
      </c>
      <c r="D44" s="119">
        <v>18002.413629999901</v>
      </c>
      <c r="E44" s="122">
        <v>9598.5187315542007</v>
      </c>
      <c r="F44" s="127">
        <v>25570.2048286928</v>
      </c>
      <c r="G44" s="128">
        <v>148.726545350039</v>
      </c>
      <c r="H44" s="18">
        <v>42471.213684358801</v>
      </c>
      <c r="I44" s="30">
        <v>45318.418484475398</v>
      </c>
      <c r="J44" s="30">
        <v>28345.649108937701</v>
      </c>
      <c r="K44" s="19">
        <v>44976.491206063598</v>
      </c>
      <c r="L44" s="18">
        <v>69329.157697869203</v>
      </c>
      <c r="M44" s="30">
        <v>73617.670111109095</v>
      </c>
      <c r="N44" s="30">
        <v>61730.773654628298</v>
      </c>
      <c r="O44" s="19">
        <v>78361.6157517541</v>
      </c>
      <c r="P44" s="18">
        <v>7.2229017452407804</v>
      </c>
      <c r="Q44" s="30">
        <v>7.6696907272887902</v>
      </c>
      <c r="R44" s="30">
        <v>6.4312812613152799</v>
      </c>
      <c r="S44" s="19">
        <v>8.1639279917377099</v>
      </c>
      <c r="U44" s="11">
        <v>30954.2858673599</v>
      </c>
    </row>
    <row r="45" spans="2:22" x14ac:dyDescent="0.35">
      <c r="B45" s="37" t="s">
        <v>109</v>
      </c>
      <c r="C45" s="139">
        <f>SUM(C28:C44)</f>
        <v>300916.32494099956</v>
      </c>
      <c r="D45" s="140">
        <f t="shared" ref="D45:G45" si="1">SUM(D28:D44)</f>
        <v>164607.00510599985</v>
      </c>
      <c r="E45" s="141">
        <f t="shared" si="1"/>
        <v>98271.400949111427</v>
      </c>
      <c r="F45" s="22">
        <f t="shared" si="1"/>
        <v>102611.3912139092</v>
      </c>
      <c r="G45" s="223">
        <f t="shared" si="1"/>
        <v>1631.2765585266541</v>
      </c>
      <c r="H45" s="22">
        <f t="shared" ref="H45" si="2">SUM(H28:H44)</f>
        <v>396488.65546616615</v>
      </c>
      <c r="I45" s="223">
        <f t="shared" ref="I45" si="3">SUM(I28:I44)</f>
        <v>468454.30006046873</v>
      </c>
      <c r="J45" s="223">
        <f t="shared" ref="J45" si="4">SUM(J28:J44)</f>
        <v>292972.04211842612</v>
      </c>
      <c r="K45" s="21">
        <v>292972.04211842612</v>
      </c>
      <c r="L45" s="22">
        <f t="shared" ref="L45" si="5">SUM(L28:L44)</f>
        <v>515106.86821963557</v>
      </c>
      <c r="M45" s="223">
        <f t="shared" ref="M45" si="6">SUM(M28:M44)</f>
        <v>602786.5396385463</v>
      </c>
      <c r="N45" s="223">
        <f t="shared" ref="N45:O45" si="7">SUM(N28:N44)</f>
        <v>482282.34950478113</v>
      </c>
      <c r="O45" s="21">
        <f t="shared" si="7"/>
        <v>654173.69524954061</v>
      </c>
      <c r="P45" s="22">
        <f>Table2[[#This Row],[USDA_pow_t]]/Table2[[#This Row],[damVol_yds]]</f>
        <v>5.2416762480711654</v>
      </c>
      <c r="Q45" s="223">
        <f>Table2[[#This Row],[dikeUSDA_t]]/Table2[[#This Row],[damVol_yds]]</f>
        <v>6.1338958620391653</v>
      </c>
      <c r="R45" s="223">
        <f>Table2[[#This Row],[cc_total]]/Table2[[#This Row],[damVol_yds]]</f>
        <v>4.9076572110183392</v>
      </c>
      <c r="S45" s="21">
        <f>Table2[[#This Row],[cc_total]]/Table2[[#This Row],[damVol_yds]]</f>
        <v>4.9076572110183392</v>
      </c>
      <c r="T45" s="11"/>
      <c r="U45" s="142">
        <f t="shared" ref="U45" si="8">SUM(U28:U44)</f>
        <v>105958.13524074963</v>
      </c>
      <c r="V45" s="173">
        <f>F45-U45</f>
        <v>-3346.7440268404316</v>
      </c>
    </row>
    <row r="49" spans="2:23" x14ac:dyDescent="0.35">
      <c r="B49" s="1" t="s">
        <v>111</v>
      </c>
      <c r="M49">
        <v>156</v>
      </c>
      <c r="N49">
        <f>$M$7-M49</f>
        <v>8</v>
      </c>
      <c r="O49" s="172">
        <f>-N49/$M$7</f>
        <v>-4.878048780487805E-2</v>
      </c>
    </row>
    <row r="50" spans="2:23" x14ac:dyDescent="0.35">
      <c r="B50" s="132" t="s">
        <v>92</v>
      </c>
      <c r="C50" s="108" t="s">
        <v>96</v>
      </c>
      <c r="D50" s="110" t="s">
        <v>97</v>
      </c>
      <c r="E50" s="132" t="s">
        <v>98</v>
      </c>
      <c r="F50" s="108" t="s">
        <v>99</v>
      </c>
      <c r="G50" s="110" t="s">
        <v>100</v>
      </c>
      <c r="H50" s="136" t="s">
        <v>149</v>
      </c>
      <c r="I50" s="137" t="s">
        <v>150</v>
      </c>
      <c r="J50" s="137" t="s">
        <v>151</v>
      </c>
      <c r="K50" s="112" t="s">
        <v>159</v>
      </c>
      <c r="L50" s="136" t="s">
        <v>152</v>
      </c>
      <c r="M50" s="138" t="s">
        <v>153</v>
      </c>
      <c r="N50" s="135" t="s">
        <v>154</v>
      </c>
      <c r="O50" s="109" t="s">
        <v>158</v>
      </c>
      <c r="P50" s="150" t="s">
        <v>155</v>
      </c>
      <c r="Q50" s="151" t="s">
        <v>156</v>
      </c>
      <c r="R50" s="151" t="s">
        <v>157</v>
      </c>
      <c r="S50" s="138" t="s">
        <v>160</v>
      </c>
      <c r="W50" t="s">
        <v>110</v>
      </c>
    </row>
    <row r="51" spans="2:23" x14ac:dyDescent="0.35">
      <c r="B51" s="129">
        <v>200444</v>
      </c>
      <c r="C51" s="114">
        <v>7221.3327570000001</v>
      </c>
      <c r="D51" s="115">
        <v>4412.5433540000004</v>
      </c>
      <c r="E51" s="120">
        <v>4450.0154887348299</v>
      </c>
      <c r="F51" s="123">
        <v>1677.59506798284</v>
      </c>
      <c r="G51" s="124">
        <v>69.523389979483099</v>
      </c>
      <c r="H51" s="14">
        <v>16686.899319170199</v>
      </c>
      <c r="I51" s="29">
        <v>21125.5098570952</v>
      </c>
      <c r="J51" s="198">
        <v>13360.724480582199</v>
      </c>
      <c r="K51" s="199">
        <v>21199.673530075201</v>
      </c>
      <c r="L51" s="14">
        <v>19020.141096355201</v>
      </c>
      <c r="M51" s="29">
        <v>24151.614841532901</v>
      </c>
      <c r="N51" s="198">
        <v>19026.706467907701</v>
      </c>
      <c r="O51" s="199">
        <v>26865.655517400599</v>
      </c>
      <c r="P51" s="14">
        <v>4.2741741336641503</v>
      </c>
      <c r="Q51" s="29">
        <v>5.4273102874973</v>
      </c>
      <c r="R51" s="29">
        <v>4.2756494929227999</v>
      </c>
      <c r="S51" s="15">
        <v>6.03720494578294</v>
      </c>
      <c r="W51" s="11">
        <v>1224.8915088240001</v>
      </c>
    </row>
    <row r="52" spans="2:23" x14ac:dyDescent="0.35">
      <c r="B52" s="130">
        <v>200646</v>
      </c>
      <c r="C52" s="116">
        <v>8403.8674329999903</v>
      </c>
      <c r="D52" s="117">
        <v>8044.5171339999897</v>
      </c>
      <c r="E52" s="121">
        <v>4389.1571483954904</v>
      </c>
      <c r="F52" s="125">
        <v>1488.4237788048699</v>
      </c>
      <c r="G52" s="126">
        <v>78.382518291493795</v>
      </c>
      <c r="H52" s="16">
        <v>16409.9657691826</v>
      </c>
      <c r="I52" s="9">
        <v>21105.4158256423</v>
      </c>
      <c r="J52">
        <v>13183.593846690999</v>
      </c>
      <c r="K52" s="3">
        <v>20918.61754272</v>
      </c>
      <c r="L52" s="16">
        <v>18717.573357502999</v>
      </c>
      <c r="M52" s="9">
        <v>24153.9256057823</v>
      </c>
      <c r="N52">
        <v>18786.1814793048</v>
      </c>
      <c r="O52" s="3">
        <v>26521.2051753339</v>
      </c>
      <c r="P52" s="16">
        <v>4.2645028930771902</v>
      </c>
      <c r="Q52" s="9">
        <v>5.5030897252362303</v>
      </c>
      <c r="R52" s="9">
        <v>4.2801341679398304</v>
      </c>
      <c r="S52" s="17">
        <v>6.04243691411894</v>
      </c>
      <c r="W52" s="11">
        <v>1086.7686028559999</v>
      </c>
    </row>
    <row r="53" spans="2:23" x14ac:dyDescent="0.35">
      <c r="B53" s="130">
        <v>200706</v>
      </c>
      <c r="C53" s="116">
        <v>2902.8725079999899</v>
      </c>
      <c r="D53" s="117">
        <v>1695.6418490000001</v>
      </c>
      <c r="E53" s="121">
        <v>4310.9461436813299</v>
      </c>
      <c r="F53" s="125">
        <v>1676.5168540602999</v>
      </c>
      <c r="G53" s="126">
        <v>67.389573309925098</v>
      </c>
      <c r="H53" s="16">
        <v>16055.2829849685</v>
      </c>
      <c r="I53" s="9">
        <v>20464.9027033073</v>
      </c>
      <c r="J53">
        <v>12955.9575890302</v>
      </c>
      <c r="K53" s="3">
        <v>20557.423480749101</v>
      </c>
      <c r="L53" s="16">
        <v>18367.241442002902</v>
      </c>
      <c r="M53" s="9">
        <v>23447.9847993439</v>
      </c>
      <c r="N53">
        <v>18514.369290373099</v>
      </c>
      <c r="O53" s="3">
        <v>26115.835182092</v>
      </c>
      <c r="P53" s="16">
        <v>4.2606056373319099</v>
      </c>
      <c r="Q53" s="9">
        <v>5.4391736797065402</v>
      </c>
      <c r="R53" s="9">
        <v>4.2947345369902497</v>
      </c>
      <c r="S53" s="17">
        <v>6.0580286349368304</v>
      </c>
      <c r="W53" s="11">
        <v>1224.10425384</v>
      </c>
    </row>
    <row r="54" spans="2:23" x14ac:dyDescent="0.35">
      <c r="B54" s="130">
        <v>200743</v>
      </c>
      <c r="C54" s="116">
        <v>3863.6759590000001</v>
      </c>
      <c r="D54" s="117">
        <v>1970.6758319999899</v>
      </c>
      <c r="E54" s="121">
        <v>4218.6434301306799</v>
      </c>
      <c r="F54" s="125">
        <v>1678.4812259406799</v>
      </c>
      <c r="G54" s="126">
        <v>65.854632940832005</v>
      </c>
      <c r="H54" s="16">
        <v>15638.475517553001</v>
      </c>
      <c r="I54" s="9">
        <v>20023.142196007499</v>
      </c>
      <c r="J54">
        <v>12687.306849132499</v>
      </c>
      <c r="K54" s="3">
        <v>20131.151089029499</v>
      </c>
      <c r="L54" s="16">
        <v>17936.9960476294</v>
      </c>
      <c r="M54" s="9">
        <v>22977.650497177801</v>
      </c>
      <c r="N54">
        <v>18175.010481867801</v>
      </c>
      <c r="O54" s="3">
        <v>25618.854721764801</v>
      </c>
      <c r="P54" s="16">
        <v>4.2518398022261303</v>
      </c>
      <c r="Q54" s="9">
        <v>5.4466917808376998</v>
      </c>
      <c r="R54" s="9">
        <v>4.3082594637074596</v>
      </c>
      <c r="S54" s="17">
        <v>6.07277081982991</v>
      </c>
      <c r="W54" s="11">
        <v>1225.5385346640001</v>
      </c>
    </row>
    <row r="55" spans="2:23" x14ac:dyDescent="0.35">
      <c r="B55" s="130">
        <v>200752</v>
      </c>
      <c r="C55" s="116">
        <v>1185.262246</v>
      </c>
      <c r="D55" s="117">
        <v>701.384681</v>
      </c>
      <c r="E55" s="121">
        <v>2569.7048708692801</v>
      </c>
      <c r="F55" s="125">
        <v>1682.20589354301</v>
      </c>
      <c r="G55" s="126">
        <v>39.9000697654782</v>
      </c>
      <c r="H55" s="16">
        <v>8561.5618449912508</v>
      </c>
      <c r="I55" s="9">
        <v>12172.0884300994</v>
      </c>
      <c r="J55">
        <v>7888.0052148598998</v>
      </c>
      <c r="K55" s="3">
        <v>12516.0230346485</v>
      </c>
      <c r="L55" s="16">
        <v>10613.261125323501</v>
      </c>
      <c r="M55" s="9">
        <v>14618.102301877499</v>
      </c>
      <c r="N55">
        <v>12105.7871793717</v>
      </c>
      <c r="O55" s="3">
        <v>16733.8049991603</v>
      </c>
      <c r="P55" s="16">
        <v>4.1301478802634701</v>
      </c>
      <c r="Q55" s="9">
        <v>5.6886308103282097</v>
      </c>
      <c r="R55" s="9">
        <v>4.7109640163761402</v>
      </c>
      <c r="S55" s="17">
        <v>6.51195597940381</v>
      </c>
      <c r="W55" s="11">
        <v>1228.2580906559899</v>
      </c>
    </row>
    <row r="56" spans="2:23" x14ac:dyDescent="0.35">
      <c r="B56" s="130">
        <v>200760</v>
      </c>
      <c r="C56" s="116">
        <v>3446.3049139999898</v>
      </c>
      <c r="D56" s="117">
        <v>1984.4414389999899</v>
      </c>
      <c r="E56" s="121">
        <v>4169.1099170294001</v>
      </c>
      <c r="F56" s="125">
        <v>1678.71416778143</v>
      </c>
      <c r="G56" s="126">
        <v>65.067898755627994</v>
      </c>
      <c r="H56" s="16">
        <v>15415.6046825957</v>
      </c>
      <c r="I56" s="9">
        <v>19787.1039300419</v>
      </c>
      <c r="J56">
        <v>12543.1375779107</v>
      </c>
      <c r="K56" s="3">
        <v>19902.395418825101</v>
      </c>
      <c r="L56" s="16">
        <v>17706.7132595316</v>
      </c>
      <c r="M56" s="9">
        <v>22726.297888946101</v>
      </c>
      <c r="N56">
        <v>17992.6956939667</v>
      </c>
      <c r="O56" s="3">
        <v>25351.9535348811</v>
      </c>
      <c r="P56" s="16">
        <v>4.2471207552493899</v>
      </c>
      <c r="Q56" s="9">
        <v>5.4511150680189298</v>
      </c>
      <c r="R56" s="9">
        <v>4.3157163164426597</v>
      </c>
      <c r="S56" s="17">
        <v>6.0809031278659704</v>
      </c>
      <c r="W56" s="11">
        <v>1225.7086165199901</v>
      </c>
    </row>
    <row r="57" spans="2:23" x14ac:dyDescent="0.35">
      <c r="B57" s="130">
        <v>300980</v>
      </c>
      <c r="C57" s="116">
        <v>40972.260300000002</v>
      </c>
      <c r="D57" s="117">
        <v>17021.76641</v>
      </c>
      <c r="E57" s="121">
        <v>8916.4329085543905</v>
      </c>
      <c r="F57" s="125">
        <v>3645.5906369926802</v>
      </c>
      <c r="G57" s="126">
        <v>138.512577436595</v>
      </c>
      <c r="H57" s="16">
        <v>38831.948861503202</v>
      </c>
      <c r="I57" s="9">
        <v>42288.745548048697</v>
      </c>
      <c r="J57">
        <v>26360.4110376639</v>
      </c>
      <c r="K57" s="3">
        <v>41826.482458285798</v>
      </c>
      <c r="L57" s="16">
        <v>43756.295333470502</v>
      </c>
      <c r="M57" s="9">
        <v>48592.784347544002</v>
      </c>
      <c r="N57">
        <v>37388.731072072798</v>
      </c>
      <c r="O57" s="3">
        <v>52854.802492694798</v>
      </c>
      <c r="P57" s="16">
        <v>4.9073767258979597</v>
      </c>
      <c r="Q57" s="9">
        <v>5.4498009289033398</v>
      </c>
      <c r="R57" s="9">
        <v>4.1932386477334704</v>
      </c>
      <c r="S57" s="17">
        <v>5.9277968033591204</v>
      </c>
      <c r="W57" s="11">
        <v>2636.5547291439898</v>
      </c>
    </row>
    <row r="58" spans="2:23" x14ac:dyDescent="0.35">
      <c r="B58" s="130">
        <v>301074</v>
      </c>
      <c r="C58" s="116">
        <v>8139.0747570000003</v>
      </c>
      <c r="D58" s="117">
        <v>5209.1639750000004</v>
      </c>
      <c r="E58" s="121">
        <v>6251.7290214322002</v>
      </c>
      <c r="F58" s="125">
        <v>3627.4291744245602</v>
      </c>
      <c r="G58" s="126">
        <v>97.522611303258799</v>
      </c>
      <c r="H58" s="16">
        <v>25223.239520551</v>
      </c>
      <c r="I58" s="9">
        <v>29640.434252785799</v>
      </c>
      <c r="J58">
        <v>18604.683786039201</v>
      </c>
      <c r="K58" s="3">
        <v>29520.346966778099</v>
      </c>
      <c r="L58" s="16">
        <v>29748.715127196301</v>
      </c>
      <c r="M58" s="9">
        <v>35131.097206246603</v>
      </c>
      <c r="N58">
        <v>27580.790781322299</v>
      </c>
      <c r="O58" s="3">
        <v>38496.453962061198</v>
      </c>
      <c r="P58" s="16">
        <v>4.7584780186747802</v>
      </c>
      <c r="Q58" s="9">
        <v>5.6194209771104999</v>
      </c>
      <c r="R58" s="9">
        <v>4.4117060555199599</v>
      </c>
      <c r="S58" s="17">
        <v>6.1577291386250996</v>
      </c>
      <c r="W58" s="11">
        <v>2623.4200426719899</v>
      </c>
    </row>
    <row r="59" spans="2:23" x14ac:dyDescent="0.35">
      <c r="B59" s="130">
        <v>301082</v>
      </c>
      <c r="C59" s="116">
        <v>10822.1620999999</v>
      </c>
      <c r="D59" s="117">
        <v>5708.1276639999896</v>
      </c>
      <c r="E59" s="121">
        <v>6181.4941020542501</v>
      </c>
      <c r="F59" s="125">
        <v>14259.6041059211</v>
      </c>
      <c r="G59" s="126">
        <v>95.694124691477498</v>
      </c>
      <c r="H59" s="16">
        <v>24879.277729597601</v>
      </c>
      <c r="I59" s="9">
        <v>29188.917830613998</v>
      </c>
      <c r="J59">
        <v>18400.262243792899</v>
      </c>
      <c r="K59" s="3">
        <v>29195.988062106899</v>
      </c>
      <c r="L59" s="16">
        <v>39979.249741572101</v>
      </c>
      <c r="M59" s="9">
        <v>45217.875706488099</v>
      </c>
      <c r="N59">
        <v>37907.287686328003</v>
      </c>
      <c r="O59" s="3">
        <v>48703.013504641996</v>
      </c>
      <c r="P59" s="16">
        <v>6.4675706360839396</v>
      </c>
      <c r="Q59" s="9">
        <v>7.3150398528183</v>
      </c>
      <c r="R59" s="9">
        <v>6.13238273150347</v>
      </c>
      <c r="S59" s="17">
        <v>7.8788417008206597</v>
      </c>
      <c r="W59" s="11">
        <v>13336.4906058</v>
      </c>
    </row>
    <row r="60" spans="2:23" x14ac:dyDescent="0.35">
      <c r="B60" s="130">
        <v>301098</v>
      </c>
      <c r="C60" s="116">
        <v>6391.0704640000004</v>
      </c>
      <c r="D60" s="117">
        <v>3797.3969029999898</v>
      </c>
      <c r="E60" s="121">
        <v>3828.48404575002</v>
      </c>
      <c r="F60" s="125">
        <v>3620.1429796042798</v>
      </c>
      <c r="G60" s="126">
        <v>59.672713504929703</v>
      </c>
      <c r="H60" s="16">
        <v>13898.707263333699</v>
      </c>
      <c r="I60" s="9">
        <v>18122.7526655863</v>
      </c>
      <c r="J60">
        <v>11551.7323545172</v>
      </c>
      <c r="K60" s="3">
        <v>18329.317020082701</v>
      </c>
      <c r="L60" s="16">
        <v>18061.3953235843</v>
      </c>
      <c r="M60" s="9">
        <v>22870.3705981987</v>
      </c>
      <c r="N60">
        <v>18661.525225793801</v>
      </c>
      <c r="O60" s="3">
        <v>25439.109891359301</v>
      </c>
      <c r="P60" s="16">
        <v>4.7176363040180602</v>
      </c>
      <c r="Q60" s="9">
        <v>5.9737406046100601</v>
      </c>
      <c r="R60" s="9">
        <v>4.8743902293415298</v>
      </c>
      <c r="S60" s="17">
        <v>6.6446952860099104</v>
      </c>
      <c r="W60" s="11">
        <v>2618.1505395039899</v>
      </c>
    </row>
    <row r="61" spans="2:23" x14ac:dyDescent="0.35">
      <c r="B61" s="130">
        <v>301116</v>
      </c>
      <c r="C61" s="116">
        <v>4583.2297250000001</v>
      </c>
      <c r="D61" s="117">
        <v>3391.5975069999899</v>
      </c>
      <c r="E61" s="121">
        <v>4784.4609252543196</v>
      </c>
      <c r="F61" s="125">
        <v>5828.8716581573899</v>
      </c>
      <c r="G61" s="126">
        <v>81.625371467376993</v>
      </c>
      <c r="H61" s="16">
        <v>18223.1288843148</v>
      </c>
      <c r="I61" s="9">
        <v>22837.038281677898</v>
      </c>
      <c r="J61">
        <v>14334.1413013897</v>
      </c>
      <c r="K61" s="3">
        <v>22744.209445009499</v>
      </c>
      <c r="L61" s="16">
        <v>24846.4374201754</v>
      </c>
      <c r="M61" s="9">
        <v>30231.774426271801</v>
      </c>
      <c r="N61">
        <v>24497.7000629336</v>
      </c>
      <c r="O61" s="3">
        <v>32907.768206553403</v>
      </c>
      <c r="P61" s="16">
        <v>5.1931529608750404</v>
      </c>
      <c r="Q61" s="9">
        <v>6.3187420481785797</v>
      </c>
      <c r="R61" s="9">
        <v>5.1202633788113596</v>
      </c>
      <c r="S61" s="17">
        <v>6.8780514086451996</v>
      </c>
      <c r="W61" s="11">
        <v>6205.0186231799898</v>
      </c>
    </row>
    <row r="62" spans="2:23" x14ac:dyDescent="0.35">
      <c r="B62" s="130">
        <v>301130</v>
      </c>
      <c r="C62" s="116">
        <v>4405.27772</v>
      </c>
      <c r="D62" s="117">
        <v>2508.2915410000001</v>
      </c>
      <c r="E62" s="121">
        <v>3597.46692142744</v>
      </c>
      <c r="F62" s="125">
        <v>1716.8232398503801</v>
      </c>
      <c r="G62" s="126">
        <v>55.5000824185854</v>
      </c>
      <c r="H62" s="16">
        <v>12886.198280546399</v>
      </c>
      <c r="I62" s="9">
        <v>17032.673030790698</v>
      </c>
      <c r="J62">
        <v>10879.347773491399</v>
      </c>
      <c r="K62" s="3">
        <v>17262.433736536201</v>
      </c>
      <c r="L62" s="16">
        <v>15108.422409016701</v>
      </c>
      <c r="M62" s="9">
        <v>19805.2754180724</v>
      </c>
      <c r="N62">
        <v>15905.339828030599</v>
      </c>
      <c r="O62" s="3">
        <v>22288.425791075399</v>
      </c>
      <c r="P62" s="16">
        <v>4.1997390772454501</v>
      </c>
      <c r="Q62" s="9">
        <v>5.5053391318505396</v>
      </c>
      <c r="R62" s="9">
        <v>4.4212608970201499</v>
      </c>
      <c r="S62" s="17">
        <v>6.1955888067572698</v>
      </c>
      <c r="W62" s="11">
        <v>1253.533852584</v>
      </c>
    </row>
    <row r="63" spans="2:23" x14ac:dyDescent="0.35">
      <c r="B63" s="130">
        <v>301141</v>
      </c>
      <c r="C63" s="11">
        <v>31343.246520000001</v>
      </c>
      <c r="D63" s="117">
        <v>18419.84633</v>
      </c>
      <c r="E63" s="117">
        <v>6334.6279916898202</v>
      </c>
      <c r="F63" s="147">
        <v>14280.933293227799</v>
      </c>
      <c r="G63" s="126">
        <v>97.918066073881803</v>
      </c>
      <c r="H63" s="16">
        <v>25630.292288682998</v>
      </c>
      <c r="I63" s="9">
        <v>29911.416582353901</v>
      </c>
      <c r="J63">
        <v>18845.964554932802</v>
      </c>
      <c r="K63" s="3">
        <v>29903.190991221902</v>
      </c>
      <c r="L63" s="16">
        <v>40770.955250754298</v>
      </c>
      <c r="M63" s="9">
        <v>46003.951391517403</v>
      </c>
      <c r="N63">
        <v>38488.694400728004</v>
      </c>
      <c r="O63" s="3">
        <v>49545.920837017002</v>
      </c>
      <c r="P63" s="16">
        <v>6.4362035630569503</v>
      </c>
      <c r="Q63" s="9">
        <v>7.2622972417430702</v>
      </c>
      <c r="R63" s="9">
        <v>6.07592023576127</v>
      </c>
      <c r="S63" s="17">
        <v>7.8214412751647897</v>
      </c>
      <c r="W63" s="11">
        <v>13356.4390211999</v>
      </c>
    </row>
    <row r="64" spans="2:23" x14ac:dyDescent="0.35">
      <c r="B64" s="130">
        <v>301173</v>
      </c>
      <c r="C64" s="116">
        <v>18205.899809999901</v>
      </c>
      <c r="D64" s="117">
        <v>9358.9373940000005</v>
      </c>
      <c r="E64" s="121">
        <v>7988.5058318531101</v>
      </c>
      <c r="F64" s="125">
        <v>3586.6129827012801</v>
      </c>
      <c r="G64" s="126">
        <v>126.347796110348</v>
      </c>
      <c r="H64" s="16">
        <v>33977.254103852698</v>
      </c>
      <c r="I64" s="9">
        <v>37941.489322517598</v>
      </c>
      <c r="J64">
        <v>23659.642163841701</v>
      </c>
      <c r="K64" s="3">
        <v>37541.129632664</v>
      </c>
      <c r="L64" s="16">
        <v>38744.357913706903</v>
      </c>
      <c r="M64" s="9">
        <v>43956.192111563199</v>
      </c>
      <c r="N64">
        <v>33954.977902127401</v>
      </c>
      <c r="O64" s="3">
        <v>47836.4653709497</v>
      </c>
      <c r="P64" s="16">
        <v>4.8500130974704696</v>
      </c>
      <c r="Q64" s="9">
        <v>5.5024297455343598</v>
      </c>
      <c r="R64" s="9">
        <v>4.2504792030990899</v>
      </c>
      <c r="S64" s="17">
        <v>5.9881617886799496</v>
      </c>
      <c r="W64" s="11">
        <v>2593.9010609679999</v>
      </c>
    </row>
    <row r="65" spans="2:24" x14ac:dyDescent="0.35">
      <c r="B65" s="130">
        <v>301197</v>
      </c>
      <c r="C65" s="116">
        <v>46219.539089999897</v>
      </c>
      <c r="D65" s="117">
        <v>17426.531330000002</v>
      </c>
      <c r="E65" s="121">
        <v>7142.5313116028601</v>
      </c>
      <c r="F65" s="125">
        <v>3634.97125650317</v>
      </c>
      <c r="G65" s="126">
        <v>111.225850884938</v>
      </c>
      <c r="H65" s="16">
        <v>29655.7156372315</v>
      </c>
      <c r="I65" s="9">
        <v>33868.703248009901</v>
      </c>
      <c r="J65">
        <v>21197.399483672601</v>
      </c>
      <c r="K65" s="3">
        <v>33634.250103244303</v>
      </c>
      <c r="L65" s="16">
        <v>34316.005097835601</v>
      </c>
      <c r="M65" s="9">
        <v>39632.742987186502</v>
      </c>
      <c r="N65">
        <v>30861.027521873799</v>
      </c>
      <c r="O65" s="3">
        <v>43297.878141445501</v>
      </c>
      <c r="P65" s="16">
        <v>4.8044598757432304</v>
      </c>
      <c r="Q65" s="9">
        <v>5.5488371360450399</v>
      </c>
      <c r="R65" s="9">
        <v>4.3207409496043496</v>
      </c>
      <c r="S65" s="17">
        <v>6.0619794653345398</v>
      </c>
      <c r="W65" s="11">
        <v>2628.87460796799</v>
      </c>
    </row>
    <row r="66" spans="2:24" x14ac:dyDescent="0.35">
      <c r="B66" s="130">
        <v>401414</v>
      </c>
      <c r="C66" s="116">
        <v>29147.0311699999</v>
      </c>
      <c r="D66" s="117">
        <v>19455.56552</v>
      </c>
      <c r="E66" s="121">
        <v>7033.3894554853596</v>
      </c>
      <c r="F66" s="125">
        <v>53213.146471875203</v>
      </c>
      <c r="G66" s="126">
        <v>120.356054116276</v>
      </c>
      <c r="H66" s="16">
        <v>29105.904886623601</v>
      </c>
      <c r="I66" s="9">
        <v>33353.214973245798</v>
      </c>
      <c r="J66">
        <v>20879.7377457683</v>
      </c>
      <c r="K66" s="3">
        <v>33130.211183322499</v>
      </c>
      <c r="L66" s="16">
        <v>83382.743728712099</v>
      </c>
      <c r="M66" s="9">
        <v>88717.375575567101</v>
      </c>
      <c r="N66">
        <v>80092.197009407304</v>
      </c>
      <c r="O66" s="3">
        <v>92342.670446961405</v>
      </c>
      <c r="P66" s="16">
        <v>11.8552718083429</v>
      </c>
      <c r="Q66" s="9">
        <v>12.6137442177862</v>
      </c>
      <c r="R66" s="9">
        <v>11.3874252970512</v>
      </c>
      <c r="S66" s="17">
        <v>13.129184873296399</v>
      </c>
      <c r="W66" s="11">
        <v>41945.139932259997</v>
      </c>
    </row>
    <row r="67" spans="2:24" x14ac:dyDescent="0.35">
      <c r="B67" s="130">
        <v>401441</v>
      </c>
      <c r="C67" s="116">
        <v>24645.3328</v>
      </c>
      <c r="D67" s="117">
        <v>15230.375120000001</v>
      </c>
      <c r="E67" s="121">
        <v>7632.9155577871798</v>
      </c>
      <c r="F67" s="125">
        <v>32307.747816599502</v>
      </c>
      <c r="G67" s="126">
        <v>118.052356983481</v>
      </c>
      <c r="H67" s="16">
        <v>32148.121472188101</v>
      </c>
      <c r="I67" s="9">
        <v>35971.3616025144</v>
      </c>
      <c r="J67">
        <v>22624.6824475619</v>
      </c>
      <c r="K67" s="3">
        <v>35898.942628972698</v>
      </c>
      <c r="L67" s="16">
        <v>65461.195573958597</v>
      </c>
      <c r="M67" s="9">
        <v>70416.326620939901</v>
      </c>
      <c r="N67">
        <v>61245.358936317003</v>
      </c>
      <c r="O67" s="3">
        <v>74519.619117727794</v>
      </c>
      <c r="P67" s="16">
        <v>8.5761718544330598</v>
      </c>
      <c r="Q67" s="9">
        <v>9.2253511895726898</v>
      </c>
      <c r="R67" s="9">
        <v>8.0238486162517297</v>
      </c>
      <c r="S67" s="17">
        <v>9.7629298468659407</v>
      </c>
      <c r="W67" s="11">
        <v>28098.949152140001</v>
      </c>
    </row>
    <row r="68" spans="2:24" x14ac:dyDescent="0.35">
      <c r="B68" s="130">
        <v>401466</v>
      </c>
      <c r="C68" s="116">
        <v>23319.11836</v>
      </c>
      <c r="D68" s="117">
        <v>14403.0509799999</v>
      </c>
      <c r="E68" s="121">
        <v>5045.7258102922697</v>
      </c>
      <c r="F68" s="125">
        <v>48867.005007890199</v>
      </c>
      <c r="G68" s="126">
        <v>77.307451960707397</v>
      </c>
      <c r="H68" s="16">
        <v>19439.495743115102</v>
      </c>
      <c r="I68" s="9">
        <v>23624.064405159199</v>
      </c>
      <c r="J68">
        <v>15094.563199888</v>
      </c>
      <c r="K68" s="3">
        <v>23950.782937091699</v>
      </c>
      <c r="L68" s="16">
        <v>68919.116378743798</v>
      </c>
      <c r="M68" s="9">
        <v>73818.811832947395</v>
      </c>
      <c r="N68">
        <v>68276.538471770706</v>
      </c>
      <c r="O68" s="3">
        <v>77132.758208974396</v>
      </c>
      <c r="P68" s="16">
        <v>13.658910327264</v>
      </c>
      <c r="Q68" s="9">
        <v>14.6299689298161</v>
      </c>
      <c r="R68" s="9">
        <v>13.5315593908214</v>
      </c>
      <c r="S68" s="17">
        <v>15.286751819062101</v>
      </c>
      <c r="W68" s="11">
        <v>55195.480119059997</v>
      </c>
    </row>
    <row r="69" spans="2:24" x14ac:dyDescent="0.35">
      <c r="B69" s="131">
        <v>401482</v>
      </c>
      <c r="C69" s="118">
        <v>25422.693279999901</v>
      </c>
      <c r="D69" s="119">
        <v>23812.183359999901</v>
      </c>
      <c r="E69" s="122">
        <v>2599.63317184678</v>
      </c>
      <c r="F69" s="127">
        <v>20895.140535902799</v>
      </c>
      <c r="G69" s="128">
        <v>67.897517897454406</v>
      </c>
      <c r="H69" s="18">
        <v>8682.8945335465305</v>
      </c>
      <c r="I69" s="30">
        <v>12840.626337434</v>
      </c>
      <c r="J69" s="12">
        <v>7975.1127319869402</v>
      </c>
      <c r="K69" s="5">
        <v>12654.2379142228</v>
      </c>
      <c r="L69" s="18">
        <v>30396.571898508799</v>
      </c>
      <c r="M69" s="30">
        <v>35065.915972384697</v>
      </c>
      <c r="N69" s="12">
        <v>31873.4420947533</v>
      </c>
      <c r="O69" s="5">
        <v>36552.567276989103</v>
      </c>
      <c r="P69" s="18">
        <v>11.6926388798597</v>
      </c>
      <c r="Q69" s="30">
        <v>13.4887938622024</v>
      </c>
      <c r="R69" s="30">
        <v>12.2607460313757</v>
      </c>
      <c r="S69" s="19">
        <v>14.060663509314301</v>
      </c>
      <c r="W69" s="11">
        <v>25292.5206627599</v>
      </c>
    </row>
    <row r="70" spans="2:24" x14ac:dyDescent="0.35">
      <c r="B70" s="37" t="s">
        <v>109</v>
      </c>
      <c r="C70" s="139">
        <f t="shared" ref="C70:N70" si="9">SUM(C51:C69)</f>
        <v>300639.25191299943</v>
      </c>
      <c r="D70" s="140">
        <f t="shared" si="9"/>
        <v>174552.03832299978</v>
      </c>
      <c r="E70" s="141">
        <f t="shared" si="9"/>
        <v>101444.97405387102</v>
      </c>
      <c r="F70" s="22">
        <f t="shared" si="9"/>
        <v>219365.95614776347</v>
      </c>
      <c r="G70" s="21">
        <f t="shared" si="9"/>
        <v>1633.7506578921505</v>
      </c>
      <c r="H70" s="22">
        <f>SUM(H51:H69)</f>
        <v>401349.96932354843</v>
      </c>
      <c r="I70" s="223">
        <f t="shared" si="9"/>
        <v>481299.60102293181</v>
      </c>
      <c r="J70" s="223">
        <f>SUM(J51:J69)</f>
        <v>303026.40638275299</v>
      </c>
      <c r="K70" s="21">
        <f>SUM(K51:K69)</f>
        <v>480816.80717558658</v>
      </c>
      <c r="L70" s="22">
        <f t="shared" si="9"/>
        <v>635853.38752558106</v>
      </c>
      <c r="M70" s="223">
        <f t="shared" si="9"/>
        <v>731536.07012958848</v>
      </c>
      <c r="N70" s="223">
        <f t="shared" si="9"/>
        <v>611334.36158625048</v>
      </c>
      <c r="O70" s="21">
        <f>SUM(O51:O69)</f>
        <v>789124.76237908367</v>
      </c>
      <c r="P70" s="22">
        <f>Table26[[#This Row],[USDA_pow_t]]/Table26[[#This Row],[damVol_yds]]</f>
        <v>6.2679634299863833</v>
      </c>
      <c r="Q70" s="223">
        <f>Table26[[#This Row],[dikeUSDA_t]]/Table26[[#This Row],[damVol_yds]]</f>
        <v>7.2111612916487697</v>
      </c>
      <c r="R70" s="223">
        <f>Table26[[#This Row],[cc_total]]/Table26[[#This Row],[damVol_yds]]</f>
        <v>6.0262656409336692</v>
      </c>
      <c r="S70" s="21">
        <f>Table26[[#This Row],[cc_total]]/Table26[[#This Row],[damVol_yds]]</f>
        <v>6.0262656409336692</v>
      </c>
      <c r="T70" s="11"/>
      <c r="U70" s="11"/>
      <c r="V70" s="11"/>
      <c r="W70" s="142">
        <f>SUM(W51:W69)</f>
        <v>204999.74255659973</v>
      </c>
      <c r="X70" s="173">
        <f>F70-W70</f>
        <v>14366.213591163745</v>
      </c>
    </row>
    <row r="74" spans="2:24" x14ac:dyDescent="0.35">
      <c r="B74" s="1" t="s">
        <v>112</v>
      </c>
      <c r="M74">
        <v>154</v>
      </c>
      <c r="N74">
        <f>$M$7-M74</f>
        <v>10</v>
      </c>
      <c r="O74" s="172">
        <f>-N74/$M$7</f>
        <v>-6.097560975609756E-2</v>
      </c>
    </row>
    <row r="75" spans="2:24" x14ac:dyDescent="0.35">
      <c r="B75" s="132" t="s">
        <v>92</v>
      </c>
      <c r="C75" s="108" t="s">
        <v>96</v>
      </c>
      <c r="D75" s="110" t="s">
        <v>97</v>
      </c>
      <c r="E75" s="132" t="s">
        <v>98</v>
      </c>
      <c r="F75" s="108" t="s">
        <v>99</v>
      </c>
      <c r="G75" s="110" t="s">
        <v>100</v>
      </c>
      <c r="H75" s="136" t="s">
        <v>149</v>
      </c>
      <c r="I75" s="137" t="s">
        <v>150</v>
      </c>
      <c r="J75" s="137" t="s">
        <v>151</v>
      </c>
      <c r="K75" s="112" t="s">
        <v>159</v>
      </c>
      <c r="L75" s="136" t="s">
        <v>152</v>
      </c>
      <c r="M75" s="138" t="s">
        <v>153</v>
      </c>
      <c r="N75" s="135" t="s">
        <v>154</v>
      </c>
      <c r="O75" s="109" t="s">
        <v>158</v>
      </c>
      <c r="P75" s="150" t="s">
        <v>155</v>
      </c>
      <c r="Q75" s="151" t="s">
        <v>156</v>
      </c>
      <c r="R75" s="135" t="s">
        <v>157</v>
      </c>
      <c r="S75" s="138" t="s">
        <v>160</v>
      </c>
      <c r="T75" s="156"/>
      <c r="U75" t="s">
        <v>110</v>
      </c>
    </row>
    <row r="76" spans="2:24" x14ac:dyDescent="0.35">
      <c r="B76" s="40">
        <v>200072</v>
      </c>
      <c r="C76" s="114">
        <v>9838.1332989999901</v>
      </c>
      <c r="D76" s="115">
        <v>4891.3095059999896</v>
      </c>
      <c r="E76" s="41">
        <v>4865.1127636856199</v>
      </c>
      <c r="F76" s="123">
        <v>1677.3296247002399</v>
      </c>
      <c r="G76" s="124">
        <v>76.049418452089498</v>
      </c>
      <c r="H76" s="14">
        <v>18597.128920263702</v>
      </c>
      <c r="I76" s="29">
        <v>23101.672346011601</v>
      </c>
      <c r="J76" s="29">
        <v>14568.881703217499</v>
      </c>
      <c r="K76" s="15">
        <v>23116.675765252901</v>
      </c>
      <c r="L76" s="14">
        <v>20993.048391544198</v>
      </c>
      <c r="M76" s="29">
        <v>26256.278226180799</v>
      </c>
      <c r="N76" s="29">
        <v>20555.0926398544</v>
      </c>
      <c r="O76" s="15">
        <v>29102.886701889802</v>
      </c>
      <c r="P76" s="14">
        <v>4.3150178446512903</v>
      </c>
      <c r="Q76" s="29">
        <v>5.3968488504858501</v>
      </c>
      <c r="R76" s="29">
        <v>4.2249981939334704</v>
      </c>
      <c r="S76" s="15">
        <v>5.9819552219058103</v>
      </c>
      <c r="U76" s="11">
        <v>1224.69769612799</v>
      </c>
    </row>
    <row r="77" spans="2:24" x14ac:dyDescent="0.35">
      <c r="B77" s="2">
        <v>200151</v>
      </c>
      <c r="C77" s="116">
        <v>4693.3758889999899</v>
      </c>
      <c r="D77" s="117">
        <v>2180.855943</v>
      </c>
      <c r="E77" s="11">
        <v>2423.7401991812299</v>
      </c>
      <c r="F77" s="125">
        <v>1678.0983186339899</v>
      </c>
      <c r="G77" s="126">
        <v>37.719531451799298</v>
      </c>
      <c r="H77" s="16">
        <v>7974.2124711958004</v>
      </c>
      <c r="I77" s="9">
        <v>11480.4285840501</v>
      </c>
      <c r="J77" s="9">
        <v>7463.1691993249597</v>
      </c>
      <c r="K77" s="17">
        <v>11841.928987858701</v>
      </c>
      <c r="L77" s="16">
        <v>10001.586593374401</v>
      </c>
      <c r="M77" s="9">
        <v>13879.6638784971</v>
      </c>
      <c r="N77" s="9">
        <v>11566.0607654875</v>
      </c>
      <c r="O77" s="17">
        <v>15944.8205540213</v>
      </c>
      <c r="P77" s="16">
        <v>4.1265093497863399</v>
      </c>
      <c r="Q77" s="9">
        <v>5.7265477063860901</v>
      </c>
      <c r="R77" s="9">
        <v>4.7719886683377499</v>
      </c>
      <c r="S77" s="17">
        <v>6.5786013531515</v>
      </c>
      <c r="U77" s="11">
        <v>1225.258955928</v>
      </c>
    </row>
    <row r="78" spans="2:24" x14ac:dyDescent="0.35">
      <c r="B78" s="2">
        <v>200274</v>
      </c>
      <c r="C78" s="116">
        <v>5901.31723099999</v>
      </c>
      <c r="D78" s="117">
        <v>2529.6434009999898</v>
      </c>
      <c r="E78" s="11">
        <v>4198.17547702907</v>
      </c>
      <c r="F78" s="125">
        <v>1707.9471074714099</v>
      </c>
      <c r="G78" s="126">
        <v>65.2047140512868</v>
      </c>
      <c r="H78" s="16">
        <v>15546.3134246154</v>
      </c>
      <c r="I78" s="9">
        <v>19896.7443642789</v>
      </c>
      <c r="J78" s="9">
        <v>12627.734052912099</v>
      </c>
      <c r="K78" s="17">
        <v>20036.625988015599</v>
      </c>
      <c r="L78" s="16">
        <v>17852.9865045019</v>
      </c>
      <c r="M78" s="9">
        <v>22849.9643979057</v>
      </c>
      <c r="N78" s="9">
        <v>18110.890689276101</v>
      </c>
      <c r="O78" s="17">
        <v>25519.782624379601</v>
      </c>
      <c r="P78" s="16">
        <v>4.2525584273899799</v>
      </c>
      <c r="Q78" s="9">
        <v>5.4428321357533997</v>
      </c>
      <c r="R78" s="9">
        <v>4.3139908725522602</v>
      </c>
      <c r="S78" s="17">
        <v>6.0787794040565499</v>
      </c>
      <c r="U78" s="11">
        <v>1247.0529684959899</v>
      </c>
    </row>
    <row r="79" spans="2:24" x14ac:dyDescent="0.35">
      <c r="B79" s="2">
        <v>200295</v>
      </c>
      <c r="C79" s="116">
        <v>4548.7008370000003</v>
      </c>
      <c r="D79" s="117">
        <v>2557.45181</v>
      </c>
      <c r="E79" s="11">
        <v>5028.6623861876797</v>
      </c>
      <c r="F79" s="125">
        <v>1625.6953983117501</v>
      </c>
      <c r="G79" s="126">
        <v>81.397310284941398</v>
      </c>
      <c r="H79" s="16">
        <v>19359.631430287402</v>
      </c>
      <c r="I79" s="9">
        <v>23957.022489810701</v>
      </c>
      <c r="J79" s="9">
        <v>15044.8994214947</v>
      </c>
      <c r="K79" s="17">
        <v>23871.9806318919</v>
      </c>
      <c r="L79" s="16">
        <v>21775.8870324616</v>
      </c>
      <c r="M79" s="9">
        <v>27174.3169725671</v>
      </c>
      <c r="N79" s="9">
        <v>21152.9224878028</v>
      </c>
      <c r="O79" s="17">
        <v>29980.0036982001</v>
      </c>
      <c r="P79" s="16">
        <v>4.33035375217748</v>
      </c>
      <c r="Q79" s="9">
        <v>5.4038857425002904</v>
      </c>
      <c r="R79" s="9">
        <v>4.2064709983123798</v>
      </c>
      <c r="S79" s="17">
        <v>5.9618247151661397</v>
      </c>
      <c r="U79" s="11">
        <v>1186.99710515999</v>
      </c>
    </row>
    <row r="80" spans="2:24" x14ac:dyDescent="0.35">
      <c r="B80" s="2">
        <v>200327</v>
      </c>
      <c r="C80" s="116">
        <v>9817.34175399999</v>
      </c>
      <c r="D80" s="117">
        <v>4235.1948519999896</v>
      </c>
      <c r="E80" s="11">
        <v>3909.6479939174701</v>
      </c>
      <c r="F80" s="125">
        <v>1677.4816941142501</v>
      </c>
      <c r="G80" s="126">
        <v>61.049879413066698</v>
      </c>
      <c r="H80" s="16">
        <v>14257.611683163301</v>
      </c>
      <c r="I80" s="9">
        <v>18553.581290979098</v>
      </c>
      <c r="J80" s="9">
        <v>11787.963272216501</v>
      </c>
      <c r="K80" s="17">
        <v>18704.148365509602</v>
      </c>
      <c r="L80" s="16">
        <v>16509.1704243938</v>
      </c>
      <c r="M80" s="9">
        <v>21412.446196440898</v>
      </c>
      <c r="N80" s="9">
        <v>17036.985807753099</v>
      </c>
      <c r="O80" s="17">
        <v>23953.1709010462</v>
      </c>
      <c r="P80" s="16">
        <v>4.2226743814477397</v>
      </c>
      <c r="Q80" s="9">
        <v>5.4768220130696701</v>
      </c>
      <c r="R80" s="9">
        <v>4.3576776820467797</v>
      </c>
      <c r="S80" s="17">
        <v>6.1266822328536898</v>
      </c>
      <c r="U80" s="11">
        <v>1224.8087292</v>
      </c>
    </row>
    <row r="81" spans="2:21" x14ac:dyDescent="0.35">
      <c r="B81" s="2">
        <v>200351</v>
      </c>
      <c r="C81" s="116">
        <v>4915.7356929999896</v>
      </c>
      <c r="D81" s="117">
        <v>2735.644765</v>
      </c>
      <c r="E81" s="11">
        <v>5174.0709674578502</v>
      </c>
      <c r="F81" s="125">
        <v>1682.99492643029</v>
      </c>
      <c r="G81" s="126">
        <v>80.595500071113904</v>
      </c>
      <c r="H81" s="16">
        <v>20042.0610219021</v>
      </c>
      <c r="I81" s="9">
        <v>24563.908832938701</v>
      </c>
      <c r="J81" s="9">
        <v>15468.116913624701</v>
      </c>
      <c r="K81" s="17">
        <v>24543.506541913801</v>
      </c>
      <c r="L81" s="16">
        <v>22485.277864784799</v>
      </c>
      <c r="M81" s="9">
        <v>27812.958626668998</v>
      </c>
      <c r="N81" s="9">
        <v>21693.3214289764</v>
      </c>
      <c r="O81" s="17">
        <v>30768.7110572655</v>
      </c>
      <c r="P81" s="16">
        <v>4.3457613948871696</v>
      </c>
      <c r="Q81" s="9">
        <v>5.3754497767034399</v>
      </c>
      <c r="R81" s="9">
        <v>4.1926988565514103</v>
      </c>
      <c r="S81" s="17">
        <v>5.9467122215339199</v>
      </c>
      <c r="U81" s="11">
        <v>1228.8342008879899</v>
      </c>
    </row>
    <row r="82" spans="2:21" x14ac:dyDescent="0.35">
      <c r="B82" s="2">
        <v>200477</v>
      </c>
      <c r="C82" s="116">
        <v>5348.1829610000004</v>
      </c>
      <c r="D82" s="117">
        <v>2730.2990960000002</v>
      </c>
      <c r="E82" s="11">
        <v>2968.4639109775699</v>
      </c>
      <c r="F82" s="125">
        <v>1682.8745381195499</v>
      </c>
      <c r="G82" s="126">
        <v>46.117043702981597</v>
      </c>
      <c r="H82" s="16">
        <v>10202.104117323301</v>
      </c>
      <c r="I82" s="9">
        <v>14069.0245468785</v>
      </c>
      <c r="J82" s="9">
        <v>9048.6093514566801</v>
      </c>
      <c r="K82" s="17">
        <v>14357.572033676601</v>
      </c>
      <c r="L82" s="16">
        <v>12314.0631564408</v>
      </c>
      <c r="M82" s="9">
        <v>16638.221502352601</v>
      </c>
      <c r="N82" s="9">
        <v>13574.065108779299</v>
      </c>
      <c r="O82" s="17">
        <v>18883.027790999298</v>
      </c>
      <c r="P82" s="16">
        <v>4.1482947159649299</v>
      </c>
      <c r="Q82" s="9">
        <v>5.6049936941538503</v>
      </c>
      <c r="R82" s="9">
        <v>4.5727573303423101</v>
      </c>
      <c r="S82" s="17">
        <v>6.3612118446744796</v>
      </c>
      <c r="U82" s="11">
        <v>1228.7462996879899</v>
      </c>
    </row>
    <row r="83" spans="2:21" x14ac:dyDescent="0.35">
      <c r="B83" s="2">
        <v>200545</v>
      </c>
      <c r="C83" s="116">
        <v>4210.3810510000003</v>
      </c>
      <c r="D83" s="117">
        <v>2924.3604310000001</v>
      </c>
      <c r="E83" s="11">
        <v>4595.0347675583798</v>
      </c>
      <c r="F83" s="125">
        <v>1708.8863226685501</v>
      </c>
      <c r="G83" s="126">
        <v>71.356960399851701</v>
      </c>
      <c r="H83" s="16">
        <v>17350.079454975101</v>
      </c>
      <c r="I83" s="9">
        <v>21781.776646951399</v>
      </c>
      <c r="J83" s="9">
        <v>13782.808892369299</v>
      </c>
      <c r="K83" s="17">
        <v>21869.4015635381</v>
      </c>
      <c r="L83" s="16">
        <v>19715.161762017098</v>
      </c>
      <c r="M83" s="9">
        <v>24855.416150450201</v>
      </c>
      <c r="N83" s="9">
        <v>19570.610071290601</v>
      </c>
      <c r="O83" s="17">
        <v>27657.202742459402</v>
      </c>
      <c r="P83" s="16">
        <v>4.2905359283043998</v>
      </c>
      <c r="Q83" s="9">
        <v>5.4091900078609001</v>
      </c>
      <c r="R83" s="9">
        <v>4.2590776917428297</v>
      </c>
      <c r="S83" s="17">
        <v>6.0189322043270002</v>
      </c>
      <c r="U83" s="11">
        <v>1247.738733936</v>
      </c>
    </row>
    <row r="84" spans="2:21" x14ac:dyDescent="0.35">
      <c r="B84" s="2">
        <v>200567</v>
      </c>
      <c r="C84" s="116">
        <v>3470.95033899999</v>
      </c>
      <c r="D84" s="117">
        <v>2350.1353629999899</v>
      </c>
      <c r="E84" s="11">
        <v>1688.70240078694</v>
      </c>
      <c r="F84" s="125">
        <v>1027.4330114664799</v>
      </c>
      <c r="G84" s="126">
        <v>43.843740471898599</v>
      </c>
      <c r="H84" s="16">
        <v>5140.0482401821801</v>
      </c>
      <c r="I84" s="9">
        <v>8500.6531886935809</v>
      </c>
      <c r="J84" s="9">
        <v>5323.8122855864403</v>
      </c>
      <c r="K84" s="17">
        <v>8447.3774273142699</v>
      </c>
      <c r="L84" s="16">
        <v>6807.15963075739</v>
      </c>
      <c r="M84" s="9">
        <v>10534.2249177543</v>
      </c>
      <c r="N84" s="9">
        <v>8610.3795677539201</v>
      </c>
      <c r="O84" s="17">
        <v>11733.944709481701</v>
      </c>
      <c r="P84" s="16">
        <v>4.0310001499288397</v>
      </c>
      <c r="Q84" s="9">
        <v>6.23805882720682</v>
      </c>
      <c r="R84" s="9">
        <v>5.0988140738956798</v>
      </c>
      <c r="S84" s="17">
        <v>6.9484976772779197</v>
      </c>
      <c r="U84" s="11">
        <v>750.17743891199905</v>
      </c>
    </row>
    <row r="85" spans="2:21" x14ac:dyDescent="0.35">
      <c r="B85" s="2">
        <v>200643</v>
      </c>
      <c r="C85" s="116">
        <v>1503.9962459999899</v>
      </c>
      <c r="D85" s="117">
        <v>816.18750369999896</v>
      </c>
      <c r="E85" s="11">
        <v>2972.40596951929</v>
      </c>
      <c r="F85" s="125">
        <v>1682.93787429298</v>
      </c>
      <c r="G85" s="126">
        <v>46.176744387664598</v>
      </c>
      <c r="H85" s="16">
        <v>10218.5715768558</v>
      </c>
      <c r="I85" s="9">
        <v>14087.727730439699</v>
      </c>
      <c r="J85" s="9">
        <v>9060.0828705246895</v>
      </c>
      <c r="K85" s="17">
        <v>14375.777248434</v>
      </c>
      <c r="L85" s="16">
        <v>12331.1536089087</v>
      </c>
      <c r="M85" s="9">
        <v>16658.159119869899</v>
      </c>
      <c r="N85" s="9">
        <v>13588.6075104255</v>
      </c>
      <c r="O85" s="17">
        <v>18904.301888334801</v>
      </c>
      <c r="P85" s="16">
        <v>4.1485428758249103</v>
      </c>
      <c r="Q85" s="9">
        <v>5.6042678189627999</v>
      </c>
      <c r="R85" s="9">
        <v>4.5715853250769296</v>
      </c>
      <c r="S85" s="17">
        <v>6.3599326882633198</v>
      </c>
      <c r="U85" s="11">
        <v>1228.79254442399</v>
      </c>
    </row>
    <row r="86" spans="2:21" x14ac:dyDescent="0.35">
      <c r="B86" s="2">
        <v>200653</v>
      </c>
      <c r="C86" s="116">
        <v>3556.13005999999</v>
      </c>
      <c r="D86" s="117">
        <v>2163.93022199999</v>
      </c>
      <c r="E86" s="11">
        <v>4629.1654832178301</v>
      </c>
      <c r="F86" s="125">
        <v>1710.47303675834</v>
      </c>
      <c r="G86" s="126">
        <v>71.814437557292706</v>
      </c>
      <c r="H86" s="16">
        <v>17506.8224021446</v>
      </c>
      <c r="I86" s="9">
        <v>21941.9378219514</v>
      </c>
      <c r="J86" s="9">
        <v>13882.1477055248</v>
      </c>
      <c r="K86" s="17">
        <v>22027.024034596601</v>
      </c>
      <c r="L86" s="16">
        <v>19877.276151155402</v>
      </c>
      <c r="M86" s="9">
        <v>25025.8633940449</v>
      </c>
      <c r="N86" s="9">
        <v>19696.497070252899</v>
      </c>
      <c r="O86" s="17">
        <v>27841.373399324701</v>
      </c>
      <c r="P86" s="16">
        <v>4.2939221384970301</v>
      </c>
      <c r="Q86" s="9">
        <v>5.4061284879038096</v>
      </c>
      <c r="R86" s="9">
        <v>4.2548699418197202</v>
      </c>
      <c r="S86" s="17">
        <v>6.0143396256319503</v>
      </c>
      <c r="U86" s="11">
        <v>1248.89726894399</v>
      </c>
    </row>
    <row r="87" spans="2:21" x14ac:dyDescent="0.35">
      <c r="B87" s="2">
        <v>300862</v>
      </c>
      <c r="C87" s="116">
        <v>16096.349969999899</v>
      </c>
      <c r="D87" s="117">
        <v>7430.9152549999899</v>
      </c>
      <c r="E87" s="11">
        <v>4937.5826066584304</v>
      </c>
      <c r="F87" s="125">
        <v>3638.52501676463</v>
      </c>
      <c r="G87" s="126">
        <v>76.658176508419203</v>
      </c>
      <c r="H87" s="16">
        <v>18934.328454889299</v>
      </c>
      <c r="I87" s="9">
        <v>23384.9536767354</v>
      </c>
      <c r="J87" s="9">
        <v>14779.808079983601</v>
      </c>
      <c r="K87" s="17">
        <v>23451.355994069901</v>
      </c>
      <c r="L87" s="16">
        <v>23272.6263163767</v>
      </c>
      <c r="M87" s="9">
        <v>28480.222911053901</v>
      </c>
      <c r="N87" s="9">
        <v>22753.3620455983</v>
      </c>
      <c r="O87" s="17">
        <v>31424.909959684599</v>
      </c>
      <c r="P87" s="16">
        <v>4.7133644478156498</v>
      </c>
      <c r="Q87" s="9">
        <v>5.76804991022283</v>
      </c>
      <c r="R87" s="9">
        <v>4.6081987600399597</v>
      </c>
      <c r="S87" s="17">
        <v>6.3644322461172598</v>
      </c>
      <c r="U87" s="11">
        <v>2631.44474936799</v>
      </c>
    </row>
    <row r="88" spans="2:21" x14ac:dyDescent="0.35">
      <c r="B88" s="2">
        <v>300873</v>
      </c>
      <c r="C88" s="116">
        <v>42568.005319999902</v>
      </c>
      <c r="D88" s="117">
        <v>18615.110110000001</v>
      </c>
      <c r="E88" s="11">
        <v>7012.3998936970102</v>
      </c>
      <c r="F88" s="125">
        <v>6337.2201640635503</v>
      </c>
      <c r="G88" s="126">
        <v>109.06641802105101</v>
      </c>
      <c r="H88" s="16">
        <v>29000.377870633602</v>
      </c>
      <c r="I88" s="9">
        <v>33223.153882572296</v>
      </c>
      <c r="J88" s="9">
        <v>20818.646786600799</v>
      </c>
      <c r="K88" s="17">
        <v>33033.277189071501</v>
      </c>
      <c r="L88" s="16">
        <v>36335.715058369497</v>
      </c>
      <c r="M88" s="9">
        <v>41636.036829627999</v>
      </c>
      <c r="N88" s="9">
        <v>33076.581212379897</v>
      </c>
      <c r="O88" s="17">
        <v>45291.211614850603</v>
      </c>
      <c r="P88" s="16">
        <v>5.1816376146815797</v>
      </c>
      <c r="Q88" s="9">
        <v>5.9374875165137002</v>
      </c>
      <c r="R88" s="9">
        <v>4.7168703601901498</v>
      </c>
      <c r="S88" s="17">
        <v>6.4587320035128002</v>
      </c>
      <c r="U88" s="11">
        <v>6746.1717195599904</v>
      </c>
    </row>
    <row r="89" spans="2:21" x14ac:dyDescent="0.35">
      <c r="B89" s="2">
        <v>300903</v>
      </c>
      <c r="C89" s="116">
        <v>14530.36823</v>
      </c>
      <c r="D89" s="117">
        <v>7820.9595360000003</v>
      </c>
      <c r="E89" s="11">
        <v>4640.38633727668</v>
      </c>
      <c r="F89" s="125">
        <v>1681.01709721055</v>
      </c>
      <c r="G89" s="126">
        <v>72.346335386644895</v>
      </c>
      <c r="H89" s="16">
        <v>17558.407857560502</v>
      </c>
      <c r="I89" s="9">
        <v>22027.0889750151</v>
      </c>
      <c r="J89" s="9">
        <v>13914.8064500972</v>
      </c>
      <c r="K89" s="17">
        <v>22078.844182811099</v>
      </c>
      <c r="L89" s="16">
        <v>19921.088031527099</v>
      </c>
      <c r="M89" s="9">
        <v>25111.809423810599</v>
      </c>
      <c r="N89" s="9">
        <v>19728.344330890501</v>
      </c>
      <c r="O89" s="17">
        <v>27892.3820636044</v>
      </c>
      <c r="P89" s="16">
        <v>4.2929804942099397</v>
      </c>
      <c r="Q89" s="9">
        <v>5.41157731245025</v>
      </c>
      <c r="R89" s="9">
        <v>4.2514443619512301</v>
      </c>
      <c r="S89" s="17">
        <v>6.0107887654831904</v>
      </c>
      <c r="U89" s="11">
        <v>1227.39009422399</v>
      </c>
    </row>
    <row r="90" spans="2:21" x14ac:dyDescent="0.35">
      <c r="B90" s="2">
        <v>300919</v>
      </c>
      <c r="C90" s="116">
        <v>15335.709430000001</v>
      </c>
      <c r="D90" s="117">
        <v>6334.4438039999905</v>
      </c>
      <c r="E90" s="11">
        <v>4018.09165830436</v>
      </c>
      <c r="F90" s="125">
        <v>6325.5555586090104</v>
      </c>
      <c r="G90" s="126">
        <v>62.376522660300601</v>
      </c>
      <c r="H90" s="16">
        <v>14739.6509135866</v>
      </c>
      <c r="I90" s="9">
        <v>18993.326743482601</v>
      </c>
      <c r="J90" s="9">
        <v>12103.5928951611</v>
      </c>
      <c r="K90" s="17">
        <v>19204.962896381199</v>
      </c>
      <c r="L90" s="16">
        <v>21625.332276162899</v>
      </c>
      <c r="M90" s="9">
        <v>26487.137792476198</v>
      </c>
      <c r="N90" s="9">
        <v>22054.023008048898</v>
      </c>
      <c r="O90" s="17">
        <v>29155.393009268901</v>
      </c>
      <c r="P90" s="16">
        <v>5.3819907844732402</v>
      </c>
      <c r="Q90" s="9">
        <v>6.5919695330329402</v>
      </c>
      <c r="R90" s="9">
        <v>5.4886809170888098</v>
      </c>
      <c r="S90" s="17">
        <v>7.2560298491479696</v>
      </c>
      <c r="U90" s="11">
        <v>6733.7543773499901</v>
      </c>
    </row>
    <row r="91" spans="2:21" x14ac:dyDescent="0.35">
      <c r="B91" s="2">
        <v>300933</v>
      </c>
      <c r="C91" s="116">
        <v>5247.0757899999899</v>
      </c>
      <c r="D91" s="117">
        <v>2726.1884610000002</v>
      </c>
      <c r="E91" s="11">
        <v>2708.5385806519498</v>
      </c>
      <c r="F91" s="125">
        <v>1708.39062516729</v>
      </c>
      <c r="G91" s="126">
        <v>41.933645688387102</v>
      </c>
      <c r="H91" s="16">
        <v>9126.9309406934299</v>
      </c>
      <c r="I91" s="9">
        <v>12816.2820387882</v>
      </c>
      <c r="J91" s="9">
        <v>8292.0862805307497</v>
      </c>
      <c r="K91" s="17">
        <v>13157.1848731668</v>
      </c>
      <c r="L91" s="16">
        <v>11215.4476925492</v>
      </c>
      <c r="M91" s="9">
        <v>15317.5438614427</v>
      </c>
      <c r="N91" s="9">
        <v>12632.826480137801</v>
      </c>
      <c r="O91" s="17">
        <v>17497.925072774</v>
      </c>
      <c r="P91" s="16">
        <v>4.1407745758783499</v>
      </c>
      <c r="Q91" s="9">
        <v>5.6552799250715298</v>
      </c>
      <c r="R91" s="9">
        <v>4.6640747783245899</v>
      </c>
      <c r="S91" s="17">
        <v>6.4602827509151304</v>
      </c>
      <c r="U91" s="11">
        <v>1247.37680174399</v>
      </c>
    </row>
    <row r="92" spans="2:21" x14ac:dyDescent="0.35">
      <c r="B92" s="2">
        <v>300947</v>
      </c>
      <c r="C92" s="116">
        <v>10259.505870000001</v>
      </c>
      <c r="D92" s="117">
        <v>5294.4819699999898</v>
      </c>
      <c r="E92" s="11">
        <v>3474.5912617346498</v>
      </c>
      <c r="F92" s="125">
        <v>9953.4910813923107</v>
      </c>
      <c r="G92" s="126">
        <v>53.486034111379702</v>
      </c>
      <c r="H92" s="16">
        <v>12353.2770601956</v>
      </c>
      <c r="I92" s="9">
        <v>16360.5888011727</v>
      </c>
      <c r="J92" s="9">
        <v>10521.7132509291</v>
      </c>
      <c r="K92" s="17">
        <v>16694.969364942899</v>
      </c>
      <c r="L92" s="16">
        <v>22765.560121534301</v>
      </c>
      <c r="M92" s="9">
        <v>27285.128423251899</v>
      </c>
      <c r="N92" s="9">
        <v>23661.524806523699</v>
      </c>
      <c r="O92" s="17">
        <v>29834.780920537502</v>
      </c>
      <c r="P92" s="16">
        <v>6.5520109868027596</v>
      </c>
      <c r="Q92" s="9">
        <v>7.852759178825</v>
      </c>
      <c r="R92" s="9">
        <v>6.8098728811949396</v>
      </c>
      <c r="S92" s="17">
        <v>8.5865584390040794</v>
      </c>
      <c r="U92" s="11">
        <v>10003.16805138</v>
      </c>
    </row>
    <row r="93" spans="2:21" x14ac:dyDescent="0.35">
      <c r="B93" s="2">
        <v>300957</v>
      </c>
      <c r="C93" s="116">
        <v>8173.1682909999899</v>
      </c>
      <c r="D93" s="117">
        <v>3503.6408620000002</v>
      </c>
      <c r="E93" s="11">
        <v>4026.7390890046599</v>
      </c>
      <c r="F93" s="125">
        <v>1662.7573245015899</v>
      </c>
      <c r="G93" s="126">
        <v>63.506507811881299</v>
      </c>
      <c r="H93" s="16">
        <v>14778.2110440213</v>
      </c>
      <c r="I93" s="9">
        <v>19128.1758403739</v>
      </c>
      <c r="J93" s="9">
        <v>12128.7615881116</v>
      </c>
      <c r="K93" s="17">
        <v>19244.898460841301</v>
      </c>
      <c r="L93" s="16">
        <v>17043.169503129699</v>
      </c>
      <c r="M93" s="9">
        <v>22022.678630181199</v>
      </c>
      <c r="N93" s="9">
        <v>17463.8341823839</v>
      </c>
      <c r="O93" s="17">
        <v>24579.971055113601</v>
      </c>
      <c r="P93" s="16">
        <v>4.23249908335693</v>
      </c>
      <c r="Q93" s="9">
        <v>5.4691099034243003</v>
      </c>
      <c r="R93" s="9">
        <v>4.3369669095448202</v>
      </c>
      <c r="S93" s="17">
        <v>6.1041876594962901</v>
      </c>
      <c r="T93" s="11"/>
      <c r="U93" s="11">
        <v>1214.05777048799</v>
      </c>
    </row>
    <row r="94" spans="2:21" x14ac:dyDescent="0.35">
      <c r="B94" s="2">
        <v>300959</v>
      </c>
      <c r="C94" s="116">
        <v>23627.2036999999</v>
      </c>
      <c r="D94" s="117">
        <v>12469.579079999899</v>
      </c>
      <c r="E94" s="11">
        <v>8686.3623706478502</v>
      </c>
      <c r="F94" s="125">
        <v>1680.37435409253</v>
      </c>
      <c r="G94" s="126">
        <v>135.74030884056501</v>
      </c>
      <c r="H94" s="16">
        <v>37617.648085571898</v>
      </c>
      <c r="I94" s="9">
        <v>41282.951654170298</v>
      </c>
      <c r="J94" s="9">
        <v>25690.781534265399</v>
      </c>
      <c r="K94" s="17">
        <v>40763.970700125901</v>
      </c>
      <c r="L94" s="16">
        <v>40589.579273250703</v>
      </c>
      <c r="M94" s="9">
        <v>45617.242719798203</v>
      </c>
      <c r="N94" s="9">
        <v>34623.936718436402</v>
      </c>
      <c r="O94" s="17">
        <v>49697.125884296896</v>
      </c>
      <c r="P94" s="16">
        <v>4.6727936898427398</v>
      </c>
      <c r="Q94" s="9">
        <v>5.2515933337001597</v>
      </c>
      <c r="R94" s="9">
        <v>3.9860110873838699</v>
      </c>
      <c r="S94" s="17">
        <v>5.7212816785342504</v>
      </c>
      <c r="U94">
        <v>1226.9207970719899</v>
      </c>
    </row>
    <row r="95" spans="2:21" x14ac:dyDescent="0.35">
      <c r="B95" s="2">
        <v>301010</v>
      </c>
      <c r="C95" s="116">
        <v>27237.759900000001</v>
      </c>
      <c r="D95" s="117">
        <v>14316.160099999899</v>
      </c>
      <c r="E95" s="11">
        <v>5752.96914969926</v>
      </c>
      <c r="F95" s="125">
        <v>9943.1499814926992</v>
      </c>
      <c r="G95" s="126">
        <v>89.177107996193797</v>
      </c>
      <c r="H95" s="16">
        <v>22799.1517728283</v>
      </c>
      <c r="I95" s="9">
        <v>27182.190115199501</v>
      </c>
      <c r="J95" s="9">
        <v>17153.0232289657</v>
      </c>
      <c r="K95" s="17">
        <v>27216.9741271411</v>
      </c>
      <c r="L95" s="16">
        <v>33529.983638145502</v>
      </c>
      <c r="M95" s="9">
        <v>38781.192908515703</v>
      </c>
      <c r="N95" s="9">
        <v>32025.025932905301</v>
      </c>
      <c r="O95" s="17">
        <v>42088.976831080698</v>
      </c>
      <c r="P95" s="16">
        <v>5.8282919246834997</v>
      </c>
      <c r="Q95" s="9">
        <v>6.7410743738375398</v>
      </c>
      <c r="R95" s="9">
        <v>5.5666952315535001</v>
      </c>
      <c r="S95" s="17">
        <v>7.3160442435678501</v>
      </c>
      <c r="U95">
        <v>9992.7753399899902</v>
      </c>
    </row>
    <row r="96" spans="2:21" x14ac:dyDescent="0.35">
      <c r="B96" s="2">
        <v>301056</v>
      </c>
      <c r="C96" s="116">
        <v>53442.522649999897</v>
      </c>
      <c r="D96" s="117">
        <v>16337.36232</v>
      </c>
      <c r="E96" s="11">
        <v>10320.957963762399</v>
      </c>
      <c r="F96" s="125">
        <v>3632.1244614163002</v>
      </c>
      <c r="G96" s="126">
        <v>161.075013541397</v>
      </c>
      <c r="H96" s="16">
        <v>46386.949612403099</v>
      </c>
      <c r="I96" s="9">
        <v>48981.470881230001</v>
      </c>
      <c r="J96" s="9">
        <v>30448.337391849102</v>
      </c>
      <c r="K96" s="17">
        <v>48312.860068247799</v>
      </c>
      <c r="L96" s="16">
        <v>51513.989052360303</v>
      </c>
      <c r="M96" s="9">
        <v>55712.2430329868</v>
      </c>
      <c r="N96" s="9">
        <v>42550.8020100024</v>
      </c>
      <c r="O96" s="17">
        <v>60415.324686401</v>
      </c>
      <c r="P96" s="16">
        <v>4.9912022927744903</v>
      </c>
      <c r="Q96" s="9">
        <v>5.3979720902455002</v>
      </c>
      <c r="R96" s="9">
        <v>4.1227570308299804</v>
      </c>
      <c r="S96" s="17">
        <v>5.85365475748696</v>
      </c>
      <c r="U96">
        <v>2626.8157561120001</v>
      </c>
    </row>
    <row r="97" spans="2:22" x14ac:dyDescent="0.35">
      <c r="B97" s="2">
        <v>401275</v>
      </c>
      <c r="C97" s="116">
        <v>14038.607040000001</v>
      </c>
      <c r="D97" s="117">
        <v>7061.9814459999898</v>
      </c>
      <c r="E97" s="11">
        <v>3278.7309786328501</v>
      </c>
      <c r="F97" s="125">
        <v>6338.9632791719296</v>
      </c>
      <c r="G97" s="126">
        <v>50.6699094407373</v>
      </c>
      <c r="H97" s="16">
        <v>11512.2212239618</v>
      </c>
      <c r="I97" s="9">
        <v>15474.64504748</v>
      </c>
      <c r="J97" s="9">
        <v>9951.6540625500693</v>
      </c>
      <c r="K97" s="17">
        <v>15790.4474055222</v>
      </c>
      <c r="L97" s="16">
        <v>18300.275830800401</v>
      </c>
      <c r="M97" s="9">
        <v>22753.845301922702</v>
      </c>
      <c r="N97" s="9">
        <v>19345.7136923912</v>
      </c>
      <c r="O97" s="17">
        <v>25184.5070353634</v>
      </c>
      <c r="P97" s="16">
        <v>5.5815118562826402</v>
      </c>
      <c r="Q97" s="9">
        <v>6.9398329567772103</v>
      </c>
      <c r="R97" s="9">
        <v>5.9003662753867898</v>
      </c>
      <c r="S97" s="17">
        <v>7.6811751862193596</v>
      </c>
      <c r="U97">
        <v>6748.0273208400004</v>
      </c>
    </row>
    <row r="98" spans="2:22" x14ac:dyDescent="0.35">
      <c r="B98" s="4">
        <v>401359</v>
      </c>
      <c r="C98" s="118">
        <v>12288.9517699999</v>
      </c>
      <c r="D98" s="119">
        <v>6190.0128109999896</v>
      </c>
      <c r="E98" s="13">
        <v>3795.5150536535102</v>
      </c>
      <c r="F98" s="127">
        <v>9963.4554385109095</v>
      </c>
      <c r="G98" s="128">
        <v>58.4309711758427</v>
      </c>
      <c r="H98" s="18">
        <v>13753.3847054498</v>
      </c>
      <c r="I98" s="30">
        <v>17882.5598837205</v>
      </c>
      <c r="J98" s="30">
        <v>11455.7747842607</v>
      </c>
      <c r="K98" s="19">
        <v>18177.059620782598</v>
      </c>
      <c r="L98" s="18">
        <v>24220.665810922499</v>
      </c>
      <c r="M98" s="30">
        <v>28911.734111196001</v>
      </c>
      <c r="N98" s="30">
        <v>24849.704759923199</v>
      </c>
      <c r="O98" s="19">
        <v>31570.989596445099</v>
      </c>
      <c r="P98" s="18">
        <v>6.3813910545837498</v>
      </c>
      <c r="Q98" s="30">
        <v>7.6173414418066798</v>
      </c>
      <c r="R98" s="30">
        <v>6.5471232253454499</v>
      </c>
      <c r="S98" s="19">
        <v>8.3179724359294305</v>
      </c>
      <c r="U98">
        <v>10013.1821397</v>
      </c>
    </row>
    <row r="99" spans="2:22" x14ac:dyDescent="0.35">
      <c r="B99" s="148" t="s">
        <v>109</v>
      </c>
      <c r="C99" s="152">
        <f t="shared" ref="C99:U99" si="10">SUM(C76:C98)</f>
        <v>300649.47332099936</v>
      </c>
      <c r="D99" s="153">
        <f t="shared" si="10"/>
        <v>138215.84864769969</v>
      </c>
      <c r="E99" s="149">
        <f t="shared" si="10"/>
        <v>105106.04726324255</v>
      </c>
      <c r="F99" s="224">
        <f t="shared" si="10"/>
        <v>80727.176235361127</v>
      </c>
      <c r="G99" s="23">
        <f t="shared" si="10"/>
        <v>1655.7922314267864</v>
      </c>
      <c r="H99" s="22">
        <f t="shared" si="10"/>
        <v>404755.12428470387</v>
      </c>
      <c r="I99" s="223">
        <f t="shared" si="10"/>
        <v>498671.86538292415</v>
      </c>
      <c r="J99" s="223">
        <f t="shared" si="10"/>
        <v>315317.21200155746</v>
      </c>
      <c r="K99" s="21">
        <f t="shared" si="10"/>
        <v>500318.82347110647</v>
      </c>
      <c r="L99" s="22">
        <f t="shared" si="10"/>
        <v>500996.20372546889</v>
      </c>
      <c r="M99" s="223">
        <f t="shared" si="10"/>
        <v>611214.32932899625</v>
      </c>
      <c r="N99" s="223">
        <f t="shared" si="10"/>
        <v>489921.11232727411</v>
      </c>
      <c r="O99" s="21">
        <f t="shared" si="10"/>
        <v>674922.72379682318</v>
      </c>
      <c r="P99" s="22">
        <f>Table27[[#This Row],[USDA_pow_t]]/Table27[[#This Row],[damVol_yds]]</f>
        <v>4.7665782965912769</v>
      </c>
      <c r="Q99" s="223">
        <f>Table27[[#This Row],[dikeUSDA_t]]/Table27[[#This Row],[damVol_yds]]</f>
        <v>5.8152156345313228</v>
      </c>
      <c r="R99" s="223">
        <f>Table27[[#This Row],[cc_total]]/Table27[[#This Row],[damVol_yds]]</f>
        <v>4.6612076572553995</v>
      </c>
      <c r="S99" s="21">
        <f>Table27[[#This Row],[cc_total]]/Table27[[#This Row],[damVol_yds]]</f>
        <v>4.6612076572553995</v>
      </c>
      <c r="U99" s="142">
        <f t="shared" si="10"/>
        <v>73453.086859531846</v>
      </c>
      <c r="V99" s="173">
        <f>F99-U99</f>
        <v>7274.0893758292805</v>
      </c>
    </row>
    <row r="103" spans="2:22" x14ac:dyDescent="0.35">
      <c r="B103" s="1" t="s">
        <v>113</v>
      </c>
      <c r="M103">
        <v>141</v>
      </c>
      <c r="N103">
        <f>$M$7-M103</f>
        <v>23</v>
      </c>
      <c r="O103" s="172">
        <f>-N103/$M$7</f>
        <v>-0.1402439024390244</v>
      </c>
    </row>
    <row r="104" spans="2:22" x14ac:dyDescent="0.35">
      <c r="B104" s="135" t="s">
        <v>92</v>
      </c>
      <c r="C104" s="134" t="s">
        <v>96</v>
      </c>
      <c r="D104" s="135" t="s">
        <v>97</v>
      </c>
      <c r="E104" s="133" t="s">
        <v>98</v>
      </c>
      <c r="F104" s="134" t="s">
        <v>99</v>
      </c>
      <c r="G104" s="135" t="s">
        <v>100</v>
      </c>
      <c r="H104" s="136" t="s">
        <v>149</v>
      </c>
      <c r="I104" s="137" t="s">
        <v>150</v>
      </c>
      <c r="J104" s="137" t="s">
        <v>151</v>
      </c>
      <c r="K104" s="112" t="s">
        <v>159</v>
      </c>
      <c r="L104" s="136" t="s">
        <v>152</v>
      </c>
      <c r="M104" s="138" t="s">
        <v>153</v>
      </c>
      <c r="N104" s="135" t="s">
        <v>154</v>
      </c>
      <c r="O104" s="109" t="s">
        <v>158</v>
      </c>
      <c r="P104" s="150" t="s">
        <v>155</v>
      </c>
      <c r="Q104" s="151" t="s">
        <v>156</v>
      </c>
      <c r="R104" s="151" t="s">
        <v>157</v>
      </c>
      <c r="S104" s="138" t="s">
        <v>160</v>
      </c>
    </row>
    <row r="105" spans="2:22" x14ac:dyDescent="0.35">
      <c r="B105" s="217">
        <v>200072</v>
      </c>
      <c r="C105" s="160">
        <v>9838.1332989999901</v>
      </c>
      <c r="D105" s="161">
        <v>4891.3095059999896</v>
      </c>
      <c r="E105" s="157">
        <v>4865.1127636856199</v>
      </c>
      <c r="F105" s="143">
        <v>1677.3296247002399</v>
      </c>
      <c r="G105" s="145">
        <v>76.049418452089498</v>
      </c>
      <c r="H105" s="143">
        <v>18597.128920263702</v>
      </c>
      <c r="I105" s="144">
        <v>23101.672346011601</v>
      </c>
      <c r="J105" s="144">
        <v>14568.881703217499</v>
      </c>
      <c r="K105" s="145">
        <v>23116.675765252901</v>
      </c>
      <c r="L105" s="143">
        <v>20993.048391544198</v>
      </c>
      <c r="M105" s="144">
        <v>26256.278226180799</v>
      </c>
      <c r="N105" s="144">
        <v>20555.0926398544</v>
      </c>
      <c r="O105" s="145">
        <v>29102.886701889802</v>
      </c>
      <c r="P105" s="143">
        <v>4.3150178446512903</v>
      </c>
      <c r="Q105" s="144">
        <v>5.3968488504858501</v>
      </c>
      <c r="R105" s="29">
        <v>4.2249981939334704</v>
      </c>
      <c r="S105" s="15">
        <v>5.9819552219058103</v>
      </c>
      <c r="U105">
        <v>1224.69769612799</v>
      </c>
    </row>
    <row r="106" spans="2:22" x14ac:dyDescent="0.35">
      <c r="B106">
        <v>200130</v>
      </c>
      <c r="C106" s="116">
        <v>7875.5491519999896</v>
      </c>
      <c r="D106" s="117">
        <v>4953.5572339999899</v>
      </c>
      <c r="E106" s="2">
        <v>2720.4987122282901</v>
      </c>
      <c r="F106" s="16">
        <v>1266.99587333769</v>
      </c>
      <c r="G106" s="17">
        <v>57.092112173147598</v>
      </c>
      <c r="H106" s="16">
        <v>9175.9331148373603</v>
      </c>
      <c r="I106" s="9">
        <v>13317.8748145549</v>
      </c>
      <c r="J106" s="9">
        <v>8326.8967218889302</v>
      </c>
      <c r="K106" s="17">
        <v>13212.419152812599</v>
      </c>
      <c r="L106" s="16">
        <v>11131.550917303101</v>
      </c>
      <c r="M106" s="9">
        <v>15783.269498781199</v>
      </c>
      <c r="N106" s="9">
        <v>12542.1587553438</v>
      </c>
      <c r="O106" s="17">
        <v>17427.6811862676</v>
      </c>
      <c r="P106" s="16">
        <v>4.0917317355337204</v>
      </c>
      <c r="Q106" s="9">
        <v>5.8016088843701503</v>
      </c>
      <c r="R106" s="9">
        <v>4.6102424893525802</v>
      </c>
      <c r="S106" s="17">
        <v>6.4060611783907202</v>
      </c>
      <c r="U106">
        <v>925.09361560799903</v>
      </c>
    </row>
    <row r="107" spans="2:22" x14ac:dyDescent="0.35">
      <c r="B107" s="218">
        <v>200151</v>
      </c>
      <c r="C107" s="162">
        <v>4693.3758889999899</v>
      </c>
      <c r="D107" s="163">
        <v>2180.855943</v>
      </c>
      <c r="E107" s="158">
        <v>2423.7401991812299</v>
      </c>
      <c r="F107" s="168">
        <v>1678.0983186339899</v>
      </c>
      <c r="G107" s="169">
        <v>37.719531451799298</v>
      </c>
      <c r="H107" s="168">
        <v>7974.2124711958004</v>
      </c>
      <c r="I107" s="166">
        <v>11480.4285840501</v>
      </c>
      <c r="J107" s="166">
        <v>7463.1691993249597</v>
      </c>
      <c r="K107" s="169">
        <v>11841.928987858701</v>
      </c>
      <c r="L107" s="168">
        <v>10001.586593374401</v>
      </c>
      <c r="M107" s="166">
        <v>13879.6638784971</v>
      </c>
      <c r="N107" s="166">
        <v>11566.0607654875</v>
      </c>
      <c r="O107" s="169">
        <v>15944.8205540213</v>
      </c>
      <c r="P107" s="168">
        <v>4.1265093497863399</v>
      </c>
      <c r="Q107" s="166">
        <v>5.7265477063860901</v>
      </c>
      <c r="R107" s="9">
        <v>4.7719886683377499</v>
      </c>
      <c r="S107" s="17">
        <v>6.5786013531515</v>
      </c>
      <c r="U107">
        <v>1225.258955928</v>
      </c>
    </row>
    <row r="108" spans="2:22" x14ac:dyDescent="0.35">
      <c r="B108">
        <v>200216</v>
      </c>
      <c r="C108" s="116">
        <v>1126.531373</v>
      </c>
      <c r="D108" s="117">
        <v>594.12306909999904</v>
      </c>
      <c r="E108" s="2">
        <v>1705.4643853709699</v>
      </c>
      <c r="F108" s="16">
        <v>1681.08482735763</v>
      </c>
      <c r="G108" s="17">
        <v>26.401330909603701</v>
      </c>
      <c r="H108" s="16">
        <v>5202.1187938396997</v>
      </c>
      <c r="I108" s="9">
        <v>8060.1354607303201</v>
      </c>
      <c r="J108" s="9">
        <v>5372.5987121976405</v>
      </c>
      <c r="K108" s="17">
        <v>8524.7876245202406</v>
      </c>
      <c r="L108" s="16">
        <v>7123.1331221607397</v>
      </c>
      <c r="M108" s="9">
        <v>10238.944516207101</v>
      </c>
      <c r="N108" s="9">
        <v>8923.4690730659604</v>
      </c>
      <c r="O108" s="17">
        <v>12075.6579853885</v>
      </c>
      <c r="P108" s="16">
        <v>4.1766531058995398</v>
      </c>
      <c r="Q108" s="9">
        <v>6.00361086636235</v>
      </c>
      <c r="R108" s="9">
        <v>5.2322811016220099</v>
      </c>
      <c r="S108" s="17">
        <v>7.0805688403524396</v>
      </c>
      <c r="U108">
        <v>1227.439547208</v>
      </c>
    </row>
    <row r="109" spans="2:22" x14ac:dyDescent="0.35">
      <c r="B109" s="218">
        <v>200477</v>
      </c>
      <c r="C109" s="162">
        <v>5348.1829610000004</v>
      </c>
      <c r="D109" s="163">
        <v>2730.2990960000002</v>
      </c>
      <c r="E109" s="158">
        <v>2968.4639109775699</v>
      </c>
      <c r="F109" s="168">
        <v>1682.8745381195499</v>
      </c>
      <c r="G109" s="169">
        <v>46.117043702981597</v>
      </c>
      <c r="H109" s="168">
        <v>10202.104117323301</v>
      </c>
      <c r="I109" s="166">
        <v>14069.0245468785</v>
      </c>
      <c r="J109" s="166">
        <v>9048.6093514566801</v>
      </c>
      <c r="K109" s="169">
        <v>14357.572033676601</v>
      </c>
      <c r="L109" s="168">
        <v>12314.0631564408</v>
      </c>
      <c r="M109" s="166">
        <v>16638.221502352601</v>
      </c>
      <c r="N109" s="166">
        <v>13574.065108779299</v>
      </c>
      <c r="O109" s="169">
        <v>18883.027790999298</v>
      </c>
      <c r="P109" s="168">
        <v>4.1482947159649299</v>
      </c>
      <c r="Q109" s="166">
        <v>5.6049936941538503</v>
      </c>
      <c r="R109" s="9">
        <v>4.5727573303423101</v>
      </c>
      <c r="S109" s="17">
        <v>6.3612118446744796</v>
      </c>
      <c r="U109">
        <v>1228.7462996879899</v>
      </c>
    </row>
    <row r="110" spans="2:22" x14ac:dyDescent="0.35">
      <c r="B110">
        <v>200545</v>
      </c>
      <c r="C110" s="116">
        <v>4210.3810510000003</v>
      </c>
      <c r="D110" s="117">
        <v>2924.3604310000001</v>
      </c>
      <c r="E110" s="2">
        <v>4595.0347675583798</v>
      </c>
      <c r="F110" s="16">
        <v>1708.8863226685501</v>
      </c>
      <c r="G110" s="17">
        <v>71.356960399851701</v>
      </c>
      <c r="H110" s="16">
        <v>17350.079454975101</v>
      </c>
      <c r="I110" s="9">
        <v>21781.776646951399</v>
      </c>
      <c r="J110" s="9">
        <v>13782.808892369299</v>
      </c>
      <c r="K110" s="17">
        <v>21869.4015635381</v>
      </c>
      <c r="L110" s="16">
        <v>19715.161762017098</v>
      </c>
      <c r="M110" s="9">
        <v>24855.416150450201</v>
      </c>
      <c r="N110" s="9">
        <v>19570.610071290601</v>
      </c>
      <c r="O110" s="17">
        <v>27657.202742459402</v>
      </c>
      <c r="P110" s="16">
        <v>4.2905359283043998</v>
      </c>
      <c r="Q110" s="9">
        <v>5.4091900078609001</v>
      </c>
      <c r="R110" s="9">
        <v>4.2590776917428297</v>
      </c>
      <c r="S110" s="17">
        <v>6.0189322043270002</v>
      </c>
      <c r="U110">
        <v>1247.738733936</v>
      </c>
    </row>
    <row r="111" spans="2:22" x14ac:dyDescent="0.35">
      <c r="B111" s="218">
        <v>200567</v>
      </c>
      <c r="C111" s="162">
        <v>3470.95033899999</v>
      </c>
      <c r="D111" s="163">
        <v>2350.1353629999899</v>
      </c>
      <c r="E111" s="158">
        <v>1688.70240078694</v>
      </c>
      <c r="F111" s="168">
        <v>1027.4330114664799</v>
      </c>
      <c r="G111" s="169">
        <v>43.843740471898599</v>
      </c>
      <c r="H111" s="168">
        <v>5140.0482401821801</v>
      </c>
      <c r="I111" s="166">
        <v>8500.6531886935809</v>
      </c>
      <c r="J111" s="166">
        <v>5323.8122855864403</v>
      </c>
      <c r="K111" s="169">
        <v>8447.3774273142699</v>
      </c>
      <c r="L111" s="168">
        <v>6807.15963075739</v>
      </c>
      <c r="M111" s="166">
        <v>10534.2249177543</v>
      </c>
      <c r="N111" s="166">
        <v>8610.3795677539201</v>
      </c>
      <c r="O111" s="169">
        <v>11733.944709481701</v>
      </c>
      <c r="P111" s="168">
        <v>4.0310001499288397</v>
      </c>
      <c r="Q111" s="166">
        <v>6.23805882720682</v>
      </c>
      <c r="R111" s="9">
        <v>5.0988140738956798</v>
      </c>
      <c r="S111" s="17">
        <v>6.9484976772779197</v>
      </c>
      <c r="U111">
        <v>750.17743891199905</v>
      </c>
    </row>
    <row r="112" spans="2:22" x14ac:dyDescent="0.35">
      <c r="B112">
        <v>200643</v>
      </c>
      <c r="C112" s="116">
        <v>1503.9962459999899</v>
      </c>
      <c r="D112" s="117">
        <v>816.18750369999896</v>
      </c>
      <c r="E112" s="2">
        <v>2972.40596951929</v>
      </c>
      <c r="F112" s="16">
        <v>1682.93787429298</v>
      </c>
      <c r="G112" s="17">
        <v>46.176744387664598</v>
      </c>
      <c r="H112" s="16">
        <v>10218.5715768558</v>
      </c>
      <c r="I112" s="9">
        <v>14087.727730439699</v>
      </c>
      <c r="J112" s="9">
        <v>9060.0828705246895</v>
      </c>
      <c r="K112" s="17">
        <v>14375.777248434</v>
      </c>
      <c r="L112" s="16">
        <v>12331.1536089087</v>
      </c>
      <c r="M112" s="9">
        <v>16658.159119869899</v>
      </c>
      <c r="N112" s="9">
        <v>13588.6075104255</v>
      </c>
      <c r="O112" s="17">
        <v>18904.301888334801</v>
      </c>
      <c r="P112" s="16">
        <v>4.1485428758249103</v>
      </c>
      <c r="Q112" s="9">
        <v>5.6042678189627999</v>
      </c>
      <c r="R112" s="9">
        <v>4.5715853250769296</v>
      </c>
      <c r="S112" s="17">
        <v>6.3599326882633198</v>
      </c>
      <c r="U112">
        <v>1228.79254442399</v>
      </c>
    </row>
    <row r="113" spans="2:22" x14ac:dyDescent="0.35">
      <c r="B113" s="218">
        <v>200653</v>
      </c>
      <c r="C113" s="162">
        <v>3556.13005999999</v>
      </c>
      <c r="D113" s="163">
        <v>2163.93022199999</v>
      </c>
      <c r="E113" s="158">
        <v>4629.1654832178301</v>
      </c>
      <c r="F113" s="168">
        <v>1710.47303675834</v>
      </c>
      <c r="G113" s="169">
        <v>71.814437557292706</v>
      </c>
      <c r="H113" s="168">
        <v>17506.8224021446</v>
      </c>
      <c r="I113" s="166">
        <v>21941.9378219514</v>
      </c>
      <c r="J113" s="166">
        <v>13882.1477055248</v>
      </c>
      <c r="K113" s="169">
        <v>22027.024034596601</v>
      </c>
      <c r="L113" s="168">
        <v>19877.276151155402</v>
      </c>
      <c r="M113" s="166">
        <v>25025.8633940449</v>
      </c>
      <c r="N113" s="166">
        <v>19696.497070252899</v>
      </c>
      <c r="O113" s="169">
        <v>27841.373399324701</v>
      </c>
      <c r="P113" s="168">
        <v>4.2939221384970301</v>
      </c>
      <c r="Q113" s="166">
        <v>5.4061284879038096</v>
      </c>
      <c r="R113" s="9">
        <v>4.2548699418197202</v>
      </c>
      <c r="S113" s="17">
        <v>6.0143396256319503</v>
      </c>
      <c r="U113">
        <v>1248.89726894399</v>
      </c>
    </row>
    <row r="114" spans="2:22" x14ac:dyDescent="0.35">
      <c r="B114">
        <v>300862</v>
      </c>
      <c r="C114" s="116">
        <v>16096.349969999899</v>
      </c>
      <c r="D114" s="117">
        <v>7430.9152549999899</v>
      </c>
      <c r="E114" s="2">
        <v>4937.5826066584304</v>
      </c>
      <c r="F114" s="16">
        <v>3638.52501676463</v>
      </c>
      <c r="G114" s="17">
        <v>76.658176508419203</v>
      </c>
      <c r="H114" s="16">
        <v>18934.328454889299</v>
      </c>
      <c r="I114" s="9">
        <v>23384.9536767354</v>
      </c>
      <c r="J114" s="9">
        <v>14779.808079983601</v>
      </c>
      <c r="K114" s="17">
        <v>23451.355994069901</v>
      </c>
      <c r="L114" s="16">
        <v>23272.6263163767</v>
      </c>
      <c r="M114" s="9">
        <v>28480.222911053901</v>
      </c>
      <c r="N114" s="9">
        <v>22753.3620455983</v>
      </c>
      <c r="O114" s="17">
        <v>31424.909959684599</v>
      </c>
      <c r="P114" s="16">
        <v>4.7133644478156498</v>
      </c>
      <c r="Q114" s="9">
        <v>5.76804991022283</v>
      </c>
      <c r="R114" s="9">
        <v>4.6081987600399597</v>
      </c>
      <c r="S114" s="17">
        <v>6.3644322461172598</v>
      </c>
      <c r="U114">
        <v>2631.44474936799</v>
      </c>
    </row>
    <row r="115" spans="2:22" x14ac:dyDescent="0.35">
      <c r="B115" s="218">
        <v>300873</v>
      </c>
      <c r="C115" s="162">
        <v>42568.005319999902</v>
      </c>
      <c r="D115" s="163">
        <v>18615.110110000001</v>
      </c>
      <c r="E115" s="158">
        <v>7012.3998936970102</v>
      </c>
      <c r="F115" s="168">
        <v>6337.2201640635503</v>
      </c>
      <c r="G115" s="169">
        <v>109.06641802105101</v>
      </c>
      <c r="H115" s="168">
        <v>29000.377870633602</v>
      </c>
      <c r="I115" s="166">
        <v>33223.153882572296</v>
      </c>
      <c r="J115" s="166">
        <v>20818.646786600799</v>
      </c>
      <c r="K115" s="169">
        <v>33033.277189071501</v>
      </c>
      <c r="L115" s="168">
        <v>36335.715058369497</v>
      </c>
      <c r="M115" s="166">
        <v>41636.036829627999</v>
      </c>
      <c r="N115" s="166">
        <v>33076.581212379897</v>
      </c>
      <c r="O115" s="169">
        <v>45291.211614850603</v>
      </c>
      <c r="P115" s="168">
        <v>5.1816376146815797</v>
      </c>
      <c r="Q115" s="166">
        <v>5.9374875165137002</v>
      </c>
      <c r="R115" s="9">
        <v>4.7168703601901498</v>
      </c>
      <c r="S115" s="17">
        <v>6.4587320035128002</v>
      </c>
      <c r="U115">
        <v>6746.1717195599904</v>
      </c>
    </row>
    <row r="116" spans="2:22" x14ac:dyDescent="0.35">
      <c r="B116">
        <v>300903</v>
      </c>
      <c r="C116" s="116">
        <v>14530.36823</v>
      </c>
      <c r="D116" s="117">
        <v>7820.9595360000003</v>
      </c>
      <c r="E116" s="2">
        <v>4640.38633727668</v>
      </c>
      <c r="F116" s="16">
        <v>1681.01709721055</v>
      </c>
      <c r="G116" s="17">
        <v>72.346335386644895</v>
      </c>
      <c r="H116" s="16">
        <v>17558.407857560502</v>
      </c>
      <c r="I116" s="9">
        <v>22027.0889750151</v>
      </c>
      <c r="J116" s="9">
        <v>13914.8064500972</v>
      </c>
      <c r="K116" s="17">
        <v>22078.844182811099</v>
      </c>
      <c r="L116" s="16">
        <v>19921.088031527099</v>
      </c>
      <c r="M116" s="9">
        <v>25111.809423810599</v>
      </c>
      <c r="N116" s="9">
        <v>19728.344330890501</v>
      </c>
      <c r="O116" s="17">
        <v>27892.3820636044</v>
      </c>
      <c r="P116" s="16">
        <v>4.2929804942099397</v>
      </c>
      <c r="Q116" s="9">
        <v>5.41157731245025</v>
      </c>
      <c r="R116" s="9">
        <v>4.2514443619512301</v>
      </c>
      <c r="S116" s="17">
        <v>6.0107887654831904</v>
      </c>
      <c r="U116">
        <v>1227.39009422399</v>
      </c>
    </row>
    <row r="117" spans="2:22" x14ac:dyDescent="0.35">
      <c r="B117" s="218">
        <v>300933</v>
      </c>
      <c r="C117" s="162">
        <v>5247.0757899999899</v>
      </c>
      <c r="D117" s="163">
        <v>2726.1884610000002</v>
      </c>
      <c r="E117" s="158">
        <v>2708.5385806519498</v>
      </c>
      <c r="F117" s="168">
        <v>1708.39062516729</v>
      </c>
      <c r="G117" s="169">
        <v>41.933645688387102</v>
      </c>
      <c r="H117" s="168">
        <v>9126.9309406934299</v>
      </c>
      <c r="I117" s="166">
        <v>12816.2820387882</v>
      </c>
      <c r="J117" s="166">
        <v>8292.0862805307497</v>
      </c>
      <c r="K117" s="169">
        <v>13157.1848731668</v>
      </c>
      <c r="L117" s="168">
        <v>11215.4476925492</v>
      </c>
      <c r="M117" s="166">
        <v>15317.5438614427</v>
      </c>
      <c r="N117" s="166">
        <v>12632.826480137801</v>
      </c>
      <c r="O117" s="169">
        <v>17497.925072774</v>
      </c>
      <c r="P117" s="168">
        <v>4.1407745758783499</v>
      </c>
      <c r="Q117" s="166">
        <v>5.6552799250715298</v>
      </c>
      <c r="R117" s="9">
        <v>4.6640747783245899</v>
      </c>
      <c r="S117" s="17">
        <v>6.4602827509151304</v>
      </c>
      <c r="U117">
        <v>1247.37680174399</v>
      </c>
    </row>
    <row r="118" spans="2:22" x14ac:dyDescent="0.35">
      <c r="B118">
        <v>300947</v>
      </c>
      <c r="C118" s="116">
        <v>10259.505870000001</v>
      </c>
      <c r="D118" s="117">
        <v>5294.4819699999898</v>
      </c>
      <c r="E118" s="2">
        <v>3474.5912617346498</v>
      </c>
      <c r="F118" s="16">
        <v>9953.4910813923107</v>
      </c>
      <c r="G118" s="17">
        <v>53.486034111379702</v>
      </c>
      <c r="H118" s="16">
        <v>12353.2770601956</v>
      </c>
      <c r="I118" s="9">
        <v>16360.5888011727</v>
      </c>
      <c r="J118" s="9">
        <v>10521.7132509291</v>
      </c>
      <c r="K118" s="17">
        <v>16694.969364942899</v>
      </c>
      <c r="L118" s="16">
        <v>22765.560121534301</v>
      </c>
      <c r="M118" s="9">
        <v>27285.128423251899</v>
      </c>
      <c r="N118" s="9">
        <v>23661.524806523699</v>
      </c>
      <c r="O118" s="17">
        <v>29834.780920537502</v>
      </c>
      <c r="P118" s="16">
        <v>6.5520109868027596</v>
      </c>
      <c r="Q118" s="9">
        <v>7.852759178825</v>
      </c>
      <c r="R118" s="9">
        <v>6.8098728811949396</v>
      </c>
      <c r="S118" s="17">
        <v>8.5865584390040794</v>
      </c>
      <c r="U118">
        <v>10003.16805138</v>
      </c>
    </row>
    <row r="119" spans="2:22" x14ac:dyDescent="0.35">
      <c r="B119" s="218">
        <v>300957</v>
      </c>
      <c r="C119" s="162">
        <v>8173.1682909999899</v>
      </c>
      <c r="D119" s="163">
        <v>3503.6408620000002</v>
      </c>
      <c r="E119" s="158">
        <v>4026.7390890046599</v>
      </c>
      <c r="F119" s="168">
        <v>1662.7573245015899</v>
      </c>
      <c r="G119" s="169">
        <v>63.506507811881299</v>
      </c>
      <c r="H119" s="168">
        <v>14778.2110440213</v>
      </c>
      <c r="I119" s="166">
        <v>19128.1758403739</v>
      </c>
      <c r="J119" s="166">
        <v>12128.7615881116</v>
      </c>
      <c r="K119" s="169">
        <v>19244.898460841301</v>
      </c>
      <c r="L119" s="168">
        <v>17043.169503129699</v>
      </c>
      <c r="M119" s="166">
        <v>22022.678630181199</v>
      </c>
      <c r="N119" s="166">
        <v>17463.8341823839</v>
      </c>
      <c r="O119" s="169">
        <v>24579.971055113601</v>
      </c>
      <c r="P119" s="168">
        <v>4.23249908335693</v>
      </c>
      <c r="Q119" s="166">
        <v>5.4691099034243003</v>
      </c>
      <c r="R119" s="9">
        <v>4.3369669095448202</v>
      </c>
      <c r="S119" s="17">
        <v>6.1041876594962901</v>
      </c>
      <c r="U119">
        <v>1214.05777048799</v>
      </c>
    </row>
    <row r="120" spans="2:22" x14ac:dyDescent="0.35">
      <c r="B120">
        <v>301003</v>
      </c>
      <c r="C120" s="116">
        <v>11955.2716099999</v>
      </c>
      <c r="D120" s="117">
        <v>7550.4639530000004</v>
      </c>
      <c r="E120" s="2">
        <v>4573.2180319915597</v>
      </c>
      <c r="F120" s="16">
        <v>6336.2643657202298</v>
      </c>
      <c r="G120" s="17">
        <v>70.938779198139599</v>
      </c>
      <c r="H120" s="16">
        <v>17250.018734380301</v>
      </c>
      <c r="I120" s="9">
        <v>21628.801607442001</v>
      </c>
      <c r="J120" s="9">
        <v>13719.310410832701</v>
      </c>
      <c r="K120" s="17">
        <v>21768.6475153434</v>
      </c>
      <c r="L120" s="16">
        <v>24226.088677557302</v>
      </c>
      <c r="M120" s="9">
        <v>29299.461596326499</v>
      </c>
      <c r="N120" s="9">
        <v>24104.562814139201</v>
      </c>
      <c r="O120" s="17">
        <v>32153.899918649899</v>
      </c>
      <c r="P120" s="16">
        <v>5.2973832666813196</v>
      </c>
      <c r="Q120" s="9">
        <v>6.4067493374172404</v>
      </c>
      <c r="R120" s="9">
        <v>5.2708098860622403</v>
      </c>
      <c r="S120" s="17">
        <v>7.0309133948392697</v>
      </c>
      <c r="U120">
        <v>6745.1542419300004</v>
      </c>
    </row>
    <row r="121" spans="2:22" x14ac:dyDescent="0.35">
      <c r="B121" s="218">
        <v>401267</v>
      </c>
      <c r="C121" s="162">
        <v>14301.444090000001</v>
      </c>
      <c r="D121" s="163">
        <v>6814.8103190000002</v>
      </c>
      <c r="E121" s="158">
        <v>5745.4210870885499</v>
      </c>
      <c r="F121" s="168">
        <v>40570.077026222498</v>
      </c>
      <c r="G121" s="169">
        <v>87.829555349208107</v>
      </c>
      <c r="H121" s="168">
        <v>22762.8034588144</v>
      </c>
      <c r="I121" s="166">
        <v>26951.760416654201</v>
      </c>
      <c r="J121" s="166">
        <v>17131.0542908147</v>
      </c>
      <c r="K121" s="169">
        <v>27182.115664392299</v>
      </c>
      <c r="L121" s="168">
        <v>64042.234863759797</v>
      </c>
      <c r="M121" s="166">
        <v>69056.552845615603</v>
      </c>
      <c r="N121" s="166">
        <v>62546.973263455002</v>
      </c>
      <c r="O121" s="169">
        <v>72598.034637032702</v>
      </c>
      <c r="P121" s="168">
        <v>11.146656423091301</v>
      </c>
      <c r="Q121" s="166">
        <v>12.0194067238698</v>
      </c>
      <c r="R121" s="9">
        <v>10.886403679621299</v>
      </c>
      <c r="S121" s="17">
        <v>12.635807460688801</v>
      </c>
      <c r="U121">
        <v>36937.94433636</v>
      </c>
    </row>
    <row r="122" spans="2:22" x14ac:dyDescent="0.35">
      <c r="B122">
        <v>401293</v>
      </c>
      <c r="C122" s="116">
        <v>37576.790410000001</v>
      </c>
      <c r="D122" s="117">
        <v>16522.420799999902</v>
      </c>
      <c r="E122" s="2">
        <v>8476.5677292959099</v>
      </c>
      <c r="F122" s="16">
        <v>79966.721824791704</v>
      </c>
      <c r="G122" s="17">
        <v>130.85797091411899</v>
      </c>
      <c r="H122" s="16">
        <v>36516.378293721602</v>
      </c>
      <c r="I122" s="9">
        <v>39785.999045378703</v>
      </c>
      <c r="J122" s="9">
        <v>25080.165838824902</v>
      </c>
      <c r="K122" s="17">
        <v>39795.097087434297</v>
      </c>
      <c r="L122" s="16">
        <v>117530.071965365</v>
      </c>
      <c r="M122" s="9">
        <v>122022.197753955</v>
      </c>
      <c r="N122" s="9">
        <v>111924.914323787</v>
      </c>
      <c r="O122" s="17">
        <v>126639.84557239601</v>
      </c>
      <c r="P122" s="16">
        <v>13.865290258835399</v>
      </c>
      <c r="Q122" s="9">
        <v>14.3952365687156</v>
      </c>
      <c r="R122" s="9">
        <v>13.2040370463817</v>
      </c>
      <c r="S122" s="17">
        <v>14.939990998327801</v>
      </c>
      <c r="U122">
        <v>69519.161769119906</v>
      </c>
    </row>
    <row r="123" spans="2:22" x14ac:dyDescent="0.35">
      <c r="B123" s="218">
        <v>401306</v>
      </c>
      <c r="C123" s="162">
        <v>19142.92035</v>
      </c>
      <c r="D123" s="163">
        <v>10132.8012099999</v>
      </c>
      <c r="E123" s="158">
        <v>5642.5557737317004</v>
      </c>
      <c r="F123" s="168">
        <v>40378.401667615799</v>
      </c>
      <c r="G123" s="169">
        <v>86.718402963673</v>
      </c>
      <c r="H123" s="168">
        <v>22268.476233036501</v>
      </c>
      <c r="I123" s="166">
        <v>26478.143373929299</v>
      </c>
      <c r="J123" s="166">
        <v>16831.660681677</v>
      </c>
      <c r="K123" s="169">
        <v>26707.063074247701</v>
      </c>
      <c r="L123" s="168">
        <v>63349.371676138901</v>
      </c>
      <c r="M123" s="166">
        <v>68371.531992090895</v>
      </c>
      <c r="N123" s="166">
        <v>61985.219880149001</v>
      </c>
      <c r="O123" s="169">
        <v>71860.622272719702</v>
      </c>
      <c r="P123" s="168">
        <v>11.227070536201801</v>
      </c>
      <c r="Q123" s="166">
        <v>12.1171211652682</v>
      </c>
      <c r="R123" s="9">
        <v>10.9853092048667</v>
      </c>
      <c r="S123" s="17">
        <v>12.735473986319899</v>
      </c>
      <c r="U123">
        <v>36763.429170359901</v>
      </c>
    </row>
    <row r="124" spans="2:22" x14ac:dyDescent="0.35">
      <c r="B124">
        <v>401323</v>
      </c>
      <c r="C124" s="116">
        <v>44478.004869999902</v>
      </c>
      <c r="D124" s="117">
        <v>23632.539130000001</v>
      </c>
      <c r="E124" s="2">
        <v>10344.8878226626</v>
      </c>
      <c r="F124" s="16">
        <v>93328.925384818605</v>
      </c>
      <c r="G124" s="17">
        <v>159.020974138615</v>
      </c>
      <c r="H124" s="16">
        <v>46517.689395188798</v>
      </c>
      <c r="I124" s="9">
        <v>48547.6130550378</v>
      </c>
      <c r="J124" s="9">
        <v>30517.9862033725</v>
      </c>
      <c r="K124" s="17">
        <v>48423.372942620503</v>
      </c>
      <c r="L124" s="16">
        <v>141102.97774019901</v>
      </c>
      <c r="M124" s="9">
        <v>144623.22903782199</v>
      </c>
      <c r="N124" s="9">
        <v>132093.54724683199</v>
      </c>
      <c r="O124" s="17">
        <v>149998.93398608</v>
      </c>
      <c r="P124" s="16">
        <v>13.6398750918384</v>
      </c>
      <c r="Q124" s="9">
        <v>13.980164069154499</v>
      </c>
      <c r="R124" s="9">
        <v>12.7689685486442</v>
      </c>
      <c r="S124" s="17">
        <v>14.4998125216472</v>
      </c>
      <c r="U124">
        <v>94263.457685560003</v>
      </c>
    </row>
    <row r="125" spans="2:22" x14ac:dyDescent="0.35">
      <c r="B125" s="218">
        <v>401367</v>
      </c>
      <c r="C125" s="162">
        <v>4428.6250799999898</v>
      </c>
      <c r="D125" s="163">
        <v>2395.3062639999898</v>
      </c>
      <c r="E125" s="158">
        <v>2802.3548266676598</v>
      </c>
      <c r="F125" s="168">
        <v>25696.023828376601</v>
      </c>
      <c r="G125" s="169">
        <v>42.372726965653897</v>
      </c>
      <c r="H125" s="168">
        <v>9512.5453312396694</v>
      </c>
      <c r="I125" s="166">
        <v>13070.9544755597</v>
      </c>
      <c r="J125" s="166">
        <v>8565.1422172093098</v>
      </c>
      <c r="K125" s="169">
        <v>13590.447060516601</v>
      </c>
      <c r="L125" s="168">
        <v>35536.9997872811</v>
      </c>
      <c r="M125" s="166">
        <v>39481.960087065803</v>
      </c>
      <c r="N125" s="166">
        <v>36900.029349005003</v>
      </c>
      <c r="O125" s="169">
        <v>41925.334192312301</v>
      </c>
      <c r="P125" s="168">
        <v>12.681120695033</v>
      </c>
      <c r="Q125" s="166">
        <v>14.088851173073699</v>
      </c>
      <c r="R125" s="9">
        <v>13.167507910796299</v>
      </c>
      <c r="S125" s="17">
        <v>14.9607515056066</v>
      </c>
      <c r="U125">
        <v>31106.597407680001</v>
      </c>
    </row>
    <row r="126" spans="2:22" x14ac:dyDescent="0.35">
      <c r="B126">
        <v>401399</v>
      </c>
      <c r="C126" s="116">
        <v>11287.51814</v>
      </c>
      <c r="D126" s="117">
        <v>7258.7843439999897</v>
      </c>
      <c r="E126" s="2">
        <v>6043.9161465924199</v>
      </c>
      <c r="F126" s="16">
        <v>57952.286871872799</v>
      </c>
      <c r="G126" s="17">
        <v>93.220531146260001</v>
      </c>
      <c r="H126" s="16">
        <v>24207.9590240373</v>
      </c>
      <c r="I126" s="9">
        <v>28341.826531076102</v>
      </c>
      <c r="J126" s="9">
        <v>17999.836101303099</v>
      </c>
      <c r="K126" s="17">
        <v>28560.6255481931</v>
      </c>
      <c r="L126" s="16">
        <v>82908.8933896956</v>
      </c>
      <c r="M126" s="9">
        <v>87908.825663825395</v>
      </c>
      <c r="N126" s="9">
        <v>81022.462279276093</v>
      </c>
      <c r="O126" s="17">
        <v>91583.251726166098</v>
      </c>
      <c r="P126" s="16">
        <v>13.7177438235042</v>
      </c>
      <c r="Q126" s="9">
        <v>14.5450108061788</v>
      </c>
      <c r="R126" s="9">
        <v>13.4056231612274</v>
      </c>
      <c r="S126" s="17">
        <v>15.1529653133591</v>
      </c>
      <c r="U126">
        <v>45680.756418340003</v>
      </c>
    </row>
    <row r="127" spans="2:22" x14ac:dyDescent="0.35">
      <c r="B127" s="219">
        <v>401422</v>
      </c>
      <c r="C127" s="164">
        <v>18598.85511</v>
      </c>
      <c r="D127" s="165">
        <v>10085.627490000001</v>
      </c>
      <c r="E127" s="159">
        <v>6748.84403642696</v>
      </c>
      <c r="F127" s="170">
        <v>40489.655556135003</v>
      </c>
      <c r="G127" s="171">
        <v>103.656651419357</v>
      </c>
      <c r="H127" s="170">
        <v>27681.1651970444</v>
      </c>
      <c r="I127" s="167">
        <v>31712.278037914901</v>
      </c>
      <c r="J127" s="167">
        <v>20051.556921782099</v>
      </c>
      <c r="K127" s="171">
        <v>31816.123529027001</v>
      </c>
      <c r="L127" s="170">
        <v>69020.820801354494</v>
      </c>
      <c r="M127" s="167">
        <v>74032.8802813355</v>
      </c>
      <c r="N127" s="167">
        <v>66150.283896933703</v>
      </c>
      <c r="O127" s="171">
        <v>77914.850504178597</v>
      </c>
      <c r="P127" s="170">
        <v>10.227058208607801</v>
      </c>
      <c r="Q127" s="167">
        <v>10.9697127214293</v>
      </c>
      <c r="R127" s="30">
        <v>9.8017206413256606</v>
      </c>
      <c r="S127" s="19">
        <v>11.5449179272231</v>
      </c>
      <c r="U127">
        <v>36864.722789760002</v>
      </c>
    </row>
    <row r="128" spans="2:22" x14ac:dyDescent="0.35">
      <c r="B128" s="220" t="s">
        <v>109</v>
      </c>
      <c r="C128" s="152">
        <f t="shared" ref="C128" si="11">SUM(C105:C127)</f>
        <v>300267.13350099954</v>
      </c>
      <c r="D128" s="153">
        <f t="shared" ref="D128" si="12">SUM(D105:D127)</f>
        <v>153388.80807179972</v>
      </c>
      <c r="E128" s="149">
        <f t="shared" ref="E128" si="13">SUM(E105:E127)</f>
        <v>105746.59181600687</v>
      </c>
      <c r="F128" s="224">
        <f t="shared" ref="F128" si="14">SUM(F105:F127)</f>
        <v>423815.87126198865</v>
      </c>
      <c r="G128" s="23">
        <f t="shared" ref="G128" si="15">SUM(G105:G127)</f>
        <v>1668.1840291291182</v>
      </c>
      <c r="H128" s="22">
        <f t="shared" ref="H128" si="16">SUM(H105:H127)</f>
        <v>409835.58798707422</v>
      </c>
      <c r="I128" s="223">
        <f t="shared" ref="I128" si="17">SUM(I105:I127)</f>
        <v>499798.85089791182</v>
      </c>
      <c r="J128" s="223">
        <f t="shared" ref="J128:K128" si="18">SUM(J105:J127)</f>
        <v>317181.54254416033</v>
      </c>
      <c r="K128" s="21">
        <f t="shared" si="18"/>
        <v>503276.98632468237</v>
      </c>
      <c r="L128" s="22">
        <f t="shared" ref="L128" si="19">SUM(L105:L127)</f>
        <v>848565.19895849947</v>
      </c>
      <c r="M128" s="223">
        <f t="shared" ref="M128" si="20">SUM(M105:M127)</f>
        <v>954520.10054154298</v>
      </c>
      <c r="N128" s="223">
        <f t="shared" ref="N128:O128" si="21">SUM(N105:N127)</f>
        <v>834671.4066737449</v>
      </c>
      <c r="O128" s="21">
        <f t="shared" si="21"/>
        <v>1020766.8504542671</v>
      </c>
      <c r="P128" s="225">
        <f>Table9[[#This Row],[USDA_pow_t]]/Table9[[#This Row],[damVol_yds]]</f>
        <v>8.0245158201879008</v>
      </c>
      <c r="Q128" s="226">
        <f>Table9[[#This Row],[dikeUSDA_t]]/Table9[[#This Row],[damVol_yds]]</f>
        <v>9.0264857159874659</v>
      </c>
      <c r="R128" s="226">
        <f>Table9[[#This Row],[cc_total]]/Table9[[#This Row],[damVol_yds]]</f>
        <v>7.8931282071579787</v>
      </c>
      <c r="S128" s="227">
        <f>Table9[[#This Row],[cc_total]]/Table9[[#This Row],[damVol_yds]]</f>
        <v>7.8931282071579787</v>
      </c>
      <c r="U128" s="142">
        <f t="shared" ref="U128" si="22">SUM(U105:U127)</f>
        <v>391257.67510664969</v>
      </c>
      <c r="V128" s="173">
        <f>F128-U128</f>
        <v>32558.196155338956</v>
      </c>
    </row>
    <row r="132" spans="2:21" x14ac:dyDescent="0.35">
      <c r="B132" s="1" t="s">
        <v>115</v>
      </c>
      <c r="M132">
        <v>155</v>
      </c>
      <c r="N132">
        <f>$M$7-M132</f>
        <v>9</v>
      </c>
      <c r="O132" s="172">
        <f>-N132/$M$7</f>
        <v>-5.4878048780487805E-2</v>
      </c>
    </row>
    <row r="133" spans="2:21" x14ac:dyDescent="0.35">
      <c r="B133" s="132" t="s">
        <v>92</v>
      </c>
      <c r="C133" s="108" t="s">
        <v>96</v>
      </c>
      <c r="D133" s="110" t="s">
        <v>97</v>
      </c>
      <c r="E133" s="132" t="s">
        <v>98</v>
      </c>
      <c r="F133" s="108" t="s">
        <v>99</v>
      </c>
      <c r="G133" s="110" t="s">
        <v>100</v>
      </c>
      <c r="H133" s="136" t="s">
        <v>149</v>
      </c>
      <c r="I133" s="137" t="s">
        <v>150</v>
      </c>
      <c r="J133" s="137" t="s">
        <v>151</v>
      </c>
      <c r="K133" s="112" t="s">
        <v>159</v>
      </c>
      <c r="L133" s="136" t="s">
        <v>152</v>
      </c>
      <c r="M133" s="138" t="s">
        <v>153</v>
      </c>
      <c r="N133" s="135" t="s">
        <v>154</v>
      </c>
      <c r="O133" s="109" t="s">
        <v>158</v>
      </c>
      <c r="P133" s="150" t="s">
        <v>155</v>
      </c>
      <c r="Q133" s="151" t="s">
        <v>156</v>
      </c>
      <c r="R133" s="151" t="s">
        <v>157</v>
      </c>
      <c r="S133" s="138" t="s">
        <v>160</v>
      </c>
      <c r="U133" t="s">
        <v>110</v>
      </c>
    </row>
    <row r="134" spans="2:21" x14ac:dyDescent="0.35">
      <c r="B134" s="40">
        <v>200026</v>
      </c>
      <c r="C134" s="114">
        <v>7763.5906940000004</v>
      </c>
      <c r="D134" s="115">
        <v>12493.5059199999</v>
      </c>
      <c r="E134" s="41">
        <v>1119.3332994468999</v>
      </c>
      <c r="F134" s="14">
        <v>740.31161851011996</v>
      </c>
      <c r="G134" s="29">
        <v>40.940634279521802</v>
      </c>
      <c r="H134" s="14">
        <v>3118.3314522138198</v>
      </c>
      <c r="I134" s="29">
        <v>5964.2324964495001</v>
      </c>
      <c r="J134" s="29">
        <v>3666.6407413721799</v>
      </c>
      <c r="K134" s="15">
        <v>5817.9170435056803</v>
      </c>
      <c r="L134" s="14">
        <v>4667.6957365268399</v>
      </c>
      <c r="M134" s="29">
        <v>7827.0384913157504</v>
      </c>
      <c r="N134" s="29">
        <v>6482.1901646600199</v>
      </c>
      <c r="O134" s="15">
        <v>8633.4664667935194</v>
      </c>
      <c r="P134" s="14">
        <v>4.1700677884177004</v>
      </c>
      <c r="Q134" s="29">
        <v>6.9925896917239303</v>
      </c>
      <c r="R134" s="29">
        <v>5.7911170585768099</v>
      </c>
      <c r="S134" s="15">
        <v>7.7130435331992597</v>
      </c>
      <c r="U134" s="11">
        <v>540.53652916800002</v>
      </c>
    </row>
    <row r="135" spans="2:21" x14ac:dyDescent="0.35">
      <c r="B135" s="2">
        <v>200199</v>
      </c>
      <c r="C135" s="116">
        <v>6201.1836020000001</v>
      </c>
      <c r="D135" s="117">
        <v>7286.5249610000001</v>
      </c>
      <c r="E135" s="11">
        <v>1216.48139739154</v>
      </c>
      <c r="F135" s="16">
        <v>793.20024198864303</v>
      </c>
      <c r="G135" s="9">
        <v>41.136073075636197</v>
      </c>
      <c r="H135" s="16">
        <v>3450.2500224468299</v>
      </c>
      <c r="I135" s="9">
        <v>6394.2232725921303</v>
      </c>
      <c r="J135" s="9">
        <v>3949.3941663639798</v>
      </c>
      <c r="K135" s="17">
        <v>6266.5663894336203</v>
      </c>
      <c r="L135" s="16">
        <v>5009.1142386702304</v>
      </c>
      <c r="M135" s="9">
        <v>8274.9798616599201</v>
      </c>
      <c r="N135" s="9">
        <v>6834.7200304129401</v>
      </c>
      <c r="O135" s="17">
        <v>9151.8922534825797</v>
      </c>
      <c r="P135" s="16">
        <v>4.1177072246325297</v>
      </c>
      <c r="Q135" s="9">
        <v>6.8023891523566702</v>
      </c>
      <c r="R135" s="9">
        <v>5.6184336604475602</v>
      </c>
      <c r="S135" s="17">
        <v>7.5232488331565497</v>
      </c>
      <c r="U135" s="11">
        <v>579.15301478399897</v>
      </c>
    </row>
    <row r="136" spans="2:21" x14ac:dyDescent="0.35">
      <c r="B136" s="2">
        <v>200266</v>
      </c>
      <c r="C136" s="116">
        <v>3432.0691230000002</v>
      </c>
      <c r="D136" s="117">
        <v>2553.4393030000001</v>
      </c>
      <c r="E136" s="11">
        <v>1960.9915539342601</v>
      </c>
      <c r="F136" s="16">
        <v>1236.8296668174301</v>
      </c>
      <c r="G136" s="9">
        <v>42.219919462231097</v>
      </c>
      <c r="H136" s="16">
        <v>6164.0710160256003</v>
      </c>
      <c r="I136" s="9">
        <v>9619.2221675640903</v>
      </c>
      <c r="J136" s="9">
        <v>6116.3207573878299</v>
      </c>
      <c r="K136" s="17">
        <v>9704.8631943792207</v>
      </c>
      <c r="L136" s="16">
        <v>7917.20097529123</v>
      </c>
      <c r="M136" s="9">
        <v>11743.965528622701</v>
      </c>
      <c r="N136" s="9">
        <v>9657.8511362075205</v>
      </c>
      <c r="O136" s="17">
        <v>13246.3935731989</v>
      </c>
      <c r="P136" s="16">
        <v>4.03734578020351</v>
      </c>
      <c r="Q136" s="9">
        <v>5.9887894494299401</v>
      </c>
      <c r="R136" s="9">
        <v>4.9249835456105497</v>
      </c>
      <c r="S136" s="17">
        <v>6.7549467750756804</v>
      </c>
      <c r="U136" s="11">
        <v>903.06784137600005</v>
      </c>
    </row>
    <row r="137" spans="2:21" x14ac:dyDescent="0.35">
      <c r="B137" s="2">
        <v>200320</v>
      </c>
      <c r="C137" s="116">
        <v>3582.2982270000002</v>
      </c>
      <c r="D137" s="117">
        <v>4158.0919309999899</v>
      </c>
      <c r="E137" s="11">
        <v>1083.5810815428899</v>
      </c>
      <c r="F137" s="16">
        <v>718.85948120149396</v>
      </c>
      <c r="G137" s="9">
        <v>40.990927678893698</v>
      </c>
      <c r="H137" s="16">
        <v>2997.70549251178</v>
      </c>
      <c r="I137" s="9">
        <v>5808.9292546095903</v>
      </c>
      <c r="J137" s="9">
        <v>3562.58248107386</v>
      </c>
      <c r="K137" s="17">
        <v>5652.80615078141</v>
      </c>
      <c r="L137" s="16">
        <v>4547.5118482684202</v>
      </c>
      <c r="M137" s="9">
        <v>7669.6965579697599</v>
      </c>
      <c r="N137" s="9">
        <v>6356.3911546846102</v>
      </c>
      <c r="O137" s="17">
        <v>8446.6148243921507</v>
      </c>
      <c r="P137" s="16">
        <v>4.1967434885382797</v>
      </c>
      <c r="Q137" s="9">
        <v>7.0781012040639997</v>
      </c>
      <c r="R137" s="9">
        <v>5.8660964674962903</v>
      </c>
      <c r="S137" s="17">
        <v>7.7950925576931596</v>
      </c>
      <c r="U137" s="11">
        <v>524.87330903999896</v>
      </c>
    </row>
    <row r="138" spans="2:21" x14ac:dyDescent="0.35">
      <c r="B138" s="2">
        <v>200430</v>
      </c>
      <c r="C138" s="116">
        <v>14061.3558499999</v>
      </c>
      <c r="D138" s="117">
        <v>11003.284390000001</v>
      </c>
      <c r="E138" s="11">
        <v>2022.51674099105</v>
      </c>
      <c r="F138" s="16">
        <v>1033.8727844083801</v>
      </c>
      <c r="G138" s="9">
        <v>52.179262330550799</v>
      </c>
      <c r="H138" s="16">
        <v>6399.8911399742101</v>
      </c>
      <c r="I138" s="9">
        <v>10177.664723856</v>
      </c>
      <c r="J138" s="9">
        <v>6295.3922753241004</v>
      </c>
      <c r="K138" s="17">
        <v>9988.9988132448798</v>
      </c>
      <c r="L138" s="16">
        <v>8193.5111754452901</v>
      </c>
      <c r="M138" s="9">
        <v>12409.467233225399</v>
      </c>
      <c r="N138" s="9">
        <v>9915.5866479104898</v>
      </c>
      <c r="O138" s="17">
        <v>13609.1931858312</v>
      </c>
      <c r="P138" s="16">
        <v>4.0511462819488804</v>
      </c>
      <c r="Q138" s="9">
        <v>6.1356561267051104</v>
      </c>
      <c r="R138" s="9">
        <v>4.9025980586206401</v>
      </c>
      <c r="S138" s="17">
        <v>6.72884081007044</v>
      </c>
      <c r="U138" s="11">
        <v>754.87942173600004</v>
      </c>
    </row>
    <row r="139" spans="2:21" x14ac:dyDescent="0.35">
      <c r="B139" s="2">
        <v>200470</v>
      </c>
      <c r="C139" s="116">
        <v>15281.896360000001</v>
      </c>
      <c r="D139" s="117">
        <v>11512.266320000001</v>
      </c>
      <c r="E139" s="11">
        <v>3296.7314118690701</v>
      </c>
      <c r="F139" s="16">
        <v>1236.9129162439799</v>
      </c>
      <c r="G139" s="9">
        <v>71.139388841309</v>
      </c>
      <c r="H139" s="16">
        <v>11589.076913839899</v>
      </c>
      <c r="I139" s="9">
        <v>16198.9983387843</v>
      </c>
      <c r="J139" s="9">
        <v>10004.045043501401</v>
      </c>
      <c r="K139" s="17">
        <v>15873.577006293701</v>
      </c>
      <c r="L139" s="16">
        <v>13705.097912499799</v>
      </c>
      <c r="M139" s="9">
        <v>18945.662525953299</v>
      </c>
      <c r="N139" s="9">
        <v>14737.239613969499</v>
      </c>
      <c r="O139" s="17">
        <v>20606.771576761799</v>
      </c>
      <c r="P139" s="16">
        <v>4.1571775799381001</v>
      </c>
      <c r="Q139" s="9">
        <v>5.7468019559446502</v>
      </c>
      <c r="R139" s="9">
        <v>4.47025789268476</v>
      </c>
      <c r="S139" s="17">
        <v>6.2506674042575101</v>
      </c>
      <c r="U139" s="11">
        <v>903.12862571999904</v>
      </c>
    </row>
    <row r="140" spans="2:21" x14ac:dyDescent="0.35">
      <c r="B140" s="2">
        <v>300839</v>
      </c>
      <c r="C140" s="116">
        <v>21452.055</v>
      </c>
      <c r="D140" s="117">
        <v>18856.6141099999</v>
      </c>
      <c r="E140" s="11">
        <v>2393.6371291145301</v>
      </c>
      <c r="F140" s="16">
        <v>1772.92282608347</v>
      </c>
      <c r="G140" s="9">
        <v>76.805255111746902</v>
      </c>
      <c r="H140" s="16">
        <v>7854.0100889024097</v>
      </c>
      <c r="I140" s="9">
        <v>12481.0059248047</v>
      </c>
      <c r="J140" s="9">
        <v>7375.5530097730098</v>
      </c>
      <c r="K140" s="17">
        <v>11702.9069896767</v>
      </c>
      <c r="L140" s="16">
        <v>11003.336680615599</v>
      </c>
      <c r="M140" s="9">
        <v>16242.159341484101</v>
      </c>
      <c r="N140" s="9">
        <v>12581.7192946166</v>
      </c>
      <c r="O140" s="17">
        <v>16909.073274520299</v>
      </c>
      <c r="P140" s="16">
        <v>4.5969109297222603</v>
      </c>
      <c r="Q140" s="9">
        <v>6.7855562332008699</v>
      </c>
      <c r="R140" s="9">
        <v>5.2563185712576699</v>
      </c>
      <c r="S140" s="17">
        <v>7.0641757135407701</v>
      </c>
      <c r="U140" s="11">
        <v>1282.2087082640001</v>
      </c>
    </row>
    <row r="141" spans="2:21" x14ac:dyDescent="0.35">
      <c r="B141" s="2">
        <v>300854</v>
      </c>
      <c r="C141" s="116">
        <v>11879.065070000001</v>
      </c>
      <c r="D141" s="117">
        <v>6404.5819629999896</v>
      </c>
      <c r="E141" s="11">
        <v>4327.2169781960301</v>
      </c>
      <c r="F141" s="16">
        <v>14249.610022323999</v>
      </c>
      <c r="G141" s="9">
        <v>66.784407051081402</v>
      </c>
      <c r="H141" s="16">
        <v>16128.9571019497</v>
      </c>
      <c r="I141" s="9">
        <v>20385.509881744201</v>
      </c>
      <c r="J141" s="9">
        <v>13003.3145037186</v>
      </c>
      <c r="K141" s="17">
        <v>20632.5654487049</v>
      </c>
      <c r="L141" s="16">
        <v>30953.427984323302</v>
      </c>
      <c r="M141" s="9">
        <v>35850.125114312199</v>
      </c>
      <c r="N141" s="9">
        <v>31084.334032383798</v>
      </c>
      <c r="O141" s="17">
        <v>38713.584977370003</v>
      </c>
      <c r="P141" s="16">
        <v>7.1531952615945498</v>
      </c>
      <c r="Q141" s="9">
        <v>8.2847995131637102</v>
      </c>
      <c r="R141" s="9">
        <v>7.1834470489950997</v>
      </c>
      <c r="S141" s="17">
        <v>8.9465319563220191</v>
      </c>
      <c r="U141" s="11">
        <v>13327.143501840001</v>
      </c>
    </row>
    <row r="142" spans="2:21" x14ac:dyDescent="0.35">
      <c r="B142" s="2">
        <v>300871</v>
      </c>
      <c r="C142" s="116">
        <v>13671.546249999899</v>
      </c>
      <c r="D142" s="117">
        <v>5555.7761229999896</v>
      </c>
      <c r="E142" s="11">
        <v>6225.6375406662601</v>
      </c>
      <c r="F142" s="16">
        <v>14286.3352207559</v>
      </c>
      <c r="G142" s="9">
        <v>96.176808536724096</v>
      </c>
      <c r="H142" s="16">
        <v>25095.363954684301</v>
      </c>
      <c r="I142" s="9">
        <v>29392.800181279301</v>
      </c>
      <c r="J142" s="9">
        <v>18528.7434876107</v>
      </c>
      <c r="K142" s="17">
        <v>29399.851290304901</v>
      </c>
      <c r="L142" s="16">
        <v>40225.164338958602</v>
      </c>
      <c r="M142" s="9">
        <v>45457.244412389096</v>
      </c>
      <c r="N142" s="9">
        <v>38092.986540366801</v>
      </c>
      <c r="O142" s="17">
        <v>48964.094343060897</v>
      </c>
      <c r="P142" s="16">
        <v>6.4612120567901998</v>
      </c>
      <c r="Q142" s="9">
        <v>7.3016207762593801</v>
      </c>
      <c r="R142" s="9">
        <v>6.1187286107713401</v>
      </c>
      <c r="S142" s="17">
        <v>7.8649124725338302</v>
      </c>
      <c r="U142" s="11">
        <v>13361.491248120001</v>
      </c>
    </row>
    <row r="143" spans="2:21" x14ac:dyDescent="0.35">
      <c r="B143" s="2">
        <v>300891</v>
      </c>
      <c r="C143" s="116">
        <v>27708.36318</v>
      </c>
      <c r="D143" s="117">
        <v>28305.039290000001</v>
      </c>
      <c r="E143" s="11">
        <v>2084.0451746737699</v>
      </c>
      <c r="F143" s="16">
        <v>5147.1652939962896</v>
      </c>
      <c r="G143" s="9">
        <v>40.019424998391102</v>
      </c>
      <c r="H143" s="16">
        <v>6637.2736050081103</v>
      </c>
      <c r="I143" s="9">
        <v>10039.084036885801</v>
      </c>
      <c r="J143" s="9">
        <v>6474.4732426949904</v>
      </c>
      <c r="K143" s="17">
        <v>10273.149425678401</v>
      </c>
      <c r="L143" s="16">
        <v>12208.7278893453</v>
      </c>
      <c r="M143" s="9">
        <v>15966.156520756</v>
      </c>
      <c r="N143" s="9">
        <v>13910.6777961103</v>
      </c>
      <c r="O143" s="17">
        <v>17709.353979093699</v>
      </c>
      <c r="P143" s="16">
        <v>5.85818773878378</v>
      </c>
      <c r="Q143" s="9">
        <v>7.6611374430764503</v>
      </c>
      <c r="R143" s="9">
        <v>6.6748446555568997</v>
      </c>
      <c r="S143" s="17">
        <v>8.4975864219766404</v>
      </c>
      <c r="U143" s="11">
        <v>5479.3205921999897</v>
      </c>
    </row>
    <row r="144" spans="2:21" x14ac:dyDescent="0.35">
      <c r="B144" s="2">
        <v>300971</v>
      </c>
      <c r="C144" s="116">
        <v>20519.748220000001</v>
      </c>
      <c r="D144" s="117">
        <v>14670.671850000001</v>
      </c>
      <c r="E144" s="11">
        <v>5325.5655521182198</v>
      </c>
      <c r="F144" s="16">
        <v>6343.0479853131801</v>
      </c>
      <c r="G144" s="9">
        <v>82.604820337451798</v>
      </c>
      <c r="H144" s="16">
        <v>20757.457848084701</v>
      </c>
      <c r="I144" s="9">
        <v>25202.3726092166</v>
      </c>
      <c r="J144" s="9">
        <v>15909.047962062101</v>
      </c>
      <c r="K144" s="17">
        <v>25243.138832792301</v>
      </c>
      <c r="L144" s="16">
        <v>27849.3047827845</v>
      </c>
      <c r="M144" s="9">
        <v>33106.368704089997</v>
      </c>
      <c r="N144" s="9">
        <v>26876.878899229301</v>
      </c>
      <c r="O144" s="17">
        <v>36210.969769959498</v>
      </c>
      <c r="P144" s="16">
        <v>5.2293609965438499</v>
      </c>
      <c r="Q144" s="9">
        <v>6.2164982066406296</v>
      </c>
      <c r="R144" s="9">
        <v>5.0467652000901797</v>
      </c>
      <c r="S144" s="17">
        <v>6.7994599663798496</v>
      </c>
      <c r="U144" s="11">
        <v>6752.3756199899899</v>
      </c>
    </row>
    <row r="145" spans="2:22" x14ac:dyDescent="0.35">
      <c r="B145" s="2">
        <v>301029</v>
      </c>
      <c r="C145" s="116">
        <v>4919.7577389999897</v>
      </c>
      <c r="D145" s="117">
        <v>5735.09375</v>
      </c>
      <c r="E145" s="11">
        <v>1151.0997628442999</v>
      </c>
      <c r="F145" s="16">
        <v>4985.8446362267596</v>
      </c>
      <c r="G145" s="9">
        <v>36.143190930524099</v>
      </c>
      <c r="H145" s="16">
        <v>3226.2088106917399</v>
      </c>
      <c r="I145" s="9">
        <v>5919.4438088014103</v>
      </c>
      <c r="J145" s="9">
        <v>3759.09830374886</v>
      </c>
      <c r="K145" s="17">
        <v>5964.6209247675597</v>
      </c>
      <c r="L145" s="16">
        <v>8800.8112251339298</v>
      </c>
      <c r="M145" s="9">
        <v>11770.5860793131</v>
      </c>
      <c r="N145" s="9">
        <v>10619.595677045399</v>
      </c>
      <c r="O145" s="17">
        <v>12825.118298064101</v>
      </c>
      <c r="P145" s="16">
        <v>7.6455677511283699</v>
      </c>
      <c r="Q145" s="9">
        <v>10.225513425724801</v>
      </c>
      <c r="R145" s="9">
        <v>9.2256084310233692</v>
      </c>
      <c r="S145" s="17">
        <v>11.141621875044001</v>
      </c>
      <c r="U145">
        <v>5010.7285339800001</v>
      </c>
    </row>
    <row r="146" spans="2:22" x14ac:dyDescent="0.35">
      <c r="B146" s="2">
        <v>401248</v>
      </c>
      <c r="C146" s="116">
        <v>41974.792249999897</v>
      </c>
      <c r="D146" s="117">
        <v>28740.416440000001</v>
      </c>
      <c r="E146" s="11">
        <v>5899.2493681187198</v>
      </c>
      <c r="F146" s="16">
        <v>25581.980743313699</v>
      </c>
      <c r="G146" s="9">
        <v>90.921893456055301</v>
      </c>
      <c r="H146" s="16">
        <v>23505.591437764098</v>
      </c>
      <c r="I146" s="9">
        <v>27768.291595156199</v>
      </c>
      <c r="J146" s="9">
        <v>17578.777655884202</v>
      </c>
      <c r="K146" s="17">
        <v>27892.525431845799</v>
      </c>
      <c r="L146" s="16">
        <v>49854.450824009102</v>
      </c>
      <c r="M146" s="9">
        <v>54984.919377736202</v>
      </c>
      <c r="N146" s="9">
        <v>48159.568905072098</v>
      </c>
      <c r="O146" s="17">
        <v>58473.316681033801</v>
      </c>
      <c r="P146" s="16">
        <v>8.4509821017970896</v>
      </c>
      <c r="Q146" s="9">
        <v>9.3206636889925196</v>
      </c>
      <c r="R146" s="9">
        <v>8.1636774273928197</v>
      </c>
      <c r="S146" s="17">
        <v>9.9119927014851701</v>
      </c>
      <c r="U146">
        <v>30968.541327179999</v>
      </c>
    </row>
    <row r="147" spans="2:22" x14ac:dyDescent="0.35">
      <c r="B147" s="2">
        <v>401258</v>
      </c>
      <c r="C147" s="116">
        <v>41710.485139999902</v>
      </c>
      <c r="D147" s="117">
        <v>40463.988100000002</v>
      </c>
      <c r="E147" s="11">
        <v>5909.1623227363298</v>
      </c>
      <c r="F147" s="16">
        <v>12314.456864236399</v>
      </c>
      <c r="G147" s="9">
        <v>149.02072232337099</v>
      </c>
      <c r="H147" s="16">
        <v>23553.602306381301</v>
      </c>
      <c r="I147" s="9">
        <v>29494.408409454099</v>
      </c>
      <c r="J147" s="9">
        <v>17607.629706816999</v>
      </c>
      <c r="K147" s="17">
        <v>27938.305438860902</v>
      </c>
      <c r="L147" s="16">
        <v>37849.503917783397</v>
      </c>
      <c r="M147" s="9">
        <v>45018.861989976802</v>
      </c>
      <c r="N147" s="9">
        <v>36141.613772983997</v>
      </c>
      <c r="O147" s="17">
        <v>46472.289505027999</v>
      </c>
      <c r="P147" s="16">
        <v>6.4052232534131104</v>
      </c>
      <c r="Q147" s="9">
        <v>7.6184845721296997</v>
      </c>
      <c r="R147" s="9">
        <v>6.1161991834145599</v>
      </c>
      <c r="S147" s="17">
        <v>7.86444625598104</v>
      </c>
      <c r="U147">
        <v>12954.764062640001</v>
      </c>
    </row>
    <row r="148" spans="2:22" x14ac:dyDescent="0.35">
      <c r="B148" s="4">
        <v>401337</v>
      </c>
      <c r="C148" s="118">
        <v>66453.227540000007</v>
      </c>
      <c r="D148" s="119">
        <v>53867.114589999903</v>
      </c>
      <c r="E148" s="13">
        <v>7570.47713449822</v>
      </c>
      <c r="F148" s="18">
        <v>19350.631552335999</v>
      </c>
      <c r="G148" s="30">
        <v>117.32851062470399</v>
      </c>
      <c r="H148" s="18">
        <v>31828.808074547698</v>
      </c>
      <c r="I148" s="30">
        <v>35759.528640745302</v>
      </c>
      <c r="J148" s="30">
        <v>22442.9529190424</v>
      </c>
      <c r="K148" s="19">
        <v>35610.589502539697</v>
      </c>
      <c r="L148" s="18">
        <v>52212.105205874497</v>
      </c>
      <c r="M148" s="30">
        <v>57283.091331632801</v>
      </c>
      <c r="N148" s="30">
        <v>48095.111893239999</v>
      </c>
      <c r="O148" s="19">
        <v>61262.748476737201</v>
      </c>
      <c r="P148" s="18">
        <v>6.8968050861612102</v>
      </c>
      <c r="Q148" s="30">
        <v>7.5666421434122197</v>
      </c>
      <c r="R148" s="30">
        <v>6.3529829149173898</v>
      </c>
      <c r="S148" s="19">
        <v>8.0923232959210001</v>
      </c>
      <c r="U148">
        <v>20356.794374879901</v>
      </c>
    </row>
    <row r="149" spans="2:22" x14ac:dyDescent="0.35">
      <c r="B149" s="148" t="s">
        <v>109</v>
      </c>
      <c r="C149" s="152">
        <f t="shared" ref="C149:O149" si="23">SUM(C134:C148)</f>
        <v>300611.43424499955</v>
      </c>
      <c r="D149" s="153">
        <f t="shared" si="23"/>
        <v>251606.40904099966</v>
      </c>
      <c r="E149" s="149">
        <f t="shared" si="23"/>
        <v>51585.726448142093</v>
      </c>
      <c r="F149" s="224">
        <f t="shared" si="23"/>
        <v>109791.98185375574</v>
      </c>
      <c r="G149" s="23">
        <f t="shared" si="23"/>
        <v>1044.4112390381922</v>
      </c>
      <c r="H149" s="22">
        <f t="shared" si="23"/>
        <v>192306.59926502622</v>
      </c>
      <c r="I149" s="223">
        <f t="shared" si="23"/>
        <v>250605.7153419432</v>
      </c>
      <c r="J149" s="223">
        <f t="shared" si="23"/>
        <v>156273.96625637522</v>
      </c>
      <c r="K149" s="21">
        <f t="shared" si="23"/>
        <v>247962.38188280968</v>
      </c>
      <c r="L149" s="22">
        <f t="shared" si="23"/>
        <v>314996.96473552997</v>
      </c>
      <c r="M149" s="223">
        <f t="shared" si="23"/>
        <v>382550.32307043707</v>
      </c>
      <c r="N149" s="223">
        <f t="shared" si="23"/>
        <v>319546.46555889345</v>
      </c>
      <c r="O149" s="21">
        <f t="shared" si="23"/>
        <v>411234.8811853276</v>
      </c>
      <c r="P149" s="22">
        <f>Table275[[#This Row],[USDA_pow_t]]/Table275[[#This Row],[damVol_yds]]</f>
        <v>6.1062814546614739</v>
      </c>
      <c r="Q149" s="223">
        <f>Table275[[#This Row],[dikeUSDA_t]]/Table275[[#This Row],[damVol_yds]]</f>
        <v>7.4158173085922483</v>
      </c>
      <c r="R149" s="223">
        <f>Table275[[#This Row],[cc_total]]/Table275[[#This Row],[damVol_yds]]</f>
        <v>6.1944744711529056</v>
      </c>
      <c r="S149" s="21">
        <f>Table275[[#This Row],[cc_total]]/Table275[[#This Row],[damVol_yds]]</f>
        <v>6.1944744711529056</v>
      </c>
      <c r="U149" s="142">
        <f>SUM(U134:U148)</f>
        <v>113699.00671091788</v>
      </c>
      <c r="V149" s="173">
        <f>F149-U149</f>
        <v>-3907.0248571621341</v>
      </c>
    </row>
    <row r="151" spans="2:22" x14ac:dyDescent="0.35">
      <c r="P151" s="11"/>
      <c r="Q151" s="11"/>
    </row>
    <row r="153" spans="2:22" x14ac:dyDescent="0.35">
      <c r="B153" s="1" t="s">
        <v>114</v>
      </c>
      <c r="M153">
        <v>151</v>
      </c>
      <c r="N153">
        <f>$M$7-M153</f>
        <v>13</v>
      </c>
      <c r="O153" s="172">
        <f>-N153/$M$7</f>
        <v>-7.926829268292683E-2</v>
      </c>
    </row>
    <row r="154" spans="2:22" x14ac:dyDescent="0.35">
      <c r="B154" s="132" t="s">
        <v>92</v>
      </c>
      <c r="C154" s="108" t="s">
        <v>96</v>
      </c>
      <c r="D154" s="110" t="s">
        <v>97</v>
      </c>
      <c r="E154" s="132" t="s">
        <v>98</v>
      </c>
      <c r="F154" s="108" t="s">
        <v>99</v>
      </c>
      <c r="G154" s="110" t="s">
        <v>100</v>
      </c>
      <c r="H154" s="154" t="s">
        <v>149</v>
      </c>
      <c r="I154" s="155" t="s">
        <v>150</v>
      </c>
      <c r="J154" s="155" t="s">
        <v>151</v>
      </c>
      <c r="K154" s="228" t="s">
        <v>159</v>
      </c>
      <c r="L154" s="136" t="s">
        <v>152</v>
      </c>
      <c r="M154" s="138" t="s">
        <v>153</v>
      </c>
      <c r="N154" s="135" t="s">
        <v>154</v>
      </c>
      <c r="O154" s="109" t="s">
        <v>158</v>
      </c>
      <c r="P154" s="150" t="s">
        <v>155</v>
      </c>
      <c r="Q154" s="151" t="s">
        <v>156</v>
      </c>
      <c r="R154" s="135" t="s">
        <v>157</v>
      </c>
      <c r="S154" s="138" t="s">
        <v>160</v>
      </c>
      <c r="U154" t="s">
        <v>110</v>
      </c>
    </row>
    <row r="155" spans="2:22" x14ac:dyDescent="0.35">
      <c r="B155" s="40">
        <v>200026</v>
      </c>
      <c r="C155" s="114">
        <v>7763.5906940000004</v>
      </c>
      <c r="D155" s="115">
        <v>12493.5059199999</v>
      </c>
      <c r="E155" s="41">
        <v>1119.3332994468999</v>
      </c>
      <c r="F155" s="14">
        <v>740.31161851011996</v>
      </c>
      <c r="G155" s="29">
        <v>40.940634279521802</v>
      </c>
      <c r="H155" s="14">
        <v>3118.3314522138198</v>
      </c>
      <c r="I155" s="29">
        <v>5964.2324964495001</v>
      </c>
      <c r="J155" s="29">
        <v>3666.6407413721799</v>
      </c>
      <c r="K155" s="15">
        <v>5817.9170435056803</v>
      </c>
      <c r="L155" s="14">
        <v>4667.6957365268399</v>
      </c>
      <c r="M155" s="29">
        <v>7827.0384913157504</v>
      </c>
      <c r="N155" s="29">
        <v>6482.1901646600199</v>
      </c>
      <c r="O155" s="15">
        <v>8633.4664667935194</v>
      </c>
      <c r="P155" s="14">
        <v>4.1700677884177004</v>
      </c>
      <c r="Q155" s="29">
        <v>6.9925896917239303</v>
      </c>
      <c r="R155" s="29">
        <v>5.7911170585768099</v>
      </c>
      <c r="S155" s="15">
        <v>7.7130435331992597</v>
      </c>
      <c r="U155" s="11">
        <v>540.53652916800002</v>
      </c>
    </row>
    <row r="156" spans="2:22" x14ac:dyDescent="0.35">
      <c r="B156" s="2">
        <v>200199</v>
      </c>
      <c r="C156" s="116">
        <v>6201.1836020000001</v>
      </c>
      <c r="D156" s="117">
        <v>7286.5249610000001</v>
      </c>
      <c r="E156" s="11">
        <v>1216.48139739154</v>
      </c>
      <c r="F156" s="16">
        <v>793.20024198864303</v>
      </c>
      <c r="G156" s="9">
        <v>41.136073075636197</v>
      </c>
      <c r="H156" s="16">
        <v>3450.2500224468299</v>
      </c>
      <c r="I156" s="9">
        <v>6394.2232725921303</v>
      </c>
      <c r="J156" s="9">
        <v>3949.3941663639798</v>
      </c>
      <c r="K156" s="17">
        <v>6266.5663894336203</v>
      </c>
      <c r="L156" s="16">
        <v>5009.1142386702304</v>
      </c>
      <c r="M156" s="9">
        <v>8274.9798616599201</v>
      </c>
      <c r="N156" s="9">
        <v>6834.7200304129401</v>
      </c>
      <c r="O156" s="17">
        <v>9151.8922534825797</v>
      </c>
      <c r="P156" s="16">
        <v>4.1177072246325297</v>
      </c>
      <c r="Q156" s="9">
        <v>6.8023891523566702</v>
      </c>
      <c r="R156" s="9">
        <v>5.6184336604475602</v>
      </c>
      <c r="S156" s="17">
        <v>7.5232488331565497</v>
      </c>
      <c r="U156" s="11">
        <v>579.15301478399897</v>
      </c>
    </row>
    <row r="157" spans="2:22" x14ac:dyDescent="0.35">
      <c r="B157" s="2">
        <v>200505</v>
      </c>
      <c r="C157" s="116">
        <v>8060.451857</v>
      </c>
      <c r="D157" s="117">
        <v>10085.8408799999</v>
      </c>
      <c r="E157" s="11">
        <v>1541.1851024766499</v>
      </c>
      <c r="F157" s="16">
        <v>852.40936301347995</v>
      </c>
      <c r="G157" s="9">
        <v>48.080896697342503</v>
      </c>
      <c r="H157" s="16">
        <v>4599.6186742129603</v>
      </c>
      <c r="I157" s="9">
        <v>7998.1987930835403</v>
      </c>
      <c r="J157" s="9">
        <v>4894.4572881623899</v>
      </c>
      <c r="K157" s="17">
        <v>7766.11304025767</v>
      </c>
      <c r="L157" s="16">
        <v>6294.7082060575804</v>
      </c>
      <c r="M157" s="9">
        <v>10079.111669271901</v>
      </c>
      <c r="N157" s="9">
        <v>8117.4741286896797</v>
      </c>
      <c r="O157" s="17">
        <v>10989.1298807849</v>
      </c>
      <c r="P157" s="16">
        <v>4.08432977709304</v>
      </c>
      <c r="Q157" s="9">
        <v>6.5398449888173804</v>
      </c>
      <c r="R157" s="9">
        <v>5.2670338661106104</v>
      </c>
      <c r="S157" s="17">
        <v>7.1303115136044699</v>
      </c>
      <c r="U157" s="11">
        <v>622.38439461599899</v>
      </c>
    </row>
    <row r="158" spans="2:22" x14ac:dyDescent="0.35">
      <c r="B158" s="2">
        <v>300839</v>
      </c>
      <c r="C158" s="116">
        <v>21452.055</v>
      </c>
      <c r="D158" s="117">
        <v>18856.6141099999</v>
      </c>
      <c r="E158" s="11">
        <v>2393.6371291145301</v>
      </c>
      <c r="F158" s="16">
        <v>1772.92282608347</v>
      </c>
      <c r="G158" s="9">
        <v>76.805255111746902</v>
      </c>
      <c r="H158" s="16">
        <v>7854.0100889024097</v>
      </c>
      <c r="I158" s="9">
        <v>12481.0059248047</v>
      </c>
      <c r="J158" s="9">
        <v>7375.5530097730098</v>
      </c>
      <c r="K158" s="17">
        <v>11702.9069896767</v>
      </c>
      <c r="L158" s="16">
        <v>11003.336680615599</v>
      </c>
      <c r="M158" s="9">
        <v>16242.159341484101</v>
      </c>
      <c r="N158" s="9">
        <v>12581.7192946166</v>
      </c>
      <c r="O158" s="17">
        <v>16909.073274520299</v>
      </c>
      <c r="P158" s="16">
        <v>4.5969109297222603</v>
      </c>
      <c r="Q158" s="9">
        <v>6.7855562332008699</v>
      </c>
      <c r="R158" s="9">
        <v>5.2563185712576699</v>
      </c>
      <c r="S158" s="17">
        <v>7.0641757135407701</v>
      </c>
      <c r="U158" s="11">
        <v>1282.2087082640001</v>
      </c>
    </row>
    <row r="159" spans="2:22" x14ac:dyDescent="0.35">
      <c r="B159" s="2">
        <v>300854</v>
      </c>
      <c r="C159" s="116">
        <v>11879.065070000001</v>
      </c>
      <c r="D159" s="117">
        <v>6404.5819629999896</v>
      </c>
      <c r="E159" s="11">
        <v>4327.2169781960301</v>
      </c>
      <c r="F159" s="16">
        <v>14249.610022323999</v>
      </c>
      <c r="G159" s="9">
        <v>66.784407051081402</v>
      </c>
      <c r="H159" s="16">
        <v>16128.9571019497</v>
      </c>
      <c r="I159" s="9">
        <v>20385.509881744201</v>
      </c>
      <c r="J159" s="9">
        <v>13003.3145037186</v>
      </c>
      <c r="K159" s="17">
        <v>20632.5654487049</v>
      </c>
      <c r="L159" s="16">
        <v>30953.427984323302</v>
      </c>
      <c r="M159" s="9">
        <v>35850.125114312199</v>
      </c>
      <c r="N159" s="9">
        <v>31084.334032383798</v>
      </c>
      <c r="O159" s="17">
        <v>38713.584977370003</v>
      </c>
      <c r="P159" s="16">
        <v>7.1531952615945498</v>
      </c>
      <c r="Q159" s="9">
        <v>8.2847995131637102</v>
      </c>
      <c r="R159" s="9">
        <v>7.1834470489950997</v>
      </c>
      <c r="S159" s="17">
        <v>8.9465319563220191</v>
      </c>
      <c r="U159" s="11">
        <v>13327.143501840001</v>
      </c>
    </row>
    <row r="160" spans="2:22" x14ac:dyDescent="0.35">
      <c r="B160" s="2">
        <v>301036</v>
      </c>
      <c r="C160" s="116">
        <v>29889.18432</v>
      </c>
      <c r="D160" s="117">
        <v>18439.705519999901</v>
      </c>
      <c r="E160" s="11">
        <v>5754.08629751841</v>
      </c>
      <c r="F160" s="16">
        <v>25584.3727546058</v>
      </c>
      <c r="G160" s="9">
        <v>88.647021824912599</v>
      </c>
      <c r="H160" s="16">
        <v>22804.532362361799</v>
      </c>
      <c r="I160" s="9">
        <v>27079.420587317101</v>
      </c>
      <c r="J160" s="9">
        <v>17156.274732379199</v>
      </c>
      <c r="K160" s="17">
        <v>27222.133339199499</v>
      </c>
      <c r="L160" s="16">
        <v>49135.244751878803</v>
      </c>
      <c r="M160" s="9">
        <v>54255.355258719799</v>
      </c>
      <c r="N160" s="9">
        <v>47628.851106054499</v>
      </c>
      <c r="O160" s="17">
        <v>57694.709712874799</v>
      </c>
      <c r="P160" s="16">
        <v>8.53919149128326</v>
      </c>
      <c r="Q160" s="9">
        <v>9.4290131314364896</v>
      </c>
      <c r="R160" s="9">
        <v>8.2773960353350198</v>
      </c>
      <c r="S160" s="17">
        <v>10.0267369534859</v>
      </c>
      <c r="U160" s="11">
        <v>30971.437002119899</v>
      </c>
    </row>
    <row r="161" spans="2:22" x14ac:dyDescent="0.35">
      <c r="B161" s="2">
        <v>401242</v>
      </c>
      <c r="C161" s="116">
        <v>14116.5534299999</v>
      </c>
      <c r="D161" s="117">
        <v>7164.9607390000001</v>
      </c>
      <c r="E161" s="11">
        <v>3656.1006333031401</v>
      </c>
      <c r="F161" s="16">
        <v>40605.147771248303</v>
      </c>
      <c r="G161" s="9">
        <v>55.323703191681901</v>
      </c>
      <c r="H161" s="16">
        <v>13141.890191533001</v>
      </c>
      <c r="I161" s="9">
        <v>17051.778795466798</v>
      </c>
      <c r="J161" s="9">
        <v>11050.003537254101</v>
      </c>
      <c r="K161" s="17">
        <v>17533.215944720501</v>
      </c>
      <c r="L161" s="16">
        <v>54170.165647376001</v>
      </c>
      <c r="M161" s="9">
        <v>58584.095262908399</v>
      </c>
      <c r="N161" s="9">
        <v>54918.426792036298</v>
      </c>
      <c r="O161" s="17">
        <v>61401.639199502701</v>
      </c>
      <c r="P161" s="16">
        <v>14.8163770859981</v>
      </c>
      <c r="Q161" s="9">
        <v>16.0236550190305</v>
      </c>
      <c r="R161" s="9">
        <v>15.021038067658299</v>
      </c>
      <c r="S161" s="17">
        <v>16.7942968090648</v>
      </c>
      <c r="U161" s="11">
        <v>36969.875289479904</v>
      </c>
    </row>
    <row r="162" spans="2:22" x14ac:dyDescent="0.35">
      <c r="B162" s="2">
        <v>401248</v>
      </c>
      <c r="C162" s="116">
        <v>41974.792249999897</v>
      </c>
      <c r="D162" s="117">
        <v>28740.416440000001</v>
      </c>
      <c r="E162" s="11">
        <v>5899.2493681187198</v>
      </c>
      <c r="F162" s="16">
        <v>25581.980743313699</v>
      </c>
      <c r="G162" s="9">
        <v>90.921893456055301</v>
      </c>
      <c r="H162" s="16">
        <v>23505.591437764098</v>
      </c>
      <c r="I162" s="9">
        <v>27768.291595156199</v>
      </c>
      <c r="J162" s="9">
        <v>17578.777655884202</v>
      </c>
      <c r="K162" s="17">
        <v>27892.525431845799</v>
      </c>
      <c r="L162" s="16">
        <v>49854.450824009102</v>
      </c>
      <c r="M162" s="9">
        <v>54984.919377736202</v>
      </c>
      <c r="N162" s="9">
        <v>48159.568905072098</v>
      </c>
      <c r="O162" s="17">
        <v>58473.316681033801</v>
      </c>
      <c r="P162" s="16">
        <v>8.4509821017970896</v>
      </c>
      <c r="Q162" s="9">
        <v>9.3206636889925196</v>
      </c>
      <c r="R162" s="9">
        <v>8.1636774273928197</v>
      </c>
      <c r="S162" s="17">
        <v>9.9119927014851701</v>
      </c>
      <c r="U162">
        <v>30968.541327179999</v>
      </c>
    </row>
    <row r="163" spans="2:22" x14ac:dyDescent="0.35">
      <c r="B163" s="2">
        <v>401254</v>
      </c>
      <c r="C163" s="116">
        <v>17638.712960000001</v>
      </c>
      <c r="D163" s="117">
        <v>16494.221580000001</v>
      </c>
      <c r="E163" s="11">
        <v>4633.5676420111004</v>
      </c>
      <c r="F163" s="16">
        <v>19367.010804262402</v>
      </c>
      <c r="G163" s="9">
        <v>71.387474877307994</v>
      </c>
      <c r="H163" s="16">
        <v>17527.057171936201</v>
      </c>
      <c r="I163" s="9">
        <v>21811.848697081001</v>
      </c>
      <c r="J163" s="9">
        <v>13894.960364778901</v>
      </c>
      <c r="K163" s="17">
        <v>22047.354084335599</v>
      </c>
      <c r="L163" s="16">
        <v>37503.817253752401</v>
      </c>
      <c r="M163" s="9">
        <v>42470.461723352499</v>
      </c>
      <c r="N163" s="9">
        <v>37318.347425757303</v>
      </c>
      <c r="O163" s="17">
        <v>45470.741145314001</v>
      </c>
      <c r="P163" s="16">
        <v>8.0939397352737696</v>
      </c>
      <c r="Q163" s="9">
        <v>9.1658231852031609</v>
      </c>
      <c r="R163" s="9">
        <v>8.0539123001903903</v>
      </c>
      <c r="S163" s="17">
        <v>9.8133327617892405</v>
      </c>
      <c r="U163">
        <v>20374.025288640001</v>
      </c>
    </row>
    <row r="164" spans="2:22" x14ac:dyDescent="0.35">
      <c r="B164" s="2">
        <v>401258</v>
      </c>
      <c r="C164" s="116">
        <v>41710.485139999902</v>
      </c>
      <c r="D164" s="117">
        <v>40463.988100000002</v>
      </c>
      <c r="E164" s="11">
        <v>5909.1623227363298</v>
      </c>
      <c r="F164" s="16">
        <v>12314.456864236399</v>
      </c>
      <c r="G164" s="9">
        <v>149.02072232337099</v>
      </c>
      <c r="H164" s="16">
        <v>23553.602306381301</v>
      </c>
      <c r="I164" s="9">
        <v>29494.408409454099</v>
      </c>
      <c r="J164" s="9">
        <v>17607.629706816999</v>
      </c>
      <c r="K164" s="17">
        <v>27938.305438860902</v>
      </c>
      <c r="L164" s="16">
        <v>37849.503917783397</v>
      </c>
      <c r="M164" s="9">
        <v>45018.861989976802</v>
      </c>
      <c r="N164" s="9">
        <v>36141.613772983997</v>
      </c>
      <c r="O164" s="17">
        <v>46472.289505027999</v>
      </c>
      <c r="P164" s="16">
        <v>6.4052232534131104</v>
      </c>
      <c r="Q164" s="9">
        <v>7.6184845721296997</v>
      </c>
      <c r="R164" s="9">
        <v>6.1161991834145599</v>
      </c>
      <c r="S164" s="17">
        <v>7.86444625598104</v>
      </c>
      <c r="U164">
        <v>12954.764062640001</v>
      </c>
    </row>
    <row r="165" spans="2:22" x14ac:dyDescent="0.35">
      <c r="B165" s="2">
        <v>401342</v>
      </c>
      <c r="C165" s="116">
        <v>78493.901920000004</v>
      </c>
      <c r="D165" s="117">
        <v>56073.22608</v>
      </c>
      <c r="E165" s="11">
        <v>5748.9646155883502</v>
      </c>
      <c r="F165" s="16">
        <v>24681.574578741202</v>
      </c>
      <c r="G165" s="9">
        <v>149.03795577822899</v>
      </c>
      <c r="H165" s="16">
        <v>22779.866331149598</v>
      </c>
      <c r="I165" s="9">
        <v>28683.189854198001</v>
      </c>
      <c r="J165" s="9">
        <v>17141.367872254501</v>
      </c>
      <c r="K165" s="17">
        <v>27198.4803877101</v>
      </c>
      <c r="L165" s="16">
        <v>49394.636006681802</v>
      </c>
      <c r="M165" s="9">
        <v>56490.718487268998</v>
      </c>
      <c r="N165" s="9">
        <v>47894.823733174599</v>
      </c>
      <c r="O165" s="17">
        <v>57951.936248630198</v>
      </c>
      <c r="P165" s="16">
        <v>8.5919185991766103</v>
      </c>
      <c r="Q165" s="9">
        <v>9.8262421609091195</v>
      </c>
      <c r="R165" s="9">
        <v>8.3310347055028906</v>
      </c>
      <c r="S165" s="17">
        <v>10.0804127566715</v>
      </c>
      <c r="U165">
        <v>26369.652670619998</v>
      </c>
    </row>
    <row r="166" spans="2:22" x14ac:dyDescent="0.35">
      <c r="B166" s="4">
        <v>401353</v>
      </c>
      <c r="C166" s="118">
        <v>21340.18057</v>
      </c>
      <c r="D166" s="119">
        <v>12734.61117</v>
      </c>
      <c r="E166" s="13">
        <v>7977.4238490152602</v>
      </c>
      <c r="F166" s="16">
        <v>68387.227172334999</v>
      </c>
      <c r="G166" s="9">
        <v>124.292585135194</v>
      </c>
      <c r="H166" s="18">
        <v>33919.9799333177</v>
      </c>
      <c r="I166" s="30">
        <v>37478.403863956097</v>
      </c>
      <c r="J166" s="30">
        <v>23627.3876095128</v>
      </c>
      <c r="K166" s="19">
        <v>37489.950819522302</v>
      </c>
      <c r="L166" s="18">
        <v>103310.820686237</v>
      </c>
      <c r="M166" s="30">
        <v>108027.29535203399</v>
      </c>
      <c r="N166" s="30">
        <v>98539.584363792907</v>
      </c>
      <c r="O166" s="19">
        <v>112402.14757380199</v>
      </c>
      <c r="P166" s="18">
        <v>12.9503988557647</v>
      </c>
      <c r="Q166" s="30">
        <v>13.5416266449687</v>
      </c>
      <c r="R166" s="30">
        <v>12.352306487508001</v>
      </c>
      <c r="S166" s="19">
        <v>14.090030779507501</v>
      </c>
      <c r="U166">
        <v>68927.324495849898</v>
      </c>
    </row>
    <row r="167" spans="2:22" x14ac:dyDescent="0.35">
      <c r="B167" s="148" t="s">
        <v>109</v>
      </c>
      <c r="C167" s="152">
        <f t="shared" ref="C167:O167" si="24">SUM(C155:C166)</f>
        <v>300520.15681299969</v>
      </c>
      <c r="D167" s="153">
        <f t="shared" si="24"/>
        <v>235238.19746299958</v>
      </c>
      <c r="E167" s="149">
        <f t="shared" si="24"/>
        <v>50176.408634916967</v>
      </c>
      <c r="F167" s="22">
        <f t="shared" si="24"/>
        <v>234930.2247606625</v>
      </c>
      <c r="G167" s="21">
        <f t="shared" si="24"/>
        <v>1002.3786228020806</v>
      </c>
      <c r="H167" s="22">
        <f t="shared" si="24"/>
        <v>192383.6870741694</v>
      </c>
      <c r="I167" s="223">
        <f t="shared" si="24"/>
        <v>242590.51217130339</v>
      </c>
      <c r="J167" s="223">
        <f t="shared" si="24"/>
        <v>150945.76118827087</v>
      </c>
      <c r="K167" s="21">
        <f t="shared" si="24"/>
        <v>239508.03435777326</v>
      </c>
      <c r="L167" s="22">
        <f t="shared" si="24"/>
        <v>439146.92193391203</v>
      </c>
      <c r="M167" s="223">
        <f t="shared" si="24"/>
        <v>498105.12193004054</v>
      </c>
      <c r="N167" s="223">
        <f t="shared" si="24"/>
        <v>435701.65374963469</v>
      </c>
      <c r="O167" s="21">
        <f t="shared" si="24"/>
        <v>524263.92691913684</v>
      </c>
      <c r="P167" s="22">
        <f>Table272[[#This Row],[USDA_pow_t]]/Table272[[#This Row],[damVol_yds]]</f>
        <v>8.7520596607290191</v>
      </c>
      <c r="Q167" s="223">
        <f>Table272[[#This Row],[dikeUSDA_t]]/Table272[[#This Row],[damVol_yds]]</f>
        <v>9.9270779930514408</v>
      </c>
      <c r="R167" s="223">
        <f>Table272[[#This Row],[cc_total]]/Table272[[#This Row],[damVol_yds]]</f>
        <v>8.6833965523478458</v>
      </c>
      <c r="S167" s="21">
        <f>Table272[[#This Row],[cc_total]]/Table272[[#This Row],[damVol_yds]]</f>
        <v>8.6833965523478458</v>
      </c>
      <c r="U167" s="142">
        <f>SUM(U155:U166)</f>
        <v>243887.04628520171</v>
      </c>
      <c r="V167" s="173">
        <f>F167-U167</f>
        <v>-8956.8215245392057</v>
      </c>
    </row>
  </sheetData>
  <phoneticPr fontId="2" type="noConversion"/>
  <conditionalFormatting sqref="L10:O10">
    <cfRule type="top10" dxfId="179" priority="9" rank="1"/>
  </conditionalFormatting>
  <conditionalFormatting sqref="L22:O22">
    <cfRule type="top10" dxfId="178" priority="8" rank="1"/>
  </conditionalFormatting>
  <conditionalFormatting sqref="L70:O70">
    <cfRule type="top10" dxfId="177" priority="6" rank="1"/>
  </conditionalFormatting>
  <conditionalFormatting sqref="L99:O99">
    <cfRule type="top10" dxfId="176" priority="5" rank="1"/>
  </conditionalFormatting>
  <conditionalFormatting sqref="L128:O128">
    <cfRule type="top10" dxfId="175" priority="3" rank="1"/>
    <cfRule type="top10" priority="4" rank="1"/>
  </conditionalFormatting>
  <conditionalFormatting sqref="L149:O149">
    <cfRule type="top10" dxfId="174" priority="2" rank="1"/>
  </conditionalFormatting>
  <conditionalFormatting sqref="L167:O167">
    <cfRule type="top10" dxfId="173" priority="1" rank="1"/>
  </conditionalFormatting>
  <pageMargins left="0.7" right="0.7" top="0.75" bottom="0.75" header="0.3" footer="0.3"/>
  <pageSetup orientation="portrait" r:id="rId1"/>
  <drawing r:id="rId2"/>
  <tableParts count="8"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HDPE</vt:lpstr>
      <vt:lpstr>area</vt:lpstr>
      <vt:lpstr>best_approx_pipes</vt:lpstr>
      <vt:lpstr>box_culvert</vt:lpstr>
      <vt:lpstr>Divisions_ponds</vt:lpstr>
      <vt:lpstr>USDA</vt:lpstr>
      <vt:lpstr>DSRs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Antolini</dc:creator>
  <cp:lastModifiedBy>Federico Antolini</cp:lastModifiedBy>
  <dcterms:created xsi:type="dcterms:W3CDTF">2021-08-12T00:04:39Z</dcterms:created>
  <dcterms:modified xsi:type="dcterms:W3CDTF">2022-10-07T22:01:10Z</dcterms:modified>
</cp:coreProperties>
</file>