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federicocrespo/Desktop/Diablo/"/>
    </mc:Choice>
  </mc:AlternateContent>
  <xr:revisionPtr revIDLastSave="0" documentId="13_ncr:1_{B2585691-4EC7-9840-8EA9-C5E65664B410}" xr6:coauthVersionLast="45" xr6:coauthVersionMax="45" xr10:uidLastSave="{00000000-0000-0000-0000-000000000000}"/>
  <bookViews>
    <workbookView xWindow="0" yWindow="460" windowWidth="28800" windowHeight="16240" activeTab="1" xr2:uid="{77370244-50CD-EC4C-A093-93779831363D}"/>
  </bookViews>
  <sheets>
    <sheet name="Setup" sheetId="4" r:id="rId1"/>
    <sheet name="Dashboards" sheetId="1" r:id="rId2"/>
    <sheet name="Data" sheetId="3" r:id="rId3"/>
    <sheet name="Assets Installed" sheetId="2" r:id="rId4"/>
    <sheet name="Analysis" sheetId="5" r:id="rId5"/>
  </sheets>
  <externalReferences>
    <externalReference r:id="rId6"/>
  </externalReferences>
  <definedNames>
    <definedName name="assest">Setup!$B$11:$B$13</definedName>
    <definedName name="assets">Setup!$B$11:$B$13</definedName>
    <definedName name="Name">employees_table[Name]</definedName>
    <definedName name="type">[1]Helper!$A$17:$A$18</definedName>
  </definedNames>
  <calcPr calcId="191029"/>
  <pivotCaches>
    <pivotCache cacheId="16" r:id="rId7"/>
    <pivotCache cacheId="2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G13" i="1"/>
  <c r="D6" i="3"/>
  <c r="G6" i="3"/>
  <c r="I6" i="3"/>
  <c r="K6" i="3"/>
  <c r="O6" i="3" s="1"/>
  <c r="M6" i="3"/>
  <c r="N6" i="3"/>
  <c r="S6" i="3"/>
  <c r="T6" i="3"/>
  <c r="U6" i="3"/>
  <c r="V6" i="3"/>
  <c r="D5" i="3"/>
  <c r="S5" i="3" s="1"/>
  <c r="G5" i="3"/>
  <c r="I5" i="3"/>
  <c r="K5" i="3"/>
  <c r="M5" i="3"/>
  <c r="N5" i="3"/>
  <c r="T5" i="3"/>
  <c r="U5" i="3"/>
  <c r="V5" i="3"/>
  <c r="G4" i="3"/>
  <c r="D4" i="3"/>
  <c r="S4" i="3" s="1"/>
  <c r="I4" i="3"/>
  <c r="K4" i="3"/>
  <c r="M4" i="3"/>
  <c r="N4" i="3"/>
  <c r="T4" i="3"/>
  <c r="U4" i="3"/>
  <c r="V4" i="3"/>
  <c r="G3" i="3"/>
  <c r="D3" i="3"/>
  <c r="S3" i="3" s="1"/>
  <c r="I3" i="3"/>
  <c r="K3" i="3"/>
  <c r="M3" i="3"/>
  <c r="N3" i="3"/>
  <c r="T3" i="3"/>
  <c r="U3" i="3"/>
  <c r="V3" i="3"/>
  <c r="D2" i="3"/>
  <c r="O5" i="3" l="1"/>
  <c r="O4" i="3"/>
  <c r="O3" i="3"/>
  <c r="D40" i="5" l="1"/>
  <c r="D41" i="5"/>
  <c r="D42" i="5"/>
  <c r="A77" i="5"/>
  <c r="B71" i="5"/>
  <c r="B72" i="5" s="1"/>
  <c r="B67" i="5"/>
  <c r="B68" i="5" s="1"/>
  <c r="G2" i="3" l="1"/>
  <c r="S2" i="3"/>
  <c r="I2" i="3"/>
  <c r="C42" i="5" l="1"/>
  <c r="C41" i="5"/>
  <c r="C40" i="5"/>
  <c r="D43" i="5"/>
  <c r="W4" i="1" l="1"/>
  <c r="U4" i="1"/>
  <c r="V4" i="1"/>
  <c r="T2" i="3"/>
  <c r="N2" i="3"/>
  <c r="M2" i="3"/>
  <c r="K2" i="3"/>
  <c r="O2" i="3" s="1"/>
  <c r="V2" i="3"/>
  <c r="U2" i="3"/>
  <c r="N10" i="1" l="1"/>
  <c r="M10" i="1"/>
  <c r="V10" i="1"/>
  <c r="R10" i="1"/>
  <c r="S11" i="1"/>
  <c r="M11" i="1"/>
  <c r="N11" i="1"/>
  <c r="P10" i="1"/>
  <c r="U11" i="1"/>
  <c r="K11" i="1"/>
  <c r="O10" i="1"/>
  <c r="T11" i="1"/>
  <c r="O11" i="1"/>
  <c r="U10" i="1"/>
  <c r="Q10" i="1"/>
  <c r="V11" i="1"/>
  <c r="R11" i="1"/>
  <c r="L11" i="1"/>
  <c r="T10" i="1"/>
  <c r="L10" i="1"/>
  <c r="Q11" i="1"/>
  <c r="S10" i="1"/>
  <c r="K10" i="1"/>
  <c r="P11" i="1"/>
  <c r="N12" i="1" l="1"/>
  <c r="P12" i="1"/>
  <c r="V12" i="1"/>
  <c r="L12" i="1"/>
  <c r="O12" i="1"/>
  <c r="U12" i="1"/>
  <c r="S12" i="1"/>
  <c r="W10" i="1"/>
  <c r="R4" i="1" s="1"/>
  <c r="T12" i="1"/>
  <c r="Q12" i="1"/>
  <c r="R12" i="1"/>
  <c r="W11" i="1"/>
  <c r="S4" i="1" s="1"/>
  <c r="K12" i="1"/>
  <c r="M12" i="1"/>
  <c r="R6" i="1" l="1"/>
  <c r="W12" i="1"/>
</calcChain>
</file>

<file path=xl/sharedStrings.xml><?xml version="1.0" encoding="utf-8"?>
<sst xmlns="http://schemas.openxmlformats.org/spreadsheetml/2006/main" count="156" uniqueCount="88">
  <si>
    <t>Assets Installed</t>
  </si>
  <si>
    <t xml:space="preserve">S#? </t>
  </si>
  <si>
    <t>QuickLinks (Barriers)</t>
  </si>
  <si>
    <t>Terminal Ends</t>
  </si>
  <si>
    <t>Code/ID</t>
  </si>
  <si>
    <t>Start Date</t>
  </si>
  <si>
    <t>End Date</t>
  </si>
  <si>
    <t>Hours</t>
  </si>
  <si>
    <t>Delays</t>
  </si>
  <si>
    <t>Name</t>
  </si>
  <si>
    <t>Level</t>
  </si>
  <si>
    <t>Goal [metres]</t>
  </si>
  <si>
    <t>Goal [Kilometres]</t>
  </si>
  <si>
    <t>Achieved [metres ]</t>
  </si>
  <si>
    <t>Achieved [Km]</t>
  </si>
  <si>
    <t>Bal to Achieved [mtr]</t>
  </si>
  <si>
    <t>Bal to Achieved [km]</t>
  </si>
  <si>
    <t>Client</t>
  </si>
  <si>
    <t>Estimated  Costs</t>
  </si>
  <si>
    <t>Year</t>
  </si>
  <si>
    <t>Month</t>
  </si>
  <si>
    <t>Date</t>
  </si>
  <si>
    <t>Simon Gallo</t>
  </si>
  <si>
    <t>Internal</t>
  </si>
  <si>
    <t>Jack Schwarz</t>
  </si>
  <si>
    <t>External</t>
  </si>
  <si>
    <t>Nigel Dow</t>
  </si>
  <si>
    <t>Federico Crespo</t>
  </si>
  <si>
    <t>Ayrton Mittica</t>
  </si>
  <si>
    <t>Supervisor</t>
  </si>
  <si>
    <t>Installer</t>
  </si>
  <si>
    <t>Hazards Detected</t>
  </si>
  <si>
    <t>Hour Rate</t>
  </si>
  <si>
    <t>CPB</t>
  </si>
  <si>
    <t>Coates</t>
  </si>
  <si>
    <t>Possible Savings for delays</t>
  </si>
  <si>
    <t>No delays</t>
  </si>
  <si>
    <t>Orders for Clients</t>
  </si>
  <si>
    <t>Estimated Costs for Delays</t>
  </si>
  <si>
    <t>Column Labels</t>
  </si>
  <si>
    <t>Apr</t>
  </si>
  <si>
    <t>May</t>
  </si>
  <si>
    <t>Total</t>
  </si>
  <si>
    <t>Jan</t>
  </si>
  <si>
    <t>Feb</t>
  </si>
  <si>
    <t>Jun</t>
  </si>
  <si>
    <t>Mar</t>
  </si>
  <si>
    <t>Jul</t>
  </si>
  <si>
    <t>Aug</t>
  </si>
  <si>
    <t>Sep</t>
  </si>
  <si>
    <t>Oct</t>
  </si>
  <si>
    <t>Nov</t>
  </si>
  <si>
    <t>Dec</t>
  </si>
  <si>
    <t>Goal[Km]</t>
  </si>
  <si>
    <t>Progress</t>
  </si>
  <si>
    <t>Hazards</t>
  </si>
  <si>
    <t>Type of Hazards</t>
  </si>
  <si>
    <t>Type of delays</t>
  </si>
  <si>
    <t>cod_cli</t>
  </si>
  <si>
    <t>Asset</t>
  </si>
  <si>
    <t>Delay</t>
  </si>
  <si>
    <t>Hazard</t>
  </si>
  <si>
    <t>cod_haz</t>
  </si>
  <si>
    <t>cod_del</t>
  </si>
  <si>
    <t>code_ass</t>
  </si>
  <si>
    <t>cod_emp</t>
  </si>
  <si>
    <t>Installed Assets</t>
  </si>
  <si>
    <t>Quick Links</t>
  </si>
  <si>
    <t>Total Hours per employee</t>
  </si>
  <si>
    <t>Frank Falcon</t>
  </si>
  <si>
    <t>Turei Haronga</t>
  </si>
  <si>
    <t>GOaLS VS ACHIEVED [KM]</t>
  </si>
  <si>
    <t>challenge the status quo</t>
  </si>
  <si>
    <t>Count</t>
  </si>
  <si>
    <t>Estimated Costs per employee</t>
  </si>
  <si>
    <t>Employee</t>
  </si>
  <si>
    <t>Sum of emplyees</t>
  </si>
  <si>
    <t>Sum Possible Savings for delays</t>
  </si>
  <si>
    <t>Type</t>
  </si>
  <si>
    <t>Shours</t>
  </si>
  <si>
    <t>Internal %</t>
  </si>
  <si>
    <t>Full %</t>
  </si>
  <si>
    <t>External %</t>
  </si>
  <si>
    <t>NO BORRAR</t>
  </si>
  <si>
    <t xml:space="preserve">Internal </t>
  </si>
  <si>
    <t xml:space="preserve">External </t>
  </si>
  <si>
    <t>Quart Gards</t>
  </si>
  <si>
    <t>Quartgards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</si>
</sst>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m/d/yyyy\ h:mm\ AM/PM"/>
    <numFmt numFmtId="165" formatCode="h:mm\ &quot;hrs&quot;"/>
    <numFmt numFmtId="166" formatCode="&quot;AUD&quot;\ #,##0.00_)"/>
    <numFmt numFmtId="167" formatCode="#####\ &quot;Mtr&quot;"/>
    <numFmt numFmtId="168" formatCode="######\ &quot;Km&quot;"/>
    <numFmt numFmtId="169" formatCode="######.00\ &quot;Km&quot;"/>
    <numFmt numFmtId="170" formatCode="_([$AUD]\ * #,##0.00_);_([$AUD]\ * \(#,##0.00\);_([$AUD]\ * &quot;-&quot;??_);_(@_)"/>
    <numFmt numFmtId="171" formatCode="[$AUD]\ #,##0.00_);\([$AUD]\ #,##0.00\)"/>
    <numFmt numFmtId="172" formatCode="#0.00\ &quot;hrs&quot;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Dotum"/>
      <family val="2"/>
      <charset val="129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Silom"/>
      <family val="2"/>
      <charset val="222"/>
    </font>
    <font>
      <b/>
      <sz val="24"/>
      <color theme="1"/>
      <name val="Calibri"/>
      <family val="2"/>
      <scheme val="minor"/>
    </font>
    <font>
      <sz val="16"/>
      <color theme="1"/>
      <name val="Silom"/>
      <family val="2"/>
      <charset val="222"/>
    </font>
    <font>
      <sz val="24"/>
      <color theme="1"/>
      <name val="Calibri"/>
      <family val="2"/>
      <scheme val="minor"/>
    </font>
    <font>
      <sz val="16"/>
      <color theme="0"/>
      <name val="American Typewriter"/>
      <family val="1"/>
    </font>
    <font>
      <sz val="12"/>
      <color theme="0"/>
      <name val="Calibri"/>
      <family val="2"/>
      <scheme val="minor"/>
    </font>
    <font>
      <sz val="14"/>
      <color rgb="FF595959"/>
      <name val="Silom"/>
      <family val="2"/>
      <charset val="22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14999847407452621"/>
        <bgColor indexed="64"/>
      </patternFill>
    </fill>
    <fill>
      <patternFill patternType="darkGray">
        <fgColor theme="4"/>
        <bgColor rgb="FFC40000"/>
      </patternFill>
    </fill>
    <fill>
      <patternFill patternType="solid">
        <fgColor theme="1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EAE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3" borderId="3" xfId="0" applyFill="1" applyBorder="1"/>
    <xf numFmtId="0" fontId="0" fillId="0" borderId="3" xfId="0" applyBorder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2" fillId="2" borderId="2" xfId="0" applyFont="1" applyFill="1" applyBorder="1"/>
    <xf numFmtId="0" fontId="0" fillId="0" borderId="0" xfId="0" applyFont="1" applyAlignment="1">
      <alignment horizontal="center"/>
    </xf>
    <xf numFmtId="170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2" applyFont="1"/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6" fillId="5" borderId="4" xfId="0" applyFont="1" applyFill="1" applyBorder="1" applyAlignment="1">
      <alignment horizontal="center" vertical="center"/>
    </xf>
    <xf numFmtId="9" fontId="6" fillId="5" borderId="4" xfId="2" applyFont="1" applyFill="1" applyBorder="1" applyAlignment="1">
      <alignment horizontal="center" vertical="center"/>
    </xf>
    <xf numFmtId="0" fontId="0" fillId="6" borderId="0" xfId="0" applyFill="1"/>
    <xf numFmtId="0" fontId="12" fillId="0" borderId="0" xfId="0" applyFont="1"/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15" fillId="4" borderId="0" xfId="0" applyFont="1" applyFill="1"/>
    <xf numFmtId="10" fontId="0" fillId="0" borderId="0" xfId="0" applyNumberFormat="1"/>
    <xf numFmtId="0" fontId="0" fillId="11" borderId="0" xfId="0" applyFill="1"/>
    <xf numFmtId="0" fontId="16" fillId="12" borderId="0" xfId="0" applyFont="1" applyFill="1"/>
    <xf numFmtId="9" fontId="0" fillId="0" borderId="0" xfId="0" applyNumberFormat="1"/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9" fontId="13" fillId="8" borderId="5" xfId="2" applyFont="1" applyFill="1" applyBorder="1" applyAlignment="1">
      <alignment horizontal="center" vertical="center" wrapText="1"/>
    </xf>
    <xf numFmtId="9" fontId="13" fillId="8" borderId="7" xfId="2" applyFont="1" applyFill="1" applyBorder="1" applyAlignment="1">
      <alignment horizontal="center" vertical="center" wrapText="1"/>
    </xf>
    <xf numFmtId="9" fontId="13" fillId="8" borderId="8" xfId="2" applyFont="1" applyFill="1" applyBorder="1" applyAlignment="1">
      <alignment horizontal="center" vertical="center" wrapText="1"/>
    </xf>
    <xf numFmtId="9" fontId="13" fillId="8" borderId="10" xfId="2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172" fontId="0" fillId="5" borderId="14" xfId="0" applyNumberFormat="1" applyFont="1" applyFill="1" applyBorder="1" applyAlignment="1">
      <alignment horizontal="center" vertical="center"/>
    </xf>
    <xf numFmtId="172" fontId="6" fillId="5" borderId="15" xfId="0" applyNumberFormat="1" applyFont="1" applyFill="1" applyBorder="1" applyAlignment="1">
      <alignment horizontal="center" vertical="center"/>
    </xf>
    <xf numFmtId="4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7" fillId="0" borderId="0" xfId="0" applyFont="1" applyAlignment="1">
      <alignment horizontal="center" vertical="center" readingOrder="1"/>
    </xf>
  </cellXfs>
  <cellStyles count="3">
    <cellStyle name="Currency" xfId="1" builtinId="4"/>
    <cellStyle name="Normal" xfId="0" builtinId="0"/>
    <cellStyle name="Per cent" xfId="2" builtinId="5"/>
  </cellStyles>
  <dxfs count="31">
    <dxf>
      <numFmt numFmtId="164" formatCode="m/d/yyyy\ h:mm\ AM/PM"/>
      <alignment horizontal="center" vertical="bottom" textRotation="0" wrapText="0" indent="0" justifyLastLine="0" shrinkToFit="0" readingOrder="0"/>
    </dxf>
    <dxf>
      <numFmt numFmtId="164" formatCode="m/d/yyyy\ h:mm\ AM/PM"/>
      <alignment horizontal="center" vertical="bottom" textRotation="0" wrapText="0" indent="0" justifyLastLine="0" shrinkToFit="0" readingOrder="0"/>
    </dxf>
    <dxf>
      <numFmt numFmtId="171" formatCode="[$AUD]\ #,##0.00_);\([$AUD]\ #,##0.00\)"/>
    </dxf>
    <dxf>
      <numFmt numFmtId="171" formatCode="[$AUD]\ #,##0.00_);\([$AUD]\ #,##0.00\)"/>
    </dxf>
    <dxf>
      <numFmt numFmtId="171" formatCode="[$AUD]\ #,##0.00_);\([$AUD]\ #,##0.00\)"/>
    </dxf>
    <dxf>
      <numFmt numFmtId="19" formatCode="d/m/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&quot;AUD&quot;\ #,##0.00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######\ &quot;Km&quot;"/>
      <alignment horizontal="center" vertical="bottom" textRotation="0" wrapText="0" indent="0" justifyLastLine="0" shrinkToFit="0" readingOrder="0"/>
    </dxf>
    <dxf>
      <numFmt numFmtId="167" formatCode="#####\ &quot;Mtr&quot;"/>
      <alignment horizontal="center" vertical="bottom" textRotation="0" wrapText="0" indent="0" justifyLastLine="0" shrinkToFit="0" readingOrder="0"/>
    </dxf>
    <dxf>
      <numFmt numFmtId="169" formatCode="######.00\ &quot;Km&quot;"/>
      <alignment horizontal="center" vertical="bottom" textRotation="0" wrapText="0" indent="0" justifyLastLine="0" shrinkToFit="0" readingOrder="0"/>
    </dxf>
    <dxf>
      <numFmt numFmtId="167" formatCode="#####\ &quot;Mtr&quot;"/>
      <alignment horizontal="center" vertical="bottom" textRotation="0" wrapText="0" indent="0" justifyLastLine="0" shrinkToFit="0" readingOrder="0"/>
    </dxf>
    <dxf>
      <numFmt numFmtId="169" formatCode="######.00\ &quot;Km&quot;"/>
      <alignment horizontal="center" vertical="bottom" textRotation="0" wrapText="0" indent="0" justifyLastLine="0" shrinkToFit="0" readingOrder="0"/>
    </dxf>
    <dxf>
      <numFmt numFmtId="167" formatCode="#####\ &quot;Mtr&quot;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AUD&quot;\ #,##0.00_)"/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72" formatCode="#0.00\ &quot;hrs&quot;"/>
      <alignment horizontal="center" vertical="bottom" textRotation="0" wrapText="0" indent="0" justifyLastLine="0" shrinkToFit="0" readingOrder="0"/>
    </dxf>
    <dxf>
      <numFmt numFmtId="172" formatCode="#0.00\ &quot;hrs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_([$AUD]\ * #,##0.00_);_([$AUD]\ * \(#,##0.00\);_([$AUD]\ * &quot;-&quot;??_);_(@_)"/>
    </dxf>
  </dxfs>
  <tableStyles count="0" defaultTableStyle="TableStyleMedium2" defaultPivotStyle="PivotStyleLight16"/>
  <colors>
    <mruColors>
      <color rgb="FF6EAEC8"/>
      <color rgb="FF6FC7C8"/>
      <color rgb="FF37B8C8"/>
      <color rgb="FFC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image" Target="../media/image15.emf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Silom" pitchFamily="2" charset="-34"/>
                <a:ea typeface="Silom" pitchFamily="2" charset="-34"/>
                <a:cs typeface="Silom" pitchFamily="2" charset="-34"/>
              </a:defRPr>
            </a:pPr>
            <a:r>
              <a:rPr lang="en-GB">
                <a:latin typeface="Silom" pitchFamily="2" charset="-34"/>
                <a:ea typeface="Silom" pitchFamily="2" charset="-34"/>
                <a:cs typeface="Silom" pitchFamily="2" charset="-34"/>
              </a:rPr>
              <a:t>Goals vs Achieved [KM]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Silom" pitchFamily="2" charset="-34"/>
              <a:ea typeface="Silom" pitchFamily="2" charset="-34"/>
              <a:cs typeface="Silom" pitchFamily="2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Dashboards!$J$10</c:f>
              <c:strCache>
                <c:ptCount val="1"/>
                <c:pt idx="0">
                  <c:v>Goal[Km]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ymbol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Dashboards!$K$9:$V$9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Dashboards!$K$10:$V$10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7342-B138-A848300FEF85}"/>
            </c:ext>
          </c:extLst>
        </c:ser>
        <c:ser>
          <c:idx val="1"/>
          <c:order val="1"/>
          <c:tx>
            <c:strRef>
              <c:f>Dashboards!$J$11</c:f>
              <c:strCache>
                <c:ptCount val="1"/>
                <c:pt idx="0">
                  <c:v>Achieved [Km]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09-2F49-B9E8-1BD21406798C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09-2F49-B9E8-1BD214067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ymbol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Dashboards!$K$9:$V$9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Dashboards!$K$11:$V$11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2-7342-B138-A848300F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6303360"/>
        <c:axId val="393438992"/>
      </c:barChart>
      <c:catAx>
        <c:axId val="3863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8992"/>
        <c:crosses val="autoZero"/>
        <c:auto val="1"/>
        <c:lblAlgn val="ctr"/>
        <c:lblOffset val="100"/>
        <c:noMultiLvlLbl val="0"/>
      </c:catAx>
      <c:valAx>
        <c:axId val="3934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>
      <a:glow rad="101600">
        <a:schemeClr val="accent2">
          <a:satMod val="175000"/>
          <a:alpha val="40000"/>
        </a:schemeClr>
      </a:glow>
      <a:innerShdw blurRad="63500" dist="50800" dir="16200000">
        <a:prstClr val="black">
          <a:alpha val="50000"/>
        </a:prstClr>
      </a:innerShdw>
    </a:effectLst>
  </c:spPr>
  <c:txPr>
    <a:bodyPr anchor="t" anchorCtr="0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[Dashboards_Fede.xlsx]Analysis!pivot_clients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2-A545-85AB-B8F6572F69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2-A545-85AB-B8F6572F69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Analysis!$A$14:$A$16</c:f>
              <c:strCache>
                <c:ptCount val="2"/>
                <c:pt idx="0">
                  <c:v>Coates</c:v>
                </c:pt>
                <c:pt idx="1">
                  <c:v>CPB</c:v>
                </c:pt>
              </c:strCache>
            </c:strRef>
          </c:cat>
          <c:val>
            <c:numRef>
              <c:f>Analysis!$B$14:$B$16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0-AB4E-8FB0-40E0514E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[Dashboards_Fede.xlsx]Analysis!pivot_savings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Analysis!$B$20:$B$21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Analysis!$A$22:$A$26</c:f>
              <c:strCache>
                <c:ptCount val="4"/>
                <c:pt idx="0">
                  <c:v>Ayrton Mittica</c:v>
                </c:pt>
                <c:pt idx="1">
                  <c:v>Federico Crespo</c:v>
                </c:pt>
                <c:pt idx="2">
                  <c:v>Simon Gallo</c:v>
                </c:pt>
                <c:pt idx="3">
                  <c:v>Frank Falcon</c:v>
                </c:pt>
              </c:strCache>
            </c:strRef>
          </c:cat>
          <c:val>
            <c:numRef>
              <c:f>Analysis!$B$22:$B$26</c:f>
              <c:numCache>
                <c:formatCode>[$AUD]\ #,##0.00_);\([$AUD]\ #,##0.00\)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C-1349-A827-60C68053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39263"/>
        <c:axId val="256309503"/>
      </c:barChart>
      <c:catAx>
        <c:axId val="2695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09503"/>
        <c:crosses val="autoZero"/>
        <c:auto val="1"/>
        <c:lblAlgn val="ctr"/>
        <c:lblOffset val="100"/>
        <c:noMultiLvlLbl val="0"/>
      </c:catAx>
      <c:valAx>
        <c:axId val="2563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AUD]\ #,##0.00_);\([$AUD]\ 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[Dashboards_Fede.xlsx]Analysis!pivot_hours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Analysis!$A$31:$A$35</c:f>
              <c:strCache>
                <c:ptCount val="4"/>
                <c:pt idx="0">
                  <c:v>Ayrton Mittica</c:v>
                </c:pt>
                <c:pt idx="1">
                  <c:v>Federico Crespo</c:v>
                </c:pt>
                <c:pt idx="2">
                  <c:v>Simon Gallo</c:v>
                </c:pt>
                <c:pt idx="3">
                  <c:v>Frank Falcon</c:v>
                </c:pt>
              </c:strCache>
            </c:strRef>
          </c:cat>
          <c:val>
            <c:numRef>
              <c:f>Analysis!$B$31:$B$35</c:f>
              <c:numCache>
                <c:formatCode>General</c:formatCode>
                <c:ptCount val="4"/>
                <c:pt idx="0">
                  <c:v>8.4999999999417923</c:v>
                </c:pt>
                <c:pt idx="1">
                  <c:v>8.4999999999417923</c:v>
                </c:pt>
                <c:pt idx="2">
                  <c:v>8.4999999999417923</c:v>
                </c:pt>
                <c:pt idx="3">
                  <c:v>8.4999999999417923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8-D243-9321-24075C97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17855"/>
        <c:axId val="292905599"/>
      </c:lineChart>
      <c:catAx>
        <c:axId val="19761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5599"/>
        <c:crosses val="autoZero"/>
        <c:auto val="1"/>
        <c:lblAlgn val="ctr"/>
        <c:lblOffset val="100"/>
        <c:noMultiLvlLbl val="0"/>
      </c:catAx>
      <c:valAx>
        <c:axId val="2929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[Dashboards_Fede.xlsx]Analysis!pivot_hazards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Hazards Detected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33333333334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888888888888884E-2"/>
              <c:y val="-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E-FD44-8AEB-8B62286F6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8E-FD44-8AEB-8B62286F6C0F}"/>
              </c:ext>
            </c:extLst>
          </c:dPt>
          <c:dLbls>
            <c:dLbl>
              <c:idx val="0"/>
              <c:layout>
                <c:manualLayout>
                  <c:x val="0.10833333333333334"/>
                  <c:y val="3.2407407407407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8E-FD44-8AEB-8B62286F6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Analysis!$A$50:$A$51</c:f>
              <c:strCache>
                <c:ptCount val="1"/>
                <c:pt idx="0">
                  <c:v>External</c:v>
                </c:pt>
              </c:strCache>
            </c:strRef>
          </c:cat>
          <c:val>
            <c:numRef>
              <c:f>Analysis!$B$50:$B$51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E-FD44-8AEB-8B62286F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Analysis!$A$69</c:f>
              <c:strCache>
                <c:ptCount val="1"/>
                <c:pt idx="0">
                  <c:v>Full 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FA-AA4B-AF07-C6DFF87C8E33}"/>
              </c:ext>
            </c:extLst>
          </c:dPt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Analysis!$B$69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FA-AA4B-AF07-C6DFF87C8E33}"/>
            </c:ext>
          </c:extLst>
        </c:ser>
        <c:ser>
          <c:idx val="0"/>
          <c:order val="1"/>
          <c:tx>
            <c:strRef>
              <c:f>Analysis!$A$68</c:f>
              <c:strCache>
                <c:ptCount val="1"/>
                <c:pt idx="0">
                  <c:v>Internal %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200" b="1" i="0" u="none" strike="noStrike" kern="1200" baseline="0">
                      <a:solidFill>
                        <a:schemeClr val="tx1"/>
                      </a:solidFill>
                      <a:latin typeface="Dotum" panose="020B0600000101010101" pitchFamily="34" charset="-127"/>
                      <a:ea typeface="Dotum" panose="020B0600000101010101" pitchFamily="34" charset="-127"/>
                      <a:cs typeface="Krungthep" panose="02000400000000000000" pitchFamily="2" charset="-34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51377952755899"/>
                      <c:h val="0.487101829662596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EFA-AA4B-AF07-C6DFF87C8E3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tx1"/>
                    </a:solidFill>
                    <a:latin typeface="Dotum" panose="020B0600000101010101" pitchFamily="34" charset="-127"/>
                    <a:ea typeface="Dotum" panose="020B0600000101010101" pitchFamily="34" charset="-127"/>
                    <a:cs typeface="Krungthep" panose="02000400000000000000" pitchFamily="2" charset="-34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Analysis!$B$68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A-AA4B-AF07-C6DFF87C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2491183"/>
        <c:axId val="2092492815"/>
      </c:barChart>
      <c:catAx>
        <c:axId val="2092491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492815"/>
        <c:crosses val="autoZero"/>
        <c:auto val="1"/>
        <c:lblAlgn val="ctr"/>
        <c:lblOffset val="100"/>
        <c:noMultiLvlLbl val="0"/>
      </c:catAx>
      <c:valAx>
        <c:axId val="2092492815"/>
        <c:scaling>
          <c:orientation val="minMax"/>
          <c:max val="1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209249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27777777777777779"/>
          <c:w val="0.74722222222222223"/>
          <c:h val="0.6712962962962962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Analysis!$A$73</c:f>
              <c:strCache>
                <c:ptCount val="1"/>
                <c:pt idx="0">
                  <c:v>Full %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Analysis!$B$73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7-7540-8C51-41DD7F50E0EA}"/>
            </c:ext>
          </c:extLst>
        </c:ser>
        <c:ser>
          <c:idx val="0"/>
          <c:order val="1"/>
          <c:tx>
            <c:strRef>
              <c:f>Analysis!$A$72</c:f>
              <c:strCache>
                <c:ptCount val="1"/>
                <c:pt idx="0">
                  <c:v>External 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Dotum" panose="020B0600000101010101" pitchFamily="34" charset="-127"/>
                    <a:ea typeface="Dotum" panose="020B0600000101010101" pitchFamily="34" charset="-127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Analysis!$B$72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7540-8C51-41DD7F50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7258479"/>
        <c:axId val="1711493743"/>
      </c:barChart>
      <c:catAx>
        <c:axId val="1687258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1493743"/>
        <c:crosses val="autoZero"/>
        <c:auto val="1"/>
        <c:lblAlgn val="ctr"/>
        <c:lblOffset val="100"/>
        <c:noMultiLvlLbl val="0"/>
      </c:catAx>
      <c:valAx>
        <c:axId val="1711493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872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[Dashboards_Fede.xlsx]Analysis!pivot_clients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ilom" pitchFamily="2" charset="-34"/>
                <a:ea typeface="Silom" pitchFamily="2" charset="-34"/>
                <a:cs typeface="Silom" pitchFamily="2" charset="-34"/>
              </a:defRPr>
            </a:pPr>
            <a:r>
              <a:rPr lang="en-US" sz="1400" b="1">
                <a:latin typeface="Silom" pitchFamily="2" charset="-34"/>
                <a:ea typeface="Silom" pitchFamily="2" charset="-34"/>
                <a:cs typeface="Silom" pitchFamily="2" charset="-34"/>
              </a:rPr>
              <a:t>Work Orders</a:t>
            </a:r>
          </a:p>
        </c:rich>
      </c:tx>
      <c:layout>
        <c:manualLayout>
          <c:xMode val="edge"/>
          <c:yMode val="edge"/>
          <c:x val="2.4116949112363974E-3"/>
          <c:y val="4.7244079842494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ilom" pitchFamily="2" charset="-34"/>
              <a:ea typeface="Silom" pitchFamily="2" charset="-34"/>
              <a:cs typeface="Silom" pitchFamily="2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Symbol" pitchFamily="2" charset="2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8-CB45-9BE1-DD1FB33104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8-CB45-9BE1-DD1FB33104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Symbol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Analysis!$A$14:$A$16</c:f>
              <c:strCache>
                <c:ptCount val="2"/>
                <c:pt idx="0">
                  <c:v>Coates</c:v>
                </c:pt>
                <c:pt idx="1">
                  <c:v>CPB</c:v>
                </c:pt>
              </c:strCache>
            </c:strRef>
          </c:cat>
          <c:val>
            <c:numRef>
              <c:f>Analysis!$B$14:$B$16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8-CB45-9BE1-DD1FB3310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68982958437263"/>
          <c:y val="0.29861792466429266"/>
          <c:w val="0.38496498072598706"/>
          <c:h val="0.36033608396798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alpha val="94000"/>
                </a:schemeClr>
              </a:solidFill>
              <a:effectLst>
                <a:outerShdw blurRad="50800" dist="50800" dir="5400000" sx="20000" sy="2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39700">
        <a:schemeClr val="accent2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[Dashboards_Fede.xlsx]Analysis!pivot_hours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ilom" pitchFamily="2" charset="-34"/>
                <a:ea typeface="Silom" pitchFamily="2" charset="-34"/>
                <a:cs typeface="Silom" pitchFamily="2" charset="-34"/>
              </a:rPr>
              <a:t>Hours</a:t>
            </a:r>
            <a:r>
              <a:rPr lang="en-US" baseline="0">
                <a:latin typeface="Silom" pitchFamily="2" charset="-34"/>
                <a:ea typeface="Silom" pitchFamily="2" charset="-34"/>
                <a:cs typeface="Silom" pitchFamily="2" charset="-34"/>
              </a:rPr>
              <a:t> per Employee</a:t>
            </a:r>
            <a:endParaRPr lang="en-US">
              <a:latin typeface="Silom" pitchFamily="2" charset="-34"/>
              <a:ea typeface="Silom" pitchFamily="2" charset="-34"/>
              <a:cs typeface="Silom" pitchFamily="2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miter lim="800000"/>
            <a:tailEnd type="oval"/>
          </a:ln>
          <a:effectLst>
            <a:glow rad="127000">
              <a:schemeClr val="bg1"/>
            </a:glow>
          </a:effectLst>
        </c:spPr>
        <c:marker>
          <c:symbol val="circle"/>
          <c:size val="1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1"/>
              </a:solidFill>
            </a:ln>
            <a:effectLst>
              <a:glow rad="127000">
                <a:schemeClr val="bg1"/>
              </a:glow>
            </a:effectLst>
            <a:scene3d>
              <a:camera prst="orthographicFront"/>
              <a:lightRig rig="threePt" dir="t"/>
            </a:scene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Analysis!$A$31:$A$35</c:f>
              <c:strCache>
                <c:ptCount val="4"/>
                <c:pt idx="0">
                  <c:v>Ayrton Mittica</c:v>
                </c:pt>
                <c:pt idx="1">
                  <c:v>Federico Crespo</c:v>
                </c:pt>
                <c:pt idx="2">
                  <c:v>Simon Gallo</c:v>
                </c:pt>
                <c:pt idx="3">
                  <c:v>Frank Falcon</c:v>
                </c:pt>
              </c:strCache>
            </c:strRef>
          </c:cat>
          <c:val>
            <c:numRef>
              <c:f>Analysis!$B$31:$B$35</c:f>
              <c:numCache>
                <c:formatCode>General</c:formatCode>
                <c:ptCount val="4"/>
                <c:pt idx="0">
                  <c:v>8.4999999999417923</c:v>
                </c:pt>
                <c:pt idx="1">
                  <c:v>8.4999999999417923</c:v>
                </c:pt>
                <c:pt idx="2">
                  <c:v>8.4999999999417923</c:v>
                </c:pt>
                <c:pt idx="3">
                  <c:v>8.4999999999417923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6347-936A-A856B27C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7855"/>
        <c:axId val="292905599"/>
      </c:lineChart>
      <c:catAx>
        <c:axId val="19761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5599"/>
        <c:crosses val="autoZero"/>
        <c:auto val="1"/>
        <c:lblAlgn val="ctr"/>
        <c:lblOffset val="100"/>
        <c:noMultiLvlLbl val="0"/>
      </c:catAx>
      <c:valAx>
        <c:axId val="2929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855"/>
        <c:crosses val="autoZero"/>
        <c:crossBetween val="between"/>
      </c:valAx>
      <c:spPr>
        <a:noFill/>
        <a:ln>
          <a:noFill/>
        </a:ln>
        <a:effectLst>
          <a:glow rad="139700">
            <a:schemeClr val="accent2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 rad="139700">
        <a:schemeClr val="accent2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[Dashboards_Fede.xlsx]Analysis!pivot_savings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ilom" pitchFamily="2" charset="-34"/>
                <a:ea typeface="Silom" pitchFamily="2" charset="-34"/>
                <a:cs typeface="Silom" pitchFamily="2" charset="-34"/>
              </a:defRPr>
            </a:pPr>
            <a:r>
              <a:rPr lang="en-US">
                <a:latin typeface="Silom" pitchFamily="2" charset="-34"/>
                <a:ea typeface="Silom" pitchFamily="2" charset="-34"/>
                <a:cs typeface="Silom" pitchFamily="2" charset="-34"/>
              </a:rPr>
              <a:t>Estimated Costs for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ilom" pitchFamily="2" charset="-34"/>
              <a:ea typeface="Silom" pitchFamily="2" charset="-34"/>
              <a:cs typeface="Silom" pitchFamily="2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Analysis!$B$20:$B$21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Analysis!$A$22:$A$26</c:f>
              <c:strCache>
                <c:ptCount val="4"/>
                <c:pt idx="0">
                  <c:v>Ayrton Mittica</c:v>
                </c:pt>
                <c:pt idx="1">
                  <c:v>Federico Crespo</c:v>
                </c:pt>
                <c:pt idx="2">
                  <c:v>Simon Gallo</c:v>
                </c:pt>
                <c:pt idx="3">
                  <c:v>Frank Falcon</c:v>
                </c:pt>
              </c:strCache>
            </c:strRef>
          </c:cat>
          <c:val>
            <c:numRef>
              <c:f>Analysis!$B$22:$B$26</c:f>
              <c:numCache>
                <c:formatCode>[$AUD]\ #,##0.00_);\([$AUD]\ #,##0.00\)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0-4C41-AEAE-CE2B57D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39263"/>
        <c:axId val="256309503"/>
      </c:barChart>
      <c:catAx>
        <c:axId val="2695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09503"/>
        <c:crosses val="autoZero"/>
        <c:auto val="1"/>
        <c:lblAlgn val="ctr"/>
        <c:lblOffset val="100"/>
        <c:noMultiLvlLbl val="0"/>
      </c:catAx>
      <c:valAx>
        <c:axId val="2563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AUD]\ #,##0.00_);\([$AUD]\ 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2">
          <a:lumMod val="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[Dashboards_Fede.xlsx]Analysis!pivot_hazards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ilom" pitchFamily="2" charset="-34"/>
                <a:ea typeface="Silom" pitchFamily="2" charset="-34"/>
                <a:cs typeface="Silom" pitchFamily="2" charset="-34"/>
              </a:defRPr>
            </a:pPr>
            <a:r>
              <a:rPr lang="en-US">
                <a:latin typeface="Silom" pitchFamily="2" charset="-34"/>
                <a:ea typeface="Silom" pitchFamily="2" charset="-34"/>
                <a:cs typeface="Silom" pitchFamily="2" charset="-34"/>
              </a:rPr>
              <a:t>Hazards Detected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ilom" pitchFamily="2" charset="-34"/>
              <a:ea typeface="Silom" pitchFamily="2" charset="-34"/>
              <a:cs typeface="Silom" pitchFamily="2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33333333334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888888888888884E-2"/>
              <c:y val="-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33333333334"/>
              <c:y val="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888888888888884E-2"/>
              <c:y val="-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649439661599692"/>
              <c:y val="6.9851011763780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13014942482543"/>
              <c:y val="-0.103462797165685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07-564A-B147-69508C012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07-564A-B147-69508C0125A8}"/>
              </c:ext>
            </c:extLst>
          </c:dPt>
          <c:dLbls>
            <c:dLbl>
              <c:idx val="0"/>
              <c:layout>
                <c:manualLayout>
                  <c:x val="0.14649439661599692"/>
                  <c:y val="6.98510117637809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07-564A-B147-69508C012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Analysis!$A$50:$A$51</c:f>
              <c:strCache>
                <c:ptCount val="1"/>
                <c:pt idx="0">
                  <c:v>External</c:v>
                </c:pt>
              </c:strCache>
            </c:strRef>
          </c:cat>
          <c:val>
            <c:numRef>
              <c:f>Analysis!$B$50:$B$51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7-564A-B147-69508C01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Analysis!$A$69</c:f>
              <c:strCache>
                <c:ptCount val="1"/>
                <c:pt idx="0">
                  <c:v>Full %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E-EC4A-8904-6D9A9B4F8AC8}"/>
              </c:ext>
            </c:extLst>
          </c:dPt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Analysis!$B$69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EC4A-8904-6D9A9B4F8AC8}"/>
            </c:ext>
          </c:extLst>
        </c:ser>
        <c:ser>
          <c:idx val="0"/>
          <c:order val="1"/>
          <c:tx>
            <c:strRef>
              <c:f>Analysis!$A$68</c:f>
              <c:strCache>
                <c:ptCount val="1"/>
                <c:pt idx="0">
                  <c:v>Internal 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800" b="1" i="0" u="none" strike="noStrike" kern="1200" baseline="0">
                      <a:solidFill>
                        <a:schemeClr val="tx1"/>
                      </a:solidFill>
                      <a:latin typeface="Dotum" panose="020B0600000101010101" pitchFamily="34" charset="-127"/>
                      <a:ea typeface="Dotum" panose="020B0600000101010101" pitchFamily="34" charset="-127"/>
                      <a:cs typeface="Krungthep" panose="02000400000000000000" pitchFamily="2" charset="-34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51377952755899"/>
                      <c:h val="0.487101829662596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DFE-EC4A-8904-6D9A9B4F8AC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800" b="1" i="0" u="none" strike="noStrike" kern="1200" baseline="0">
                    <a:solidFill>
                      <a:schemeClr val="tx1"/>
                    </a:solidFill>
                    <a:latin typeface="Dotum" panose="020B0600000101010101" pitchFamily="34" charset="-127"/>
                    <a:ea typeface="Dotum" panose="020B0600000101010101" pitchFamily="34" charset="-127"/>
                    <a:cs typeface="Krungthep" panose="02000400000000000000" pitchFamily="2" charset="-34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Analysis!$B$68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EC4A-8904-6D9A9B4F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2491183"/>
        <c:axId val="2092492815"/>
      </c:barChart>
      <c:catAx>
        <c:axId val="2092491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492815"/>
        <c:crosses val="autoZero"/>
        <c:auto val="1"/>
        <c:lblAlgn val="ctr"/>
        <c:lblOffset val="100"/>
        <c:noMultiLvlLbl val="0"/>
      </c:catAx>
      <c:valAx>
        <c:axId val="2092492815"/>
        <c:scaling>
          <c:orientation val="minMax"/>
          <c:max val="1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209249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27777777777777779"/>
          <c:w val="0.74722222222222223"/>
          <c:h val="0.6712962962962962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Analysis!$A$73</c:f>
              <c:strCache>
                <c:ptCount val="1"/>
                <c:pt idx="0">
                  <c:v>Full %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Analysis!$B$73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8542-945C-0FEE2B705D14}"/>
            </c:ext>
          </c:extLst>
        </c:ser>
        <c:ser>
          <c:idx val="0"/>
          <c:order val="1"/>
          <c:tx>
            <c:strRef>
              <c:f>Analysis!$A$72</c:f>
              <c:strCache>
                <c:ptCount val="1"/>
                <c:pt idx="0">
                  <c:v>External %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Dotum" panose="020B0600000101010101" pitchFamily="34" charset="-127"/>
                    <a:ea typeface="Dotum" panose="020B0600000101010101" pitchFamily="34" charset="-127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Analysis!$B$72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5-8542-945C-0FEE2B7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7258479"/>
        <c:axId val="1711493743"/>
      </c:barChart>
      <c:catAx>
        <c:axId val="168725847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1493743"/>
        <c:crosses val="autoZero"/>
        <c:auto val="1"/>
        <c:lblAlgn val="ctr"/>
        <c:lblOffset val="100"/>
        <c:noMultiLvlLbl val="0"/>
      </c:catAx>
      <c:valAx>
        <c:axId val="1711493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872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[Dashboards_Fede.xlsx]Analysis!pivot_employees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ilom" pitchFamily="2" charset="-34"/>
                <a:ea typeface="Silom" pitchFamily="2" charset="-34"/>
                <a:cs typeface="Silom" pitchFamily="2" charset="-34"/>
              </a:defRPr>
            </a:pPr>
            <a:r>
              <a:rPr lang="en-AU" sz="1400" b="1" i="0" u="none" strike="noStrike" baseline="0">
                <a:effectLst/>
                <a:latin typeface="Silom" pitchFamily="2" charset="-34"/>
                <a:ea typeface="Silom" pitchFamily="2" charset="-34"/>
                <a:cs typeface="Silom" pitchFamily="2" charset="-34"/>
              </a:rPr>
              <a:t>Estimated Costs per Employees</a:t>
            </a:r>
            <a:r>
              <a:rPr lang="en-AU" sz="1400" b="1" i="0" u="none" strike="noStrike" baseline="0">
                <a:latin typeface="Silom" pitchFamily="2" charset="-34"/>
                <a:ea typeface="Silom" pitchFamily="2" charset="-34"/>
                <a:cs typeface="Silom" pitchFamily="2" charset="-34"/>
              </a:rPr>
              <a:t> </a:t>
            </a:r>
            <a:endParaRPr lang="en-US" sz="1400" b="1">
              <a:latin typeface="Silom" pitchFamily="2" charset="-34"/>
              <a:ea typeface="Silom" pitchFamily="2" charset="-34"/>
              <a:cs typeface="Silom" pitchFamily="2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ilom" pitchFamily="2" charset="-34"/>
              <a:ea typeface="Silom" pitchFamily="2" charset="-34"/>
              <a:cs typeface="Silom" pitchFamily="2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Analysis!$B$2:$B$3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4"/>
                <c:pt idx="0">
                  <c:v>Ayrton Mittica</c:v>
                </c:pt>
                <c:pt idx="1">
                  <c:v>Federico Crespo</c:v>
                </c:pt>
                <c:pt idx="2">
                  <c:v>Simon Gallo</c:v>
                </c:pt>
                <c:pt idx="3">
                  <c:v>Frank Falcon</c:v>
                </c:pt>
              </c:strCache>
            </c:strRef>
          </c:cat>
          <c:val>
            <c:numRef>
              <c:f>Analysis!$B$4:$B$8</c:f>
              <c:numCache>
                <c:formatCode>General</c:formatCode>
                <c:ptCount val="4"/>
                <c:pt idx="0">
                  <c:v>254.99999999825377</c:v>
                </c:pt>
                <c:pt idx="1">
                  <c:v>254.99999999825377</c:v>
                </c:pt>
                <c:pt idx="2">
                  <c:v>424.99999999708962</c:v>
                </c:pt>
                <c:pt idx="3">
                  <c:v>254.99999999825377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9-974E-811A-D79876A4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95247"/>
        <c:axId val="256646095"/>
      </c:barChart>
      <c:catAx>
        <c:axId val="2565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46095"/>
        <c:crosses val="autoZero"/>
        <c:auto val="1"/>
        <c:lblAlgn val="ctr"/>
        <c:lblOffset val="100"/>
        <c:noMultiLvlLbl val="0"/>
      </c:catAx>
      <c:valAx>
        <c:axId val="2566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2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[Dashboards_Fede.xlsx]Analysis!pivot_employees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Analysis!$B$2:$B$3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4"/>
                <c:pt idx="0">
                  <c:v>Ayrton Mittica</c:v>
                </c:pt>
                <c:pt idx="1">
                  <c:v>Federico Crespo</c:v>
                </c:pt>
                <c:pt idx="2">
                  <c:v>Simon Gallo</c:v>
                </c:pt>
                <c:pt idx="3">
                  <c:v>Frank Falcon</c:v>
                </c:pt>
              </c:strCache>
            </c:strRef>
          </c:cat>
          <c:val>
            <c:numRef>
              <c:f>Analysis!$B$4:$B$8</c:f>
              <c:numCache>
                <c:formatCode>General</c:formatCode>
                <c:ptCount val="4"/>
                <c:pt idx="0">
                  <c:v>254.99999999825377</c:v>
                </c:pt>
                <c:pt idx="1">
                  <c:v>254.99999999825377</c:v>
                </c:pt>
                <c:pt idx="2">
                  <c:v>424.99999999708962</c:v>
                </c:pt>
                <c:pt idx="3">
                  <c:v>254.99999999825377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5C45-9057-B58791D4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95247"/>
        <c:axId val="256646095"/>
      </c:barChart>
      <c:catAx>
        <c:axId val="2565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46095"/>
        <c:crosses val="autoZero"/>
        <c:auto val="1"/>
        <c:lblAlgn val="ctr"/>
        <c:lblOffset val="100"/>
        <c:noMultiLvlLbl val="0"/>
      </c:catAx>
      <c:valAx>
        <c:axId val="2566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12.tiff"/><Relationship Id="rId11" Type="http://schemas.openxmlformats.org/officeDocument/2006/relationships/image" Target="../media/image9.sv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4" Type="http://schemas.openxmlformats.org/officeDocument/2006/relationships/image" Target="../media/image9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sv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4" Type="http://schemas.openxmlformats.org/officeDocument/2006/relationships/image" Target="../media/image9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12701</xdr:colOff>
      <xdr:row>0</xdr:row>
      <xdr:rowOff>12699</xdr:rowOff>
    </xdr:from>
    <xdr:to>
      <xdr:col>6</xdr:col>
      <xdr:colOff>422395</xdr:colOff>
      <xdr:row>7</xdr:row>
      <xdr:rowOff>188783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5CE9BB4-0ECF-7345-BD56-02E522354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1" y="12699"/>
          <a:ext cx="5352397" cy="1755003"/>
        </a:xfrm>
        <a:prstGeom prst="rect">
          <a:avLst/>
        </a:prstGeom>
      </xdr:spPr>
    </xdr:pic>
    <xdr:clientData/>
  </xdr:twoCellAnchor>
  <xdr:twoCellAnchor>
    <xdr:from>
      <xdr:col>8</xdr:col>
      <xdr:colOff>813787</xdr:colOff>
      <xdr:row>12</xdr:row>
      <xdr:rowOff>12331</xdr:rowOff>
    </xdr:from>
    <xdr:to>
      <xdr:col>23</xdr:col>
      <xdr:colOff>49320</xdr:colOff>
      <xdr:row>29</xdr:row>
      <xdr:rowOff>36991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0E198E-24D0-2740-BC18-68CEEACC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</xdr:rowOff>
    </xdr:from>
    <xdr:to>
      <xdr:col>2</xdr:col>
      <xdr:colOff>745066</xdr:colOff>
      <xdr:row>18</xdr:row>
      <xdr:rowOff>91807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3B724E-1EF5-1746-AF34-6467FC9A1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186267</xdr:rowOff>
    </xdr:from>
    <xdr:to>
      <xdr:col>8</xdr:col>
      <xdr:colOff>694265</xdr:colOff>
      <xdr:row>54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576776-35FC-C04E-9F37-7F3CC8B61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18</xdr:row>
      <xdr:rowOff>153012</xdr:rowOff>
    </xdr:from>
    <xdr:to>
      <xdr:col>8</xdr:col>
      <xdr:colOff>627351</xdr:colOff>
      <xdr:row>32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7CD8D0-FD38-DE45-A314-244D7C7C2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427451</xdr:colOff>
      <xdr:row>0</xdr:row>
      <xdr:rowOff>24228</xdr:rowOff>
    </xdr:from>
    <xdr:to>
      <xdr:col>7</xdr:col>
      <xdr:colOff>600675</xdr:colOff>
      <xdr:row>8</xdr:row>
      <xdr:rowOff>11454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5E9C42-6096-9449-BBD6-08678DB0C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70154" y="24228"/>
          <a:ext cx="997007" cy="1789253"/>
        </a:xfrm>
        <a:prstGeom prst="rect">
          <a:avLst/>
        </a:prstGeom>
      </xdr:spPr>
    </xdr:pic>
    <xdr:clientData/>
  </xdr:twoCellAnchor>
  <xdr:twoCellAnchor>
    <xdr:from>
      <xdr:col>3</xdr:col>
      <xdr:colOff>45904</xdr:colOff>
      <xdr:row>8</xdr:row>
      <xdr:rowOff>51487</xdr:rowOff>
    </xdr:from>
    <xdr:to>
      <xdr:col>5</xdr:col>
      <xdr:colOff>737973</xdr:colOff>
      <xdr:row>18</xdr:row>
      <xdr:rowOff>76506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38CF26-E022-4740-A5D7-6A844018C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669324</xdr:colOff>
      <xdr:row>13</xdr:row>
      <xdr:rowOff>102973</xdr:rowOff>
    </xdr:from>
    <xdr:to>
      <xdr:col>8</xdr:col>
      <xdr:colOff>737973</xdr:colOff>
      <xdr:row>16</xdr:row>
      <xdr:rowOff>68649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0CE206-1457-DB4C-8325-A12FC73C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720812</xdr:colOff>
      <xdr:row>15</xdr:row>
      <xdr:rowOff>137296</xdr:rowOff>
    </xdr:from>
    <xdr:to>
      <xdr:col>9</xdr:col>
      <xdr:colOff>995405</xdr:colOff>
      <xdr:row>17</xdr:row>
      <xdr:rowOff>137297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6864CB3-6E9B-394B-B45E-94130CB3E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120135</xdr:colOff>
      <xdr:row>71</xdr:row>
      <xdr:rowOff>102973</xdr:rowOff>
    </xdr:from>
    <xdr:to>
      <xdr:col>11</xdr:col>
      <xdr:colOff>694962</xdr:colOff>
      <xdr:row>74</xdr:row>
      <xdr:rowOff>64484</xdr:rowOff>
    </xdr:to>
    <xdr:pic>
      <xdr:nvPicPr>
        <xdr:cNvPr id="24" name="Graphic 1" descr="Construction worker">
          <a:extLst>
            <a:ext uri="{FF2B5EF4-FFF2-40B4-BE49-F238E27FC236}">
              <a16:creationId xmlns:a16="http://schemas.microsoft.com/office/drawing/2014/main" id="{BBC8DA5C-CE80-5A4C-B4EC-3B4E2CE8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370540" y="14948243"/>
          <a:ext cx="574827" cy="579349"/>
        </a:xfrm>
        <a:prstGeom prst="rect">
          <a:avLst/>
        </a:prstGeom>
      </xdr:spPr>
    </xdr:pic>
    <xdr:clientData/>
  </xdr:twoCellAnchor>
  <xdr:twoCellAnchor>
    <xdr:from>
      <xdr:col>9</xdr:col>
      <xdr:colOff>17162</xdr:colOff>
      <xdr:row>29</xdr:row>
      <xdr:rowOff>120135</xdr:rowOff>
    </xdr:from>
    <xdr:to>
      <xdr:col>22</xdr:col>
      <xdr:colOff>806623</xdr:colOff>
      <xdr:row>52</xdr:row>
      <xdr:rowOff>188783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0106F6-3800-B443-B2E7-D8F789F90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0.5929</cdr:x>
      <cdr:y>0</cdr:y>
    </cdr:from>
    <cdr:to>
      <cdr:x>0.63847</cdr:x>
      <cdr:y>0.15227</cdr:y>
    </cdr:to>
    <cdr:pic>
      <cdr:nvPicPr>
        <cdr:cNvPr id="3" name="Graphic 2" descr="Target">
          <a:extLst xmlns:a="http://schemas.openxmlformats.org/drawingml/2006/main">
            <a:ext uri="{FF2B5EF4-FFF2-40B4-BE49-F238E27FC236}">
              <a16:creationId xmlns:a16="http://schemas.microsoft.com/office/drawing/2014/main" id="{E1E56327-A3FE-3E46-9572-78AF5D55B8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985000" y="0"/>
          <a:ext cx="536858" cy="53685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0.60253</cdr:x>
      <cdr:y>0.03926</cdr:y>
    </cdr:from>
    <cdr:to>
      <cdr:x>0.83206</cdr:x>
      <cdr:y>0.29054</cdr:y>
    </cdr:to>
    <cdr:pic>
      <cdr:nvPicPr>
        <cdr:cNvPr id="3" name="Graphic 2" descr="Customer review">
          <a:extLst xmlns:a="http://schemas.openxmlformats.org/drawingml/2006/main">
            <a:ext uri="{FF2B5EF4-FFF2-40B4-BE49-F238E27FC236}">
              <a16:creationId xmlns:a16="http://schemas.microsoft.com/office/drawing/2014/main" id="{65B0FB72-BA22-7C49-A87B-9C89DAA2FEC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41622" y="85810"/>
          <a:ext cx="549188" cy="54918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0.64082</cdr:x>
      <cdr:y>2.22373E-7</cdr:y>
    </cdr:from>
    <cdr:to>
      <cdr:x>0.7329</cdr:x>
      <cdr:y>0.11505</cdr:y>
    </cdr:to>
    <cdr:pic>
      <cdr:nvPicPr>
        <cdr:cNvPr id="3" name="Graphic 2" descr="Clock">
          <a:extLst xmlns:a="http://schemas.openxmlformats.org/drawingml/2006/main">
            <a:ext uri="{FF2B5EF4-FFF2-40B4-BE49-F238E27FC236}">
              <a16:creationId xmlns:a16="http://schemas.microsoft.com/office/drawing/2014/main" id="{9F7DBECE-3C0C-5742-AB64-EEE85C975F1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668108" y="1"/>
          <a:ext cx="670722" cy="51738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0.72564</cdr:x>
      <cdr:y>0</cdr:y>
    </cdr:from>
    <cdr:to>
      <cdr:x>0.80138</cdr:x>
      <cdr:y>0.12268</cdr:y>
    </cdr:to>
    <cdr:pic>
      <cdr:nvPicPr>
        <cdr:cNvPr id="7" name="Graphic 6" descr="Construction worker">
          <a:extLst xmlns:a="http://schemas.openxmlformats.org/drawingml/2006/main">
            <a:ext uri="{FF2B5EF4-FFF2-40B4-BE49-F238E27FC236}">
              <a16:creationId xmlns:a16="http://schemas.microsoft.com/office/drawing/2014/main" id="{98036D7E-D604-5E49-8F67-B5AFF158B62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285946" y="0"/>
          <a:ext cx="551706" cy="55170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0.68719</cdr:x>
      <cdr:y>0</cdr:y>
    </cdr:from>
    <cdr:to>
      <cdr:x>0.79181</cdr:x>
      <cdr:y>0.20822</cdr:y>
    </cdr:to>
    <cdr:pic>
      <cdr:nvPicPr>
        <cdr:cNvPr id="3" name="Graphic 2" descr="Clock">
          <a:extLst xmlns:a="http://schemas.openxmlformats.org/drawingml/2006/main">
            <a:ext uri="{FF2B5EF4-FFF2-40B4-BE49-F238E27FC236}">
              <a16:creationId xmlns:a16="http://schemas.microsoft.com/office/drawing/2014/main" id="{7B944688-CB01-524C-90A4-CCFD573A03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959865" y="0"/>
          <a:ext cx="755135" cy="57905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0.75553</cdr:x>
      <cdr:y>0</cdr:y>
    </cdr:from>
    <cdr:to>
      <cdr:x>0.86015</cdr:x>
      <cdr:y>0.19131</cdr:y>
    </cdr:to>
    <cdr:pic>
      <cdr:nvPicPr>
        <cdr:cNvPr id="5" name="Graphic 4" descr="Dollar">
          <a:extLst xmlns:a="http://schemas.openxmlformats.org/drawingml/2006/main">
            <a:ext uri="{FF2B5EF4-FFF2-40B4-BE49-F238E27FC236}">
              <a16:creationId xmlns:a16="http://schemas.microsoft.com/office/drawing/2014/main" id="{AE54C56C-BEA3-CA47-AFE9-BC53B048203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53107" y="0"/>
          <a:ext cx="755135" cy="53202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0.83624</cdr:x>
      <cdr:y>0.1701</cdr:y>
    </cdr:from>
    <cdr:to>
      <cdr:x>0.98294</cdr:x>
      <cdr:y>0.3321</cdr:y>
    </cdr:to>
    <cdr:pic>
      <cdr:nvPicPr>
        <cdr:cNvPr id="3" name="Graphic 2" descr="Warning">
          <a:extLst xmlns:a="http://schemas.openxmlformats.org/drawingml/2006/main">
            <a:ext uri="{FF2B5EF4-FFF2-40B4-BE49-F238E27FC236}">
              <a16:creationId xmlns:a16="http://schemas.microsoft.com/office/drawing/2014/main" id="{3C8441FC-1673-3A43-B4B2-25EF3C7A2A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56487" y="360406"/>
          <a:ext cx="343243" cy="34324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0.64311</cdr:x>
      <cdr:y>0</cdr:y>
    </cdr:from>
    <cdr:to>
      <cdr:x>0.69129</cdr:x>
      <cdr:y>0.11811</cdr:y>
    </cdr:to>
    <cdr:pic>
      <cdr:nvPicPr>
        <cdr:cNvPr id="2" name="Graphic 1" descr="Dollar">
          <a:extLst xmlns:a="http://schemas.openxmlformats.org/drawingml/2006/main">
            <a:ext uri="{FF2B5EF4-FFF2-40B4-BE49-F238E27FC236}">
              <a16:creationId xmlns:a16="http://schemas.microsoft.com/office/drawing/2014/main" id="{39CA6BCF-4897-AD4F-B098-2258FEEC113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16341" y="0"/>
          <a:ext cx="563117" cy="56756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0.67542</cdr:x>
      <cdr:y>0</cdr:y>
    </cdr:from>
    <cdr:to>
      <cdr:x>0.7246</cdr:x>
      <cdr:y>0.12056</cdr:y>
    </cdr:to>
    <cdr:pic>
      <cdr:nvPicPr>
        <cdr:cNvPr id="3" name="Graphic 1" descr="Construction worker">
          <a:extLst xmlns:a="http://schemas.openxmlformats.org/drawingml/2006/main">
            <a:ext uri="{FF2B5EF4-FFF2-40B4-BE49-F238E27FC236}">
              <a16:creationId xmlns:a16="http://schemas.microsoft.com/office/drawing/2014/main" id="{BBC8DA5C-CE80-5A4C-B4EC-3B4E2CE8CB1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893908" y="0"/>
          <a:ext cx="574827" cy="57934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19050</xdr:rowOff>
    </xdr:from>
    <xdr:to>
      <xdr:col>9</xdr:col>
      <xdr:colOff>711200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D92DB-4FE0-F546-B6FD-32A549BE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12</xdr:row>
      <xdr:rowOff>0</xdr:rowOff>
    </xdr:from>
    <xdr:to>
      <xdr:col>5</xdr:col>
      <xdr:colOff>558800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7BC45-D7D2-BD4F-8BE3-2D048447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19</xdr:row>
      <xdr:rowOff>6350</xdr:rowOff>
    </xdr:from>
    <xdr:to>
      <xdr:col>9</xdr:col>
      <xdr:colOff>342900</xdr:colOff>
      <xdr:row>27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AC554-FAA8-DD40-9136-2526C914C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711200</xdr:colOff>
      <xdr:row>29</xdr:row>
      <xdr:rowOff>120650</xdr:rowOff>
    </xdr:from>
    <xdr:to>
      <xdr:col>8</xdr:col>
      <xdr:colOff>38100</xdr:colOff>
      <xdr:row>37</xdr:row>
      <xdr:rowOff>330200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48853-29F1-D14F-84FD-604CCB22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781050</xdr:colOff>
      <xdr:row>48</xdr:row>
      <xdr:rowOff>44450</xdr:rowOff>
    </xdr:from>
    <xdr:to>
      <xdr:col>8</xdr:col>
      <xdr:colOff>209550</xdr:colOff>
      <xdr:row>61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8197-08E2-2748-B00B-EF71B079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641350</xdr:colOff>
      <xdr:row>65</xdr:row>
      <xdr:rowOff>165100</xdr:rowOff>
    </xdr:from>
    <xdr:to>
      <xdr:col>8</xdr:col>
      <xdr:colOff>184150</xdr:colOff>
      <xdr:row>72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645AF-8B68-6345-BEA4-1EAACC84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838200</xdr:colOff>
      <xdr:row>65</xdr:row>
      <xdr:rowOff>165100</xdr:rowOff>
    </xdr:from>
    <xdr:to>
      <xdr:col>10</xdr:col>
      <xdr:colOff>88900</xdr:colOff>
      <xdr:row>68</xdr:row>
      <xdr:rowOff>114300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13FB6AA5-8F2C-3A4A-B5F2-F417473D335B}"/>
            </a:ext>
          </a:extLst>
        </xdr:cNvPr>
        <xdr:cNvSpPr/>
      </xdr:nvSpPr>
      <xdr:spPr>
        <a:xfrm>
          <a:off x="7696200" y="14630400"/>
          <a:ext cx="1955800" cy="55880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749300</xdr:colOff>
      <xdr:row>71</xdr:row>
      <xdr:rowOff>190501</xdr:rowOff>
    </xdr:from>
    <xdr:to>
      <xdr:col>7</xdr:col>
      <xdr:colOff>279400</xdr:colOff>
      <xdr:row>75</xdr:row>
      <xdr:rowOff>192330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33B5B9-FC12-654D-BF31-0B62F1B7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12700</xdr:colOff>
      <xdr:row>76</xdr:row>
      <xdr:rowOff>152400</xdr:rowOff>
    </xdr:from>
    <xdr:to>
      <xdr:col>10</xdr:col>
      <xdr:colOff>457200</xdr:colOff>
      <xdr:row>79</xdr:row>
      <xdr:rowOff>127000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76FC498-C479-3845-8EB1-D274781577F3}"/>
            </a:ext>
          </a:extLst>
        </xdr:cNvPr>
        <xdr:cNvSpPr/>
      </xdr:nvSpPr>
      <xdr:spPr>
        <a:xfrm>
          <a:off x="7112000" y="16852900"/>
          <a:ext cx="2159000" cy="5842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279400</xdr:colOff>
      <xdr:row>80</xdr:row>
      <xdr:rowOff>165100</xdr:rowOff>
    </xdr:from>
    <xdr:to>
      <xdr:col>10</xdr:col>
      <xdr:colOff>825500</xdr:colOff>
      <xdr:row>84</xdr:row>
      <xdr:rowOff>25400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8877DA8E-5C98-6741-B374-4B1BA479844C}"/>
            </a:ext>
          </a:extLst>
        </xdr:cNvPr>
        <xdr:cNvSpPr/>
      </xdr:nvSpPr>
      <xdr:spPr>
        <a:xfrm>
          <a:off x="7378700" y="17678400"/>
          <a:ext cx="2260600" cy="67310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ocrespo/Downloads/Dashboards%20D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Sheet2"/>
      <sheetName val="Dashboard"/>
      <sheetName val="Helper"/>
      <sheetName val="Data"/>
      <sheetName val="Asset Installed"/>
    </sheetNames>
    <sheetDataSet>
      <sheetData sheetId="0"/>
      <sheetData sheetId="1"/>
      <sheetData sheetId="2"/>
      <sheetData sheetId="3">
        <row r="17">
          <cell r="A17" t="str">
            <v>Internal</v>
          </cell>
        </row>
        <row r="18">
          <cell r="A18" t="str">
            <v>External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3.571730555559" createdVersion="6" refreshedVersion="6" minRefreshableVersion="3" recordCount="1" xr:uid="{5F0C63B8-14DC-354F-85B4-B4974AD0AD7D}">
  <cacheSource type="worksheet">
    <worksheetSource name="assetsinstalled[Assets Installed]"/>
  </cacheSource>
  <cacheFields count="1">
    <cacheField name="Assets Installed" numFmtId="0">
      <sharedItems count="4">
        <s v="Terminal Ends"/>
        <s v="Quartgards" u="1"/>
        <s v="Quartguards" u="1"/>
        <s v="QuickLinks (Barrier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3.571844675927" createdVersion="6" refreshedVersion="6" minRefreshableVersion="3" recordCount="5" xr:uid="{5B9BD54B-1FE8-F64D-8621-8226A720ED41}">
  <cacheSource type="worksheet">
    <worksheetSource name="Data"/>
  </cacheSource>
  <cacheFields count="22">
    <cacheField name="Code/ID" numFmtId="0">
      <sharedItems containsString="0" containsBlank="1" containsNumber="1" containsInteger="1" minValue="1001" maxValue="1002"/>
    </cacheField>
    <cacheField name="Start Date" numFmtId="164">
      <sharedItems containsNonDate="0" containsDate="1" containsString="0" containsBlank="1" minDate="2020-05-11T19:30:00" maxDate="2020-05-11T19:30:00"/>
    </cacheField>
    <cacheField name="End Date" numFmtId="164">
      <sharedItems containsNonDate="0" containsDate="1" containsString="0" containsBlank="1" minDate="2020-05-12T04:00:00" maxDate="2020-05-12T04:00:00"/>
    </cacheField>
    <cacheField name="Hours" numFmtId="172">
      <sharedItems containsSemiMixedTypes="0" containsString="0" containsNumber="1" minValue="0" maxValue="8.4999999999417923"/>
    </cacheField>
    <cacheField name="Delays" numFmtId="172">
      <sharedItems containsString="0" containsBlank="1" containsNumber="1" containsInteger="1" minValue="2" maxValue="2"/>
    </cacheField>
    <cacheField name="Type of delays" numFmtId="0">
      <sharedItems containsBlank="1"/>
    </cacheField>
    <cacheField name="Possible Savings for delays" numFmtId="166">
      <sharedItems containsMixedTypes="1" containsNumber="1" containsInteger="1" minValue="60" maxValue="100"/>
    </cacheField>
    <cacheField name="Name" numFmtId="0">
      <sharedItems containsBlank="1" count="7">
        <s v="Simon Gallo"/>
        <s v="Federico Crespo"/>
        <s v="Ayrton Mittica"/>
        <s v="Frank Falcon"/>
        <m/>
        <s v="Nigel Dow" u="1"/>
        <s v="Jack Schwarz" u="1"/>
      </sharedItems>
    </cacheField>
    <cacheField name="Level" numFmtId="0">
      <sharedItems/>
    </cacheField>
    <cacheField name="Goal [metres]" numFmtId="167">
      <sharedItems containsString="0" containsBlank="1" containsNumber="1" containsInteger="1" minValue="560" maxValue="560"/>
    </cacheField>
    <cacheField name="Goal [Kilometres]" numFmtId="169">
      <sharedItems containsSemiMixedTypes="0" containsString="0" containsNumber="1" minValue="0" maxValue="0.56000000000000005"/>
    </cacheField>
    <cacheField name="Achieved [metres ]" numFmtId="167">
      <sharedItems containsString="0" containsBlank="1" containsNumber="1" containsInteger="1" minValue="560" maxValue="560"/>
    </cacheField>
    <cacheField name="Achieved [Km]" numFmtId="169">
      <sharedItems containsSemiMixedTypes="0" containsString="0" containsNumber="1" minValue="0" maxValue="0.56000000000000005"/>
    </cacheField>
    <cacheField name="Bal to Achieved [mtr]" numFmtId="167">
      <sharedItems containsSemiMixedTypes="0" containsString="0" containsNumber="1" containsInteger="1" minValue="0" maxValue="0"/>
    </cacheField>
    <cacheField name="Bal to Achieved [km]" numFmtId="168">
      <sharedItems containsSemiMixedTypes="0" containsString="0" containsNumber="1" containsInteger="1" minValue="0" maxValue="0"/>
    </cacheField>
    <cacheField name="Client" numFmtId="0">
      <sharedItems containsBlank="1" count="3">
        <s v="CPB"/>
        <m/>
        <s v="Coates" u="1"/>
      </sharedItems>
    </cacheField>
    <cacheField name="Hazards Detected" numFmtId="0">
      <sharedItems containsString="0" containsBlank="1" containsNumber="1" containsInteger="1" minValue="1" maxValue="1"/>
    </cacheField>
    <cacheField name="Type of Hazards" numFmtId="0">
      <sharedItems containsBlank="1" count="3">
        <s v="External"/>
        <m/>
        <s v="Internal" u="1"/>
      </sharedItems>
    </cacheField>
    <cacheField name="Estimated  Costs" numFmtId="166">
      <sharedItems containsMixedTypes="1" containsNumber="1" minValue="254.99999999825377" maxValue="424.99999999708962"/>
    </cacheField>
    <cacheField name="Year" numFmtId="0">
      <sharedItems/>
    </cacheField>
    <cacheField name="Month" numFmtId="0">
      <sharedItems count="3">
        <s v="May"/>
        <s v=""/>
        <s v="Apr" u="1"/>
      </sharedItems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 pivotCacheId="1341041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01"/>
    <d v="2020-05-11T19:30:00"/>
    <d v="2020-05-12T04:00:00"/>
    <n v="8.4999999999417923"/>
    <n v="2"/>
    <s v="External"/>
    <n v="100"/>
    <x v="0"/>
    <s v="Supervisor"/>
    <n v="560"/>
    <n v="0.56000000000000005"/>
    <n v="560"/>
    <n v="0.56000000000000005"/>
    <n v="0"/>
    <n v="0"/>
    <x v="0"/>
    <n v="1"/>
    <x v="0"/>
    <n v="424.99999999708962"/>
    <s v="2020"/>
    <x v="0"/>
    <s v="5/11"/>
  </r>
  <r>
    <m/>
    <d v="2020-05-11T19:30:00"/>
    <d v="2020-05-12T04:00:00"/>
    <n v="8.4999999999417923"/>
    <n v="2"/>
    <s v="External"/>
    <n v="60"/>
    <x v="1"/>
    <s v="Installer"/>
    <n v="560"/>
    <n v="0.56000000000000005"/>
    <n v="560"/>
    <n v="0.56000000000000005"/>
    <n v="0"/>
    <n v="0"/>
    <x v="1"/>
    <m/>
    <x v="1"/>
    <n v="254.99999999825377"/>
    <s v="2020"/>
    <x v="0"/>
    <s v="5/11"/>
  </r>
  <r>
    <m/>
    <d v="2020-05-11T19:30:00"/>
    <d v="2020-05-12T04:00:00"/>
    <n v="8.4999999999417923"/>
    <n v="2"/>
    <s v="External"/>
    <n v="60"/>
    <x v="2"/>
    <s v="Installer"/>
    <n v="560"/>
    <n v="0.56000000000000005"/>
    <n v="560"/>
    <n v="0.56000000000000005"/>
    <n v="0"/>
    <n v="0"/>
    <x v="1"/>
    <m/>
    <x v="1"/>
    <n v="254.99999999825377"/>
    <s v="2020"/>
    <x v="0"/>
    <s v="5/11"/>
  </r>
  <r>
    <m/>
    <d v="2020-05-11T19:30:00"/>
    <d v="2020-05-12T04:00:00"/>
    <n v="8.4999999999417923"/>
    <n v="2"/>
    <s v="External"/>
    <n v="60"/>
    <x v="3"/>
    <s v="Installer"/>
    <n v="560"/>
    <n v="0.56000000000000005"/>
    <n v="560"/>
    <n v="0.56000000000000005"/>
    <n v="0"/>
    <n v="0"/>
    <x v="1"/>
    <m/>
    <x v="1"/>
    <n v="254.99999999825377"/>
    <s v="2020"/>
    <x v="0"/>
    <s v="5/11"/>
  </r>
  <r>
    <n v="1002"/>
    <m/>
    <m/>
    <n v="0"/>
    <m/>
    <m/>
    <e v="#N/A"/>
    <x v="4"/>
    <s v="NOT FOUND"/>
    <m/>
    <n v="0"/>
    <m/>
    <n v="0"/>
    <n v="0"/>
    <n v="0"/>
    <x v="1"/>
    <m/>
    <x v="1"/>
    <e v="#N/A"/>
    <s v="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9291B-3701-4142-89A7-E60170F26FB9}" name="pivot_hours" cacheId="2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3" rowHeaderCaption="Name">
  <location ref="A30:B35" firstHeaderRow="1" firstDataRow="1" firstDataCol="1"/>
  <pivotFields count="22">
    <pivotField showAll="0"/>
    <pivotField numFmtId="164" showAll="0"/>
    <pivotField numFmtId="164" showAll="0"/>
    <pivotField dataField="1" numFmtId="46" showAll="0"/>
    <pivotField numFmtId="46" showAll="0"/>
    <pivotField showAll="0"/>
    <pivotField numFmtId="166" showAll="0"/>
    <pivotField axis="axisRow" showAll="0">
      <items count="8">
        <item x="2"/>
        <item x="1"/>
        <item m="1" x="6"/>
        <item m="1" x="5"/>
        <item x="0"/>
        <item x="3"/>
        <item h="1" x="4"/>
        <item t="default"/>
      </items>
    </pivotField>
    <pivotField showAll="0"/>
    <pivotField numFmtId="167" showAll="0"/>
    <pivotField numFmtId="169" showAll="0"/>
    <pivotField numFmtId="167" showAll="0"/>
    <pivotField numFmtId="169" showAll="0"/>
    <pivotField numFmtId="167" showAll="0"/>
    <pivotField numFmtId="168" showAll="0"/>
    <pivotField showAll="0"/>
    <pivotField showAll="0"/>
    <pivotField showAll="0"/>
    <pivotField numFmtId="166"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hours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D8AA5-5C08-A447-8E50-03E3DC61E4D9}" name="pivot_employees" cacheId="2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6" rowHeaderCaption="Employee" colHeaderCaption="Month">
  <location ref="A2:C8" firstHeaderRow="1" firstDataRow="2" firstDataCol="1"/>
  <pivotFields count="22">
    <pivotField showAll="0"/>
    <pivotField numFmtId="164" showAll="0"/>
    <pivotField numFmtId="164" showAll="0"/>
    <pivotField numFmtId="46" showAll="0"/>
    <pivotField numFmtId="46" showAll="0"/>
    <pivotField showAll="0"/>
    <pivotField numFmtId="166" showAll="0"/>
    <pivotField axis="axisRow" showAll="0">
      <items count="8">
        <item sd="0" x="2"/>
        <item sd="0" x="1"/>
        <item sd="0" m="1" x="6"/>
        <item sd="0" m="1" x="5"/>
        <item sd="0" x="0"/>
        <item x="3"/>
        <item h="1" x="4"/>
        <item t="default"/>
      </items>
    </pivotField>
    <pivotField showAll="0"/>
    <pivotField numFmtId="167" showAll="0"/>
    <pivotField numFmtId="169" showAll="0"/>
    <pivotField numFmtId="167" showAll="0"/>
    <pivotField numFmtId="169" showAll="0"/>
    <pivotField numFmtId="167" showAll="0"/>
    <pivotField numFmtId="168" showAll="0"/>
    <pivotField showAll="0"/>
    <pivotField showAll="0"/>
    <pivotField showAll="0"/>
    <pivotField dataField="1" numFmtId="166" showAll="0"/>
    <pivotField showAll="0"/>
    <pivotField axis="axisCol" showAll="0">
      <items count="4">
        <item m="1" x="2"/>
        <item x="0"/>
        <item x="1"/>
        <item t="default"/>
      </items>
    </pivotField>
    <pivotField showAll="0"/>
  </pivotFields>
  <rowFields count="1">
    <field x="7"/>
  </rowFields>
  <rowItems count="5">
    <i>
      <x/>
    </i>
    <i>
      <x v="1"/>
    </i>
    <i>
      <x v="4"/>
    </i>
    <i>
      <x v="5"/>
    </i>
    <i t="grand">
      <x/>
    </i>
  </rowItems>
  <colFields count="1">
    <field x="20"/>
  </colFields>
  <colItems count="2">
    <i>
      <x v="1"/>
    </i>
    <i t="grand">
      <x/>
    </i>
  </colItems>
  <dataFields count="1">
    <dataField name="Sum of emplyees" fld="18" baseField="0" baseItem="0"/>
  </dataFields>
  <formats count="3">
    <format dxfId="4">
      <pivotArea collapsedLevelsAreSubtotals="1" fieldPosition="0">
        <references count="1">
          <reference field="7" count="1">
            <x v="0"/>
          </reference>
        </references>
      </pivotArea>
    </format>
    <format dxfId="3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70643-DB42-F44D-95B3-28685BD50B2B}" name="pivot_hazards" cacheId="2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3" rowHeaderCaption="Type">
  <location ref="A49:B51" firstHeaderRow="1" firstDataRow="1" firstDataCol="1"/>
  <pivotFields count="22">
    <pivotField showAll="0"/>
    <pivotField numFmtId="164" showAll="0"/>
    <pivotField numFmtId="164" showAll="0"/>
    <pivotField numFmtId="46" showAll="0"/>
    <pivotField numFmtId="46" showAll="0"/>
    <pivotField showAll="0"/>
    <pivotField numFmtId="166" showAll="0"/>
    <pivotField showAll="0"/>
    <pivotField showAll="0"/>
    <pivotField numFmtId="167" showAll="0"/>
    <pivotField numFmtId="169" showAll="0"/>
    <pivotField numFmtId="167" showAll="0"/>
    <pivotField numFmtId="169" showAll="0"/>
    <pivotField numFmtId="167" showAll="0"/>
    <pivotField numFmtId="168" showAll="0"/>
    <pivotField showAll="0"/>
    <pivotField dataField="1" showAll="0"/>
    <pivotField axis="axisRow" showAll="0">
      <items count="4">
        <item x="0"/>
        <item m="1" x="2"/>
        <item h="1" x="1"/>
        <item t="default"/>
      </items>
    </pivotField>
    <pivotField numFmtId="166"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Items count="1">
    <i/>
  </colItems>
  <dataFields count="1">
    <dataField name="Count" fld="1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4B58C-B33F-8A4D-9F41-21372D34A99D}" name="pivot_savings" cacheId="2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2" rowHeaderCaption="Name">
  <location ref="A20:C26" firstHeaderRow="1" firstDataRow="2" firstDataCol="1"/>
  <pivotFields count="22">
    <pivotField showAll="0"/>
    <pivotField numFmtId="164" showAll="0"/>
    <pivotField numFmtId="164" showAll="0"/>
    <pivotField numFmtId="46" showAll="0"/>
    <pivotField numFmtId="46" showAll="0"/>
    <pivotField showAll="0"/>
    <pivotField dataField="1" numFmtId="166" showAll="0"/>
    <pivotField axis="axisRow" showAll="0">
      <items count="8">
        <item x="2"/>
        <item x="1"/>
        <item m="1" x="6"/>
        <item m="1" x="5"/>
        <item x="0"/>
        <item x="3"/>
        <item h="1" x="4"/>
        <item t="default"/>
      </items>
    </pivotField>
    <pivotField showAll="0"/>
    <pivotField numFmtId="167" showAll="0"/>
    <pivotField numFmtId="169" showAll="0"/>
    <pivotField numFmtId="167" showAll="0"/>
    <pivotField numFmtId="169" showAll="0"/>
    <pivotField numFmtId="167" showAll="0"/>
    <pivotField numFmtId="168" showAll="0"/>
    <pivotField showAll="0"/>
    <pivotField showAll="0"/>
    <pivotField showAll="0"/>
    <pivotField numFmtId="166" showAll="0"/>
    <pivotField showAll="0"/>
    <pivotField axis="axisCol" showAll="0">
      <items count="4">
        <item m="1" x="2"/>
        <item x="0"/>
        <item x="1"/>
        <item t="default"/>
      </items>
    </pivotField>
    <pivotField showAll="0"/>
  </pivotFields>
  <rowFields count="1">
    <field x="7"/>
  </rowFields>
  <rowItems count="5">
    <i>
      <x/>
    </i>
    <i>
      <x v="1"/>
    </i>
    <i>
      <x v="4"/>
    </i>
    <i>
      <x v="5"/>
    </i>
    <i t="grand">
      <x/>
    </i>
  </rowItems>
  <colFields count="1">
    <field x="20"/>
  </colFields>
  <colItems count="2">
    <i>
      <x v="1"/>
    </i>
    <i t="grand">
      <x/>
    </i>
  </colItems>
  <dataFields count="1">
    <dataField name="Sum Possible Savings for delays" fld="6" baseField="0" baseItem="0" numFmtId="171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AC6AD-DFA1-4B44-A94D-5BA553AF3E5F}" name="pivot_assets" cacheId="16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" rowHeaderCaption="Asset">
  <location ref="A39:B41" firstHeaderRow="1" firstDataRow="1" firstDataCol="1"/>
  <pivotFields count="1">
    <pivotField axis="axisRow" dataField="1" showAll="0">
      <items count="5">
        <item m="1" x="2"/>
        <item m="1" x="3"/>
        <item x="0"/>
        <item m="1" x="1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B43CE-7B2C-9047-8061-DA3280E656E7}" name="pivot_clients" cacheId="2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4" rowHeaderCaption="Client">
  <location ref="A13:B16" firstHeaderRow="1" firstDataRow="1" firstDataCol="1"/>
  <pivotFields count="22">
    <pivotField showAll="0"/>
    <pivotField numFmtId="164" showAll="0"/>
    <pivotField numFmtId="164" showAll="0"/>
    <pivotField numFmtId="46" showAll="0"/>
    <pivotField numFmtId="46" showAll="0"/>
    <pivotField showAll="0"/>
    <pivotField numFmtId="166" showAll="0"/>
    <pivotField showAll="0"/>
    <pivotField showAll="0"/>
    <pivotField numFmtId="167" showAll="0"/>
    <pivotField numFmtId="169" showAll="0"/>
    <pivotField numFmtId="167" showAll="0"/>
    <pivotField numFmtId="169" showAll="0"/>
    <pivotField numFmtId="167" showAll="0"/>
    <pivotField numFmtId="168" showAll="0"/>
    <pivotField axis="axisRow">
      <items count="4">
        <item m="1" x="2"/>
        <item x="0"/>
        <item h="1" x="1"/>
        <item t="default"/>
      </items>
    </pivotField>
    <pivotField showAll="0"/>
    <pivotField showAll="0"/>
    <pivotField numFmtId="166" showAll="0"/>
    <pivotField showAll="0"/>
    <pivotField showAll="0"/>
    <pivotField dataField="1"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" fld="2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B6C229-81F8-0646-B866-4244DD2720DE}" name="employees_table" displayName="employees_table" ref="A1:D8" totalsRowShown="0">
  <autoFilter ref="A1:D8" xr:uid="{6D315DC0-74F1-43B1-A03D-D95CECB7D710}"/>
  <tableColumns count="4">
    <tableColumn id="1" xr3:uid="{5B636FEE-EF09-1C4B-AC33-099BC031EE8F}" name="cod_emp"/>
    <tableColumn id="2" xr3:uid="{9A6FBD17-968B-BF45-85DC-9F392A470931}" name="Name"/>
    <tableColumn id="3" xr3:uid="{EFB0E2F3-50DE-9048-8C38-5B6C42ECDFC2}" name="Level"/>
    <tableColumn id="4" xr3:uid="{346C57BB-4750-934B-8A3B-24A47953313F}" name="Hour Rate" dataDxfId="3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D9C215-0DD1-5147-BAA6-E7E77D0AE9C6}" name="typeofassets_table" displayName="typeofassets_table" ref="A10:B13" totalsRowShown="0">
  <autoFilter ref="A10:B13" xr:uid="{4EB2EAB3-C935-1A44-AB55-51638CD7D1C4}"/>
  <tableColumns count="2">
    <tableColumn id="1" xr3:uid="{8B313FF3-47B8-6549-A412-83A6CAEC0375}" name="code_ass"/>
    <tableColumn id="2" xr3:uid="{72B2695F-A73C-254C-BE9A-88CFE411E5A1}" name="As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BA748-BB18-3341-BA38-5A68680057A1}" name="typeofdelays_table" displayName="typeofdelays_table" ref="A15:B18" totalsRowShown="0">
  <autoFilter ref="A15:B18" xr:uid="{699A962F-7C9C-B946-9044-D709E8AAD3FF}"/>
  <tableColumns count="2">
    <tableColumn id="1" xr3:uid="{D194ADD7-8072-D541-910F-F4CC2B5733A8}" name="cod_del"/>
    <tableColumn id="2" xr3:uid="{1745578B-62A5-784E-BF80-2206DD7442C9}" name="Del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9F8F96-AC2A-7546-85C9-8A950D389964}" name="Table4" displayName="Table4" ref="A20:B22" totalsRowShown="0">
  <autoFilter ref="A20:B22" xr:uid="{5536E77E-1415-734F-9A85-52AE17CA5BF4}"/>
  <tableColumns count="2">
    <tableColumn id="1" xr3:uid="{0A6A8AEB-41A2-1B47-97AF-5370845E74DB}" name="cod_haz"/>
    <tableColumn id="2" xr3:uid="{102E0E82-5662-A74A-9948-88B9FA64F9B8}" name="Haza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1F32C6-7265-8841-8216-02ADECB05522}" name="Table7" displayName="Table7" ref="A24:B26" totalsRowShown="0">
  <autoFilter ref="A24:B26" xr:uid="{9CFBE497-9316-EF44-BE18-858283A80BB4}"/>
  <tableColumns count="2">
    <tableColumn id="1" xr3:uid="{AE2F48A5-449E-AA43-A932-981B44730292}" name="cod_cli"/>
    <tableColumn id="2" xr3:uid="{1F535F2A-0D13-1740-ACA1-025349ED2C26}" name="Cli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B96915-5466-6B47-BCA1-F5D2918AA823}" name="Data" displayName="Data" ref="A1:V6" totalsRowShown="0" headerRowDxfId="29" dataDxfId="28">
  <autoFilter ref="A1:V6" xr:uid="{CF304F0F-A43E-8248-B533-37C813B52E08}"/>
  <tableColumns count="22">
    <tableColumn id="1" xr3:uid="{D17D781C-A5CC-6B4B-BBF5-04BF74378BE0}" name="Code/ID" dataDxfId="27"/>
    <tableColumn id="2" xr3:uid="{832CE735-57E7-3649-95D4-174807579337}" name="Start Date" dataDxfId="1"/>
    <tableColumn id="3" xr3:uid="{0E45E33C-14F8-9540-8DCE-063A1E64576D}" name="End Date" dataDxfId="0"/>
    <tableColumn id="19" xr3:uid="{D70A485D-3D62-CA4B-A335-BC53957FB202}" name="Hours" dataDxfId="26">
      <calculatedColumnFormula>(Data[[#This Row],[End Date]]-Data[[#This Row],[Start Date]])*24</calculatedColumnFormula>
    </tableColumn>
    <tableColumn id="6" xr3:uid="{AA47B9F2-E088-4B40-ABF5-98E547E149C9}" name="Delays" dataDxfId="25"/>
    <tableColumn id="11" xr3:uid="{618C466B-E16C-B141-AE6B-B6BAC0268914}" name="Type of delays" dataDxfId="24"/>
    <tableColumn id="7" xr3:uid="{FB6EA64B-6D24-0D40-8F7A-349460C78610}" name="Possible Savings for delays" dataDxfId="23">
      <calculatedColumnFormula>INDEX(employees_table[Hour Rate],MATCH(Data[[#This Row],[Name]],employees_table[Name],0))*Data[[#This Row],[Delays]]</calculatedColumnFormula>
    </tableColumn>
    <tableColumn id="8" xr3:uid="{6643FB34-1A9C-C44E-A8A4-CDA24E2C98AE}" name="Name" dataDxfId="22"/>
    <tableColumn id="9" xr3:uid="{8BD56181-0B75-5641-8542-C314E5F7267C}" name="Level" dataDxfId="21">
      <calculatedColumnFormula>IFERROR(VLOOKUP(Data[[#This Row],[Name]],employees_table[[#All],[Name]:[Hour Rate]],2,FALSE),"NOT FOUND")</calculatedColumnFormula>
    </tableColumn>
    <tableColumn id="12" xr3:uid="{0C7CB094-9AB0-FA4D-9612-0DB16D86C14E}" name="Goal [metres]" dataDxfId="20"/>
    <tableColumn id="13" xr3:uid="{E85844FD-96CA-4D46-867F-AFC70D35E7E9}" name="Goal [Kilometres]" dataDxfId="19">
      <calculatedColumnFormula>Data[[#This Row],[Goal '[metres']]]/1000</calculatedColumnFormula>
    </tableColumn>
    <tableColumn id="14" xr3:uid="{8D6B925B-607D-5C4E-8EC3-19E9F49242C2}" name="Achieved [metres ]" dataDxfId="18"/>
    <tableColumn id="15" xr3:uid="{2B71311C-1794-9E4D-A5B9-08108FC80FF0}" name="Achieved [Km]" dataDxfId="17">
      <calculatedColumnFormula>Data[[#This Row],[Achieved '[metres ']]]/1000</calculatedColumnFormula>
    </tableColumn>
    <tableColumn id="20" xr3:uid="{60582DBB-9ED8-AF4F-80F8-3B8E65212032}" name="Bal to Achieved [mtr]" dataDxfId="16">
      <calculatedColumnFormula>Data[[#This Row],[Goal '[metres']]]-Data[[#This Row],[Achieved '[metres ']]]</calculatedColumnFormula>
    </tableColumn>
    <tableColumn id="21" xr3:uid="{FBF6E2E9-A995-0946-A935-8E14FB533E8E}" name="Bal to Achieved [km]" dataDxfId="15">
      <calculatedColumnFormula>Data[[#This Row],[Goal '[Kilometres']]]-Data[[#This Row],[Achieved '[Km']]]</calculatedColumnFormula>
    </tableColumn>
    <tableColumn id="16" xr3:uid="{AC08903F-A106-DE4C-874D-653A9C1F0D83}" name="Client"/>
    <tableColumn id="17" xr3:uid="{0EB9C073-37D9-C14B-BAF5-6A8BC8BC8BB9}" name="Hazards Detected" dataDxfId="14"/>
    <tableColumn id="5" xr3:uid="{BB068A15-2D48-2B4B-A25B-2359031421F1}" name="Type of Hazards" dataDxfId="13"/>
    <tableColumn id="18" xr3:uid="{B23E990F-07F1-4644-A6AB-5C06D323C2D7}" name="Estimated  Costs" dataDxfId="12">
      <calculatedColumnFormula>VLOOKUP(Data[[#This Row],[Name]],employees_table[[#All],[Name]:[Hour Rate]],3,FALSE)*Data[[#This Row],[Hours]]</calculatedColumnFormula>
    </tableColumn>
    <tableColumn id="22" xr3:uid="{E1F263C1-C2FB-6045-A0B3-821F6886FF3D}" name="Year" dataDxfId="11">
      <calculatedColumnFormula>IF(Data[[#This Row],[Start Date]]="","",TEXT(Data[[#This Row],[Start Date]],"yyyy"))</calculatedColumnFormula>
    </tableColumn>
    <tableColumn id="23" xr3:uid="{2BB63090-7D2B-E74D-A897-32493237A396}" name="Month" dataDxfId="10">
      <calculatedColumnFormula>IF(Data[[#This Row],[Start Date]]="","",TEXT(Data[[#This Row],[Start Date]],"mmm"))</calculatedColumnFormula>
    </tableColumn>
    <tableColumn id="4" xr3:uid="{0FD890B4-C12F-A448-ACD2-8CBEF51E6AF0}" name="Date" dataDxfId="9">
      <calculatedColumnFormula>IF(Data[[#This Row],[Start Date]]="","",TEXT(Data[[#This Row],[Start Date]],"m/dd"))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20D841-E477-BA46-A49B-0E2A23F9315D}" name="assetsinstalled" displayName="assetsinstalled" ref="A1:C2" totalsRowShown="0" headerRowDxfId="8" headerRowBorderDxfId="7" tableBorderDxfId="6">
  <tableColumns count="3">
    <tableColumn id="1" xr3:uid="{18FB78FF-F84E-1D4F-8DE8-008025EAD71B}" name="Assets Installed"/>
    <tableColumn id="2" xr3:uid="{999E2D4F-B7AA-9048-AC25-4BEBFE90211A}" name="S#? "/>
    <tableColumn id="3" xr3:uid="{1B5AECE8-9466-ED46-B2A2-0E6636DC3B9F}" name="Date" dataDxfId="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AF27-3EF9-5742-993F-1B52D6DA074A}">
  <sheetPr codeName="Sheet2">
    <tabColor theme="9"/>
  </sheetPr>
  <dimension ref="A1:D26"/>
  <sheetViews>
    <sheetView showGridLines="0" workbookViewId="0">
      <selection activeCell="B14" sqref="B14"/>
    </sheetView>
  </sheetViews>
  <sheetFormatPr baseColWidth="10" defaultColWidth="8.83203125" defaultRowHeight="16"/>
  <cols>
    <col min="1" max="1" width="10" customWidth="1"/>
    <col min="2" max="2" width="28.1640625" bestFit="1" customWidth="1"/>
    <col min="3" max="3" width="9.1640625" bestFit="1" customWidth="1"/>
    <col min="4" max="4" width="11.5" bestFit="1" customWidth="1"/>
    <col min="6" max="6" width="18.1640625" bestFit="1" customWidth="1"/>
    <col min="7" max="7" width="9.1640625" customWidth="1"/>
  </cols>
  <sheetData>
    <row r="1" spans="1:4">
      <c r="A1" t="s">
        <v>65</v>
      </c>
      <c r="B1" t="s">
        <v>9</v>
      </c>
      <c r="C1" t="s">
        <v>10</v>
      </c>
      <c r="D1" t="s">
        <v>32</v>
      </c>
    </row>
    <row r="2" spans="1:4">
      <c r="A2">
        <v>1</v>
      </c>
      <c r="B2" t="s">
        <v>22</v>
      </c>
      <c r="C2" t="s">
        <v>29</v>
      </c>
      <c r="D2" s="20">
        <v>50</v>
      </c>
    </row>
    <row r="3" spans="1:4">
      <c r="A3">
        <v>2</v>
      </c>
      <c r="B3" t="s">
        <v>26</v>
      </c>
      <c r="C3" t="s">
        <v>29</v>
      </c>
      <c r="D3" s="20">
        <v>50</v>
      </c>
    </row>
    <row r="4" spans="1:4">
      <c r="A4">
        <v>3</v>
      </c>
      <c r="B4" t="s">
        <v>24</v>
      </c>
      <c r="C4" t="s">
        <v>30</v>
      </c>
      <c r="D4" s="20">
        <v>40</v>
      </c>
    </row>
    <row r="5" spans="1:4">
      <c r="A5">
        <v>4</v>
      </c>
      <c r="B5" t="s">
        <v>27</v>
      </c>
      <c r="C5" t="s">
        <v>30</v>
      </c>
      <c r="D5" s="20">
        <v>30</v>
      </c>
    </row>
    <row r="6" spans="1:4">
      <c r="A6">
        <v>5</v>
      </c>
      <c r="B6" t="s">
        <v>28</v>
      </c>
      <c r="C6" t="s">
        <v>30</v>
      </c>
      <c r="D6" s="20">
        <v>30</v>
      </c>
    </row>
    <row r="7" spans="1:4">
      <c r="A7">
        <v>6</v>
      </c>
      <c r="B7" t="s">
        <v>69</v>
      </c>
      <c r="C7" t="s">
        <v>30</v>
      </c>
      <c r="D7" s="20">
        <v>30</v>
      </c>
    </row>
    <row r="8" spans="1:4">
      <c r="A8">
        <v>7</v>
      </c>
      <c r="B8" t="s">
        <v>70</v>
      </c>
      <c r="C8" t="s">
        <v>30</v>
      </c>
      <c r="D8" s="20">
        <v>30</v>
      </c>
    </row>
    <row r="10" spans="1:4">
      <c r="A10" t="s">
        <v>64</v>
      </c>
      <c r="B10" t="s">
        <v>59</v>
      </c>
    </row>
    <row r="11" spans="1:4">
      <c r="A11">
        <v>1</v>
      </c>
      <c r="B11" s="9" t="s">
        <v>3</v>
      </c>
    </row>
    <row r="12" spans="1:4">
      <c r="A12">
        <v>2</v>
      </c>
      <c r="B12" s="10" t="s">
        <v>2</v>
      </c>
    </row>
    <row r="13" spans="1:4">
      <c r="A13">
        <v>3</v>
      </c>
      <c r="B13" s="9" t="s">
        <v>87</v>
      </c>
    </row>
    <row r="15" spans="1:4">
      <c r="A15" t="s">
        <v>63</v>
      </c>
      <c r="B15" t="s">
        <v>60</v>
      </c>
    </row>
    <row r="16" spans="1:4">
      <c r="A16">
        <v>1</v>
      </c>
      <c r="B16" t="s">
        <v>23</v>
      </c>
    </row>
    <row r="17" spans="1:2">
      <c r="A17">
        <v>2</v>
      </c>
      <c r="B17" t="s">
        <v>25</v>
      </c>
    </row>
    <row r="18" spans="1:2">
      <c r="A18">
        <v>3</v>
      </c>
      <c r="B18" t="s">
        <v>36</v>
      </c>
    </row>
    <row r="20" spans="1:2">
      <c r="A20" t="s">
        <v>62</v>
      </c>
      <c r="B20" t="s">
        <v>61</v>
      </c>
    </row>
    <row r="21" spans="1:2">
      <c r="A21">
        <v>1</v>
      </c>
      <c r="B21" t="s">
        <v>23</v>
      </c>
    </row>
    <row r="22" spans="1:2">
      <c r="A22">
        <v>2</v>
      </c>
      <c r="B22" t="s">
        <v>25</v>
      </c>
    </row>
    <row r="24" spans="1:2">
      <c r="A24" t="s">
        <v>58</v>
      </c>
      <c r="B24" t="s">
        <v>17</v>
      </c>
    </row>
    <row r="25" spans="1:2">
      <c r="A25">
        <v>1</v>
      </c>
      <c r="B25" t="s">
        <v>34</v>
      </c>
    </row>
    <row r="26" spans="1:2">
      <c r="A26">
        <v>2</v>
      </c>
      <c r="B26" t="s">
        <v>33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84EE-2878-E346-8460-907F2355F706}">
  <sheetPr codeName="Sheet1">
    <tabColor rgb="FF002060"/>
  </sheetPr>
  <dimension ref="A1:X65"/>
  <sheetViews>
    <sheetView showGridLines="0" tabSelected="1" zoomScale="74" zoomScaleNormal="100" workbookViewId="0">
      <selection activeCell="G65" sqref="G65"/>
    </sheetView>
  </sheetViews>
  <sheetFormatPr baseColWidth="10" defaultRowHeight="16"/>
  <cols>
    <col min="10" max="10" width="13.33203125" bestFit="1" customWidth="1"/>
  </cols>
  <sheetData>
    <row r="1" spans="1:24" ht="17" thickBo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45" t="s">
        <v>71</v>
      </c>
      <c r="S2" s="46"/>
      <c r="T2" s="30"/>
      <c r="U2" s="55" t="s">
        <v>66</v>
      </c>
      <c r="V2" s="56"/>
      <c r="W2" s="57"/>
      <c r="X2" s="30"/>
    </row>
    <row r="3" spans="1:24" ht="17" thickBo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47"/>
      <c r="S3" s="48"/>
      <c r="T3" s="30"/>
      <c r="U3" s="58"/>
      <c r="V3" s="59"/>
      <c r="W3" s="60"/>
      <c r="X3" s="30"/>
    </row>
    <row r="4" spans="1:24" ht="21">
      <c r="A4" s="30"/>
      <c r="B4" s="30"/>
      <c r="C4" s="30"/>
      <c r="D4" s="30"/>
      <c r="E4" s="30"/>
      <c r="F4" s="30"/>
      <c r="G4" s="32"/>
      <c r="H4" s="31"/>
      <c r="I4" s="30"/>
      <c r="J4" s="40" t="s">
        <v>72</v>
      </c>
      <c r="K4" s="30"/>
      <c r="L4" s="30"/>
      <c r="M4" s="30"/>
      <c r="N4" s="30"/>
      <c r="O4" s="30"/>
      <c r="P4" s="30"/>
      <c r="Q4" s="30"/>
      <c r="R4" s="49">
        <f>W10</f>
        <v>0.56000000000000005</v>
      </c>
      <c r="S4" s="49">
        <f>W11</f>
        <v>0.56000000000000005</v>
      </c>
      <c r="T4" s="30"/>
      <c r="U4" s="49">
        <f>Analysis!$D$41</f>
        <v>1</v>
      </c>
      <c r="V4" s="49">
        <f>Analysis!$D$42</f>
        <v>0</v>
      </c>
      <c r="W4" s="49">
        <f>Analysis!$D$40</f>
        <v>1</v>
      </c>
      <c r="X4" s="30"/>
    </row>
    <row r="5" spans="1:24" ht="17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50"/>
      <c r="S5" s="50"/>
      <c r="T5" s="30"/>
      <c r="U5" s="50"/>
      <c r="V5" s="50"/>
      <c r="W5" s="50"/>
      <c r="X5" s="30"/>
    </row>
    <row r="6" spans="1:24" ht="16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51">
        <f>S4/R4</f>
        <v>1</v>
      </c>
      <c r="S6" s="52"/>
      <c r="T6" s="30"/>
      <c r="U6" s="61" t="s">
        <v>67</v>
      </c>
      <c r="V6" s="61" t="s">
        <v>3</v>
      </c>
      <c r="W6" s="63" t="s">
        <v>86</v>
      </c>
      <c r="X6" s="30"/>
    </row>
    <row r="7" spans="1:24" ht="17" customHeight="1" thickBo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53"/>
      <c r="S7" s="54"/>
      <c r="T7" s="30"/>
      <c r="U7" s="62"/>
      <c r="V7" s="62"/>
      <c r="W7" s="64"/>
      <c r="X7" s="30"/>
    </row>
    <row r="8" spans="1:24" ht="17" thickBo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35"/>
      <c r="B9" s="35"/>
      <c r="C9" s="35"/>
      <c r="D9" s="35"/>
      <c r="E9" s="35"/>
      <c r="F9" s="35"/>
      <c r="G9" s="65" t="s">
        <v>8</v>
      </c>
      <c r="H9" s="66"/>
      <c r="I9" s="67"/>
      <c r="J9" s="30"/>
      <c r="K9" s="33" t="s">
        <v>43</v>
      </c>
      <c r="L9" s="33" t="s">
        <v>44</v>
      </c>
      <c r="M9" s="33" t="s">
        <v>46</v>
      </c>
      <c r="N9" s="33" t="s">
        <v>40</v>
      </c>
      <c r="O9" s="33" t="s">
        <v>41</v>
      </c>
      <c r="P9" s="33" t="s">
        <v>45</v>
      </c>
      <c r="Q9" s="33" t="s">
        <v>47</v>
      </c>
      <c r="R9" s="33" t="s">
        <v>48</v>
      </c>
      <c r="S9" s="33" t="s">
        <v>49</v>
      </c>
      <c r="T9" s="33" t="s">
        <v>50</v>
      </c>
      <c r="U9" s="33" t="s">
        <v>51</v>
      </c>
      <c r="V9" s="33" t="s">
        <v>52</v>
      </c>
      <c r="W9" s="33" t="s">
        <v>42</v>
      </c>
      <c r="X9" s="30"/>
    </row>
    <row r="10" spans="1:24" ht="17" thickBot="1">
      <c r="A10" s="35"/>
      <c r="B10" s="35"/>
      <c r="C10" s="35"/>
      <c r="D10" s="35"/>
      <c r="E10" s="35"/>
      <c r="F10" s="35"/>
      <c r="G10" s="68"/>
      <c r="H10" s="69"/>
      <c r="I10" s="70"/>
      <c r="J10" s="39" t="s">
        <v>53</v>
      </c>
      <c r="K10" s="33">
        <f>SUMIFS(Data[[#All],[Goal '[Kilometres']]],Data[[#All],[Month]],Dashboards!K$9,Data[[#All],[Code/ID]],"&lt;&gt;")</f>
        <v>0</v>
      </c>
      <c r="L10" s="33">
        <f>SUMIFS(Data[[#All],[Goal '[Kilometres']]],Data[[#All],[Month]],Dashboards!L$9,Data[[#All],[Code/ID]],"&lt;&gt;")</f>
        <v>0</v>
      </c>
      <c r="M10" s="33">
        <f>SUMIFS(Data[[#All],[Goal '[Kilometres']]],Data[[#All],[Month]],Dashboards!M$9,Data[[#All],[Code/ID]],"&lt;&gt;")</f>
        <v>0</v>
      </c>
      <c r="N10" s="33">
        <f>SUMIFS(Data[[#All],[Goal '[Kilometres']]],Data[[#All],[Month]],Dashboards!N$9,Data[[#All],[Code/ID]],"&lt;&gt;")</f>
        <v>0</v>
      </c>
      <c r="O10" s="33">
        <f>SUMIFS(Data[[#All],[Goal '[Kilometres']]],Data[[#All],[Month]],Dashboards!O$9,Data[[#All],[Code/ID]],"&lt;&gt;")</f>
        <v>0.56000000000000005</v>
      </c>
      <c r="P10" s="33">
        <f>SUMIFS(Data[[#All],[Goal '[Kilometres']]],Data[[#All],[Month]],Dashboards!P$9,Data[[#All],[Code/ID]],"&lt;&gt;")</f>
        <v>0</v>
      </c>
      <c r="Q10" s="33">
        <f>SUMIFS(Data[[#All],[Goal '[Kilometres']]],Data[[#All],[Month]],Dashboards!Q$9,Data[[#All],[Code/ID]],"&lt;&gt;")</f>
        <v>0</v>
      </c>
      <c r="R10" s="33">
        <f>SUMIFS(Data[[#All],[Goal '[Kilometres']]],Data[[#All],[Month]],Dashboards!R$9,Data[[#All],[Code/ID]],"&lt;&gt;")</f>
        <v>0</v>
      </c>
      <c r="S10" s="33">
        <f>SUMIFS(Data[[#All],[Goal '[Kilometres']]],Data[[#All],[Month]],Dashboards!S$9,Data[[#All],[Code/ID]],"&lt;&gt;")</f>
        <v>0</v>
      </c>
      <c r="T10" s="33">
        <f>SUMIFS(Data[[#All],[Goal '[Kilometres']]],Data[[#All],[Month]],Dashboards!T$9,Data[[#All],[Code/ID]],"&lt;&gt;")</f>
        <v>0</v>
      </c>
      <c r="U10" s="33">
        <f>SUMIFS(Data[[#All],[Goal '[Kilometres']]],Data[[#All],[Month]],Dashboards!U$9,Data[[#All],[Code/ID]],"&lt;&gt;")</f>
        <v>0</v>
      </c>
      <c r="V10" s="33">
        <f>SUMIFS(Data[[#All],[Goal '[Kilometres']]],Data[[#All],[Month]],Dashboards!V$9,Data[[#All],[Code/ID]],"&lt;&gt;")</f>
        <v>0</v>
      </c>
      <c r="W10" s="33">
        <f>SUM(K10:V10)</f>
        <v>0.56000000000000005</v>
      </c>
      <c r="X10" s="30"/>
    </row>
    <row r="11" spans="1:24">
      <c r="A11" s="35"/>
      <c r="B11" s="35"/>
      <c r="C11" s="35"/>
      <c r="D11" s="35"/>
      <c r="E11" s="35"/>
      <c r="F11" s="35"/>
      <c r="G11" s="71" t="s">
        <v>23</v>
      </c>
      <c r="H11" s="30"/>
      <c r="I11" s="71" t="s">
        <v>25</v>
      </c>
      <c r="J11" s="39" t="s">
        <v>14</v>
      </c>
      <c r="K11" s="33">
        <f>SUMIFS(Data[[#All],[Achieved '[Km']]],Data[[#All],[Month]],Dashboards!K$9,Data[[#All],[Code/ID]],"&lt;&gt;")</f>
        <v>0</v>
      </c>
      <c r="L11" s="33">
        <f>SUMIFS(Data[[#All],[Achieved '[Km']]],Data[[#All],[Month]],Dashboards!L$9,Data[[#All],[Code/ID]],"&lt;&gt;")</f>
        <v>0</v>
      </c>
      <c r="M11" s="33">
        <f>SUMIFS(Data[[#All],[Achieved '[Km']]],Data[[#All],[Month]],Dashboards!M$9,Data[[#All],[Code/ID]],"&lt;&gt;")</f>
        <v>0</v>
      </c>
      <c r="N11" s="33">
        <f>SUMIFS(Data[[#All],[Achieved '[Km']]],Data[[#All],[Month]],Dashboards!N$9,Data[[#All],[Code/ID]],"&lt;&gt;")</f>
        <v>0</v>
      </c>
      <c r="O11" s="33">
        <f>SUMIFS(Data[[#All],[Achieved '[Km']]],Data[[#All],[Month]],Dashboards!O$9,Data[[#All],[Code/ID]],"&lt;&gt;")</f>
        <v>0.56000000000000005</v>
      </c>
      <c r="P11" s="33">
        <f>SUMIFS(Data[[#All],[Achieved '[Km']]],Data[[#All],[Month]],Dashboards!P$9,Data[[#All],[Code/ID]],"&lt;&gt;")</f>
        <v>0</v>
      </c>
      <c r="Q11" s="33">
        <f>SUMIFS(Data[[#All],[Achieved '[Km']]],Data[[#All],[Month]],Dashboards!Q$9,Data[[#All],[Code/ID]],"&lt;&gt;")</f>
        <v>0</v>
      </c>
      <c r="R11" s="33">
        <f>SUMIFS(Data[[#All],[Achieved '[Km']]],Data[[#All],[Month]],Dashboards!R$9,Data[[#All],[Code/ID]],"&lt;&gt;")</f>
        <v>0</v>
      </c>
      <c r="S11" s="33">
        <f>SUMIFS(Data[[#All],[Achieved '[Km']]],Data[[#All],[Month]],Dashboards!S$9,Data[[#All],[Code/ID]],"&lt;&gt;")</f>
        <v>0</v>
      </c>
      <c r="T11" s="33">
        <f>SUMIFS(Data[[#All],[Achieved '[Km']]],Data[[#All],[Month]],Dashboards!T$9,Data[[#All],[Code/ID]],"&lt;&gt;")</f>
        <v>0</v>
      </c>
      <c r="U11" s="33">
        <f>SUMIFS(Data[[#All],[Achieved '[Km']]],Data[[#All],[Month]],Dashboards!U$9,Data[[#All],[Code/ID]],"&lt;&gt;")</f>
        <v>0</v>
      </c>
      <c r="V11" s="33">
        <f>SUMIFS(Data[[#All],[Achieved '[Km']]],Data[[#All],[Month]],Dashboards!V$9,Data[[#All],[Code/ID]],"&lt;&gt;")</f>
        <v>0</v>
      </c>
      <c r="W11" s="33">
        <f>SUM(K11:V11)</f>
        <v>0.56000000000000005</v>
      </c>
      <c r="X11" s="30"/>
    </row>
    <row r="12" spans="1:24" ht="17" thickBot="1">
      <c r="A12" s="35"/>
      <c r="B12" s="35"/>
      <c r="C12" s="35"/>
      <c r="D12" s="35"/>
      <c r="E12" s="35"/>
      <c r="F12" s="35"/>
      <c r="G12" s="72"/>
      <c r="H12" s="30"/>
      <c r="I12" s="72"/>
      <c r="J12" s="39" t="s">
        <v>54</v>
      </c>
      <c r="K12" s="34">
        <f t="shared" ref="K12:W12" si="0">IFERROR(K11/K10,0)</f>
        <v>0</v>
      </c>
      <c r="L12" s="34">
        <f t="shared" si="0"/>
        <v>0</v>
      </c>
      <c r="M12" s="34">
        <f t="shared" si="0"/>
        <v>0</v>
      </c>
      <c r="N12" s="34">
        <f t="shared" si="0"/>
        <v>0</v>
      </c>
      <c r="O12" s="34">
        <f t="shared" si="0"/>
        <v>1</v>
      </c>
      <c r="P12" s="34">
        <f t="shared" si="0"/>
        <v>0</v>
      </c>
      <c r="Q12" s="34">
        <f t="shared" si="0"/>
        <v>0</v>
      </c>
      <c r="R12" s="34">
        <f t="shared" si="0"/>
        <v>0</v>
      </c>
      <c r="S12" s="34">
        <f t="shared" si="0"/>
        <v>0</v>
      </c>
      <c r="T12" s="34">
        <f t="shared" si="0"/>
        <v>0</v>
      </c>
      <c r="U12" s="34">
        <f t="shared" si="0"/>
        <v>0</v>
      </c>
      <c r="V12" s="34">
        <f t="shared" si="0"/>
        <v>0</v>
      </c>
      <c r="W12" s="34">
        <f t="shared" si="0"/>
        <v>1</v>
      </c>
      <c r="X12" s="30"/>
    </row>
    <row r="13" spans="1:24">
      <c r="A13" s="35"/>
      <c r="B13" s="35"/>
      <c r="C13" s="35"/>
      <c r="D13" s="35"/>
      <c r="E13" s="35"/>
      <c r="F13" s="35"/>
      <c r="G13" s="73">
        <f>SUMIFS(Data!E1:E6,Data!F1:F6,Dashboards!G11,Data!A1:A6,"&lt;&gt;")</f>
        <v>0</v>
      </c>
      <c r="H13" s="35"/>
      <c r="I13" s="73">
        <f>SUMIFS(Data!E1:E6,Data!F1:F6,Dashboards!I11,Data!A1:A6,"&lt;&gt;")</f>
        <v>2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pans="1:24">
      <c r="A14" s="35"/>
      <c r="B14" s="35"/>
      <c r="C14" s="35"/>
      <c r="D14" s="35"/>
      <c r="E14" s="35"/>
      <c r="F14" s="35"/>
      <c r="G14" s="74"/>
      <c r="H14" s="35"/>
      <c r="I14" s="7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pans="1:2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pans="1:2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pans="1:2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pans="1:2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pans="1:2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pans="1:2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pans="1:2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pans="1: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1:2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pans="1:2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spans="1:2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spans="1:2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spans="1:24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spans="1:24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4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24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spans="1:24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spans="1:24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spans="1:24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spans="1:24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spans="1:24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spans="1:24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spans="1:24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spans="1:2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 spans="1:24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 spans="1:24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 spans="1:24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 spans="1:24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 spans="1:24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 spans="1:24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 spans="1:24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 spans="1:24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 spans="1:24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 spans="1:2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spans="1:24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65" spans="7:7" ht="19">
      <c r="G65" s="77"/>
    </row>
  </sheetData>
  <mergeCells count="16">
    <mergeCell ref="G9:I10"/>
    <mergeCell ref="I11:I12"/>
    <mergeCell ref="G11:G12"/>
    <mergeCell ref="I13:I14"/>
    <mergeCell ref="G13:G14"/>
    <mergeCell ref="R2:S3"/>
    <mergeCell ref="R4:R5"/>
    <mergeCell ref="S4:S5"/>
    <mergeCell ref="R6:S7"/>
    <mergeCell ref="U2:W3"/>
    <mergeCell ref="U4:U5"/>
    <mergeCell ref="V4:V5"/>
    <mergeCell ref="W4:W5"/>
    <mergeCell ref="U6:U7"/>
    <mergeCell ref="V6:V7"/>
    <mergeCell ref="W6:W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ECB-0B7D-6B4D-8373-FAE37F21457B}">
  <sheetPr codeName="Sheet5">
    <tabColor theme="7"/>
  </sheetPr>
  <dimension ref="A1:V6"/>
  <sheetViews>
    <sheetView showGridLines="0" workbookViewId="0">
      <selection activeCell="C7" sqref="C7"/>
    </sheetView>
  </sheetViews>
  <sheetFormatPr baseColWidth="10" defaultColWidth="8.83203125" defaultRowHeight="16"/>
  <cols>
    <col min="1" max="1" width="12.83203125" bestFit="1" customWidth="1"/>
    <col min="2" max="2" width="18.33203125" style="3" bestFit="1" customWidth="1"/>
    <col min="3" max="3" width="18.33203125" bestFit="1" customWidth="1"/>
    <col min="4" max="4" width="14.33203125" style="4" bestFit="1" customWidth="1"/>
    <col min="5" max="5" width="10.6640625" style="37" customWidth="1"/>
    <col min="6" max="6" width="9.1640625" bestFit="1" customWidth="1"/>
    <col min="7" max="7" width="16.1640625" style="5" bestFit="1" customWidth="1"/>
    <col min="8" max="9" width="14" style="6" bestFit="1" customWidth="1"/>
    <col min="11" max="11" width="12.33203125" style="7" bestFit="1" customWidth="1"/>
    <col min="12" max="12" width="11.6640625" style="8" customWidth="1"/>
    <col min="13" max="13" width="11.1640625" style="7" customWidth="1"/>
    <col min="14" max="14" width="13.33203125" style="8" bestFit="1" customWidth="1"/>
    <col min="15" max="16" width="13.33203125" style="8" customWidth="1"/>
    <col min="17" max="17" width="13.33203125" bestFit="1" customWidth="1"/>
    <col min="18" max="18" width="13.33203125" customWidth="1"/>
    <col min="19" max="19" width="17.33203125" customWidth="1"/>
    <col min="20" max="20" width="16.6640625" style="5" customWidth="1"/>
  </cols>
  <sheetData>
    <row r="1" spans="1:22" s="12" customFormat="1" ht="34">
      <c r="A1" s="12" t="s">
        <v>4</v>
      </c>
      <c r="B1" s="13" t="s">
        <v>5</v>
      </c>
      <c r="C1" s="12" t="s">
        <v>6</v>
      </c>
      <c r="D1" s="14" t="s">
        <v>7</v>
      </c>
      <c r="E1" s="14" t="s">
        <v>8</v>
      </c>
      <c r="F1" s="12" t="s">
        <v>57</v>
      </c>
      <c r="G1" s="15" t="s">
        <v>35</v>
      </c>
      <c r="H1" s="12" t="s">
        <v>9</v>
      </c>
      <c r="I1" s="16" t="s">
        <v>10</v>
      </c>
      <c r="J1" s="16" t="s">
        <v>11</v>
      </c>
      <c r="K1" s="17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2" t="s">
        <v>17</v>
      </c>
      <c r="Q1" s="12" t="s">
        <v>31</v>
      </c>
      <c r="R1" s="12" t="s">
        <v>56</v>
      </c>
      <c r="S1" s="15" t="s">
        <v>18</v>
      </c>
      <c r="T1" s="12" t="s">
        <v>19</v>
      </c>
      <c r="U1" s="12" t="s">
        <v>20</v>
      </c>
      <c r="V1" s="12" t="s">
        <v>21</v>
      </c>
    </row>
    <row r="2" spans="1:22">
      <c r="A2" s="6">
        <v>1001</v>
      </c>
      <c r="B2" s="38">
        <v>43962.8125</v>
      </c>
      <c r="C2" s="38">
        <v>43963.166666666664</v>
      </c>
      <c r="D2" s="37">
        <f>(Data[[#This Row],[End Date]]-Data[[#This Row],[Start Date]])*24</f>
        <v>8.4999999999417923</v>
      </c>
      <c r="E2" s="37">
        <v>2</v>
      </c>
      <c r="F2" t="s">
        <v>25</v>
      </c>
      <c r="G2" s="5">
        <f>INDEX(employees_table[Hour Rate],MATCH(Data[[#This Row],[Name]],employees_table[Name],0))*Data[[#This Row],[Delays]]</f>
        <v>100</v>
      </c>
      <c r="H2" s="6" t="s">
        <v>22</v>
      </c>
      <c r="I2" s="19" t="str">
        <f>IFERROR(VLOOKUP(Data[[#This Row],[Name]],employees_table[[#All],[Name]:[Hour Rate]],2,FALSE),"NOT FOUND")</f>
        <v>Supervisor</v>
      </c>
      <c r="J2" s="7">
        <v>560</v>
      </c>
      <c r="K2" s="11">
        <f>Data[[#This Row],[Goal '[metres']]]/1000</f>
        <v>0.56000000000000005</v>
      </c>
      <c r="L2" s="7">
        <v>560</v>
      </c>
      <c r="M2" s="11">
        <f>Data[[#This Row],[Achieved '[metres ']]]/1000</f>
        <v>0.56000000000000005</v>
      </c>
      <c r="N2" s="7">
        <f>Data[[#This Row],[Goal '[metres']]]-Data[[#This Row],[Achieved '[metres ']]]</f>
        <v>0</v>
      </c>
      <c r="O2" s="8">
        <f>Data[[#This Row],[Goal '[Kilometres']]]-Data[[#This Row],[Achieved '[Km']]]</f>
        <v>0</v>
      </c>
      <c r="P2" t="s">
        <v>33</v>
      </c>
      <c r="Q2" s="6">
        <v>1</v>
      </c>
      <c r="R2" s="6" t="s">
        <v>25</v>
      </c>
      <c r="S2" s="5">
        <f>VLOOKUP(Data[[#This Row],[Name]],employees_table[[#All],[Name]:[Hour Rate]],3,FALSE)*Data[[#This Row],[Hours]]</f>
        <v>424.99999999708962</v>
      </c>
      <c r="T2" s="6" t="str">
        <f>IF(Data[[#This Row],[Start Date]]="","",TEXT(Data[[#This Row],[Start Date]],"yyyy"))</f>
        <v>2020</v>
      </c>
      <c r="U2" s="6" t="str">
        <f>IF(Data[[#This Row],[Start Date]]="","",TEXT(Data[[#This Row],[Start Date]],"mmm"))</f>
        <v>May</v>
      </c>
      <c r="V2" s="6" t="str">
        <f>IF(Data[[#This Row],[Start Date]]="","",TEXT(Data[[#This Row],[Start Date]],"m/dd"))</f>
        <v>5/11</v>
      </c>
    </row>
    <row r="3" spans="1:22">
      <c r="A3" s="6"/>
      <c r="B3" s="38">
        <v>43962.8125</v>
      </c>
      <c r="C3" s="38">
        <v>43963.166666666664</v>
      </c>
      <c r="D3" s="37">
        <f>(Data[[#This Row],[End Date]]-Data[[#This Row],[Start Date]])*24</f>
        <v>8.4999999999417923</v>
      </c>
      <c r="E3" s="37">
        <v>2</v>
      </c>
      <c r="F3" s="75" t="s">
        <v>25</v>
      </c>
      <c r="G3" s="5">
        <f>INDEX(employees_table[Hour Rate],MATCH(Data[[#This Row],[Name]],employees_table[Name],0))*Data[[#This Row],[Delays]]</f>
        <v>60</v>
      </c>
      <c r="H3" s="6" t="s">
        <v>27</v>
      </c>
      <c r="I3" s="76" t="str">
        <f>IFERROR(VLOOKUP(Data[[#This Row],[Name]],employees_table[[#All],[Name]:[Hour Rate]],2,FALSE),"NOT FOUND")</f>
        <v>Installer</v>
      </c>
      <c r="J3" s="7">
        <v>560</v>
      </c>
      <c r="K3" s="11">
        <f>Data[[#This Row],[Goal '[metres']]]/1000</f>
        <v>0.56000000000000005</v>
      </c>
      <c r="L3" s="7">
        <v>560</v>
      </c>
      <c r="M3" s="11">
        <f>Data[[#This Row],[Achieved '[metres ']]]/1000</f>
        <v>0.56000000000000005</v>
      </c>
      <c r="N3" s="7">
        <f>Data[[#This Row],[Goal '[metres']]]-Data[[#This Row],[Achieved '[metres ']]]</f>
        <v>0</v>
      </c>
      <c r="O3" s="8">
        <f>Data[[#This Row],[Goal '[Kilometres']]]-Data[[#This Row],[Achieved '[Km']]]</f>
        <v>0</v>
      </c>
      <c r="Q3" s="6"/>
      <c r="R3" s="6"/>
      <c r="S3" s="5">
        <f>VLOOKUP(Data[[#This Row],[Name]],employees_table[[#All],[Name]:[Hour Rate]],3,FALSE)*Data[[#This Row],[Hours]]</f>
        <v>254.99999999825377</v>
      </c>
      <c r="T3" s="76" t="str">
        <f>IF(Data[[#This Row],[Start Date]]="","",TEXT(Data[[#This Row],[Start Date]],"yyyy"))</f>
        <v>2020</v>
      </c>
      <c r="U3" s="76" t="str">
        <f>IF(Data[[#This Row],[Start Date]]="","",TEXT(Data[[#This Row],[Start Date]],"mmm"))</f>
        <v>May</v>
      </c>
      <c r="V3" s="76" t="str">
        <f>IF(Data[[#This Row],[Start Date]]="","",TEXT(Data[[#This Row],[Start Date]],"m/dd"))</f>
        <v>5/11</v>
      </c>
    </row>
    <row r="4" spans="1:22">
      <c r="A4" s="6"/>
      <c r="B4" s="38">
        <v>43962.8125</v>
      </c>
      <c r="C4" s="38">
        <v>43963.166666666664</v>
      </c>
      <c r="D4" s="37">
        <f>(Data[[#This Row],[End Date]]-Data[[#This Row],[Start Date]])*24</f>
        <v>8.4999999999417923</v>
      </c>
      <c r="E4" s="37">
        <v>2</v>
      </c>
      <c r="F4" s="75" t="s">
        <v>25</v>
      </c>
      <c r="G4" s="5">
        <f>INDEX(employees_table[Hour Rate],MATCH(Data[[#This Row],[Name]],employees_table[Name],0))*Data[[#This Row],[Delays]]</f>
        <v>60</v>
      </c>
      <c r="H4" s="6" t="s">
        <v>28</v>
      </c>
      <c r="I4" s="76" t="str">
        <f>IFERROR(VLOOKUP(Data[[#This Row],[Name]],employees_table[[#All],[Name]:[Hour Rate]],2,FALSE),"NOT FOUND")</f>
        <v>Installer</v>
      </c>
      <c r="J4" s="7">
        <v>560</v>
      </c>
      <c r="K4" s="11">
        <f>Data[[#This Row],[Goal '[metres']]]/1000</f>
        <v>0.56000000000000005</v>
      </c>
      <c r="L4" s="7">
        <v>560</v>
      </c>
      <c r="M4" s="11">
        <f>Data[[#This Row],[Achieved '[metres ']]]/1000</f>
        <v>0.56000000000000005</v>
      </c>
      <c r="N4" s="7">
        <f>Data[[#This Row],[Goal '[metres']]]-Data[[#This Row],[Achieved '[metres ']]]</f>
        <v>0</v>
      </c>
      <c r="O4" s="8">
        <f>Data[[#This Row],[Goal '[Kilometres']]]-Data[[#This Row],[Achieved '[Km']]]</f>
        <v>0</v>
      </c>
      <c r="Q4" s="6"/>
      <c r="R4" s="6"/>
      <c r="S4" s="5">
        <f>VLOOKUP(Data[[#This Row],[Name]],employees_table[[#All],[Name]:[Hour Rate]],3,FALSE)*Data[[#This Row],[Hours]]</f>
        <v>254.99999999825377</v>
      </c>
      <c r="T4" s="76" t="str">
        <f>IF(Data[[#This Row],[Start Date]]="","",TEXT(Data[[#This Row],[Start Date]],"yyyy"))</f>
        <v>2020</v>
      </c>
      <c r="U4" s="76" t="str">
        <f>IF(Data[[#This Row],[Start Date]]="","",TEXT(Data[[#This Row],[Start Date]],"mmm"))</f>
        <v>May</v>
      </c>
      <c r="V4" s="76" t="str">
        <f>IF(Data[[#This Row],[Start Date]]="","",TEXT(Data[[#This Row],[Start Date]],"m/dd"))</f>
        <v>5/11</v>
      </c>
    </row>
    <row r="5" spans="1:22">
      <c r="A5" s="6"/>
      <c r="B5" s="38">
        <v>43962.8125</v>
      </c>
      <c r="C5" s="38">
        <v>43963.166666666664</v>
      </c>
      <c r="D5" s="37">
        <f>(Data[[#This Row],[End Date]]-Data[[#This Row],[Start Date]])*24</f>
        <v>8.4999999999417923</v>
      </c>
      <c r="E5" s="37">
        <v>2</v>
      </c>
      <c r="F5" s="75" t="s">
        <v>25</v>
      </c>
      <c r="G5" s="5">
        <f>INDEX(employees_table[Hour Rate],MATCH(Data[[#This Row],[Name]],employees_table[Name],0))*Data[[#This Row],[Delays]]</f>
        <v>60</v>
      </c>
      <c r="H5" s="6" t="s">
        <v>69</v>
      </c>
      <c r="I5" s="76" t="str">
        <f>IFERROR(VLOOKUP(Data[[#This Row],[Name]],employees_table[[#All],[Name]:[Hour Rate]],2,FALSE),"NOT FOUND")</f>
        <v>Installer</v>
      </c>
      <c r="J5" s="7">
        <v>560</v>
      </c>
      <c r="K5" s="11">
        <f>Data[[#This Row],[Goal '[metres']]]/1000</f>
        <v>0.56000000000000005</v>
      </c>
      <c r="L5" s="7">
        <v>560</v>
      </c>
      <c r="M5" s="11">
        <f>Data[[#This Row],[Achieved '[metres ']]]/1000</f>
        <v>0.56000000000000005</v>
      </c>
      <c r="N5" s="7">
        <f>Data[[#This Row],[Goal '[metres']]]-Data[[#This Row],[Achieved '[metres ']]]</f>
        <v>0</v>
      </c>
      <c r="O5" s="8">
        <f>Data[[#This Row],[Goal '[Kilometres']]]-Data[[#This Row],[Achieved '[Km']]]</f>
        <v>0</v>
      </c>
      <c r="Q5" s="6"/>
      <c r="R5" s="6"/>
      <c r="S5" s="5">
        <f>VLOOKUP(Data[[#This Row],[Name]],employees_table[[#All],[Name]:[Hour Rate]],3,FALSE)*Data[[#This Row],[Hours]]</f>
        <v>254.99999999825377</v>
      </c>
      <c r="T5" s="76" t="str">
        <f>IF(Data[[#This Row],[Start Date]]="","",TEXT(Data[[#This Row],[Start Date]],"yyyy"))</f>
        <v>2020</v>
      </c>
      <c r="U5" s="76" t="str">
        <f>IF(Data[[#This Row],[Start Date]]="","",TEXT(Data[[#This Row],[Start Date]],"mmm"))</f>
        <v>May</v>
      </c>
      <c r="V5" s="76" t="str">
        <f>IF(Data[[#This Row],[Start Date]]="","",TEXT(Data[[#This Row],[Start Date]],"m/dd"))</f>
        <v>5/11</v>
      </c>
    </row>
    <row r="6" spans="1:22">
      <c r="A6" s="6">
        <v>1002</v>
      </c>
      <c r="B6" s="38"/>
      <c r="C6" s="38"/>
      <c r="D6" s="37">
        <f>(Data[[#This Row],[End Date]]-Data[[#This Row],[Start Date]])*24</f>
        <v>0</v>
      </c>
      <c r="F6" s="75"/>
      <c r="G6" s="5" t="e">
        <f>INDEX(employees_table[Hour Rate],MATCH(Data[[#This Row],[Name]],employees_table[Name],0))*Data[[#This Row],[Delays]]</f>
        <v>#N/A</v>
      </c>
      <c r="I6" s="76" t="str">
        <f>IFERROR(VLOOKUP(Data[[#This Row],[Name]],employees_table[[#All],[Name]:[Hour Rate]],2,FALSE),"NOT FOUND")</f>
        <v>NOT FOUND</v>
      </c>
      <c r="J6" s="7"/>
      <c r="K6" s="11">
        <f>Data[[#This Row],[Goal '[metres']]]/1000</f>
        <v>0</v>
      </c>
      <c r="L6" s="7"/>
      <c r="M6" s="11">
        <f>Data[[#This Row],[Achieved '[metres ']]]/1000</f>
        <v>0</v>
      </c>
      <c r="N6" s="7">
        <f>Data[[#This Row],[Goal '[metres']]]-Data[[#This Row],[Achieved '[metres ']]]</f>
        <v>0</v>
      </c>
      <c r="O6" s="8">
        <f>Data[[#This Row],[Goal '[Kilometres']]]-Data[[#This Row],[Achieved '[Km']]]</f>
        <v>0</v>
      </c>
      <c r="Q6" s="6"/>
      <c r="R6" s="6"/>
      <c r="S6" s="5" t="e">
        <f>VLOOKUP(Data[[#This Row],[Name]],employees_table[[#All],[Name]:[Hour Rate]],3,FALSE)*Data[[#This Row],[Hours]]</f>
        <v>#N/A</v>
      </c>
      <c r="T6" s="76" t="str">
        <f>IF(Data[[#This Row],[Start Date]]="","",TEXT(Data[[#This Row],[Start Date]],"yyyy"))</f>
        <v/>
      </c>
      <c r="U6" s="76" t="str">
        <f>IF(Data[[#This Row],[Start Date]]="","",TEXT(Data[[#This Row],[Start Date]],"mmm"))</f>
        <v/>
      </c>
      <c r="V6" s="76" t="str">
        <f>IF(Data[[#This Row],[Start Date]]="","",TEXT(Data[[#This Row],[Start Date]],"m/dd"))</f>
        <v/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1B1593B-7DC1-1F4A-A739-306F9F01A6F9}">
          <x14:formula1>
            <xm:f>Setup!$B$16:$B$18</xm:f>
          </x14:formula1>
          <xm:sqref>F2:F6</xm:sqref>
        </x14:dataValidation>
        <x14:dataValidation type="list" allowBlank="1" showInputMessage="1" showErrorMessage="1" xr:uid="{7FAE4006-3E0B-EB4A-9B41-CABBA505C36F}">
          <x14:formula1>
            <xm:f>Setup!$B$2:$B$8</xm:f>
          </x14:formula1>
          <xm:sqref>H2:H6</xm:sqref>
        </x14:dataValidation>
        <x14:dataValidation type="list" allowBlank="1" showInputMessage="1" showErrorMessage="1" xr:uid="{7FC27400-4386-1349-AD40-1D99BE89AD8E}">
          <x14:formula1>
            <xm:f>Setup!$B$21:$B$22</xm:f>
          </x14:formula1>
          <xm:sqref>R2:R6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2BFE-D996-AB49-BCE0-5ED68FCF5404}">
  <sheetPr codeName="Sheet6">
    <tabColor theme="6"/>
  </sheetPr>
  <dimension ref="A1:C2"/>
  <sheetViews>
    <sheetView showGridLines="0" workbookViewId="0">
      <selection activeCell="C29" sqref="C29"/>
    </sheetView>
  </sheetViews>
  <sheetFormatPr baseColWidth="10" defaultColWidth="8.83203125" defaultRowHeight="16"/>
  <cols>
    <col min="1" max="1" width="18.1640625" bestFit="1" customWidth="1"/>
    <col min="2" max="2" width="24.1640625" customWidth="1"/>
    <col min="3" max="3" width="20.5" customWidth="1"/>
  </cols>
  <sheetData>
    <row r="1" spans="1:3">
      <c r="A1" s="1" t="s">
        <v>0</v>
      </c>
      <c r="B1" s="2" t="s">
        <v>1</v>
      </c>
      <c r="C1" s="18" t="s">
        <v>21</v>
      </c>
    </row>
    <row r="2" spans="1:3">
      <c r="A2" t="s">
        <v>3</v>
      </c>
      <c r="C2" s="21"/>
    </row>
  </sheetData>
  <dataValidations count="1">
    <dataValidation type="list" allowBlank="1" showInputMessage="1" showErrorMessage="1" sqref="A2" xr:uid="{4C5483BB-1DA5-AA4F-B786-7A5E35C12313}">
      <formula1>assest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B699-98F1-804C-B382-E512E7E38584}">
  <sheetPr codeName="Sheet3">
    <tabColor theme="4"/>
  </sheetPr>
  <dimension ref="A1:D77"/>
  <sheetViews>
    <sheetView showGridLines="0" topLeftCell="A4" workbookViewId="0">
      <selection activeCell="A15" sqref="A15"/>
    </sheetView>
  </sheetViews>
  <sheetFormatPr baseColWidth="10" defaultRowHeight="16"/>
  <cols>
    <col min="1" max="1" width="8.33203125" bestFit="1" customWidth="1"/>
    <col min="2" max="2" width="5.83203125" bestFit="1" customWidth="1"/>
    <col min="3" max="3" width="11.6640625" bestFit="1" customWidth="1"/>
    <col min="4" max="4" width="11.5" bestFit="1" customWidth="1"/>
    <col min="5" max="5" width="9.83203125" bestFit="1" customWidth="1"/>
    <col min="6" max="6" width="11.1640625" bestFit="1" customWidth="1"/>
    <col min="9" max="9" width="13" bestFit="1" customWidth="1"/>
    <col min="10" max="10" width="22.5" bestFit="1" customWidth="1"/>
    <col min="11" max="11" width="19.83203125" bestFit="1" customWidth="1"/>
    <col min="12" max="12" width="22.5" bestFit="1" customWidth="1"/>
    <col min="13" max="13" width="27.33203125" bestFit="1" customWidth="1"/>
    <col min="14" max="14" width="24.6640625" bestFit="1" customWidth="1"/>
  </cols>
  <sheetData>
    <row r="1" spans="1:3" ht="34">
      <c r="A1" s="28" t="s">
        <v>74</v>
      </c>
    </row>
    <row r="2" spans="1:3">
      <c r="A2" s="22" t="s">
        <v>76</v>
      </c>
      <c r="B2" s="22" t="s">
        <v>20</v>
      </c>
    </row>
    <row r="3" spans="1:3">
      <c r="A3" s="22" t="s">
        <v>75</v>
      </c>
      <c r="B3" t="s">
        <v>41</v>
      </c>
      <c r="C3" t="s">
        <v>42</v>
      </c>
    </row>
    <row r="4" spans="1:3">
      <c r="A4" s="23" t="s">
        <v>28</v>
      </c>
      <c r="B4" s="25">
        <v>254.99999999825377</v>
      </c>
      <c r="C4" s="25">
        <v>254.99999999825377</v>
      </c>
    </row>
    <row r="5" spans="1:3">
      <c r="A5" s="23" t="s">
        <v>27</v>
      </c>
      <c r="B5" s="25">
        <v>254.99999999825377</v>
      </c>
      <c r="C5" s="25">
        <v>254.99999999825377</v>
      </c>
    </row>
    <row r="6" spans="1:3">
      <c r="A6" s="23" t="s">
        <v>22</v>
      </c>
      <c r="B6" s="25">
        <v>424.99999999708962</v>
      </c>
      <c r="C6" s="25">
        <v>424.99999999708962</v>
      </c>
    </row>
    <row r="7" spans="1:3">
      <c r="A7" s="23" t="s">
        <v>69</v>
      </c>
      <c r="B7" s="24">
        <v>254.99999999825377</v>
      </c>
      <c r="C7" s="24">
        <v>254.99999999825377</v>
      </c>
    </row>
    <row r="8" spans="1:3">
      <c r="A8" s="23" t="s">
        <v>42</v>
      </c>
      <c r="B8" s="25">
        <v>1189.9999999918509</v>
      </c>
      <c r="C8" s="25">
        <v>1189.9999999918509</v>
      </c>
    </row>
    <row r="12" spans="1:3" ht="26">
      <c r="A12" s="27" t="s">
        <v>37</v>
      </c>
    </row>
    <row r="13" spans="1:3">
      <c r="A13" s="22" t="s">
        <v>17</v>
      </c>
      <c r="B13" t="s">
        <v>73</v>
      </c>
    </row>
    <row r="14" spans="1:3">
      <c r="A14" s="23" t="s">
        <v>34</v>
      </c>
      <c r="B14" s="24"/>
    </row>
    <row r="15" spans="1:3">
      <c r="A15" s="23" t="s">
        <v>33</v>
      </c>
      <c r="B15" s="24">
        <v>1</v>
      </c>
    </row>
    <row r="16" spans="1:3">
      <c r="A16" s="23" t="s">
        <v>42</v>
      </c>
      <c r="B16" s="24">
        <v>1</v>
      </c>
    </row>
    <row r="19" spans="1:3" ht="24">
      <c r="A19" s="26" t="s">
        <v>38</v>
      </c>
    </row>
    <row r="20" spans="1:3">
      <c r="A20" s="22" t="s">
        <v>77</v>
      </c>
      <c r="B20" s="22" t="s">
        <v>39</v>
      </c>
    </row>
    <row r="21" spans="1:3">
      <c r="A21" s="22" t="s">
        <v>9</v>
      </c>
      <c r="B21" t="s">
        <v>41</v>
      </c>
      <c r="C21" t="s">
        <v>42</v>
      </c>
    </row>
    <row r="22" spans="1:3">
      <c r="A22" s="23" t="s">
        <v>28</v>
      </c>
      <c r="B22" s="25">
        <v>60</v>
      </c>
      <c r="C22" s="25">
        <v>60</v>
      </c>
    </row>
    <row r="23" spans="1:3">
      <c r="A23" s="23" t="s">
        <v>27</v>
      </c>
      <c r="B23" s="25">
        <v>60</v>
      </c>
      <c r="C23" s="25">
        <v>60</v>
      </c>
    </row>
    <row r="24" spans="1:3">
      <c r="A24" s="23" t="s">
        <v>22</v>
      </c>
      <c r="B24" s="25">
        <v>100</v>
      </c>
      <c r="C24" s="25">
        <v>100</v>
      </c>
    </row>
    <row r="25" spans="1:3">
      <c r="A25" s="23" t="s">
        <v>69</v>
      </c>
      <c r="B25" s="25">
        <v>60</v>
      </c>
      <c r="C25" s="25">
        <v>60</v>
      </c>
    </row>
    <row r="26" spans="1:3">
      <c r="A26" s="23" t="s">
        <v>42</v>
      </c>
      <c r="B26" s="25">
        <v>280</v>
      </c>
      <c r="C26" s="25">
        <v>280</v>
      </c>
    </row>
    <row r="29" spans="1:3" ht="31">
      <c r="A29" s="36" t="s">
        <v>68</v>
      </c>
    </row>
    <row r="30" spans="1:3">
      <c r="A30" s="22" t="s">
        <v>9</v>
      </c>
      <c r="B30" t="s">
        <v>79</v>
      </c>
    </row>
    <row r="31" spans="1:3">
      <c r="A31" s="23" t="s">
        <v>28</v>
      </c>
      <c r="B31" s="24">
        <v>8.4999999999417923</v>
      </c>
    </row>
    <row r="32" spans="1:3">
      <c r="A32" s="23" t="s">
        <v>27</v>
      </c>
      <c r="B32" s="24">
        <v>8.4999999999417923</v>
      </c>
    </row>
    <row r="33" spans="1:4">
      <c r="A33" s="23" t="s">
        <v>22</v>
      </c>
      <c r="B33" s="24">
        <v>8.4999999999417923</v>
      </c>
    </row>
    <row r="34" spans="1:4">
      <c r="A34" s="23" t="s">
        <v>69</v>
      </c>
      <c r="B34" s="24">
        <v>8.4999999999417923</v>
      </c>
    </row>
    <row r="35" spans="1:4">
      <c r="A35" s="23" t="s">
        <v>42</v>
      </c>
      <c r="B35" s="24">
        <v>33.999999999767169</v>
      </c>
    </row>
    <row r="38" spans="1:4" ht="31">
      <c r="A38" s="36" t="s">
        <v>0</v>
      </c>
    </row>
    <row r="39" spans="1:4">
      <c r="A39" s="22" t="s">
        <v>59</v>
      </c>
      <c r="B39" t="s">
        <v>73</v>
      </c>
    </row>
    <row r="40" spans="1:4">
      <c r="A40" s="23" t="s">
        <v>3</v>
      </c>
      <c r="B40" s="24">
        <v>1</v>
      </c>
      <c r="C40" t="str">
        <f t="shared" ref="C40:D42" si="0">A40</f>
        <v>Terminal Ends</v>
      </c>
      <c r="D40">
        <f t="shared" si="0"/>
        <v>1</v>
      </c>
    </row>
    <row r="41" spans="1:4">
      <c r="A41" s="23" t="s">
        <v>42</v>
      </c>
      <c r="B41" s="24">
        <v>1</v>
      </c>
      <c r="C41" t="str">
        <f t="shared" si="0"/>
        <v>Total</v>
      </c>
      <c r="D41">
        <f t="shared" si="0"/>
        <v>1</v>
      </c>
    </row>
    <row r="42" spans="1:4">
      <c r="C42">
        <f t="shared" si="0"/>
        <v>0</v>
      </c>
      <c r="D42">
        <f t="shared" si="0"/>
        <v>0</v>
      </c>
    </row>
    <row r="43" spans="1:4">
      <c r="C43" t="s">
        <v>42</v>
      </c>
      <c r="D43">
        <f>GETPIVOTDATA("Assets Installed",$A$39)</f>
        <v>1</v>
      </c>
    </row>
    <row r="47" spans="1:4" ht="31">
      <c r="A47" s="36" t="s">
        <v>55</v>
      </c>
    </row>
    <row r="49" spans="1:2">
      <c r="A49" s="22" t="s">
        <v>78</v>
      </c>
      <c r="B49" t="s">
        <v>73</v>
      </c>
    </row>
    <row r="50" spans="1:2">
      <c r="A50" s="23" t="s">
        <v>25</v>
      </c>
      <c r="B50" s="24">
        <v>1</v>
      </c>
    </row>
    <row r="51" spans="1:2">
      <c r="A51" s="23" t="s">
        <v>42</v>
      </c>
      <c r="B51" s="24">
        <v>1</v>
      </c>
    </row>
    <row r="65" spans="1:2" ht="34">
      <c r="A65" s="28" t="s">
        <v>8</v>
      </c>
    </row>
    <row r="66" spans="1:2">
      <c r="A66" s="42" t="s">
        <v>23</v>
      </c>
      <c r="B66" t="s">
        <v>83</v>
      </c>
    </row>
    <row r="67" spans="1:2">
      <c r="A67" t="s">
        <v>84</v>
      </c>
      <c r="B67">
        <f>SUMIFS(Data[Delays],Data[Type of delays],Analysis!A66,Data[Code/ID],"&lt;&gt;")</f>
        <v>0</v>
      </c>
    </row>
    <row r="68" spans="1:2">
      <c r="A68" t="s">
        <v>80</v>
      </c>
      <c r="B68" s="41">
        <f>B67/A77</f>
        <v>0</v>
      </c>
    </row>
    <row r="69" spans="1:2">
      <c r="A69" t="s">
        <v>81</v>
      </c>
      <c r="B69" s="41">
        <v>1</v>
      </c>
    </row>
    <row r="70" spans="1:2">
      <c r="A70" s="42" t="s">
        <v>25</v>
      </c>
      <c r="B70" t="s">
        <v>83</v>
      </c>
    </row>
    <row r="71" spans="1:2">
      <c r="A71" t="s">
        <v>85</v>
      </c>
      <c r="B71">
        <f>SUMIFS(Data[Delays],Data[Type of delays],Analysis!A70,Data[Code/ID],"&lt;&gt;")</f>
        <v>2</v>
      </c>
    </row>
    <row r="72" spans="1:2">
      <c r="A72" t="s">
        <v>82</v>
      </c>
      <c r="B72" s="29">
        <f>B71/A77</f>
        <v>1</v>
      </c>
    </row>
    <row r="73" spans="1:2">
      <c r="A73" t="s">
        <v>81</v>
      </c>
      <c r="B73" s="44">
        <v>1</v>
      </c>
    </row>
    <row r="76" spans="1:2">
      <c r="A76" s="43" t="s">
        <v>42</v>
      </c>
    </row>
    <row r="77" spans="1:2">
      <c r="A77">
        <f>SUMIF(Data[Code/ID],"&lt;&gt;",Data[Delays])</f>
        <v>2</v>
      </c>
    </row>
  </sheetData>
  <pageMargins left="0.7" right="0.7" top="0.75" bottom="0.75" header="0.3" footer="0.3"/>
  <pageSetup paperSize="9" orientation="portrait" horizontalDpi="0" verticalDpi="0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Setup</vt:lpstr>
      <vt:lpstr>Dashboards</vt:lpstr>
      <vt:lpstr>Data</vt:lpstr>
      <vt:lpstr>Assets Installed</vt:lpstr>
      <vt:lpstr>Analysis</vt:lpstr>
      <vt:lpstr>assest</vt:lpstr>
      <vt:lpstr>assets</vt:lpstr>
      <vt:lpstr>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2020-04-30T09:27:39Z</dcterms:created>
  <dcterms:modified xsi:type="dcterms:W3CDTF">2020-05-12T03:44:34Z</dcterms:modified>
  <cp:category/>
</cp:coreProperties>
</file>