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esktop\portfolio-allocation\misc analysis\"/>
    </mc:Choice>
  </mc:AlternateContent>
  <xr:revisionPtr revIDLastSave="0" documentId="13_ncr:1_{B5722EA3-59D4-43CA-B348-BB3842AD204A}" xr6:coauthVersionLast="45" xr6:coauthVersionMax="45" xr10:uidLastSave="{00000000-0000-0000-0000-000000000000}"/>
  <bookViews>
    <workbookView xWindow="-98" yWindow="-98" windowWidth="20715" windowHeight="13276" activeTab="1" xr2:uid="{161C5C75-020D-46B4-9A37-BBAEE0A65B1A}"/>
  </bookViews>
  <sheets>
    <sheet name="returns" sheetId="2" r:id="rId1"/>
    <sheet name="change with initial money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2" l="1"/>
  <c r="F48" i="2"/>
  <c r="F44" i="2"/>
  <c r="H33" i="2"/>
  <c r="H34" i="2"/>
  <c r="H35" i="2"/>
  <c r="H36" i="2"/>
  <c r="H37" i="2"/>
  <c r="H38" i="2"/>
  <c r="H39" i="2"/>
  <c r="H40" i="2"/>
  <c r="H41" i="2"/>
  <c r="H32" i="2"/>
  <c r="G33" i="2"/>
  <c r="G34" i="2"/>
  <c r="G35" i="2"/>
  <c r="G36" i="2"/>
  <c r="G37" i="2"/>
  <c r="G38" i="2"/>
  <c r="G39" i="2"/>
  <c r="G40" i="2"/>
  <c r="G41" i="2"/>
  <c r="G32" i="2"/>
  <c r="F33" i="2"/>
  <c r="F34" i="2"/>
  <c r="F35" i="2"/>
  <c r="F36" i="2"/>
  <c r="F37" i="2"/>
  <c r="F38" i="2"/>
  <c r="F39" i="2"/>
  <c r="F40" i="2"/>
  <c r="F41" i="2"/>
  <c r="F32" i="2"/>
  <c r="E33" i="2"/>
  <c r="E34" i="2"/>
  <c r="E35" i="2"/>
  <c r="E36" i="2"/>
  <c r="E37" i="2" s="1"/>
  <c r="E38" i="2" s="1"/>
  <c r="E39" i="2" s="1"/>
  <c r="E40" i="2" s="1"/>
  <c r="E41" i="2" s="1"/>
  <c r="E32" i="2"/>
  <c r="E31" i="2"/>
  <c r="D30" i="2"/>
  <c r="D31" i="2"/>
  <c r="D32" i="2"/>
  <c r="D33" i="2"/>
  <c r="D34" i="2"/>
  <c r="D35" i="2"/>
  <c r="D36" i="2"/>
  <c r="D37" i="2"/>
  <c r="D38" i="2"/>
  <c r="D39" i="2"/>
  <c r="D40" i="2"/>
  <c r="D41" i="2"/>
  <c r="D29" i="2"/>
  <c r="C30" i="2"/>
  <c r="C31" i="2"/>
  <c r="C32" i="2"/>
  <c r="C33" i="2"/>
  <c r="C34" i="2"/>
  <c r="C35" i="2"/>
  <c r="C36" i="2"/>
  <c r="C37" i="2"/>
  <c r="C38" i="2"/>
  <c r="C39" i="2"/>
  <c r="C40" i="2"/>
  <c r="C41" i="2"/>
  <c r="C29" i="2"/>
  <c r="F45" i="2" l="1"/>
  <c r="B41" i="2"/>
  <c r="B40" i="2"/>
  <c r="B39" i="2"/>
  <c r="B38" i="2"/>
  <c r="B37" i="2"/>
  <c r="B36" i="2"/>
  <c r="B35" i="2"/>
  <c r="B34" i="2"/>
  <c r="B33" i="2"/>
  <c r="B32" i="2"/>
  <c r="B31" i="2"/>
  <c r="H8" i="2"/>
  <c r="H9" i="2"/>
  <c r="H10" i="2"/>
  <c r="H11" i="2"/>
  <c r="H12" i="2"/>
  <c r="H13" i="2"/>
  <c r="H14" i="2"/>
  <c r="H15" i="2"/>
  <c r="H16" i="2"/>
  <c r="H7" i="2"/>
  <c r="K10" i="2" s="1"/>
  <c r="L10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7" i="2"/>
  <c r="I7" i="2" s="1"/>
  <c r="J10" i="2" l="1"/>
  <c r="J14" i="2"/>
  <c r="J11" i="2"/>
  <c r="J15" i="2"/>
  <c r="J8" i="2"/>
  <c r="J12" i="2"/>
  <c r="J16" i="2"/>
  <c r="G19" i="2" s="1"/>
  <c r="G20" i="2" s="1"/>
  <c r="G22" i="2" s="1"/>
  <c r="J9" i="2"/>
  <c r="J13" i="2"/>
  <c r="J7" i="2"/>
  <c r="K7" i="2"/>
  <c r="L7" i="2" s="1"/>
  <c r="K13" i="2"/>
  <c r="L13" i="2" s="1"/>
  <c r="K9" i="2"/>
  <c r="L9" i="2" s="1"/>
  <c r="K16" i="2"/>
  <c r="L16" i="2" s="1"/>
  <c r="H19" i="2" s="1"/>
  <c r="K12" i="2"/>
  <c r="L12" i="2" s="1"/>
  <c r="K8" i="2"/>
  <c r="L8" i="2" s="1"/>
  <c r="K15" i="2"/>
  <c r="L15" i="2" s="1"/>
  <c r="K11" i="2"/>
  <c r="L11" i="2" s="1"/>
  <c r="K14" i="2"/>
  <c r="L14" i="2" s="1"/>
  <c r="G23" i="2"/>
  <c r="AA22" i="2"/>
  <c r="Y22" i="2"/>
  <c r="R8" i="2"/>
  <c r="R9" i="2"/>
  <c r="R10" i="2"/>
  <c r="R11" i="2"/>
  <c r="R12" i="2"/>
  <c r="R13" i="2"/>
  <c r="R14" i="2"/>
  <c r="R15" i="2"/>
  <c r="R16" i="2"/>
  <c r="R7" i="2"/>
  <c r="N7" i="2"/>
  <c r="O7" i="2" s="1"/>
  <c r="P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H20" i="2" l="1"/>
  <c r="P9" i="2"/>
  <c r="S9" i="2"/>
  <c r="P10" i="2"/>
  <c r="P13" i="2"/>
  <c r="P16" i="2"/>
  <c r="P12" i="2"/>
  <c r="P8" i="2"/>
  <c r="P15" i="2"/>
  <c r="P11" i="2"/>
  <c r="P14" i="2"/>
  <c r="Z22" i="2"/>
  <c r="S12" i="2"/>
  <c r="S8" i="2"/>
  <c r="S7" i="2"/>
  <c r="S16" i="2"/>
  <c r="S20" i="2" s="1"/>
  <c r="S15" i="2"/>
  <c r="S11" i="2"/>
  <c r="S14" i="2"/>
  <c r="S10" i="2"/>
  <c r="S13" i="2"/>
  <c r="P18" i="2"/>
  <c r="G25" i="2" l="1"/>
  <c r="G24" i="2"/>
  <c r="S18" i="2"/>
  <c r="AA21" i="2"/>
  <c r="AA24" i="2" s="1"/>
  <c r="S19" i="2"/>
  <c r="Y21" i="2" l="1"/>
  <c r="Y24" i="2" s="1"/>
  <c r="Z21" i="2"/>
  <c r="Z24" i="2" s="1"/>
</calcChain>
</file>

<file path=xl/sharedStrings.xml><?xml version="1.0" encoding="utf-8"?>
<sst xmlns="http://schemas.openxmlformats.org/spreadsheetml/2006/main" count="131" uniqueCount="45">
  <si>
    <t>DATE</t>
  </si>
  <si>
    <t>open</t>
  </si>
  <si>
    <t>high</t>
  </si>
  <si>
    <t>low</t>
  </si>
  <si>
    <t>close</t>
  </si>
  <si>
    <t>volume</t>
  </si>
  <si>
    <t>SR</t>
  </si>
  <si>
    <t>Changes with</t>
  </si>
  <si>
    <t>Initial money</t>
  </si>
  <si>
    <t>Monthly money</t>
  </si>
  <si>
    <t>total return</t>
  </si>
  <si>
    <t>annual returns</t>
  </si>
  <si>
    <t>returns</t>
  </si>
  <si>
    <t>logreturns</t>
  </si>
  <si>
    <t>period returns</t>
  </si>
  <si>
    <t>sharpe ratio</t>
  </si>
  <si>
    <t>vwr</t>
  </si>
  <si>
    <t>equity returns yearly</t>
  </si>
  <si>
    <t>drawdown</t>
  </si>
  <si>
    <t>TimeDrawdown</t>
  </si>
  <si>
    <t>Timedrawdown</t>
  </si>
  <si>
    <t>Fund  True/False (no monthly money)</t>
  </si>
  <si>
    <t>No</t>
  </si>
  <si>
    <t>Yes</t>
  </si>
  <si>
    <t>Initial money  (fund true)</t>
  </si>
  <si>
    <t>Monthly money  (fund true)</t>
  </si>
  <si>
    <t>Monthly money  (fund False)</t>
  </si>
  <si>
    <t>Fund Flag (no monthly)</t>
  </si>
  <si>
    <t>Fund Flag (monthly)</t>
  </si>
  <si>
    <t>I don't know</t>
  </si>
  <si>
    <t>Problems?</t>
  </si>
  <si>
    <t>Calculated</t>
  </si>
  <si>
    <t>Returns</t>
  </si>
  <si>
    <t>Logret</t>
  </si>
  <si>
    <t>annualized ret</t>
  </si>
  <si>
    <t>tot ret</t>
  </si>
  <si>
    <t>SR (r=0%)</t>
  </si>
  <si>
    <t>SR (r=1%)</t>
  </si>
  <si>
    <t>SR (r=0%) logret</t>
  </si>
  <si>
    <t>SR (r=1%) logret</t>
  </si>
  <si>
    <t>pct</t>
  </si>
  <si>
    <t>logret</t>
  </si>
  <si>
    <t>Money</t>
  </si>
  <si>
    <t>Running sum</t>
  </si>
  <si>
    <t>total 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</si>
</sst>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_-;\-* #,##0.0000_-;_-* &quot;-&quot;??_-;_-@_-"/>
    <numFmt numFmtId="165" formatCode="0.000000"/>
    <numFmt numFmtId="167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3" fillId="0" borderId="0" xfId="0" applyFont="1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3" borderId="0" xfId="1" applyNumberFormat="1" applyFont="1" applyFill="1"/>
    <xf numFmtId="164" fontId="2" fillId="3" borderId="1" xfId="1" applyNumberFormat="1" applyFont="1" applyFill="1" applyBorder="1"/>
    <xf numFmtId="164" fontId="0" fillId="3" borderId="2" xfId="1" applyNumberFormat="1" applyFont="1" applyFill="1" applyBorder="1"/>
    <xf numFmtId="164" fontId="0" fillId="3" borderId="3" xfId="1" applyNumberFormat="1" applyFont="1" applyFill="1" applyBorder="1"/>
    <xf numFmtId="165" fontId="0" fillId="3" borderId="0" xfId="0" applyNumberFormat="1" applyFill="1"/>
    <xf numFmtId="43" fontId="0" fillId="0" borderId="0" xfId="0" applyNumberFormat="1"/>
    <xf numFmtId="0" fontId="0" fillId="0" borderId="0" xfId="0" applyFill="1"/>
    <xf numFmtId="164" fontId="0" fillId="0" borderId="0" xfId="1" applyNumberFormat="1" applyFont="1" applyFill="1"/>
    <xf numFmtId="0" fontId="0" fillId="4" borderId="4" xfId="0" applyFill="1" applyBorder="1"/>
    <xf numFmtId="164" fontId="0" fillId="4" borderId="4" xfId="1" applyNumberFormat="1" applyFont="1" applyFill="1" applyBorder="1"/>
    <xf numFmtId="0" fontId="0" fillId="4" borderId="5" xfId="0" applyFill="1" applyBorder="1"/>
    <xf numFmtId="0" fontId="3" fillId="0" borderId="0" xfId="0" applyFont="1" applyFill="1"/>
    <xf numFmtId="0" fontId="0" fillId="4" borderId="6" xfId="0" applyFill="1" applyBorder="1"/>
    <xf numFmtId="0" fontId="0" fillId="4" borderId="0" xfId="0" applyFill="1" applyBorder="1"/>
    <xf numFmtId="0" fontId="0" fillId="0" borderId="6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14" fontId="0" fillId="0" borderId="0" xfId="0" applyNumberFormat="1" applyFill="1"/>
    <xf numFmtId="0" fontId="3" fillId="8" borderId="0" xfId="0" applyFont="1" applyFill="1"/>
    <xf numFmtId="9" fontId="0" fillId="0" borderId="0" xfId="2" applyFont="1"/>
    <xf numFmtId="43" fontId="0" fillId="0" borderId="0" xfId="1" applyFont="1"/>
    <xf numFmtId="167" fontId="0" fillId="0" borderId="0" xfId="1" applyNumberFormat="1" applyFont="1"/>
    <xf numFmtId="43" fontId="0" fillId="0" borderId="0" xfId="1" applyNumberFormat="1" applyFont="1"/>
    <xf numFmtId="9" fontId="0" fillId="8" borderId="0" xfId="0" applyNumberFormat="1" applyFill="1"/>
    <xf numFmtId="0" fontId="0" fillId="0" borderId="0" xfId="0" applyFont="1" applyFill="1"/>
    <xf numFmtId="9" fontId="0" fillId="6" borderId="0" xfId="2" applyFont="1" applyFill="1"/>
    <xf numFmtId="9" fontId="0" fillId="0" borderId="0" xfId="2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returns!$E$7:$E$16</c:f>
              <c:numCache>
                <c:formatCode>General</c:formatCode>
                <c:ptCount val="10"/>
                <c:pt idx="0">
                  <c:v>3989.6</c:v>
                </c:pt>
                <c:pt idx="1">
                  <c:v>3460.18</c:v>
                </c:pt>
                <c:pt idx="2">
                  <c:v>5281.59</c:v>
                </c:pt>
                <c:pt idx="3">
                  <c:v>5143.8500000000004</c:v>
                </c:pt>
                <c:pt idx="4">
                  <c:v>7504.69</c:v>
                </c:pt>
                <c:pt idx="5">
                  <c:v>10232.629999999999</c:v>
                </c:pt>
                <c:pt idx="6">
                  <c:v>7089.66</c:v>
                </c:pt>
                <c:pt idx="7">
                  <c:v>8492.15</c:v>
                </c:pt>
                <c:pt idx="8">
                  <c:v>8692.91</c:v>
                </c:pt>
                <c:pt idx="9">
                  <c:v>7870.71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F-48BA-BC8A-685F5729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797840"/>
        <c:axId val="862322016"/>
      </c:lineChart>
      <c:catAx>
        <c:axId val="86479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22016"/>
        <c:crosses val="autoZero"/>
        <c:auto val="1"/>
        <c:lblAlgn val="ctr"/>
        <c:lblOffset val="100"/>
        <c:noMultiLvlLbl val="0"/>
      </c:catAx>
      <c:valAx>
        <c:axId val="8623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9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366712</xdr:colOff>
      <xdr:row>2</xdr:row>
      <xdr:rowOff>133349</xdr:rowOff>
    </xdr:from>
    <xdr:to>
      <xdr:col>30</xdr:col>
      <xdr:colOff>404812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E2644-C9EE-4276-A830-BAF31CB4E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F3AD-2B40-4273-B8E8-5855D05F3C60}">
  <dimension ref="A2:AC48"/>
  <sheetViews>
    <sheetView topLeftCell="A24" workbookViewId="0">
      <selection activeCell="F32" sqref="F32:F41"/>
    </sheetView>
  </sheetViews>
  <sheetFormatPr defaultRowHeight="15" x14ac:dyDescent="0.25"/>
  <cols>
    <col min="1" max="1" width="19.7109375" bestFit="1" customWidth="1"/>
    <col min="2" max="2" width="10.5703125" bestFit="1" customWidth="1"/>
    <col min="5" max="5" width="13.28515625" bestFit="1" customWidth="1"/>
    <col min="6" max="6" width="12" customWidth="1"/>
    <col min="14" max="14" width="9" style="5"/>
    <col min="17" max="17" width="9" style="9"/>
    <col min="18" max="18" width="9" style="3"/>
    <col min="19" max="19" width="10.140625" style="3" bestFit="1" customWidth="1"/>
    <col min="20" max="22" width="9" style="3"/>
  </cols>
  <sheetData>
    <row r="2" spans="1:23" x14ac:dyDescent="0.25">
      <c r="A2" t="s">
        <v>17</v>
      </c>
      <c r="G2" t="s">
        <v>31</v>
      </c>
    </row>
    <row r="3" spans="1:2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30" t="s">
        <v>32</v>
      </c>
      <c r="H3" s="30" t="s">
        <v>33</v>
      </c>
      <c r="I3" s="27"/>
      <c r="J3" s="27" t="s">
        <v>44</v>
      </c>
      <c r="K3" s="27"/>
      <c r="L3" s="27"/>
      <c r="M3" s="27"/>
    </row>
    <row r="4" spans="1:23" x14ac:dyDescent="0.25">
      <c r="A4" s="2">
        <v>10228</v>
      </c>
      <c r="B4" s="1">
        <v>8974.4599999999991</v>
      </c>
      <c r="C4" s="1">
        <v>8974.4599999999991</v>
      </c>
      <c r="D4" s="1">
        <v>8974.4599999999991</v>
      </c>
      <c r="E4" s="1">
        <v>8974.4599999999991</v>
      </c>
      <c r="F4" s="1">
        <v>0</v>
      </c>
      <c r="G4" s="30"/>
      <c r="H4" s="30"/>
      <c r="I4" s="27"/>
      <c r="J4" s="27"/>
      <c r="K4" s="27"/>
      <c r="L4" s="27"/>
      <c r="M4" s="27"/>
      <c r="Q4" s="9">
        <v>0</v>
      </c>
    </row>
    <row r="5" spans="1:23" x14ac:dyDescent="0.25">
      <c r="A5" s="2">
        <v>10594</v>
      </c>
      <c r="B5" s="1">
        <v>8672.08</v>
      </c>
      <c r="C5" s="1">
        <v>8672.08</v>
      </c>
      <c r="D5" s="1">
        <v>8672.08</v>
      </c>
      <c r="E5" s="1">
        <v>8672.08</v>
      </c>
      <c r="F5" s="1">
        <v>0</v>
      </c>
      <c r="G5" s="30"/>
      <c r="H5" s="30"/>
      <c r="I5" s="27"/>
      <c r="J5" s="27"/>
      <c r="K5" s="27"/>
      <c r="L5" s="27"/>
      <c r="M5" s="27"/>
      <c r="Q5" s="9">
        <v>0</v>
      </c>
      <c r="S5"/>
    </row>
    <row r="6" spans="1:23" x14ac:dyDescent="0.25">
      <c r="A6" s="2">
        <v>10959</v>
      </c>
      <c r="B6" s="1">
        <v>6682.37</v>
      </c>
      <c r="C6" s="1">
        <v>6682.37</v>
      </c>
      <c r="D6" s="1">
        <v>6682.37</v>
      </c>
      <c r="E6" s="1">
        <v>6682.37</v>
      </c>
      <c r="F6" s="1">
        <v>0</v>
      </c>
      <c r="G6" s="30"/>
      <c r="H6" s="30"/>
      <c r="I6" s="27"/>
      <c r="J6" s="27"/>
      <c r="K6" s="27"/>
      <c r="L6" s="27"/>
      <c r="M6" s="27"/>
      <c r="Q6" s="9">
        <v>0</v>
      </c>
      <c r="S6"/>
    </row>
    <row r="7" spans="1:23" x14ac:dyDescent="0.25">
      <c r="A7" s="2">
        <v>11324</v>
      </c>
      <c r="B7" s="1">
        <v>3989.6</v>
      </c>
      <c r="C7" s="1">
        <v>3989.6</v>
      </c>
      <c r="D7" s="1">
        <v>3989.6</v>
      </c>
      <c r="E7" s="1">
        <v>3989.6</v>
      </c>
      <c r="F7" s="1">
        <v>0</v>
      </c>
      <c r="G7" s="30">
        <f>E7/E6-1</f>
        <v>-0.40296631285008166</v>
      </c>
      <c r="H7" s="30">
        <f>LN(E7/E6)</f>
        <v>-0.51578173979470221</v>
      </c>
      <c r="I7" s="27">
        <f>G7+1</f>
        <v>0.59703368714991834</v>
      </c>
      <c r="J7" s="27">
        <f>PRODUCT($I$7:I7)</f>
        <v>0.59703368714991834</v>
      </c>
      <c r="K7" s="27">
        <f>SUM($H$7:H7)</f>
        <v>-0.51578173979470221</v>
      </c>
      <c r="L7" s="27">
        <f>EXP(K7)</f>
        <v>0.59703368714991834</v>
      </c>
      <c r="M7" s="27"/>
      <c r="N7" s="6">
        <f t="shared" ref="N7:N16" si="0">E7/E6-1</f>
        <v>-0.40296631285008166</v>
      </c>
      <c r="O7">
        <f t="shared" ref="O7:O16" si="1">N7+1</f>
        <v>0.59703368714991834</v>
      </c>
      <c r="P7">
        <f>PRODUCT($O$7:O7)</f>
        <v>0.59703368714991834</v>
      </c>
      <c r="Q7" s="10">
        <v>-0.30966854999999899</v>
      </c>
      <c r="R7" s="3">
        <f t="shared" ref="R7:R16" si="2">Q7+1</f>
        <v>0.69033145000000107</v>
      </c>
      <c r="S7">
        <f>PRODUCT($R$7:R7)</f>
        <v>0.69033145000000107</v>
      </c>
      <c r="W7" s="14"/>
    </row>
    <row r="8" spans="1:23" x14ac:dyDescent="0.25">
      <c r="A8" s="2">
        <v>11689</v>
      </c>
      <c r="B8" s="1">
        <v>3460.18</v>
      </c>
      <c r="C8" s="1">
        <v>3460.18</v>
      </c>
      <c r="D8" s="1">
        <v>3460.18</v>
      </c>
      <c r="E8" s="1">
        <v>3460.18</v>
      </c>
      <c r="F8" s="1">
        <v>0</v>
      </c>
      <c r="G8" s="30">
        <f t="shared" ref="G8:G16" si="3">E8/E7-1</f>
        <v>-0.13270002005213555</v>
      </c>
      <c r="H8" s="30">
        <f t="shared" ref="H8:H16" si="4">LN(E8/E7)</f>
        <v>-0.1423703644119112</v>
      </c>
      <c r="I8" s="27">
        <f t="shared" ref="I8:I16" si="5">G8+1</f>
        <v>0.86729997994786445</v>
      </c>
      <c r="J8" s="27">
        <f>PRODUCT($I$7:I8)</f>
        <v>0.51780730489332372</v>
      </c>
      <c r="K8" s="27">
        <f>SUM($H$7:H8)</f>
        <v>-0.65815210420661341</v>
      </c>
      <c r="L8" s="27">
        <f t="shared" ref="L8:L16" si="6">EXP(K8)</f>
        <v>0.51780730489332372</v>
      </c>
      <c r="M8" s="27"/>
      <c r="N8" s="7">
        <f t="shared" si="0"/>
        <v>-0.13270002005213555</v>
      </c>
      <c r="O8">
        <f t="shared" si="1"/>
        <v>0.86729997994786445</v>
      </c>
      <c r="P8">
        <f>PRODUCT($O$7:O8)</f>
        <v>0.51780730489332372</v>
      </c>
      <c r="Q8" s="11">
        <v>-0.13267490565582599</v>
      </c>
      <c r="R8" s="3">
        <f t="shared" si="2"/>
        <v>0.86732509434417404</v>
      </c>
      <c r="S8">
        <f>PRODUCT($R$7:R8)</f>
        <v>0.59874179000000138</v>
      </c>
      <c r="W8" s="14"/>
    </row>
    <row r="9" spans="1:23" x14ac:dyDescent="0.25">
      <c r="A9" s="2">
        <v>12055</v>
      </c>
      <c r="B9" s="1">
        <v>5281.59</v>
      </c>
      <c r="C9" s="1">
        <v>5281.59</v>
      </c>
      <c r="D9" s="1">
        <v>5281.59</v>
      </c>
      <c r="E9" s="1">
        <v>5281.59</v>
      </c>
      <c r="F9" s="1">
        <v>0</v>
      </c>
      <c r="G9" s="30">
        <f t="shared" si="3"/>
        <v>0.52639169060569113</v>
      </c>
      <c r="H9" s="30">
        <f t="shared" si="4"/>
        <v>0.42290657791148789</v>
      </c>
      <c r="I9" s="27">
        <f t="shared" si="5"/>
        <v>1.5263916906056911</v>
      </c>
      <c r="J9" s="27">
        <f>PRODUCT($I$7:I9)</f>
        <v>0.79037676752409691</v>
      </c>
      <c r="K9" s="27">
        <f>SUM($H$7:H9)</f>
        <v>-0.23524552629512552</v>
      </c>
      <c r="L9" s="27">
        <f t="shared" si="6"/>
        <v>0.79037676752409702</v>
      </c>
      <c r="M9" s="27"/>
      <c r="N9" s="7">
        <f t="shared" si="0"/>
        <v>0.52639169060569113</v>
      </c>
      <c r="O9">
        <f t="shared" si="1"/>
        <v>1.5263916906056911</v>
      </c>
      <c r="P9">
        <f>PRODUCT($O$7:O9)</f>
        <v>0.79037676752409691</v>
      </c>
      <c r="Q9" s="11">
        <v>0.52627682794614905</v>
      </c>
      <c r="R9" s="3">
        <f t="shared" si="2"/>
        <v>1.5262768279461492</v>
      </c>
      <c r="S9">
        <f>PRODUCT($R$7:R9)</f>
        <v>0.91384572000000153</v>
      </c>
      <c r="W9" s="14"/>
    </row>
    <row r="10" spans="1:23" x14ac:dyDescent="0.25">
      <c r="A10" s="2">
        <v>12420</v>
      </c>
      <c r="B10" s="1">
        <v>5143.8500000000004</v>
      </c>
      <c r="C10" s="1">
        <v>5143.8500000000004</v>
      </c>
      <c r="D10" s="1">
        <v>5143.8500000000004</v>
      </c>
      <c r="E10" s="1">
        <v>5143.8500000000004</v>
      </c>
      <c r="F10" s="1">
        <v>0</v>
      </c>
      <c r="G10" s="30">
        <f t="shared" si="3"/>
        <v>-2.6079267796250694E-2</v>
      </c>
      <c r="H10" s="30">
        <f t="shared" si="4"/>
        <v>-2.6425362425825702E-2</v>
      </c>
      <c r="I10" s="27">
        <f t="shared" si="5"/>
        <v>0.97392073220374931</v>
      </c>
      <c r="J10" s="27">
        <f>PRODUCT($I$7:I10)</f>
        <v>0.76976432014390106</v>
      </c>
      <c r="K10" s="27">
        <f>SUM($H$7:H10)</f>
        <v>-0.26167088872095123</v>
      </c>
      <c r="L10" s="27">
        <f t="shared" si="6"/>
        <v>0.76976432014390106</v>
      </c>
      <c r="M10" s="27"/>
      <c r="N10" s="7">
        <f t="shared" si="0"/>
        <v>-2.6079267796250694E-2</v>
      </c>
      <c r="O10">
        <f t="shared" si="1"/>
        <v>0.97392073220374931</v>
      </c>
      <c r="P10">
        <f>PRODUCT($O$7:O10)</f>
        <v>0.76976432014390106</v>
      </c>
      <c r="Q10" s="11">
        <v>-2.6075539315323099E-2</v>
      </c>
      <c r="R10" s="3">
        <f t="shared" si="2"/>
        <v>0.97392446068467686</v>
      </c>
      <c r="S10">
        <f>PRODUCT($R$7:R10)</f>
        <v>0.89001670000000166</v>
      </c>
      <c r="W10" s="14"/>
    </row>
    <row r="11" spans="1:23" x14ac:dyDescent="0.25">
      <c r="A11" s="2">
        <v>12785</v>
      </c>
      <c r="B11" s="1">
        <v>7504.69</v>
      </c>
      <c r="C11" s="1">
        <v>7504.69</v>
      </c>
      <c r="D11" s="1">
        <v>7504.69</v>
      </c>
      <c r="E11" s="1">
        <v>7504.69</v>
      </c>
      <c r="F11" s="1">
        <v>0</v>
      </c>
      <c r="G11" s="30">
        <f t="shared" si="3"/>
        <v>0.45896361674621122</v>
      </c>
      <c r="H11" s="30">
        <f t="shared" si="4"/>
        <v>0.37772633211265472</v>
      </c>
      <c r="I11" s="27">
        <f t="shared" si="5"/>
        <v>1.4589636167462112</v>
      </c>
      <c r="J11" s="27">
        <f>PRODUCT($I$7:I11)</f>
        <v>1.1230581365593344</v>
      </c>
      <c r="K11" s="27">
        <f>SUM($H$7:H11)</f>
        <v>0.11605544339170348</v>
      </c>
      <c r="L11" s="27">
        <f t="shared" si="6"/>
        <v>1.1230581365593344</v>
      </c>
      <c r="M11" s="27"/>
      <c r="N11" s="7">
        <f t="shared" si="0"/>
        <v>0.45896361674621122</v>
      </c>
      <c r="O11">
        <f t="shared" si="1"/>
        <v>1.4589636167462112</v>
      </c>
      <c r="P11">
        <f>PRODUCT($O$7:O11)</f>
        <v>1.1230581365593344</v>
      </c>
      <c r="Q11" s="11">
        <v>0.45889624318285199</v>
      </c>
      <c r="R11" s="3">
        <f t="shared" si="2"/>
        <v>1.458896243182852</v>
      </c>
      <c r="S11">
        <f>PRODUCT($R$7:R11)</f>
        <v>1.298442020000002</v>
      </c>
      <c r="W11" s="14"/>
    </row>
    <row r="12" spans="1:23" x14ac:dyDescent="0.25">
      <c r="A12" s="2">
        <v>13150</v>
      </c>
      <c r="B12" s="1">
        <v>10232.629999999999</v>
      </c>
      <c r="C12" s="1">
        <v>10232.629999999999</v>
      </c>
      <c r="D12" s="1">
        <v>10232.629999999999</v>
      </c>
      <c r="E12" s="1">
        <v>10232.629999999999</v>
      </c>
      <c r="F12" s="1">
        <v>0</v>
      </c>
      <c r="G12" s="30">
        <f t="shared" si="3"/>
        <v>0.36349802590113645</v>
      </c>
      <c r="H12" s="30">
        <f t="shared" si="4"/>
        <v>0.31005347548517642</v>
      </c>
      <c r="I12" s="27">
        <f t="shared" si="5"/>
        <v>1.3634980259011364</v>
      </c>
      <c r="J12" s="27">
        <f>PRODUCT($I$7:I12)</f>
        <v>1.5312875521708613</v>
      </c>
      <c r="K12" s="27">
        <f>SUM($H$7:H12)</f>
        <v>0.42610891887687991</v>
      </c>
      <c r="L12" s="27">
        <f t="shared" si="6"/>
        <v>1.5312875521708613</v>
      </c>
      <c r="M12" s="27"/>
      <c r="N12" s="7">
        <f t="shared" si="0"/>
        <v>0.36349802590113645</v>
      </c>
      <c r="O12">
        <f t="shared" si="1"/>
        <v>1.3634980259011364</v>
      </c>
      <c r="P12">
        <f>PRODUCT($O$7:O12)</f>
        <v>1.5312875521708613</v>
      </c>
      <c r="Q12" s="11">
        <v>0.36346145051590301</v>
      </c>
      <c r="R12" s="3">
        <f t="shared" si="2"/>
        <v>1.3634614505159031</v>
      </c>
      <c r="S12">
        <f>PRODUCT($R$7:R12)</f>
        <v>1.7703756400000019</v>
      </c>
      <c r="W12" s="14"/>
    </row>
    <row r="13" spans="1:23" x14ac:dyDescent="0.25">
      <c r="A13" s="2">
        <v>13516</v>
      </c>
      <c r="B13" s="1">
        <v>7089.66</v>
      </c>
      <c r="C13" s="1">
        <v>7089.66</v>
      </c>
      <c r="D13" s="1">
        <v>7089.66</v>
      </c>
      <c r="E13" s="1">
        <v>7089.66</v>
      </c>
      <c r="F13" s="1">
        <v>0</v>
      </c>
      <c r="G13" s="30">
        <f t="shared" si="3"/>
        <v>-0.30715172932080992</v>
      </c>
      <c r="H13" s="30">
        <f t="shared" si="4"/>
        <v>-0.36694424939320147</v>
      </c>
      <c r="I13" s="27">
        <f t="shared" si="5"/>
        <v>0.69284827067919008</v>
      </c>
      <c r="J13" s="27">
        <f>PRODUCT($I$7:I13)</f>
        <v>1.0609499324341514</v>
      </c>
      <c r="K13" s="27">
        <f>SUM($H$7:H13)</f>
        <v>5.9164669483678434E-2</v>
      </c>
      <c r="L13" s="27">
        <f t="shared" si="6"/>
        <v>1.0609499324341514</v>
      </c>
      <c r="M13" s="27"/>
      <c r="N13" s="7">
        <f t="shared" si="0"/>
        <v>-0.30715172932080992</v>
      </c>
      <c r="O13">
        <f t="shared" si="1"/>
        <v>0.69284827067919008</v>
      </c>
      <c r="P13">
        <f>PRODUCT($O$7:O13)</f>
        <v>1.0609499324341514</v>
      </c>
      <c r="Q13" s="11">
        <v>-0.30712906216897501</v>
      </c>
      <c r="R13" s="3">
        <f t="shared" si="2"/>
        <v>0.69287093783102494</v>
      </c>
      <c r="S13">
        <f>PRODUCT($R$7:R13)</f>
        <v>1.2266418300000024</v>
      </c>
      <c r="W13" s="14"/>
    </row>
    <row r="14" spans="1:23" x14ac:dyDescent="0.25">
      <c r="A14" s="2">
        <v>13881</v>
      </c>
      <c r="B14" s="1">
        <v>8492.15</v>
      </c>
      <c r="C14" s="1">
        <v>8492.15</v>
      </c>
      <c r="D14" s="1">
        <v>8492.15</v>
      </c>
      <c r="E14" s="1">
        <v>8492.15</v>
      </c>
      <c r="F14" s="1">
        <v>0</v>
      </c>
      <c r="G14" s="30">
        <f t="shared" si="3"/>
        <v>0.19782189837030262</v>
      </c>
      <c r="H14" s="30">
        <f t="shared" si="4"/>
        <v>0.18050482284031907</v>
      </c>
      <c r="I14" s="27">
        <f t="shared" si="5"/>
        <v>1.1978218983703026</v>
      </c>
      <c r="J14" s="27">
        <f>PRODUCT($I$7:I14)</f>
        <v>1.2708290621441194</v>
      </c>
      <c r="K14" s="27">
        <f>SUM($H$7:H14)</f>
        <v>0.23966949232399751</v>
      </c>
      <c r="L14" s="27">
        <f t="shared" si="6"/>
        <v>1.2708290621441194</v>
      </c>
      <c r="M14" s="27"/>
      <c r="N14" s="7">
        <f t="shared" si="0"/>
        <v>0.19782189837030262</v>
      </c>
      <c r="O14">
        <f t="shared" si="1"/>
        <v>1.1978218983703026</v>
      </c>
      <c r="P14">
        <f>PRODUCT($O$7:O14)</f>
        <v>1.2708290621441194</v>
      </c>
      <c r="Q14" s="11">
        <v>0.197800828298836</v>
      </c>
      <c r="R14" s="3">
        <f t="shared" si="2"/>
        <v>1.1978008282988359</v>
      </c>
      <c r="S14">
        <f>PRODUCT($R$7:R14)</f>
        <v>1.4692726000000027</v>
      </c>
      <c r="W14" s="14"/>
    </row>
    <row r="15" spans="1:23" x14ac:dyDescent="0.25">
      <c r="A15" s="2">
        <v>14246</v>
      </c>
      <c r="B15" s="1">
        <v>8692.91</v>
      </c>
      <c r="C15" s="1">
        <v>8692.91</v>
      </c>
      <c r="D15" s="1">
        <v>8692.91</v>
      </c>
      <c r="E15" s="1">
        <v>8692.91</v>
      </c>
      <c r="F15" s="1">
        <v>0</v>
      </c>
      <c r="G15" s="30">
        <f t="shared" si="3"/>
        <v>2.364065637088375E-2</v>
      </c>
      <c r="H15" s="30">
        <f t="shared" si="4"/>
        <v>2.3365543517144486E-2</v>
      </c>
      <c r="I15" s="27">
        <f t="shared" si="5"/>
        <v>1.0236406563708838</v>
      </c>
      <c r="J15" s="27">
        <f>PRODUCT($I$7:I15)</f>
        <v>1.3008722953084011</v>
      </c>
      <c r="K15" s="27">
        <f>SUM($H$7:H15)</f>
        <v>0.26303503584114202</v>
      </c>
      <c r="L15" s="27">
        <f t="shared" si="6"/>
        <v>1.3008722953084011</v>
      </c>
      <c r="M15" s="27"/>
      <c r="N15" s="7">
        <f t="shared" si="0"/>
        <v>2.364065637088375E-2</v>
      </c>
      <c r="O15">
        <f t="shared" si="1"/>
        <v>1.0236406563708838</v>
      </c>
      <c r="P15">
        <f>PRODUCT($O$7:O15)</f>
        <v>1.3008722953084011</v>
      </c>
      <c r="Q15" s="11">
        <v>2.36385542070272E-2</v>
      </c>
      <c r="R15" s="3">
        <f t="shared" si="2"/>
        <v>1.0236385542070272</v>
      </c>
      <c r="S15">
        <f>PRODUCT($R$7:R15)</f>
        <v>1.5040040800000025</v>
      </c>
      <c r="W15" s="14"/>
    </row>
    <row r="16" spans="1:23" x14ac:dyDescent="0.25">
      <c r="A16" s="2">
        <v>14611</v>
      </c>
      <c r="B16" s="1">
        <v>7870.71</v>
      </c>
      <c r="C16" s="1">
        <v>7870.71</v>
      </c>
      <c r="D16" s="1">
        <v>7870.71</v>
      </c>
      <c r="E16" s="1">
        <v>7870.71</v>
      </c>
      <c r="F16" s="1">
        <v>0</v>
      </c>
      <c r="G16" s="30">
        <f t="shared" si="3"/>
        <v>-9.4582826694398103E-2</v>
      </c>
      <c r="H16" s="30">
        <f t="shared" si="4"/>
        <v>-9.9359476515362366E-2</v>
      </c>
      <c r="I16" s="27">
        <f t="shared" si="5"/>
        <v>0.9054171733056019</v>
      </c>
      <c r="J16" s="27">
        <f>PRODUCT($I$7:I16)</f>
        <v>1.1778321164497028</v>
      </c>
      <c r="K16" s="27">
        <f>SUM($H$7:H16)</f>
        <v>0.16367555932577965</v>
      </c>
      <c r="L16" s="27">
        <f t="shared" si="6"/>
        <v>1.1778321164497028</v>
      </c>
      <c r="M16" s="27"/>
      <c r="N16" s="8">
        <f t="shared" si="0"/>
        <v>-9.4582826694398103E-2</v>
      </c>
      <c r="O16">
        <f t="shared" si="1"/>
        <v>0.9054171733056019</v>
      </c>
      <c r="P16" s="4">
        <f>PRODUCT($O$7:O16)</f>
        <v>1.1778321164497028</v>
      </c>
      <c r="Q16" s="12">
        <v>-9.4574610462492797E-2</v>
      </c>
      <c r="R16" s="3">
        <f t="shared" si="2"/>
        <v>0.90542538953750717</v>
      </c>
      <c r="S16" s="4">
        <f>PRODUCT($R$7:R16)</f>
        <v>1.3617634800000025</v>
      </c>
      <c r="W16" s="14"/>
    </row>
    <row r="18" spans="1:27" x14ac:dyDescent="0.25">
      <c r="G18" t="s">
        <v>40</v>
      </c>
      <c r="H18" t="s">
        <v>41</v>
      </c>
      <c r="P18">
        <f>P16*1000</f>
        <v>1177.8321164497027</v>
      </c>
      <c r="S18" s="3">
        <f>S16^(1/11)</f>
        <v>1.0284686597487485</v>
      </c>
    </row>
    <row r="19" spans="1:27" x14ac:dyDescent="0.25">
      <c r="F19" t="s">
        <v>35</v>
      </c>
      <c r="G19" s="30">
        <f>J16</f>
        <v>1.1778321164497028</v>
      </c>
      <c r="H19" s="30">
        <f>L16</f>
        <v>1.1778321164497028</v>
      </c>
      <c r="S19" s="3">
        <f>S16^(365.25/(250*11))</f>
        <v>1.0418642634125128</v>
      </c>
    </row>
    <row r="20" spans="1:27" x14ac:dyDescent="0.25">
      <c r="F20" t="s">
        <v>34</v>
      </c>
      <c r="G20" s="4">
        <f>G19^(1/COUNT(G7:G16))-1</f>
        <v>1.6502238179241902E-2</v>
      </c>
      <c r="H20" s="4">
        <f>H19^(1/COUNT(L7:L16))-1</f>
        <v>1.6502238179241902E-2</v>
      </c>
      <c r="S20" s="13">
        <f>S16^(1/13)</f>
        <v>1.0240366827185772</v>
      </c>
    </row>
    <row r="21" spans="1:27" x14ac:dyDescent="0.25">
      <c r="X21" t="s">
        <v>6</v>
      </c>
      <c r="Y21">
        <f>S18-1</f>
        <v>2.8468659748748459E-2</v>
      </c>
      <c r="Z21">
        <f>(S18-1-0.01)</f>
        <v>1.8468659748748457E-2</v>
      </c>
      <c r="AA21">
        <f>S20-1</f>
        <v>2.4036682718577174E-2</v>
      </c>
    </row>
    <row r="22" spans="1:27" x14ac:dyDescent="0.25">
      <c r="F22" t="s">
        <v>36</v>
      </c>
      <c r="G22">
        <f>G20/_xlfn.STDEV.S(H7:H16)</f>
        <v>5.2785490270660623E-2</v>
      </c>
      <c r="Y22">
        <f>_xlfn.STDEV.P(Q7:Q16)</f>
        <v>0.28771476433980425</v>
      </c>
      <c r="Z22">
        <f>_xlfn.STDEV.P(R7:R16)</f>
        <v>0.28771476433980431</v>
      </c>
      <c r="AA22">
        <f>_xlfn.STDEV.S(Q4:Q16)</f>
        <v>0.26443398248571404</v>
      </c>
    </row>
    <row r="23" spans="1:27" x14ac:dyDescent="0.25">
      <c r="F23" t="s">
        <v>37</v>
      </c>
      <c r="G23">
        <f>(G20-1%)/_xlfn.STDEV.S(G7:G16)</f>
        <v>2.0485845657288757E-2</v>
      </c>
    </row>
    <row r="24" spans="1:27" x14ac:dyDescent="0.25">
      <c r="F24" t="s">
        <v>38</v>
      </c>
      <c r="G24">
        <f>H20/_xlfn.STDEV.S(H7:H16)</f>
        <v>5.2785490270660623E-2</v>
      </c>
      <c r="Q24" s="5"/>
      <c r="R24"/>
      <c r="S24"/>
      <c r="Y24">
        <f>Y21/Y22</f>
        <v>9.8947510789281823E-2</v>
      </c>
      <c r="Z24">
        <f>Z21/Z22</f>
        <v>6.4190865530057137E-2</v>
      </c>
      <c r="AA24">
        <f>AA21/AA22</f>
        <v>9.0898614817313608E-2</v>
      </c>
    </row>
    <row r="25" spans="1:27" x14ac:dyDescent="0.25">
      <c r="F25" t="s">
        <v>39</v>
      </c>
      <c r="G25">
        <f>(H20-1%)/_xlfn.STDEV.S(H7:H16)</f>
        <v>2.0798622975859802E-2</v>
      </c>
    </row>
    <row r="28" spans="1:27" x14ac:dyDescent="0.25">
      <c r="B28" t="s">
        <v>42</v>
      </c>
      <c r="C28" t="s">
        <v>43</v>
      </c>
      <c r="F28" t="s">
        <v>32</v>
      </c>
    </row>
    <row r="29" spans="1:27" x14ac:dyDescent="0.25">
      <c r="A29" s="2">
        <v>10228</v>
      </c>
      <c r="B29">
        <v>0</v>
      </c>
      <c r="C29">
        <f>SUM($B$29:B29)</f>
        <v>0</v>
      </c>
      <c r="D29">
        <f>G4</f>
        <v>0</v>
      </c>
    </row>
    <row r="30" spans="1:27" x14ac:dyDescent="0.25">
      <c r="A30" s="2">
        <v>10594</v>
      </c>
      <c r="B30" s="33">
        <v>0</v>
      </c>
      <c r="C30">
        <f>SUM($B$29:B30)</f>
        <v>0</v>
      </c>
      <c r="D30">
        <f t="shared" ref="D30:D41" si="7">G5</f>
        <v>0</v>
      </c>
    </row>
    <row r="31" spans="1:27" x14ac:dyDescent="0.25">
      <c r="A31" s="2">
        <v>10959</v>
      </c>
      <c r="B31" s="33">
        <f>100000+1000000</f>
        <v>1100000</v>
      </c>
      <c r="C31">
        <f>SUM($B$29:B31)</f>
        <v>1100000</v>
      </c>
      <c r="D31">
        <f t="shared" si="7"/>
        <v>0</v>
      </c>
      <c r="E31" s="33">
        <f>C31*(1+D31)</f>
        <v>1100000</v>
      </c>
    </row>
    <row r="32" spans="1:27" x14ac:dyDescent="0.25">
      <c r="A32" s="2">
        <v>11324</v>
      </c>
      <c r="B32" s="33">
        <f>1000000</f>
        <v>1000000</v>
      </c>
      <c r="C32">
        <f>SUM($B$29:B32)</f>
        <v>2100000</v>
      </c>
      <c r="D32">
        <f t="shared" si="7"/>
        <v>-0.40296631285008166</v>
      </c>
      <c r="E32" s="33">
        <f>E31*(1+D32)+B32</f>
        <v>1656737.0558649101</v>
      </c>
      <c r="F32" s="31">
        <f>E32/E31-1</f>
        <v>0.5061245962408274</v>
      </c>
      <c r="G32" s="35">
        <f>F32+1</f>
        <v>1.5061245962408274</v>
      </c>
      <c r="H32" s="27">
        <f>PRODUCT(G$32:$G32)</f>
        <v>1.5061245962408274</v>
      </c>
    </row>
    <row r="33" spans="1:29" x14ac:dyDescent="0.25">
      <c r="A33" s="2">
        <v>11689</v>
      </c>
      <c r="B33" s="33">
        <f t="shared" ref="B33:B41" si="8">1000000</f>
        <v>1000000</v>
      </c>
      <c r="C33">
        <f>SUM($B$29:B33)</f>
        <v>3100000</v>
      </c>
      <c r="D33">
        <f t="shared" si="7"/>
        <v>-0.13270002005213555</v>
      </c>
      <c r="E33" s="33">
        <f t="shared" ref="E33:E41" si="9">E32*(1+D33)+B33</f>
        <v>2436888.0153305205</v>
      </c>
      <c r="F33" s="31">
        <f t="shared" ref="F33:F41" si="10">E33/E32-1</f>
        <v>0.47089606446831578</v>
      </c>
      <c r="G33" s="35">
        <f t="shared" ref="G33:G41" si="11">F33+1</f>
        <v>1.4708960644683158</v>
      </c>
      <c r="H33" s="27">
        <f>PRODUCT(G$32:$G33)</f>
        <v>2.2153527412095642</v>
      </c>
    </row>
    <row r="34" spans="1:29" x14ac:dyDescent="0.25">
      <c r="A34" s="2">
        <v>12055</v>
      </c>
      <c r="B34" s="33">
        <f t="shared" si="8"/>
        <v>1000000</v>
      </c>
      <c r="C34">
        <f>SUM($B$29:B34)</f>
        <v>4100000</v>
      </c>
      <c r="D34">
        <f t="shared" si="7"/>
        <v>0.52639169060569113</v>
      </c>
      <c r="E34" s="33">
        <f t="shared" si="9"/>
        <v>4719645.6175370999</v>
      </c>
      <c r="F34" s="31">
        <f t="shared" si="10"/>
        <v>0.93675113006658361</v>
      </c>
      <c r="G34" s="35">
        <f t="shared" si="11"/>
        <v>1.9367511300665836</v>
      </c>
      <c r="H34" s="27">
        <f>PRODUCT(G$32:$G34)</f>
        <v>4.2905869250337272</v>
      </c>
    </row>
    <row r="35" spans="1:29" x14ac:dyDescent="0.25">
      <c r="A35" s="2">
        <v>12420</v>
      </c>
      <c r="B35" s="33">
        <f t="shared" si="8"/>
        <v>1000000</v>
      </c>
      <c r="C35">
        <f>SUM($B$29:B35)</f>
        <v>5100000</v>
      </c>
      <c r="D35">
        <f t="shared" si="7"/>
        <v>-2.6079267796250694E-2</v>
      </c>
      <c r="E35" s="33">
        <f t="shared" si="9"/>
        <v>5596560.7155739488</v>
      </c>
      <c r="F35" s="31">
        <f t="shared" si="10"/>
        <v>0.18580104717575341</v>
      </c>
      <c r="G35" s="35">
        <f t="shared" si="11"/>
        <v>1.1858010471757534</v>
      </c>
      <c r="H35" s="27">
        <f>PRODUCT(G$32:$G35)</f>
        <v>5.0877824687035895</v>
      </c>
    </row>
    <row r="36" spans="1:29" x14ac:dyDescent="0.25">
      <c r="A36" s="2">
        <v>12785</v>
      </c>
      <c r="B36" s="33">
        <f t="shared" si="8"/>
        <v>1000000</v>
      </c>
      <c r="C36">
        <f>SUM($B$29:B36)</f>
        <v>6100000</v>
      </c>
      <c r="D36">
        <f t="shared" si="7"/>
        <v>0.45896361674621122</v>
      </c>
      <c r="E36" s="33">
        <f t="shared" si="9"/>
        <v>9165178.4629335329</v>
      </c>
      <c r="F36" s="31">
        <f t="shared" si="10"/>
        <v>0.63764478377388767</v>
      </c>
      <c r="G36" s="35">
        <f t="shared" si="11"/>
        <v>1.6376447837738877</v>
      </c>
      <c r="H36" s="27">
        <f>PRODUCT(G$32:$G36)</f>
        <v>8.3319804208486659</v>
      </c>
    </row>
    <row r="37" spans="1:29" x14ac:dyDescent="0.25">
      <c r="A37" s="2">
        <v>13150</v>
      </c>
      <c r="B37" s="33">
        <f t="shared" si="8"/>
        <v>1000000</v>
      </c>
      <c r="C37">
        <f>SUM($B$29:B37)</f>
        <v>7100000</v>
      </c>
      <c r="D37">
        <f t="shared" si="7"/>
        <v>0.36349802590113645</v>
      </c>
      <c r="E37" s="33">
        <f t="shared" si="9"/>
        <v>13496702.741241485</v>
      </c>
      <c r="F37" s="31">
        <f t="shared" si="10"/>
        <v>0.47260664872220559</v>
      </c>
      <c r="G37" s="35">
        <f t="shared" si="11"/>
        <v>1.4726066487222056</v>
      </c>
      <c r="H37" s="27">
        <f>PRODUCT(G$32:$G37)</f>
        <v>12.269729764764985</v>
      </c>
    </row>
    <row r="38" spans="1:29" x14ac:dyDescent="0.25">
      <c r="A38" s="2">
        <v>13516</v>
      </c>
      <c r="B38" s="33">
        <f t="shared" si="8"/>
        <v>1000000</v>
      </c>
      <c r="C38">
        <f>SUM($B$29:B38)</f>
        <v>8100000</v>
      </c>
      <c r="D38">
        <f t="shared" si="7"/>
        <v>-0.30715172932080992</v>
      </c>
      <c r="E38" s="33">
        <f t="shared" si="9"/>
        <v>10351167.154140247</v>
      </c>
      <c r="F38" s="31">
        <f t="shared" si="10"/>
        <v>-0.23305955887207297</v>
      </c>
      <c r="G38" s="35">
        <f t="shared" si="11"/>
        <v>0.76694044112792703</v>
      </c>
      <c r="H38" s="27">
        <f>PRODUCT(G$32:$G38)</f>
        <v>9.4101519583093136</v>
      </c>
    </row>
    <row r="39" spans="1:29" x14ac:dyDescent="0.25">
      <c r="A39" s="2">
        <v>13881</v>
      </c>
      <c r="B39" s="33">
        <f t="shared" si="8"/>
        <v>1000000</v>
      </c>
      <c r="C39">
        <f>SUM($B$29:B39)</f>
        <v>9100000</v>
      </c>
      <c r="D39">
        <f t="shared" si="7"/>
        <v>0.19782189837030262</v>
      </c>
      <c r="E39" s="33">
        <f t="shared" si="9"/>
        <v>13398854.690920593</v>
      </c>
      <c r="F39" s="31">
        <f t="shared" si="10"/>
        <v>0.29442936157796806</v>
      </c>
      <c r="G39" s="35">
        <f t="shared" si="11"/>
        <v>1.2944293615779681</v>
      </c>
      <c r="H39" s="27">
        <f>PRODUCT(G$32:$G39)</f>
        <v>12.18077699174599</v>
      </c>
    </row>
    <row r="40" spans="1:29" x14ac:dyDescent="0.25">
      <c r="A40" s="2">
        <v>14246</v>
      </c>
      <c r="B40" s="33">
        <f t="shared" si="8"/>
        <v>1000000</v>
      </c>
      <c r="C40">
        <f>SUM($B$29:B40)</f>
        <v>10100000</v>
      </c>
      <c r="D40">
        <f t="shared" si="7"/>
        <v>2.364065637088375E-2</v>
      </c>
      <c r="E40" s="33">
        <f t="shared" si="9"/>
        <v>14715612.41043205</v>
      </c>
      <c r="F40" s="31">
        <f t="shared" si="10"/>
        <v>9.8273901007652986E-2</v>
      </c>
      <c r="G40" s="35">
        <f t="shared" si="11"/>
        <v>1.098273901007653</v>
      </c>
      <c r="H40" s="27">
        <f>PRODUCT(G$32:$G40)</f>
        <v>13.377829464029132</v>
      </c>
    </row>
    <row r="41" spans="1:29" x14ac:dyDescent="0.25">
      <c r="A41" s="2">
        <v>14611</v>
      </c>
      <c r="B41" s="33">
        <f t="shared" si="8"/>
        <v>1000000</v>
      </c>
      <c r="C41">
        <f>SUM($B$29:B41)</f>
        <v>11100000</v>
      </c>
      <c r="D41">
        <f t="shared" si="7"/>
        <v>-9.4582826694398103E-2</v>
      </c>
      <c r="E41" s="33">
        <f t="shared" si="9"/>
        <v>14323768.192114221</v>
      </c>
      <c r="F41" s="31">
        <f t="shared" si="10"/>
        <v>-2.6627788731378055E-2</v>
      </c>
      <c r="G41" s="35">
        <f t="shared" si="11"/>
        <v>0.97337221126862195</v>
      </c>
      <c r="H41" s="27">
        <f>PRODUCT(G$32:$G41)</f>
        <v>13.02160744737656</v>
      </c>
    </row>
    <row r="42" spans="1:29" x14ac:dyDescent="0.25">
      <c r="E42" s="34"/>
      <c r="AC42">
        <v>1000000</v>
      </c>
    </row>
    <row r="43" spans="1:29" x14ac:dyDescent="0.25">
      <c r="F43" t="s">
        <v>40</v>
      </c>
    </row>
    <row r="44" spans="1:29" x14ac:dyDescent="0.25">
      <c r="E44" t="s">
        <v>35</v>
      </c>
      <c r="F44" s="30">
        <f>H41</f>
        <v>13.02160744737656</v>
      </c>
      <c r="G44" s="30"/>
    </row>
    <row r="45" spans="1:29" x14ac:dyDescent="0.25">
      <c r="E45" t="s">
        <v>34</v>
      </c>
      <c r="F45" s="4">
        <f>F44^(1/COUNT(G32:G41))-1</f>
        <v>0.29260687025877141</v>
      </c>
      <c r="G45" s="4"/>
    </row>
    <row r="47" spans="1:29" x14ac:dyDescent="0.25">
      <c r="E47" t="s">
        <v>36</v>
      </c>
      <c r="F47" s="32">
        <f>F45/_xlfn.STDEV.S(F32:F41)</f>
        <v>0.85512248722166651</v>
      </c>
    </row>
    <row r="48" spans="1:29" x14ac:dyDescent="0.25">
      <c r="E48" t="s">
        <v>37</v>
      </c>
      <c r="F48" s="32">
        <f>(F45-1%)/_xlfn.STDEV.S(F32:F41)</f>
        <v>0.82589820802188463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E9219-D119-4914-A2FC-629BD30F62CE}">
  <dimension ref="A1:AR55"/>
  <sheetViews>
    <sheetView tabSelected="1" zoomScale="85" zoomScaleNormal="85" workbookViewId="0">
      <selection activeCell="Z37" sqref="Z37"/>
    </sheetView>
  </sheetViews>
  <sheetFormatPr defaultColWidth="9" defaultRowHeight="15" x14ac:dyDescent="0.25"/>
  <cols>
    <col min="1" max="1" width="15" style="15" bestFit="1" customWidth="1"/>
    <col min="2" max="2" width="12.85546875" style="15" bestFit="1" customWidth="1"/>
    <col min="3" max="3" width="15.140625" style="15" bestFit="1" customWidth="1"/>
    <col min="4" max="4" width="21.85546875" style="15" bestFit="1" customWidth="1"/>
    <col min="5" max="5" width="19" style="15" bestFit="1" customWidth="1"/>
    <col min="6" max="6" width="19" style="15" customWidth="1"/>
    <col min="7" max="7" width="11.42578125" style="15" bestFit="1" customWidth="1"/>
    <col min="8" max="16384" width="9" style="15"/>
  </cols>
  <sheetData>
    <row r="1" spans="1:25" x14ac:dyDescent="0.25">
      <c r="B1" s="15" t="s">
        <v>7</v>
      </c>
      <c r="H1" s="20" t="s">
        <v>24</v>
      </c>
      <c r="M1" s="16"/>
      <c r="P1" s="16"/>
    </row>
    <row r="2" spans="1:25" x14ac:dyDescent="0.25">
      <c r="A2" s="23"/>
      <c r="B2" s="21" t="s">
        <v>8</v>
      </c>
      <c r="C2" s="21" t="s">
        <v>9</v>
      </c>
      <c r="D2" s="21" t="s">
        <v>27</v>
      </c>
      <c r="E2" s="21" t="s">
        <v>28</v>
      </c>
      <c r="F2" s="28"/>
      <c r="H2" s="17" t="s">
        <v>10</v>
      </c>
      <c r="I2" s="17"/>
      <c r="J2" s="17" t="s">
        <v>11</v>
      </c>
      <c r="K2" s="17"/>
      <c r="L2" s="17" t="s">
        <v>12</v>
      </c>
      <c r="M2" s="18"/>
      <c r="N2" s="17" t="s">
        <v>13</v>
      </c>
      <c r="O2" s="17"/>
      <c r="P2" s="17" t="s">
        <v>14</v>
      </c>
      <c r="Q2" s="17"/>
      <c r="R2" s="17" t="s">
        <v>15</v>
      </c>
      <c r="S2" s="17"/>
      <c r="T2" s="17" t="s">
        <v>16</v>
      </c>
      <c r="U2" s="17"/>
      <c r="V2" s="17" t="s">
        <v>18</v>
      </c>
      <c r="W2" s="17"/>
      <c r="X2" s="17" t="s">
        <v>19</v>
      </c>
      <c r="Y2" s="17"/>
    </row>
    <row r="3" spans="1:25" x14ac:dyDescent="0.25">
      <c r="A3" s="22" t="s">
        <v>10</v>
      </c>
      <c r="B3" s="15" t="s">
        <v>22</v>
      </c>
      <c r="C3" s="15" t="s">
        <v>23</v>
      </c>
      <c r="D3" s="15" t="s">
        <v>22</v>
      </c>
      <c r="H3" s="19">
        <v>100000</v>
      </c>
      <c r="I3" s="19">
        <v>10000000</v>
      </c>
      <c r="J3" s="19">
        <v>100000</v>
      </c>
      <c r="K3" s="19">
        <v>10000000</v>
      </c>
      <c r="L3" s="19">
        <v>100000</v>
      </c>
      <c r="M3" s="19">
        <v>10000000</v>
      </c>
      <c r="N3" s="19">
        <v>100000</v>
      </c>
      <c r="O3" s="19">
        <v>10000000</v>
      </c>
      <c r="P3" s="19">
        <v>100000</v>
      </c>
      <c r="Q3" s="19">
        <v>10000000</v>
      </c>
      <c r="R3" s="19">
        <v>100000</v>
      </c>
      <c r="S3" s="19">
        <v>10000000</v>
      </c>
      <c r="T3" s="19">
        <v>100000</v>
      </c>
      <c r="U3" s="19">
        <v>10000000</v>
      </c>
      <c r="V3" s="19">
        <v>100000</v>
      </c>
      <c r="W3" s="19">
        <v>10000000</v>
      </c>
      <c r="X3" s="19">
        <v>100000</v>
      </c>
      <c r="Y3" s="19">
        <v>10000000</v>
      </c>
    </row>
    <row r="4" spans="1:25" x14ac:dyDescent="0.25">
      <c r="A4" s="22" t="s">
        <v>11</v>
      </c>
      <c r="B4" s="15" t="s">
        <v>22</v>
      </c>
      <c r="C4" s="15" t="s">
        <v>23</v>
      </c>
      <c r="D4" s="15" t="s">
        <v>22</v>
      </c>
      <c r="G4" s="29">
        <v>10228</v>
      </c>
      <c r="H4" s="24">
        <v>1.3635839999999899</v>
      </c>
      <c r="I4" s="24">
        <v>1.3601794269999901</v>
      </c>
      <c r="J4" s="24">
        <v>0</v>
      </c>
      <c r="K4" s="24">
        <v>0</v>
      </c>
      <c r="L4" s="24">
        <v>0.31011652756654001</v>
      </c>
      <c r="M4" s="24">
        <v>0.30761662266339601</v>
      </c>
      <c r="N4" s="24">
        <v>0</v>
      </c>
      <c r="O4" s="24">
        <v>0</v>
      </c>
      <c r="P4" s="24">
        <v>0</v>
      </c>
      <c r="Q4" s="24">
        <v>0</v>
      </c>
      <c r="R4" s="24">
        <v>0.164674455745699</v>
      </c>
      <c r="S4" s="24">
        <v>0.16550653109264901</v>
      </c>
      <c r="T4" s="25">
        <v>-0.51034090327755999</v>
      </c>
      <c r="U4" s="25">
        <v>-0.68923407224087296</v>
      </c>
      <c r="V4" s="24">
        <v>4</v>
      </c>
      <c r="W4" s="24">
        <v>4</v>
      </c>
      <c r="X4" s="26">
        <v>38.6206099999999</v>
      </c>
      <c r="Y4" s="26">
        <v>40.196015699999997</v>
      </c>
    </row>
    <row r="5" spans="1:25" x14ac:dyDescent="0.25">
      <c r="A5" s="22" t="s">
        <v>12</v>
      </c>
      <c r="B5" s="15" t="s">
        <v>22</v>
      </c>
      <c r="D5" s="15" t="s">
        <v>22</v>
      </c>
      <c r="G5" s="29">
        <v>10594</v>
      </c>
      <c r="J5" s="24">
        <v>0</v>
      </c>
      <c r="K5" s="24">
        <v>0</v>
      </c>
      <c r="L5" s="24">
        <v>2.3855117505118401E-2</v>
      </c>
      <c r="M5" s="24">
        <v>2.3662817127953598E-2</v>
      </c>
      <c r="N5" s="24">
        <v>0</v>
      </c>
      <c r="O5" s="24">
        <v>0</v>
      </c>
      <c r="P5" s="24">
        <v>0</v>
      </c>
      <c r="Q5" s="24">
        <v>0</v>
      </c>
      <c r="V5" s="26">
        <v>38.6206099999999</v>
      </c>
      <c r="W5" s="26">
        <v>40.196015699999997</v>
      </c>
      <c r="X5" s="24">
        <v>4</v>
      </c>
      <c r="Y5" s="24">
        <v>4</v>
      </c>
    </row>
    <row r="6" spans="1:25" x14ac:dyDescent="0.25">
      <c r="A6" s="22" t="s">
        <v>13</v>
      </c>
      <c r="B6" s="15" t="s">
        <v>22</v>
      </c>
      <c r="C6" s="15" t="s">
        <v>23</v>
      </c>
      <c r="D6" s="15" t="s">
        <v>22</v>
      </c>
      <c r="G6" s="29">
        <v>10959</v>
      </c>
      <c r="J6" s="24">
        <v>0</v>
      </c>
      <c r="K6" s="24">
        <v>0</v>
      </c>
      <c r="L6" s="24">
        <v>2.4141926903770299E-2</v>
      </c>
      <c r="M6" s="24">
        <v>2.3945002959837501E-2</v>
      </c>
      <c r="N6" s="24">
        <v>0</v>
      </c>
      <c r="O6" s="24">
        <v>0</v>
      </c>
      <c r="P6" s="24">
        <v>0</v>
      </c>
      <c r="Q6" s="24">
        <v>0</v>
      </c>
      <c r="V6" s="24">
        <v>53.430489999999899</v>
      </c>
      <c r="W6" s="24">
        <v>54.310521599999902</v>
      </c>
    </row>
    <row r="7" spans="1:25" x14ac:dyDescent="0.25">
      <c r="A7" s="22" t="s">
        <v>14</v>
      </c>
      <c r="B7" s="15" t="s">
        <v>22</v>
      </c>
      <c r="C7" s="15" t="s">
        <v>23</v>
      </c>
      <c r="D7" s="15" t="s">
        <v>22</v>
      </c>
      <c r="G7" s="29">
        <v>11324</v>
      </c>
      <c r="J7" s="24">
        <v>-0.29620469999999899</v>
      </c>
      <c r="K7" s="24">
        <v>-0.31047638099999902</v>
      </c>
      <c r="L7" s="24">
        <v>2.4141926903770301</v>
      </c>
      <c r="M7" s="24">
        <v>2.3945002959837498</v>
      </c>
      <c r="N7" s="24">
        <v>-0.35126773215048201</v>
      </c>
      <c r="O7" s="24">
        <v>-0.37175432707804501</v>
      </c>
      <c r="P7" s="24">
        <v>-0.29620469999999899</v>
      </c>
      <c r="Q7" s="24">
        <v>-0.31047638099999902</v>
      </c>
    </row>
    <row r="8" spans="1:25" x14ac:dyDescent="0.25">
      <c r="A8" s="22" t="s">
        <v>15</v>
      </c>
      <c r="B8" s="15" t="s">
        <v>22</v>
      </c>
      <c r="C8" s="36" t="s">
        <v>23</v>
      </c>
      <c r="D8" s="15" t="s">
        <v>22</v>
      </c>
      <c r="G8" s="29">
        <v>11689</v>
      </c>
      <c r="J8" s="24">
        <v>-0.12788008104060899</v>
      </c>
      <c r="K8" s="24">
        <v>-0.13267678362153301</v>
      </c>
      <c r="N8" s="24">
        <v>-0.13682834278598399</v>
      </c>
      <c r="O8" s="24">
        <v>-0.142343573082644</v>
      </c>
      <c r="P8" s="24">
        <v>-0.12788008104060899</v>
      </c>
      <c r="Q8" s="24">
        <v>-0.13267678362153301</v>
      </c>
    </row>
    <row r="9" spans="1:25" x14ac:dyDescent="0.25">
      <c r="A9" s="22" t="s">
        <v>16</v>
      </c>
      <c r="B9" s="15" t="s">
        <v>23</v>
      </c>
      <c r="C9" s="36" t="s">
        <v>23</v>
      </c>
      <c r="D9" s="15" t="s">
        <v>22</v>
      </c>
      <c r="G9" s="29">
        <v>12055</v>
      </c>
      <c r="J9" s="24">
        <v>0.504468519481864</v>
      </c>
      <c r="K9" s="24">
        <v>0.52628541673936502</v>
      </c>
      <c r="N9" s="24">
        <v>0.408439692629675</v>
      </c>
      <c r="O9" s="24">
        <v>0.42283695124438098</v>
      </c>
      <c r="P9" s="24">
        <v>0.504468519481864</v>
      </c>
      <c r="Q9" s="24">
        <v>0.52628541673936502</v>
      </c>
    </row>
    <row r="10" spans="1:25" x14ac:dyDescent="0.25">
      <c r="A10" s="22" t="s">
        <v>18</v>
      </c>
      <c r="B10" s="15" t="s">
        <v>29</v>
      </c>
      <c r="C10" s="36" t="s">
        <v>23</v>
      </c>
      <c r="D10" s="25" t="s">
        <v>23</v>
      </c>
      <c r="G10" s="29">
        <v>12420</v>
      </c>
      <c r="J10" s="24">
        <v>-2.535731859876E-2</v>
      </c>
      <c r="K10" s="24">
        <v>-2.6075818129879299E-2</v>
      </c>
      <c r="N10" s="24">
        <v>-2.5684355768834499E-2</v>
      </c>
      <c r="O10" s="24">
        <v>-2.6421820391912799E-2</v>
      </c>
      <c r="P10" s="24">
        <v>-2.535731859876E-2</v>
      </c>
      <c r="Q10" s="24">
        <v>-2.6075818129879299E-2</v>
      </c>
    </row>
    <row r="11" spans="1:25" x14ac:dyDescent="0.25">
      <c r="A11" s="19" t="s">
        <v>20</v>
      </c>
      <c r="B11" s="15" t="s">
        <v>29</v>
      </c>
      <c r="C11" s="36" t="s">
        <v>23</v>
      </c>
      <c r="D11" s="15" t="s">
        <v>22</v>
      </c>
      <c r="G11" s="29">
        <v>12785</v>
      </c>
      <c r="J11" s="24">
        <v>0.44592762498697203</v>
      </c>
      <c r="K11" s="24">
        <v>0.45890128133753</v>
      </c>
      <c r="N11" s="24">
        <v>0.36875107060770601</v>
      </c>
      <c r="O11" s="24">
        <v>0.377683605385498</v>
      </c>
      <c r="P11" s="24">
        <v>0.44592762498697203</v>
      </c>
      <c r="Q11" s="24">
        <v>0.45890128133753</v>
      </c>
    </row>
    <row r="12" spans="1:25" x14ac:dyDescent="0.25">
      <c r="G12" s="29">
        <v>13150</v>
      </c>
      <c r="J12" s="24">
        <v>0.356357645989896</v>
      </c>
      <c r="K12" s="24">
        <v>0.36346418571814798</v>
      </c>
      <c r="N12" s="24">
        <v>0.30480290547210598</v>
      </c>
      <c r="O12" s="24">
        <v>0.31002865652520201</v>
      </c>
      <c r="P12" s="24">
        <v>0.356357645989896</v>
      </c>
      <c r="Q12" s="24">
        <v>0.36346418571814798</v>
      </c>
    </row>
    <row r="13" spans="1:25" x14ac:dyDescent="0.25">
      <c r="B13" s="15" t="s">
        <v>30</v>
      </c>
      <c r="G13" s="29">
        <v>13516</v>
      </c>
      <c r="J13" s="24">
        <v>-0.30270338897782201</v>
      </c>
      <c r="K13" s="24">
        <v>-0.30713075731949702</v>
      </c>
      <c r="N13" s="24">
        <v>-0.36054440491013801</v>
      </c>
      <c r="O13" s="24">
        <v>-0.36691398059582803</v>
      </c>
      <c r="P13" s="24">
        <v>-0.30270338897782201</v>
      </c>
      <c r="Q13" s="24">
        <v>-0.30713075731949702</v>
      </c>
    </row>
    <row r="14" spans="1:25" x14ac:dyDescent="0.25">
      <c r="A14" s="23"/>
      <c r="B14" s="21" t="s">
        <v>8</v>
      </c>
      <c r="C14" s="21" t="s">
        <v>9</v>
      </c>
      <c r="D14" s="21" t="s">
        <v>27</v>
      </c>
      <c r="E14" s="21" t="s">
        <v>28</v>
      </c>
      <c r="F14" s="28"/>
      <c r="G14" s="29">
        <v>13881</v>
      </c>
      <c r="J14" s="24">
        <v>0.193713222763466</v>
      </c>
      <c r="K14" s="24">
        <v>0.19780240396488299</v>
      </c>
      <c r="N14" s="24">
        <v>0.177068804181963</v>
      </c>
      <c r="O14" s="24">
        <v>0.18048854782974999</v>
      </c>
      <c r="P14" s="24">
        <v>0.193713222763466</v>
      </c>
      <c r="Q14" s="24">
        <v>0.19780240396488299</v>
      </c>
    </row>
    <row r="15" spans="1:25" x14ac:dyDescent="0.25">
      <c r="A15" s="22" t="s">
        <v>10</v>
      </c>
      <c r="B15" s="15" t="s">
        <v>22</v>
      </c>
      <c r="G15" s="29">
        <v>14246</v>
      </c>
      <c r="J15" s="24">
        <v>2.32293295639181E-2</v>
      </c>
      <c r="K15" s="24">
        <v>2.3638711413998599E-2</v>
      </c>
      <c r="N15" s="24">
        <v>2.2963635418116201E-2</v>
      </c>
      <c r="O15" s="24">
        <v>2.3363643476616801E-2</v>
      </c>
      <c r="P15" s="24">
        <v>2.32293295639181E-2</v>
      </c>
      <c r="Q15" s="24">
        <v>2.3638711413998599E-2</v>
      </c>
    </row>
    <row r="16" spans="1:25" x14ac:dyDescent="0.25">
      <c r="A16" s="22" t="s">
        <v>11</v>
      </c>
      <c r="B16" s="15" t="s">
        <v>22</v>
      </c>
      <c r="G16" s="29">
        <v>14611</v>
      </c>
      <c r="J16" s="24">
        <v>-9.2974527690676406E-2</v>
      </c>
      <c r="K16" s="24">
        <v>-9.4575224901459906E-2</v>
      </c>
      <c r="N16" s="24">
        <v>-9.7584745127588801E-2</v>
      </c>
      <c r="O16" s="24">
        <v>-9.9351080649621698E-2</v>
      </c>
      <c r="P16" s="24">
        <v>-9.2974527690676406E-2</v>
      </c>
      <c r="Q16" s="24">
        <v>-9.4575224901459906E-2</v>
      </c>
    </row>
    <row r="17" spans="1:25" x14ac:dyDescent="0.25">
      <c r="A17" s="22" t="s">
        <v>12</v>
      </c>
      <c r="B17" s="15" t="s">
        <v>22</v>
      </c>
    </row>
    <row r="18" spans="1:25" x14ac:dyDescent="0.25">
      <c r="A18" s="22" t="s">
        <v>13</v>
      </c>
      <c r="B18" s="15" t="s">
        <v>22</v>
      </c>
      <c r="J18" s="16"/>
    </row>
    <row r="19" spans="1:25" x14ac:dyDescent="0.25">
      <c r="A19" s="22" t="s">
        <v>14</v>
      </c>
      <c r="B19" s="15" t="s">
        <v>22</v>
      </c>
      <c r="J19" s="16"/>
    </row>
    <row r="20" spans="1:25" x14ac:dyDescent="0.25">
      <c r="A20" s="22" t="s">
        <v>15</v>
      </c>
      <c r="B20" s="15" t="s">
        <v>22</v>
      </c>
      <c r="C20" s="20"/>
      <c r="J20" s="16"/>
    </row>
    <row r="21" spans="1:25" x14ac:dyDescent="0.25">
      <c r="A21" s="22" t="s">
        <v>16</v>
      </c>
      <c r="B21" s="15" t="s">
        <v>23</v>
      </c>
      <c r="C21" s="20"/>
      <c r="H21" s="20" t="s">
        <v>25</v>
      </c>
      <c r="M21" s="16"/>
      <c r="P21" s="16"/>
    </row>
    <row r="22" spans="1:25" x14ac:dyDescent="0.25">
      <c r="A22" s="22" t="s">
        <v>18</v>
      </c>
      <c r="B22" s="15" t="s">
        <v>29</v>
      </c>
      <c r="C22" s="20"/>
      <c r="H22" s="17" t="s">
        <v>10</v>
      </c>
      <c r="I22" s="17"/>
      <c r="J22" s="17" t="s">
        <v>11</v>
      </c>
      <c r="K22" s="17"/>
      <c r="L22" s="17" t="s">
        <v>12</v>
      </c>
      <c r="M22" s="18"/>
      <c r="N22" s="17" t="s">
        <v>13</v>
      </c>
      <c r="O22" s="17"/>
      <c r="P22" s="17" t="s">
        <v>14</v>
      </c>
      <c r="Q22" s="17"/>
      <c r="R22" s="17" t="s">
        <v>15</v>
      </c>
      <c r="S22" s="17"/>
      <c r="T22" s="17" t="s">
        <v>16</v>
      </c>
      <c r="U22" s="17"/>
      <c r="V22" s="17" t="s">
        <v>18</v>
      </c>
      <c r="W22" s="17"/>
      <c r="X22" s="17" t="s">
        <v>19</v>
      </c>
      <c r="Y22" s="17"/>
    </row>
    <row r="23" spans="1:25" x14ac:dyDescent="0.25">
      <c r="A23" s="19" t="s">
        <v>20</v>
      </c>
      <c r="B23" s="15" t="s">
        <v>29</v>
      </c>
      <c r="C23" s="20"/>
      <c r="H23" s="19">
        <v>0</v>
      </c>
      <c r="I23" s="19">
        <v>1000000</v>
      </c>
      <c r="J23" s="19">
        <v>0</v>
      </c>
      <c r="K23" s="19">
        <v>1000000</v>
      </c>
      <c r="L23" s="19">
        <v>0</v>
      </c>
      <c r="M23" s="19">
        <v>1000000</v>
      </c>
      <c r="N23" s="19">
        <v>0</v>
      </c>
      <c r="O23" s="19">
        <v>1000000</v>
      </c>
      <c r="P23" s="19">
        <v>0</v>
      </c>
      <c r="Q23" s="19">
        <v>1000000</v>
      </c>
      <c r="R23" s="19">
        <v>0</v>
      </c>
      <c r="S23" s="19">
        <v>1000000</v>
      </c>
      <c r="T23" s="19">
        <v>0</v>
      </c>
      <c r="U23" s="19">
        <v>1000000</v>
      </c>
      <c r="V23" s="19">
        <v>0</v>
      </c>
      <c r="W23" s="19">
        <v>1000000</v>
      </c>
      <c r="X23" s="19">
        <v>0</v>
      </c>
      <c r="Y23" s="19">
        <v>1000000</v>
      </c>
    </row>
    <row r="24" spans="1:25" x14ac:dyDescent="0.25">
      <c r="G24" s="29">
        <v>10228</v>
      </c>
      <c r="H24" s="25">
        <v>1.3635839999999899</v>
      </c>
      <c r="I24" s="25">
        <v>1304.1937089999999</v>
      </c>
      <c r="J24" s="25">
        <v>0</v>
      </c>
      <c r="K24" s="25">
        <v>0</v>
      </c>
      <c r="L24" s="15">
        <v>0.31011652756654001</v>
      </c>
      <c r="M24" s="15">
        <v>0.56431820888766704</v>
      </c>
      <c r="N24" s="25">
        <v>0</v>
      </c>
      <c r="O24" s="25">
        <v>0</v>
      </c>
      <c r="P24" s="25">
        <v>0</v>
      </c>
      <c r="Q24" s="25">
        <v>0</v>
      </c>
      <c r="R24" s="15">
        <v>0.164674455745699</v>
      </c>
      <c r="S24" s="15">
        <v>0.26168927015042998</v>
      </c>
      <c r="T24" s="15">
        <v>-0.51034090327755999</v>
      </c>
      <c r="U24" s="15">
        <v>19.5737514132841</v>
      </c>
      <c r="V24" s="15">
        <v>4</v>
      </c>
      <c r="W24" s="15">
        <v>4</v>
      </c>
      <c r="X24" s="15">
        <v>38.6206099999999</v>
      </c>
      <c r="Y24" s="15">
        <v>28.318865105813501</v>
      </c>
    </row>
    <row r="25" spans="1:25" x14ac:dyDescent="0.25">
      <c r="G25" s="29">
        <v>10594</v>
      </c>
      <c r="J25" s="25">
        <v>0</v>
      </c>
      <c r="K25" s="25">
        <v>0</v>
      </c>
      <c r="L25" s="15">
        <v>2.3855117505118401E-2</v>
      </c>
      <c r="M25" s="15">
        <v>4.3409092991358998E-2</v>
      </c>
      <c r="N25" s="25">
        <v>0</v>
      </c>
      <c r="O25" s="25">
        <v>0</v>
      </c>
      <c r="P25" s="25">
        <v>0</v>
      </c>
      <c r="Q25" s="25">
        <v>0</v>
      </c>
      <c r="V25" s="15">
        <v>38.6206099999999</v>
      </c>
      <c r="W25" s="15">
        <v>28.318865105813501</v>
      </c>
      <c r="X25" s="15">
        <v>4</v>
      </c>
      <c r="Y25" s="15">
        <v>4</v>
      </c>
    </row>
    <row r="26" spans="1:25" x14ac:dyDescent="0.25">
      <c r="G26" s="29">
        <v>10959</v>
      </c>
      <c r="J26" s="25">
        <v>0</v>
      </c>
      <c r="K26" s="25">
        <v>0</v>
      </c>
      <c r="L26" s="15">
        <v>2.4141926903770299E-2</v>
      </c>
      <c r="M26" s="15">
        <v>4.4365049893919997E-2</v>
      </c>
      <c r="N26" s="25">
        <v>0</v>
      </c>
      <c r="O26" s="25">
        <v>0</v>
      </c>
      <c r="P26" s="25">
        <v>0</v>
      </c>
      <c r="Q26" s="25">
        <v>0</v>
      </c>
      <c r="V26" s="15">
        <v>53.430489999999899</v>
      </c>
      <c r="W26" s="15">
        <v>63.251005609487301</v>
      </c>
    </row>
    <row r="27" spans="1:25" x14ac:dyDescent="0.25">
      <c r="F27" s="31">
        <v>0.5061245962408274</v>
      </c>
      <c r="G27" s="29">
        <v>11324</v>
      </c>
      <c r="J27" s="37">
        <v>-0.29620469999999899</v>
      </c>
      <c r="K27" s="37">
        <v>99.703795299999996</v>
      </c>
      <c r="L27" s="15">
        <v>2.4141926903770301</v>
      </c>
      <c r="M27" s="15">
        <v>4.4365049893919997</v>
      </c>
      <c r="N27" s="37">
        <v>-0.35126773215048201</v>
      </c>
      <c r="O27" s="37">
        <v>-2.9370286511924502E-3</v>
      </c>
      <c r="P27" s="37">
        <v>-0.29620469999999899</v>
      </c>
      <c r="Q27" s="37">
        <v>-2.9327198019802798E-3</v>
      </c>
    </row>
    <row r="28" spans="1:25" x14ac:dyDescent="0.25">
      <c r="F28" s="31">
        <v>0.47089606446831578</v>
      </c>
      <c r="G28" s="29">
        <v>11689</v>
      </c>
      <c r="J28" s="37">
        <v>-0.12788008104060899</v>
      </c>
      <c r="K28" s="37">
        <v>0.86031950376750099</v>
      </c>
      <c r="L28" s="38"/>
      <c r="M28" s="38"/>
      <c r="N28" s="37">
        <v>-0.13682834278598399</v>
      </c>
      <c r="O28" s="37">
        <v>-6.8898428554977797E-2</v>
      </c>
      <c r="P28" s="37">
        <v>-0.12788008104060899</v>
      </c>
      <c r="Q28" s="37">
        <v>-6.6578515767608704E-2</v>
      </c>
    </row>
    <row r="29" spans="1:25" x14ac:dyDescent="0.25">
      <c r="F29" s="31">
        <v>0.93675113006658361</v>
      </c>
      <c r="G29" s="29">
        <v>12055</v>
      </c>
      <c r="J29" s="37">
        <v>0.504468519481864</v>
      </c>
      <c r="K29" s="37">
        <v>1.06015708677312</v>
      </c>
      <c r="L29" s="38"/>
      <c r="M29" s="38"/>
      <c r="N29" s="37">
        <v>0.408439692629675</v>
      </c>
      <c r="O29" s="37">
        <v>0.29504349311432099</v>
      </c>
      <c r="P29" s="37">
        <v>0.504468519481864</v>
      </c>
      <c r="Q29" s="37">
        <v>0.34318477670492498</v>
      </c>
    </row>
    <row r="30" spans="1:25" x14ac:dyDescent="0.25">
      <c r="F30" s="31">
        <v>0.18580104717575341</v>
      </c>
      <c r="G30" s="29">
        <v>12420</v>
      </c>
      <c r="J30" s="37">
        <v>-2.535731859876E-2</v>
      </c>
      <c r="K30" s="37">
        <v>0.233021856446324</v>
      </c>
      <c r="L30" s="38"/>
      <c r="M30" s="38"/>
      <c r="N30" s="37">
        <v>-2.5684355768834499E-2</v>
      </c>
      <c r="O30" s="37">
        <v>-2.0928695641764E-2</v>
      </c>
      <c r="P30" s="37">
        <v>-2.535731859876E-2</v>
      </c>
      <c r="Q30" s="37">
        <v>-2.0711210361313001E-2</v>
      </c>
    </row>
    <row r="31" spans="1:25" x14ac:dyDescent="0.25">
      <c r="F31" s="31">
        <v>0.63764478377388767</v>
      </c>
      <c r="G31" s="29">
        <v>12785</v>
      </c>
      <c r="J31" s="37">
        <v>0.44592762498697203</v>
      </c>
      <c r="K31" s="37">
        <v>0.66906814704900197</v>
      </c>
      <c r="L31" s="38"/>
      <c r="M31" s="38"/>
      <c r="N31" s="37">
        <v>0.36875107060770601</v>
      </c>
      <c r="O31" s="37">
        <v>0.32153470421462099</v>
      </c>
      <c r="P31" s="37">
        <v>0.44592762498697203</v>
      </c>
      <c r="Q31" s="37">
        <v>0.37924287073616397</v>
      </c>
    </row>
    <row r="32" spans="1:25" x14ac:dyDescent="0.25">
      <c r="F32" s="31">
        <v>0.47260664872220559</v>
      </c>
      <c r="G32" s="29">
        <v>13150</v>
      </c>
      <c r="J32" s="37">
        <v>0.356357645989896</v>
      </c>
      <c r="K32" s="37">
        <v>0.48936581162112502</v>
      </c>
      <c r="L32" s="38"/>
      <c r="M32" s="38"/>
      <c r="N32" s="37">
        <v>0.30480290547210598</v>
      </c>
      <c r="O32" s="37">
        <v>0.27976878788918502</v>
      </c>
      <c r="P32" s="37">
        <v>0.356357645989896</v>
      </c>
      <c r="Q32" s="37">
        <v>0.32282392406454402</v>
      </c>
    </row>
    <row r="33" spans="6:44" x14ac:dyDescent="0.25">
      <c r="F33" s="31">
        <v>-0.23305955887207297</v>
      </c>
      <c r="G33" s="29">
        <v>13516</v>
      </c>
      <c r="J33" s="37">
        <v>-0.30270338897782201</v>
      </c>
      <c r="K33" s="37">
        <v>-0.22259530520872201</v>
      </c>
      <c r="L33" s="38"/>
      <c r="M33" s="38"/>
      <c r="N33" s="37">
        <v>-0.36054440491013801</v>
      </c>
      <c r="O33" s="37">
        <v>-0.33294258465955301</v>
      </c>
      <c r="P33" s="37">
        <v>-0.30270338897782201</v>
      </c>
      <c r="Q33" s="37">
        <v>-0.28318865105813501</v>
      </c>
    </row>
    <row r="34" spans="6:44" x14ac:dyDescent="0.25">
      <c r="F34" s="31">
        <v>0.29442936157796806</v>
      </c>
      <c r="G34" s="29">
        <v>13881</v>
      </c>
      <c r="J34" s="37">
        <v>0.193713222763466</v>
      </c>
      <c r="K34" s="37">
        <v>0.306544927104003</v>
      </c>
      <c r="L34" s="38"/>
      <c r="M34" s="38"/>
      <c r="N34" s="37">
        <v>0.177068804181963</v>
      </c>
      <c r="O34" s="37">
        <v>0.164165666763322</v>
      </c>
      <c r="P34" s="37">
        <v>0.193713222763466</v>
      </c>
      <c r="Q34" s="37">
        <v>0.17840952221402301</v>
      </c>
    </row>
    <row r="35" spans="6:44" x14ac:dyDescent="0.25">
      <c r="F35" s="31">
        <v>9.8273901007652986E-2</v>
      </c>
      <c r="G35" s="29">
        <v>14246</v>
      </c>
      <c r="J35" s="37">
        <v>2.32293295639181E-2</v>
      </c>
      <c r="K35" s="37">
        <v>0.106864212611692</v>
      </c>
      <c r="L35" s="38"/>
      <c r="M35" s="38"/>
      <c r="N35" s="37">
        <v>2.2963635418116201E-2</v>
      </c>
      <c r="O35" s="37">
        <v>2.1589209714984198E-2</v>
      </c>
      <c r="P35" s="37">
        <v>2.32293295639181E-2</v>
      </c>
      <c r="Q35" s="37">
        <v>2.1823942894184399E-2</v>
      </c>
    </row>
    <row r="36" spans="6:44" x14ac:dyDescent="0.25">
      <c r="F36" s="31">
        <v>-2.6627788731378055E-2</v>
      </c>
      <c r="G36" s="29">
        <v>14611</v>
      </c>
      <c r="J36" s="37">
        <v>-9.2974527690676406E-2</v>
      </c>
      <c r="K36" s="37">
        <v>-1.9390019047677402E-2</v>
      </c>
      <c r="L36" s="38"/>
      <c r="M36" s="38"/>
      <c r="N36" s="37">
        <v>-9.7584745127588801E-2</v>
      </c>
      <c r="O36" s="37">
        <v>-9.2076915301279996E-2</v>
      </c>
      <c r="P36" s="37">
        <v>-9.2974527690676406E-2</v>
      </c>
      <c r="Q36" s="37">
        <v>-8.79650025993646E-2</v>
      </c>
    </row>
    <row r="40" spans="6:44" x14ac:dyDescent="0.25">
      <c r="H40" s="20" t="s">
        <v>21</v>
      </c>
      <c r="AA40" s="20" t="s">
        <v>26</v>
      </c>
      <c r="AF40" s="16"/>
      <c r="AI40" s="16"/>
    </row>
    <row r="41" spans="6:44" x14ac:dyDescent="0.25">
      <c r="H41" s="17" t="s">
        <v>10</v>
      </c>
      <c r="I41" s="17"/>
      <c r="J41" s="17" t="s">
        <v>11</v>
      </c>
      <c r="K41" s="17"/>
      <c r="L41" s="17" t="s">
        <v>12</v>
      </c>
      <c r="M41" s="18"/>
      <c r="N41" s="17" t="s">
        <v>13</v>
      </c>
      <c r="O41" s="17"/>
      <c r="P41" s="17" t="s">
        <v>14</v>
      </c>
      <c r="Q41" s="17"/>
      <c r="R41" s="17" t="s">
        <v>15</v>
      </c>
      <c r="S41" s="17"/>
      <c r="T41" s="17" t="s">
        <v>16</v>
      </c>
      <c r="U41" s="17"/>
      <c r="V41" s="17" t="s">
        <v>18</v>
      </c>
      <c r="W41" s="17"/>
      <c r="X41" s="17" t="s">
        <v>19</v>
      </c>
      <c r="Y41" s="17"/>
      <c r="AA41" s="17" t="s">
        <v>10</v>
      </c>
      <c r="AB41" s="17"/>
      <c r="AC41" s="17" t="s">
        <v>11</v>
      </c>
      <c r="AD41" s="17"/>
      <c r="AE41" s="17" t="s">
        <v>12</v>
      </c>
      <c r="AF41" s="18"/>
      <c r="AG41" s="17" t="s">
        <v>13</v>
      </c>
      <c r="AH41" s="17"/>
      <c r="AI41" s="17" t="s">
        <v>14</v>
      </c>
      <c r="AJ41" s="17"/>
      <c r="AK41" s="17" t="s">
        <v>15</v>
      </c>
      <c r="AL41" s="17"/>
      <c r="AM41" s="17" t="s">
        <v>16</v>
      </c>
      <c r="AN41" s="17"/>
      <c r="AO41" s="17" t="s">
        <v>18</v>
      </c>
      <c r="AP41" s="17"/>
      <c r="AQ41" s="17" t="s">
        <v>19</v>
      </c>
      <c r="AR41" s="17"/>
    </row>
    <row r="42" spans="6:44" x14ac:dyDescent="0.25">
      <c r="H42" s="19" t="b">
        <v>1</v>
      </c>
      <c r="I42" s="19" t="b">
        <v>0</v>
      </c>
      <c r="J42" s="19" t="b">
        <v>1</v>
      </c>
      <c r="K42" s="19" t="b">
        <v>0</v>
      </c>
      <c r="L42" s="19" t="b">
        <v>1</v>
      </c>
      <c r="M42" s="19" t="b">
        <v>0</v>
      </c>
      <c r="N42" s="19" t="b">
        <v>1</v>
      </c>
      <c r="O42" s="19" t="b">
        <v>0</v>
      </c>
      <c r="P42" s="19" t="b">
        <v>1</v>
      </c>
      <c r="Q42" s="19" t="b">
        <v>0</v>
      </c>
      <c r="R42" s="19" t="b">
        <v>1</v>
      </c>
      <c r="S42" s="19" t="b">
        <v>0</v>
      </c>
      <c r="T42" s="19" t="b">
        <v>1</v>
      </c>
      <c r="U42" s="19" t="b">
        <v>0</v>
      </c>
      <c r="V42" s="19" t="b">
        <v>1</v>
      </c>
      <c r="W42" s="19" t="b">
        <v>0</v>
      </c>
      <c r="X42" s="19" t="b">
        <v>1</v>
      </c>
      <c r="Y42" s="19" t="b">
        <v>0</v>
      </c>
      <c r="AA42" s="19" t="b">
        <v>1</v>
      </c>
      <c r="AB42" s="19" t="b">
        <v>0</v>
      </c>
      <c r="AC42" s="19" t="b">
        <v>1</v>
      </c>
      <c r="AD42" s="19" t="b">
        <v>0</v>
      </c>
      <c r="AE42" s="19" t="b">
        <v>1</v>
      </c>
      <c r="AF42" s="19" t="b">
        <v>0</v>
      </c>
      <c r="AG42" s="19" t="b">
        <v>1</v>
      </c>
      <c r="AH42" s="19" t="b">
        <v>0</v>
      </c>
      <c r="AI42" s="19" t="b">
        <v>1</v>
      </c>
      <c r="AJ42" s="19" t="b">
        <v>0</v>
      </c>
      <c r="AK42" s="19" t="b">
        <v>1</v>
      </c>
      <c r="AL42" s="19" t="b">
        <v>0</v>
      </c>
      <c r="AM42" s="19" t="b">
        <v>1</v>
      </c>
      <c r="AN42" s="19" t="b">
        <v>0</v>
      </c>
      <c r="AO42" s="19" t="b">
        <v>1</v>
      </c>
      <c r="AP42" s="19" t="b">
        <v>0</v>
      </c>
      <c r="AQ42" s="19" t="b">
        <v>1</v>
      </c>
      <c r="AR42" s="19" t="b">
        <v>0</v>
      </c>
    </row>
    <row r="43" spans="6:44" x14ac:dyDescent="0.25">
      <c r="G43" s="29">
        <v>10228</v>
      </c>
      <c r="H43" s="24">
        <v>1.3635839999999899</v>
      </c>
      <c r="I43" s="24">
        <v>1.3635839999999899</v>
      </c>
      <c r="J43" s="24">
        <v>0</v>
      </c>
      <c r="K43" s="24">
        <v>0</v>
      </c>
      <c r="L43" s="24">
        <v>0.31011652756654001</v>
      </c>
      <c r="M43" s="24">
        <v>0.31011652756654001</v>
      </c>
      <c r="N43" s="24">
        <v>0</v>
      </c>
      <c r="O43" s="24">
        <v>0</v>
      </c>
      <c r="P43" s="24">
        <v>0</v>
      </c>
      <c r="Q43" s="24">
        <v>0</v>
      </c>
      <c r="R43" s="24">
        <v>0.164674455745699</v>
      </c>
      <c r="S43" s="24">
        <v>0.164674455745699</v>
      </c>
      <c r="T43" s="24">
        <v>-0.51034090327755999</v>
      </c>
      <c r="U43" s="24">
        <v>-0.51034090327755999</v>
      </c>
      <c r="V43" s="24">
        <v>4</v>
      </c>
      <c r="W43" s="24">
        <v>4</v>
      </c>
      <c r="X43" s="24">
        <v>38.6206099999999</v>
      </c>
      <c r="Y43" s="24">
        <v>38.6206099999999</v>
      </c>
      <c r="AA43" s="15">
        <v>1304.1937089999999</v>
      </c>
      <c r="AB43" s="15">
        <v>131.62972329999999</v>
      </c>
      <c r="AC43" s="15">
        <v>0</v>
      </c>
      <c r="AD43" s="15">
        <v>0</v>
      </c>
      <c r="AE43" s="15">
        <v>0.56431820888766704</v>
      </c>
      <c r="AF43" s="15">
        <v>4.8799928543307196</v>
      </c>
      <c r="AG43" s="15">
        <v>0</v>
      </c>
      <c r="AH43" s="15">
        <v>0</v>
      </c>
      <c r="AI43" s="15">
        <v>0</v>
      </c>
      <c r="AJ43" s="15">
        <v>0</v>
      </c>
      <c r="AK43" s="15">
        <v>0.26168927015042998</v>
      </c>
      <c r="AL43" s="15">
        <v>0.37794413694145401</v>
      </c>
      <c r="AM43" s="15">
        <v>19.5737514132841</v>
      </c>
      <c r="AN43" s="15">
        <v>-426.24770428881999</v>
      </c>
      <c r="AO43" s="15">
        <v>4</v>
      </c>
      <c r="AP43" s="15">
        <v>1</v>
      </c>
      <c r="AQ43" s="15">
        <v>28.318865105813501</v>
      </c>
      <c r="AR43" s="15">
        <v>28.3402595275079</v>
      </c>
    </row>
    <row r="44" spans="6:44" x14ac:dyDescent="0.25">
      <c r="G44" s="29">
        <v>10594</v>
      </c>
      <c r="J44" s="24">
        <v>0</v>
      </c>
      <c r="K44" s="24">
        <v>0</v>
      </c>
      <c r="L44" s="24">
        <v>2.3855117505118401E-2</v>
      </c>
      <c r="M44" s="24">
        <v>2.3855117505118401E-2</v>
      </c>
      <c r="N44" s="24">
        <v>0</v>
      </c>
      <c r="O44" s="24">
        <v>0</v>
      </c>
      <c r="P44" s="24">
        <v>0</v>
      </c>
      <c r="Q44" s="24">
        <v>0</v>
      </c>
      <c r="V44" s="24">
        <v>38.6206099999999</v>
      </c>
      <c r="W44" s="24">
        <v>38.6206099999999</v>
      </c>
      <c r="X44" s="24">
        <v>4</v>
      </c>
      <c r="Y44" s="24">
        <v>4</v>
      </c>
      <c r="AC44" s="15">
        <v>0</v>
      </c>
      <c r="AD44" s="15">
        <v>0</v>
      </c>
      <c r="AE44" s="15">
        <v>4.3409092991358998E-2</v>
      </c>
      <c r="AF44" s="15">
        <v>0.37538406571774702</v>
      </c>
      <c r="AG44" s="15">
        <v>0</v>
      </c>
      <c r="AH44" s="15">
        <v>0</v>
      </c>
      <c r="AI44" s="15">
        <v>0</v>
      </c>
      <c r="AJ44" s="15">
        <v>0</v>
      </c>
      <c r="AO44" s="15">
        <v>28.318865105813501</v>
      </c>
      <c r="AP44" s="15">
        <v>22.361906536944002</v>
      </c>
      <c r="AQ44" s="15">
        <v>4</v>
      </c>
      <c r="AR44" s="15">
        <v>4</v>
      </c>
    </row>
    <row r="45" spans="6:44" x14ac:dyDescent="0.25">
      <c r="G45" s="29">
        <v>10959</v>
      </c>
      <c r="J45" s="24">
        <v>0</v>
      </c>
      <c r="K45" s="24">
        <v>0</v>
      </c>
      <c r="L45" s="24">
        <v>2.4141926903770299E-2</v>
      </c>
      <c r="M45" s="24">
        <v>2.4141926903770299E-2</v>
      </c>
      <c r="N45" s="24">
        <v>0</v>
      </c>
      <c r="O45" s="24">
        <v>0</v>
      </c>
      <c r="P45" s="24">
        <v>0</v>
      </c>
      <c r="Q45" s="24">
        <v>0</v>
      </c>
      <c r="V45" s="25">
        <v>53.430489999999899</v>
      </c>
      <c r="W45" s="25">
        <v>53430.489999999903</v>
      </c>
      <c r="AC45" s="15">
        <v>0</v>
      </c>
      <c r="AD45" s="15">
        <v>0</v>
      </c>
      <c r="AE45" s="15">
        <v>4.4365049893919997E-2</v>
      </c>
      <c r="AF45" s="15">
        <v>0.45555033426424002</v>
      </c>
      <c r="AG45" s="15">
        <v>0</v>
      </c>
      <c r="AH45" s="15">
        <v>0</v>
      </c>
      <c r="AI45" s="15">
        <v>0</v>
      </c>
      <c r="AJ45" s="15">
        <v>0</v>
      </c>
      <c r="AO45" s="15">
        <v>63.251005609487301</v>
      </c>
      <c r="AP45" s="15">
        <v>2680417.8699999899</v>
      </c>
    </row>
    <row r="46" spans="6:44" x14ac:dyDescent="0.25">
      <c r="G46" s="29">
        <v>11324</v>
      </c>
      <c r="J46" s="24">
        <v>-0.29620469999999899</v>
      </c>
      <c r="K46" s="24">
        <v>-0.29620469999999899</v>
      </c>
      <c r="L46" s="24">
        <v>2.4141926903770301</v>
      </c>
      <c r="M46" s="24">
        <v>2.4141926903770301</v>
      </c>
      <c r="N46" s="24">
        <v>-0.35126773215048201</v>
      </c>
      <c r="O46" s="24">
        <v>-0.35126773215048201</v>
      </c>
      <c r="P46" s="24">
        <v>-0.29620469999999899</v>
      </c>
      <c r="Q46" s="24">
        <v>-0.29620469999999899</v>
      </c>
      <c r="AC46" s="15">
        <v>99.703795299999996</v>
      </c>
      <c r="AD46" s="15">
        <v>9.7037952999999995</v>
      </c>
      <c r="AE46" s="15">
        <v>4.4365049893919997</v>
      </c>
      <c r="AF46" s="15">
        <v>45.555033426424004</v>
      </c>
      <c r="AG46" s="15">
        <v>-2.9370286511924502E-3</v>
      </c>
      <c r="AH46" s="15">
        <v>2.37059837951093</v>
      </c>
      <c r="AI46" s="15">
        <v>-2.9327198019802798E-3</v>
      </c>
      <c r="AJ46" s="15">
        <v>9.7037952999999995</v>
      </c>
    </row>
    <row r="47" spans="6:44" x14ac:dyDescent="0.25">
      <c r="G47" s="29">
        <v>11689</v>
      </c>
      <c r="J47" s="24">
        <v>-0.12788008104060899</v>
      </c>
      <c r="K47" s="24">
        <v>-0.12788008104060899</v>
      </c>
      <c r="N47" s="24">
        <v>-0.13682834278598399</v>
      </c>
      <c r="O47" s="24">
        <v>-0.13682834278598399</v>
      </c>
      <c r="P47" s="24">
        <v>-0.12788008104060899</v>
      </c>
      <c r="Q47" s="24">
        <v>-0.12788008104060899</v>
      </c>
      <c r="AC47" s="15">
        <v>0.86031950376750099</v>
      </c>
      <c r="AD47" s="15">
        <v>0.80169268558414997</v>
      </c>
      <c r="AG47" s="15">
        <v>-6.8898428554977797E-2</v>
      </c>
      <c r="AH47" s="15">
        <v>0.58872660390110498</v>
      </c>
      <c r="AI47" s="15">
        <v>-6.6578515767608704E-2</v>
      </c>
      <c r="AJ47" s="15">
        <v>0.80169268558414997</v>
      </c>
    </row>
    <row r="48" spans="6:44" x14ac:dyDescent="0.25">
      <c r="G48" s="29">
        <v>12055</v>
      </c>
      <c r="J48" s="24">
        <v>0.504468519481864</v>
      </c>
      <c r="K48" s="24">
        <v>0.504468519481864</v>
      </c>
      <c r="N48" s="24">
        <v>0.408439692629675</v>
      </c>
      <c r="O48" s="24">
        <v>0.408439692629675</v>
      </c>
      <c r="P48" s="24">
        <v>0.504468519481864</v>
      </c>
      <c r="Q48" s="24">
        <v>0.504468519481864</v>
      </c>
      <c r="AC48" s="15">
        <v>1.06015708677312</v>
      </c>
      <c r="AD48" s="15">
        <v>1.0446101241321799</v>
      </c>
      <c r="AG48" s="15">
        <v>0.29504349311432099</v>
      </c>
      <c r="AH48" s="15">
        <v>0.71520712297293998</v>
      </c>
      <c r="AI48" s="15">
        <v>0.34318477670492498</v>
      </c>
      <c r="AJ48" s="15">
        <v>1.0446101241321799</v>
      </c>
    </row>
    <row r="49" spans="7:36" x14ac:dyDescent="0.25">
      <c r="G49" s="29">
        <v>12420</v>
      </c>
      <c r="J49" s="24">
        <v>-2.535731859876E-2</v>
      </c>
      <c r="K49" s="24">
        <v>-2.535731859876E-2</v>
      </c>
      <c r="N49" s="24">
        <v>-2.5684355768834499E-2</v>
      </c>
      <c r="O49" s="24">
        <v>-2.5684355768834499E-2</v>
      </c>
      <c r="P49" s="24">
        <v>-2.535731859876E-2</v>
      </c>
      <c r="Q49" s="24">
        <v>-2.535731859876E-2</v>
      </c>
      <c r="AC49" s="15">
        <v>0.233021856446324</v>
      </c>
      <c r="AD49" s="15">
        <v>0.22755296261038299</v>
      </c>
      <c r="AG49" s="15">
        <v>-2.0928695641764E-2</v>
      </c>
      <c r="AH49" s="15">
        <v>0.20502272648518099</v>
      </c>
      <c r="AI49" s="15">
        <v>-2.0711210361313001E-2</v>
      </c>
      <c r="AJ49" s="15">
        <v>0.22755296261038299</v>
      </c>
    </row>
    <row r="50" spans="7:36" x14ac:dyDescent="0.25">
      <c r="G50" s="29">
        <v>12785</v>
      </c>
      <c r="J50" s="24">
        <v>0.44592762498697203</v>
      </c>
      <c r="K50" s="24">
        <v>0.44592762498697203</v>
      </c>
      <c r="N50" s="24">
        <v>0.36875107060770601</v>
      </c>
      <c r="O50" s="24">
        <v>0.36875107060770601</v>
      </c>
      <c r="P50" s="24">
        <v>0.44592762498697203</v>
      </c>
      <c r="Q50" s="24">
        <v>0.44592762498697203</v>
      </c>
      <c r="AC50" s="15">
        <v>0.66906814704900197</v>
      </c>
      <c r="AD50" s="15">
        <v>0.66508522475302601</v>
      </c>
      <c r="AG50" s="15">
        <v>0.32153470421462099</v>
      </c>
      <c r="AH50" s="15">
        <v>0.50987630816030005</v>
      </c>
      <c r="AI50" s="15">
        <v>0.37924287073616397</v>
      </c>
      <c r="AJ50" s="15">
        <v>0.66508522475302601</v>
      </c>
    </row>
    <row r="51" spans="7:36" x14ac:dyDescent="0.25">
      <c r="G51" s="29">
        <v>13150</v>
      </c>
      <c r="J51" s="24">
        <v>0.356357645989896</v>
      </c>
      <c r="K51" s="24">
        <v>0.356357645989896</v>
      </c>
      <c r="N51" s="24">
        <v>0.30480290547210598</v>
      </c>
      <c r="O51" s="24">
        <v>0.30480290547210598</v>
      </c>
      <c r="P51" s="24">
        <v>0.356357645989896</v>
      </c>
      <c r="Q51" s="24">
        <v>0.356357645989896</v>
      </c>
      <c r="AC51" s="15">
        <v>0.48936581162112502</v>
      </c>
      <c r="AD51" s="15">
        <v>0.487263615401133</v>
      </c>
      <c r="AG51" s="15">
        <v>0.27976878788918502</v>
      </c>
      <c r="AH51" s="15">
        <v>0.39693793179343301</v>
      </c>
      <c r="AI51" s="15">
        <v>0.32282392406454402</v>
      </c>
      <c r="AJ51" s="15">
        <v>0.487263615401133</v>
      </c>
    </row>
    <row r="52" spans="7:36" x14ac:dyDescent="0.25">
      <c r="G52" s="29">
        <v>13516</v>
      </c>
      <c r="J52" s="24">
        <v>-0.30270338897782201</v>
      </c>
      <c r="K52" s="24">
        <v>-0.30270338897782201</v>
      </c>
      <c r="N52" s="24">
        <v>-0.36054440491013801</v>
      </c>
      <c r="O52" s="24">
        <v>-0.36054440491013801</v>
      </c>
      <c r="P52" s="24">
        <v>-0.30270338897782201</v>
      </c>
      <c r="Q52" s="24">
        <v>-0.30270338897782201</v>
      </c>
      <c r="AC52" s="15">
        <v>-0.22259530520872201</v>
      </c>
      <c r="AD52" s="15">
        <v>-0.22361906536944001</v>
      </c>
      <c r="AG52" s="15">
        <v>-0.33294258465955301</v>
      </c>
      <c r="AH52" s="15">
        <v>-0.25311198410604702</v>
      </c>
      <c r="AI52" s="15">
        <v>-0.28318865105813501</v>
      </c>
      <c r="AJ52" s="15">
        <v>-0.22361906536944001</v>
      </c>
    </row>
    <row r="53" spans="7:36" x14ac:dyDescent="0.25">
      <c r="G53" s="29">
        <v>13881</v>
      </c>
      <c r="J53" s="24">
        <v>0.193713222763466</v>
      </c>
      <c r="K53" s="24">
        <v>0.193713222763466</v>
      </c>
      <c r="N53" s="24">
        <v>0.177068804181963</v>
      </c>
      <c r="O53" s="24">
        <v>0.177068804181963</v>
      </c>
      <c r="P53" s="24">
        <v>0.193713222763466</v>
      </c>
      <c r="Q53" s="24">
        <v>0.193713222763466</v>
      </c>
      <c r="AC53" s="15">
        <v>0.306544927104003</v>
      </c>
      <c r="AD53" s="15">
        <v>0.30518278263976101</v>
      </c>
      <c r="AG53" s="15">
        <v>0.164165666763322</v>
      </c>
      <c r="AH53" s="15">
        <v>0.266343094292192</v>
      </c>
      <c r="AI53" s="15">
        <v>0.17840952221402301</v>
      </c>
      <c r="AJ53" s="15">
        <v>0.30518278263976101</v>
      </c>
    </row>
    <row r="54" spans="7:36" x14ac:dyDescent="0.25">
      <c r="G54" s="29">
        <v>14246</v>
      </c>
      <c r="J54" s="24">
        <v>2.32293295639181E-2</v>
      </c>
      <c r="K54" s="24">
        <v>2.32293295639181E-2</v>
      </c>
      <c r="N54" s="24">
        <v>2.2963635418116201E-2</v>
      </c>
      <c r="O54" s="24">
        <v>2.2963635418116201E-2</v>
      </c>
      <c r="P54" s="24">
        <v>2.32293295639181E-2</v>
      </c>
      <c r="Q54" s="24">
        <v>2.32293295639181E-2</v>
      </c>
      <c r="AC54" s="15">
        <v>0.106864212611692</v>
      </c>
      <c r="AD54" s="15">
        <v>0.105966346618644</v>
      </c>
      <c r="AG54" s="15">
        <v>2.1589209714984198E-2</v>
      </c>
      <c r="AH54" s="15">
        <v>0.100719474625126</v>
      </c>
      <c r="AI54" s="15">
        <v>2.1823942894184399E-2</v>
      </c>
      <c r="AJ54" s="15">
        <v>0.105966346618644</v>
      </c>
    </row>
    <row r="55" spans="7:36" x14ac:dyDescent="0.25">
      <c r="G55" s="29">
        <v>14611</v>
      </c>
      <c r="J55" s="24">
        <v>-9.2974527690676406E-2</v>
      </c>
      <c r="K55" s="24">
        <v>-9.2974527690676406E-2</v>
      </c>
      <c r="N55" s="24">
        <v>-9.7584745127588801E-2</v>
      </c>
      <c r="O55" s="24">
        <v>-9.7584745127588801E-2</v>
      </c>
      <c r="P55" s="24">
        <v>-9.2974527690676406E-2</v>
      </c>
      <c r="Q55" s="24">
        <v>-9.2974527690676406E-2</v>
      </c>
      <c r="AC55" s="15">
        <v>-1.9390019047677402E-2</v>
      </c>
      <c r="AD55" s="15">
        <v>-2.0121606521588599E-2</v>
      </c>
      <c r="AG55" s="15">
        <v>-9.2076915301279996E-2</v>
      </c>
      <c r="AH55" s="15">
        <v>-2.0326803304443301E-2</v>
      </c>
      <c r="AI55" s="15">
        <v>-8.79650025993646E-2</v>
      </c>
      <c r="AJ55" s="15">
        <v>-2.0121606521588599E-2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</vt:lpstr>
      <vt:lpstr>change with initial money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Garzarelli</dc:creator>
  <cp:lastModifiedBy>Federico Garzarelli</cp:lastModifiedBy>
  <dcterms:created xsi:type="dcterms:W3CDTF">2020-08-02T09:32:18Z</dcterms:created>
  <dcterms:modified xsi:type="dcterms:W3CDTF">2020-08-03T20:53:24Z</dcterms:modified>
</cp:coreProperties>
</file>