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ga\Desktop\portfolio-allocation\misc analysis\"/>
    </mc:Choice>
  </mc:AlternateContent>
  <xr:revisionPtr revIDLastSave="0" documentId="13_ncr:1_{E1CC1170-4524-4052-B1AB-58D908275DFB}" xr6:coauthVersionLast="45" xr6:coauthVersionMax="45" xr10:uidLastSave="{00000000-0000-0000-0000-000000000000}"/>
  <bookViews>
    <workbookView xWindow="-108" yWindow="-108" windowWidth="23256" windowHeight="12720" activeTab="1" xr2:uid="{161C5C75-020D-46B4-9A37-BBAEE0A65B1A}"/>
  </bookViews>
  <sheets>
    <sheet name="Daily from backtrader" sheetId="6" r:id="rId1"/>
    <sheet name="Daily calculated" sheetId="5" r:id="rId2"/>
    <sheet name="Yearly calculated" sheetId="2" r:id="rId3"/>
    <sheet name="Yearly from backtrader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5" l="1"/>
  <c r="N19" i="5"/>
  <c r="N18" i="5"/>
  <c r="G23" i="5"/>
  <c r="L18" i="5"/>
  <c r="L19" i="5"/>
  <c r="K19" i="5"/>
  <c r="K20" i="5"/>
  <c r="K21" i="5"/>
  <c r="K22" i="5"/>
  <c r="K23" i="5"/>
  <c r="K24" i="5"/>
  <c r="K26" i="5"/>
  <c r="K18" i="5"/>
  <c r="J19" i="5"/>
  <c r="J20" i="5"/>
  <c r="J21" i="5"/>
  <c r="J22" i="5"/>
  <c r="J23" i="5"/>
  <c r="J24" i="5"/>
  <c r="J25" i="5"/>
  <c r="J18" i="5"/>
  <c r="G25" i="5"/>
  <c r="L21" i="5" l="1"/>
  <c r="G22" i="5"/>
  <c r="H20" i="5"/>
  <c r="G20" i="5"/>
  <c r="G15" i="5"/>
  <c r="I15" i="5" s="1"/>
  <c r="H15" i="5"/>
  <c r="O15" i="5"/>
  <c r="P15" i="5"/>
  <c r="G16" i="5"/>
  <c r="H16" i="5"/>
  <c r="I16" i="5"/>
  <c r="P16" i="5"/>
  <c r="O16" i="5"/>
  <c r="B41" i="5"/>
  <c r="B40" i="5"/>
  <c r="B39" i="5"/>
  <c r="B38" i="5"/>
  <c r="B37" i="5"/>
  <c r="B36" i="5"/>
  <c r="B35" i="5"/>
  <c r="B34" i="5"/>
  <c r="B33" i="5"/>
  <c r="B32" i="5"/>
  <c r="D31" i="5"/>
  <c r="B31" i="5"/>
  <c r="D30" i="5"/>
  <c r="C30" i="5"/>
  <c r="D29" i="5"/>
  <c r="C29" i="5"/>
  <c r="P14" i="5"/>
  <c r="O14" i="5"/>
  <c r="H14" i="5"/>
  <c r="G14" i="5"/>
  <c r="I14" i="5" s="1"/>
  <c r="P13" i="5"/>
  <c r="O13" i="5"/>
  <c r="H13" i="5"/>
  <c r="G13" i="5"/>
  <c r="I13" i="5" s="1"/>
  <c r="P12" i="5"/>
  <c r="O12" i="5"/>
  <c r="H12" i="5"/>
  <c r="G12" i="5"/>
  <c r="I12" i="5" s="1"/>
  <c r="P11" i="5"/>
  <c r="O11" i="5"/>
  <c r="H11" i="5"/>
  <c r="G11" i="5"/>
  <c r="I11" i="5" s="1"/>
  <c r="P10" i="5"/>
  <c r="O10" i="5"/>
  <c r="H10" i="5"/>
  <c r="G10" i="5"/>
  <c r="D35" i="5" s="1"/>
  <c r="P9" i="5"/>
  <c r="O9" i="5"/>
  <c r="H9" i="5"/>
  <c r="G9" i="5"/>
  <c r="I9" i="5" s="1"/>
  <c r="P8" i="5"/>
  <c r="O8" i="5"/>
  <c r="P7" i="5"/>
  <c r="O7" i="5"/>
  <c r="P6" i="5"/>
  <c r="O6" i="5"/>
  <c r="G27" i="2"/>
  <c r="Q7" i="2"/>
  <c r="Q8" i="2"/>
  <c r="Q6" i="2"/>
  <c r="P6" i="2"/>
  <c r="P7" i="2"/>
  <c r="O6" i="2"/>
  <c r="Q16" i="2" s="1"/>
  <c r="O7" i="2"/>
  <c r="Q18" i="2" s="1"/>
  <c r="O8" i="2"/>
  <c r="Q14" i="2" s="1"/>
  <c r="N9" i="2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7" i="2"/>
  <c r="N8" i="2"/>
  <c r="P8" i="2" s="1"/>
  <c r="N6" i="2"/>
  <c r="M7" i="2"/>
  <c r="M8" i="2"/>
  <c r="M9" i="2"/>
  <c r="O9" i="2" s="1"/>
  <c r="Q9" i="2" s="1"/>
  <c r="M10" i="2"/>
  <c r="O10" i="2" s="1"/>
  <c r="M11" i="2"/>
  <c r="O11" i="2" s="1"/>
  <c r="M12" i="2"/>
  <c r="M13" i="2"/>
  <c r="O13" i="2" s="1"/>
  <c r="M14" i="2"/>
  <c r="O14" i="2" s="1"/>
  <c r="M15" i="2"/>
  <c r="M16" i="2"/>
  <c r="M17" i="2"/>
  <c r="M18" i="2"/>
  <c r="O18" i="2" s="1"/>
  <c r="M6" i="2"/>
  <c r="R9" i="2"/>
  <c r="P9" i="2"/>
  <c r="O12" i="2"/>
  <c r="O15" i="2"/>
  <c r="O16" i="2"/>
  <c r="O17" i="2"/>
  <c r="C32" i="5" l="1"/>
  <c r="R16" i="5"/>
  <c r="R15" i="5"/>
  <c r="K15" i="5"/>
  <c r="L15" i="5" s="1"/>
  <c r="Q15" i="5"/>
  <c r="Q16" i="5"/>
  <c r="K16" i="5"/>
  <c r="L16" i="5" s="1"/>
  <c r="H19" i="5" s="1"/>
  <c r="C38" i="5"/>
  <c r="D38" i="5"/>
  <c r="C37" i="5"/>
  <c r="C39" i="5"/>
  <c r="K9" i="5"/>
  <c r="L9" i="5" s="1"/>
  <c r="D39" i="5"/>
  <c r="D32" i="5"/>
  <c r="K13" i="5"/>
  <c r="L13" i="5" s="1"/>
  <c r="D37" i="5"/>
  <c r="K14" i="5"/>
  <c r="L14" i="5" s="1"/>
  <c r="K12" i="5"/>
  <c r="L12" i="5" s="1"/>
  <c r="D34" i="5"/>
  <c r="K10" i="5"/>
  <c r="L10" i="5" s="1"/>
  <c r="K11" i="5"/>
  <c r="L11" i="5" s="1"/>
  <c r="R12" i="5"/>
  <c r="R11" i="5"/>
  <c r="R9" i="5"/>
  <c r="R7" i="5"/>
  <c r="R13" i="5"/>
  <c r="R8" i="5"/>
  <c r="R14" i="5"/>
  <c r="R10" i="5"/>
  <c r="J9" i="5"/>
  <c r="Q12" i="5"/>
  <c r="C34" i="5"/>
  <c r="C36" i="5"/>
  <c r="D41" i="5"/>
  <c r="C41" i="5"/>
  <c r="D36" i="5"/>
  <c r="Q13" i="5"/>
  <c r="Q9" i="5"/>
  <c r="Q6" i="5"/>
  <c r="C31" i="5"/>
  <c r="E31" i="5" s="1"/>
  <c r="D33" i="5"/>
  <c r="C40" i="5"/>
  <c r="Q8" i="5"/>
  <c r="Q11" i="5"/>
  <c r="C35" i="5"/>
  <c r="D40" i="5"/>
  <c r="Q7" i="5"/>
  <c r="Q10" i="5"/>
  <c r="Q14" i="5"/>
  <c r="C33" i="5"/>
  <c r="I10" i="5"/>
  <c r="J15" i="5" s="1"/>
  <c r="R10" i="2"/>
  <c r="R11" i="2"/>
  <c r="R12" i="2"/>
  <c r="R13" i="2"/>
  <c r="Q15" i="2"/>
  <c r="Q13" i="2"/>
  <c r="Q12" i="2"/>
  <c r="Q11" i="2"/>
  <c r="Q10" i="2"/>
  <c r="Q17" i="2"/>
  <c r="R18" i="2"/>
  <c r="R16" i="2"/>
  <c r="R17" i="2"/>
  <c r="R15" i="2"/>
  <c r="R14" i="2"/>
  <c r="D32" i="2"/>
  <c r="D33" i="2"/>
  <c r="D31" i="2"/>
  <c r="C32" i="2"/>
  <c r="C31" i="2"/>
  <c r="J16" i="5" l="1"/>
  <c r="G19" i="5" s="1"/>
  <c r="E32" i="5"/>
  <c r="E33" i="5" s="1"/>
  <c r="J12" i="5"/>
  <c r="J11" i="5"/>
  <c r="J10" i="5"/>
  <c r="J13" i="5"/>
  <c r="J14" i="5"/>
  <c r="B43" i="2"/>
  <c r="B42" i="2"/>
  <c r="B41" i="2"/>
  <c r="B40" i="2"/>
  <c r="B39" i="2"/>
  <c r="B38" i="2"/>
  <c r="B37" i="2"/>
  <c r="B36" i="2"/>
  <c r="B35" i="2"/>
  <c r="B34" i="2"/>
  <c r="B33" i="2"/>
  <c r="H10" i="2"/>
  <c r="H11" i="2"/>
  <c r="H12" i="2"/>
  <c r="H13" i="2"/>
  <c r="H14" i="2"/>
  <c r="H15" i="2"/>
  <c r="H16" i="2"/>
  <c r="H17" i="2"/>
  <c r="H18" i="2"/>
  <c r="H9" i="2"/>
  <c r="G10" i="2"/>
  <c r="G11" i="2"/>
  <c r="G12" i="2"/>
  <c r="G13" i="2"/>
  <c r="G14" i="2"/>
  <c r="G15" i="2"/>
  <c r="G16" i="2"/>
  <c r="G17" i="2"/>
  <c r="G18" i="2"/>
  <c r="G9" i="2"/>
  <c r="F32" i="5" l="1"/>
  <c r="G32" i="5" s="1"/>
  <c r="H32" i="5" s="1"/>
  <c r="F33" i="5"/>
  <c r="G33" i="5" s="1"/>
  <c r="E34" i="5"/>
  <c r="G24" i="2"/>
  <c r="G25" i="2"/>
  <c r="K12" i="2"/>
  <c r="L12" i="2" s="1"/>
  <c r="I17" i="2"/>
  <c r="D42" i="2"/>
  <c r="C40" i="2"/>
  <c r="C41" i="2"/>
  <c r="C42" i="2"/>
  <c r="C43" i="2"/>
  <c r="C33" i="2"/>
  <c r="E33" i="2" s="1"/>
  <c r="E34" i="2" s="1"/>
  <c r="C35" i="2"/>
  <c r="C36" i="2"/>
  <c r="C37" i="2"/>
  <c r="C38" i="2"/>
  <c r="C34" i="2"/>
  <c r="C39" i="2"/>
  <c r="I9" i="2"/>
  <c r="J9" i="2" s="1"/>
  <c r="D34" i="2"/>
  <c r="I18" i="2"/>
  <c r="D43" i="2"/>
  <c r="I16" i="2"/>
  <c r="D41" i="2"/>
  <c r="I15" i="2"/>
  <c r="D40" i="2"/>
  <c r="I14" i="2"/>
  <c r="D39" i="2"/>
  <c r="I13" i="2"/>
  <c r="D38" i="2"/>
  <c r="I12" i="2"/>
  <c r="D37" i="2"/>
  <c r="I11" i="2"/>
  <c r="D36" i="2"/>
  <c r="I10" i="2"/>
  <c r="D35" i="2"/>
  <c r="K9" i="2"/>
  <c r="L9" i="2" s="1"/>
  <c r="K15" i="2"/>
  <c r="L15" i="2" s="1"/>
  <c r="K11" i="2"/>
  <c r="L11" i="2" s="1"/>
  <c r="K18" i="2"/>
  <c r="L18" i="2" s="1"/>
  <c r="H21" i="2" s="1"/>
  <c r="K14" i="2"/>
  <c r="L14" i="2" s="1"/>
  <c r="K10" i="2"/>
  <c r="L10" i="2" s="1"/>
  <c r="K17" i="2"/>
  <c r="L17" i="2" s="1"/>
  <c r="K13" i="2"/>
  <c r="L13" i="2" s="1"/>
  <c r="K16" i="2"/>
  <c r="L16" i="2" s="1"/>
  <c r="H33" i="5" l="1"/>
  <c r="E35" i="5"/>
  <c r="F34" i="5"/>
  <c r="G34" i="5" s="1"/>
  <c r="J16" i="2"/>
  <c r="J10" i="2"/>
  <c r="J12" i="2"/>
  <c r="J14" i="2"/>
  <c r="J17" i="2"/>
  <c r="J13" i="2"/>
  <c r="E35" i="2"/>
  <c r="F34" i="2"/>
  <c r="G34" i="2" s="1"/>
  <c r="J15" i="2"/>
  <c r="J11" i="2"/>
  <c r="J18" i="2"/>
  <c r="G21" i="2" s="1"/>
  <c r="G22" i="2" s="1"/>
  <c r="H22" i="2"/>
  <c r="F35" i="5" l="1"/>
  <c r="G35" i="5" s="1"/>
  <c r="H35" i="5" s="1"/>
  <c r="E36" i="5"/>
  <c r="H34" i="5"/>
  <c r="H34" i="2"/>
  <c r="E36" i="2"/>
  <c r="F35" i="2"/>
  <c r="G35" i="2" s="1"/>
  <c r="H35" i="2" s="1"/>
  <c r="F36" i="5" l="1"/>
  <c r="G36" i="5" s="1"/>
  <c r="E37" i="5"/>
  <c r="E37" i="2"/>
  <c r="F36" i="2"/>
  <c r="G36" i="2" s="1"/>
  <c r="H36" i="5" l="1"/>
  <c r="E38" i="5"/>
  <c r="F37" i="5"/>
  <c r="G37" i="5" s="1"/>
  <c r="H37" i="5" s="1"/>
  <c r="E38" i="2"/>
  <c r="F37" i="2"/>
  <c r="G37" i="2" s="1"/>
  <c r="H37" i="2" s="1"/>
  <c r="H36" i="2"/>
  <c r="F38" i="5" l="1"/>
  <c r="G38" i="5" s="1"/>
  <c r="H38" i="5" s="1"/>
  <c r="E39" i="5"/>
  <c r="E39" i="2"/>
  <c r="F38" i="2"/>
  <c r="G38" i="2" s="1"/>
  <c r="E40" i="5" l="1"/>
  <c r="F39" i="5"/>
  <c r="G39" i="5" s="1"/>
  <c r="H39" i="5" s="1"/>
  <c r="H38" i="2"/>
  <c r="E40" i="2"/>
  <c r="F39" i="2"/>
  <c r="G39" i="2" s="1"/>
  <c r="H39" i="2" s="1"/>
  <c r="F40" i="5" l="1"/>
  <c r="G40" i="5" s="1"/>
  <c r="H40" i="5" s="1"/>
  <c r="E41" i="5"/>
  <c r="F41" i="5" s="1"/>
  <c r="G41" i="5" s="1"/>
  <c r="H41" i="5" s="1"/>
  <c r="F44" i="5" s="1"/>
  <c r="F45" i="5" s="1"/>
  <c r="E41" i="2"/>
  <c r="F40" i="2"/>
  <c r="G40" i="2" s="1"/>
  <c r="F48" i="5" l="1"/>
  <c r="F47" i="5"/>
  <c r="H40" i="2"/>
  <c r="E42" i="2"/>
  <c r="F41" i="2"/>
  <c r="G41" i="2" s="1"/>
  <c r="E43" i="2" l="1"/>
  <c r="F43" i="2" s="1"/>
  <c r="G43" i="2" s="1"/>
  <c r="F42" i="2"/>
  <c r="G42" i="2" s="1"/>
  <c r="H41" i="2"/>
  <c r="H43" i="2" l="1"/>
  <c r="F46" i="2" s="1"/>
  <c r="F47" i="2" s="1"/>
  <c r="F49" i="2" s="1"/>
  <c r="H42" i="2"/>
  <c r="F50" i="2"/>
</calcChain>
</file>

<file path=xl/sharedStrings.xml><?xml version="1.0" encoding="utf-8"?>
<sst xmlns="http://schemas.openxmlformats.org/spreadsheetml/2006/main" count="274" uniqueCount="57">
  <si>
    <t>DATE</t>
  </si>
  <si>
    <t>open</t>
  </si>
  <si>
    <t>high</t>
  </si>
  <si>
    <t>low</t>
  </si>
  <si>
    <t>close</t>
  </si>
  <si>
    <t>volume</t>
  </si>
  <si>
    <t>Changes with</t>
  </si>
  <si>
    <t>Initial money</t>
  </si>
  <si>
    <t>Monthly money</t>
  </si>
  <si>
    <t>total return</t>
  </si>
  <si>
    <t>annual returns</t>
  </si>
  <si>
    <t>returns</t>
  </si>
  <si>
    <t>logreturns</t>
  </si>
  <si>
    <t>period returns</t>
  </si>
  <si>
    <t>sharpe ratio</t>
  </si>
  <si>
    <t>vwr</t>
  </si>
  <si>
    <t>equity returns yearly</t>
  </si>
  <si>
    <t>drawdown</t>
  </si>
  <si>
    <t>TimeDrawdown</t>
  </si>
  <si>
    <t>Timedrawdown</t>
  </si>
  <si>
    <t>Fund  True/False (no monthly money)</t>
  </si>
  <si>
    <t>No</t>
  </si>
  <si>
    <t>Yes</t>
  </si>
  <si>
    <t>Initial money  (fund true)</t>
  </si>
  <si>
    <t>Monthly money  (fund true)</t>
  </si>
  <si>
    <t>Monthly money  (fund False)</t>
  </si>
  <si>
    <t>Fund Flag (no monthly)</t>
  </si>
  <si>
    <t>Fund Flag (monthly)</t>
  </si>
  <si>
    <t>I don't know</t>
  </si>
  <si>
    <t>Problems?</t>
  </si>
  <si>
    <t>Calculated</t>
  </si>
  <si>
    <t>Returns</t>
  </si>
  <si>
    <t>Logret</t>
  </si>
  <si>
    <t>annualized ret</t>
  </si>
  <si>
    <t>tot ret</t>
  </si>
  <si>
    <t>SR (r=0%)</t>
  </si>
  <si>
    <t>SR (r=1%)</t>
  </si>
  <si>
    <t>pct</t>
  </si>
  <si>
    <t>logret</t>
  </si>
  <si>
    <t>Money</t>
  </si>
  <si>
    <t>Running sum</t>
  </si>
  <si>
    <t>total ret</t>
  </si>
  <si>
    <t>Match with Excel metrics</t>
  </si>
  <si>
    <t>logrets</t>
  </si>
  <si>
    <t>initial money 1m (fund true, no monthly)</t>
  </si>
  <si>
    <t>yes</t>
  </si>
  <si>
    <t>drowdown</t>
  </si>
  <si>
    <t>OrderedDict([(datetime.datetime(2019, 2, 7, 0, 0), -0.009399013896574016),</t>
  </si>
  <si>
    <t xml:space="preserve">             (datetime.datetime(2019, 2, 8, 0, 0), 0.0006758152048207056),</t>
  </si>
  <si>
    <t xml:space="preserve">             (datetime.datetime(2019, 2, 11, 0, 0), 0.0007086868909718171),</t>
  </si>
  <si>
    <t xml:space="preserve">             (datetime.datetime(2019, 2, 12, 0, 0), 0.012804893098913972),</t>
  </si>
  <si>
    <t xml:space="preserve">             (datetime.datetime(2019, 2, 13, 0, 0), 0.0030187394455014303),</t>
  </si>
  <si>
    <t xml:space="preserve">             (datetime.datetime(2019, 2, 14, 0, 0), -0.0026545548555742225),</t>
  </si>
  <si>
    <t xml:space="preserve">             (datetime.datetime(2019, 2, 15, 0, 0), 0.010817534992512602),</t>
  </si>
  <si>
    <t xml:space="preserve">             (datetime.datetime(2019, 2, 18, 0, 0), 0.0),</t>
  </si>
  <si>
    <t xml:space="preserve">             (datetime.datetime(2019, 2, 19, 0, 0), 0.0014972815135696387)])</t>
  </si>
  <si>
    <t>SR (r=1%) logret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</si>
</sst>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0.000000"/>
    <numFmt numFmtId="166" formatCode="_-* #,##0_-;\-* #,##0_-;_-* &quot;-&quot;??_-;_-@_-"/>
    <numFmt numFmtId="167" formatCode="0.00000000000000"/>
    <numFmt numFmtId="169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164" fontId="0" fillId="0" borderId="0" xfId="1" applyNumberFormat="1" applyFont="1"/>
    <xf numFmtId="43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2" xfId="0" applyFill="1" applyBorder="1"/>
    <xf numFmtId="0" fontId="3" fillId="0" borderId="0" xfId="0" applyFont="1" applyFill="1"/>
    <xf numFmtId="0" fontId="0" fillId="3" borderId="3" xfId="0" applyFill="1" applyBorder="1"/>
    <xf numFmtId="0" fontId="0" fillId="3" borderId="0" xfId="0" applyFill="1" applyBorder="1"/>
    <xf numFmtId="0" fontId="0" fillId="0" borderId="3" xfId="0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Fill="1" applyBorder="1"/>
    <xf numFmtId="14" fontId="0" fillId="0" borderId="0" xfId="0" applyNumberFormat="1" applyFill="1"/>
    <xf numFmtId="0" fontId="3" fillId="7" borderId="0" xfId="0" applyFont="1" applyFill="1"/>
    <xf numFmtId="9" fontId="0" fillId="0" borderId="0" xfId="2" applyFont="1"/>
    <xf numFmtId="43" fontId="0" fillId="0" borderId="0" xfId="1" applyFont="1"/>
    <xf numFmtId="166" fontId="0" fillId="0" borderId="0" xfId="1" applyNumberFormat="1" applyFont="1"/>
    <xf numFmtId="43" fontId="0" fillId="0" borderId="0" xfId="1" applyNumberFormat="1" applyFont="1"/>
    <xf numFmtId="9" fontId="0" fillId="7" borderId="0" xfId="0" applyNumberFormat="1" applyFill="1"/>
    <xf numFmtId="0" fontId="0" fillId="0" borderId="0" xfId="0" applyFont="1" applyFill="1"/>
    <xf numFmtId="10" fontId="0" fillId="4" borderId="0" xfId="2" applyNumberFormat="1" applyFont="1" applyFill="1"/>
    <xf numFmtId="10" fontId="0" fillId="0" borderId="0" xfId="2" applyNumberFormat="1" applyFont="1" applyFill="1"/>
    <xf numFmtId="10" fontId="0" fillId="5" borderId="0" xfId="2" applyNumberFormat="1" applyFont="1" applyFill="1"/>
    <xf numFmtId="10" fontId="0" fillId="3" borderId="1" xfId="2" applyNumberFormat="1" applyFont="1" applyFill="1" applyBorder="1"/>
    <xf numFmtId="10" fontId="0" fillId="3" borderId="2" xfId="2" applyNumberFormat="1" applyFont="1" applyFill="1" applyBorder="1"/>
    <xf numFmtId="10" fontId="0" fillId="0" borderId="0" xfId="0" applyNumberFormat="1"/>
    <xf numFmtId="10" fontId="3" fillId="7" borderId="0" xfId="2" applyNumberFormat="1" applyFont="1" applyFill="1"/>
    <xf numFmtId="43" fontId="0" fillId="2" borderId="0" xfId="1" applyFont="1" applyFill="1"/>
    <xf numFmtId="0" fontId="2" fillId="0" borderId="0" xfId="0" applyFont="1" applyFill="1"/>
    <xf numFmtId="10" fontId="2" fillId="0" borderId="0" xfId="2" applyNumberFormat="1" applyFont="1" applyFill="1"/>
    <xf numFmtId="10" fontId="4" fillId="4" borderId="0" xfId="2" applyNumberFormat="1" applyFont="1" applyFill="1"/>
    <xf numFmtId="14" fontId="0" fillId="0" borderId="0" xfId="0" applyNumberForma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0" borderId="0" xfId="0" applyFont="1" applyFill="1"/>
    <xf numFmtId="165" fontId="0" fillId="0" borderId="0" xfId="0" applyNumberFormat="1"/>
    <xf numFmtId="167" fontId="0" fillId="0" borderId="0" xfId="0" applyNumberFormat="1"/>
    <xf numFmtId="14" fontId="2" fillId="0" borderId="0" xfId="2" applyNumberFormat="1" applyFont="1" applyFill="1"/>
    <xf numFmtId="10" fontId="0" fillId="0" borderId="0" xfId="2" applyNumberFormat="1" applyFont="1"/>
    <xf numFmtId="0" fontId="0" fillId="0" borderId="0" xfId="0" applyAlignment="1"/>
    <xf numFmtId="169" fontId="3" fillId="7" borderId="0" xfId="1" applyNumberFormat="1" applyFont="1" applyFill="1"/>
    <xf numFmtId="169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calculated'!$E$8:$E$16</c:f>
              <c:numCache>
                <c:formatCode>General</c:formatCode>
                <c:ptCount val="9"/>
                <c:pt idx="0">
                  <c:v>2731.610107</c:v>
                </c:pt>
                <c:pt idx="1">
                  <c:v>2706.0500489999999</c:v>
                </c:pt>
                <c:pt idx="2">
                  <c:v>2707.8798829999901</c:v>
                </c:pt>
                <c:pt idx="3">
                  <c:v>2709.8000489999999</c:v>
                </c:pt>
                <c:pt idx="4">
                  <c:v>2744.7299800000001</c:v>
                </c:pt>
                <c:pt idx="5">
                  <c:v>2753.030029</c:v>
                </c:pt>
                <c:pt idx="6">
                  <c:v>2745.7299800000001</c:v>
                </c:pt>
                <c:pt idx="7">
                  <c:v>2775.6000979999999</c:v>
                </c:pt>
                <c:pt idx="8">
                  <c:v>2779.76001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D-422E-960C-6D8A20C7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37104"/>
        <c:axId val="413136776"/>
      </c:lineChart>
      <c:catAx>
        <c:axId val="4131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6776"/>
        <c:crosses val="autoZero"/>
        <c:auto val="1"/>
        <c:lblAlgn val="ctr"/>
        <c:lblOffset val="100"/>
        <c:noMultiLvlLbl val="0"/>
      </c:catAx>
      <c:valAx>
        <c:axId val="4131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calculated'!$E$31:$E$41</c:f>
              <c:numCache>
                <c:formatCode>_-* #,##0_-;\-* #,##0_-;_-* "-"??_-;_-@_-</c:formatCode>
                <c:ptCount val="11"/>
                <c:pt idx="0">
                  <c:v>1100000</c:v>
                </c:pt>
                <c:pt idx="1">
                  <c:v>2100000</c:v>
                </c:pt>
                <c:pt idx="2">
                  <c:v>3100000</c:v>
                </c:pt>
                <c:pt idx="3">
                  <c:v>4070992.8662231299</c:v>
                </c:pt>
                <c:pt idx="4">
                  <c:v>5073745.6760475766</c:v>
                </c:pt>
                <c:pt idx="5">
                  <c:v>6077343.4847986242</c:v>
                </c:pt>
                <c:pt idx="6">
                  <c:v>7155681.8067222852</c:v>
                </c:pt>
                <c:pt idx="7">
                  <c:v>8177320.5508089447</c:v>
                </c:pt>
                <c:pt idx="8">
                  <c:v>9155637.2273141779</c:v>
                </c:pt>
                <c:pt idx="9">
                  <c:v>10255239.142410383</c:v>
                </c:pt>
                <c:pt idx="10">
                  <c:v>11270609.113178911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C-4797-AB34-AE90B794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89224"/>
        <c:axId val="540790208"/>
      </c:lineChart>
      <c:catAx>
        <c:axId val="54078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0208"/>
        <c:crosses val="autoZero"/>
        <c:auto val="1"/>
        <c:lblAlgn val="ctr"/>
        <c:lblOffset val="100"/>
        <c:noMultiLvlLbl val="0"/>
      </c:catAx>
      <c:valAx>
        <c:axId val="540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'Yearly calculated'!$E$6:$E$18</c:f>
              <c:numCache>
                <c:formatCode>_(* #,##0.00_);_(* \(#,##0.00\);_(* "-"??_);_(@_)</c:formatCode>
                <c:ptCount val="13"/>
                <c:pt idx="0">
                  <c:v>8974.4599999999991</c:v>
                </c:pt>
                <c:pt idx="1">
                  <c:v>8672.08</c:v>
                </c:pt>
                <c:pt idx="2">
                  <c:v>6682.37</c:v>
                </c:pt>
                <c:pt idx="3">
                  <c:v>3989.6</c:v>
                </c:pt>
                <c:pt idx="4">
                  <c:v>3460.18</c:v>
                </c:pt>
                <c:pt idx="5">
                  <c:v>5281.59</c:v>
                </c:pt>
                <c:pt idx="6">
                  <c:v>5143.8500000000004</c:v>
                </c:pt>
                <c:pt idx="7">
                  <c:v>7504.69</c:v>
                </c:pt>
                <c:pt idx="8">
                  <c:v>10232.629999999999</c:v>
                </c:pt>
                <c:pt idx="9">
                  <c:v>7089.66</c:v>
                </c:pt>
                <c:pt idx="10">
                  <c:v>8492.15</c:v>
                </c:pt>
                <c:pt idx="11">
                  <c:v>8692.91</c:v>
                </c:pt>
                <c:pt idx="12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B-4F76-9084-D7B4FB16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37104"/>
        <c:axId val="413136776"/>
      </c:lineChart>
      <c:catAx>
        <c:axId val="4131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6776"/>
        <c:crosses val="autoZero"/>
        <c:auto val="1"/>
        <c:lblAlgn val="ctr"/>
        <c:lblOffset val="100"/>
        <c:noMultiLvlLbl val="0"/>
      </c:catAx>
      <c:valAx>
        <c:axId val="4131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'Yearly calculated'!$E$33:$E$43</c:f>
              <c:numCache>
                <c:formatCode>_-* #,##0_-;\-* #,##0_-;_-* "-"??_-;_-@_-</c:formatCode>
                <c:ptCount val="11"/>
                <c:pt idx="0">
                  <c:v>1100000</c:v>
                </c:pt>
                <c:pt idx="1">
                  <c:v>1656737.0558649101</c:v>
                </c:pt>
                <c:pt idx="2">
                  <c:v>2436888.0153305205</c:v>
                </c:pt>
                <c:pt idx="3">
                  <c:v>4719645.6175370999</c:v>
                </c:pt>
                <c:pt idx="4">
                  <c:v>5596560.7155739488</c:v>
                </c:pt>
                <c:pt idx="5">
                  <c:v>9165178.4629335329</c:v>
                </c:pt>
                <c:pt idx="6">
                  <c:v>13496702.741241485</c:v>
                </c:pt>
                <c:pt idx="7">
                  <c:v>10351167.154140247</c:v>
                </c:pt>
                <c:pt idx="8">
                  <c:v>13398854.690920593</c:v>
                </c:pt>
                <c:pt idx="9">
                  <c:v>14715612.41043205</c:v>
                </c:pt>
                <c:pt idx="10">
                  <c:v>14323768.192114221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9-4A77-A87D-1023766A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89224"/>
        <c:axId val="540790208"/>
      </c:lineChart>
      <c:catAx>
        <c:axId val="54078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0208"/>
        <c:crosses val="autoZero"/>
        <c:auto val="1"/>
        <c:lblAlgn val="ctr"/>
        <c:lblOffset val="100"/>
        <c:noMultiLvlLbl val="0"/>
      </c:catAx>
      <c:valAx>
        <c:axId val="540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390525</xdr:colOff>
      <xdr:row>5</xdr:row>
      <xdr:rowOff>176213</xdr:rowOff>
    </xdr:from>
    <xdr:to>
      <xdr:col>26</xdr:col>
      <xdr:colOff>85725</xdr:colOff>
      <xdr:row>21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B5F28-1FA0-40E6-BAE8-3BFCF492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166688</xdr:rowOff>
    </xdr:from>
    <xdr:to>
      <xdr:col>18</xdr:col>
      <xdr:colOff>104775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BC839-6ED4-448D-85AA-0A8601C9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161925</xdr:rowOff>
    </xdr:from>
    <xdr:to>
      <xdr:col>2</xdr:col>
      <xdr:colOff>723900</xdr:colOff>
      <xdr:row>18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BE5B7-E62A-4440-AE41-0FEECFF7886B}"/>
            </a:ext>
          </a:extLst>
        </xdr:cNvPr>
        <xdr:cNvSpPr txBox="1"/>
      </xdr:nvSpPr>
      <xdr:spPr>
        <a:xfrm>
          <a:off x="1644015" y="161925"/>
          <a:ext cx="1160145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--historic</a:t>
          </a:r>
        </a:p>
        <a:p>
          <a:r>
            <a:rPr lang="en-GB" sz="1100"/>
            <a:t>"medium"</a:t>
          </a:r>
        </a:p>
        <a:p>
          <a:r>
            <a:rPr lang="en-GB" sz="1100"/>
            <a:t>--strategy</a:t>
          </a:r>
        </a:p>
        <a:p>
          <a:r>
            <a:rPr lang="en-GB" sz="1100"/>
            <a:t>onlystocks</a:t>
          </a:r>
        </a:p>
        <a:p>
          <a:r>
            <a:rPr lang="en-GB" sz="1100"/>
            <a:t>--initial_cash</a:t>
          </a:r>
        </a:p>
        <a:p>
          <a:r>
            <a:rPr lang="en-GB" sz="1100"/>
            <a:t>1000000</a:t>
          </a:r>
        </a:p>
        <a:p>
          <a:r>
            <a:rPr lang="en-GB" sz="1100"/>
            <a:t>--monthly_cash</a:t>
          </a:r>
        </a:p>
        <a:p>
          <a:r>
            <a:rPr lang="en-GB" sz="1100"/>
            <a:t>0</a:t>
          </a:r>
        </a:p>
        <a:p>
          <a:r>
            <a:rPr lang="en-GB" sz="1100"/>
            <a:t>--startdate</a:t>
          </a:r>
        </a:p>
        <a:p>
          <a:r>
            <a:rPr lang="en-GB" sz="1100"/>
            <a:t>"2019-02-04"</a:t>
          </a:r>
        </a:p>
        <a:p>
          <a:r>
            <a:rPr lang="en-GB" sz="1100"/>
            <a:t>--enddate</a:t>
          </a:r>
        </a:p>
        <a:p>
          <a:r>
            <a:rPr lang="en-GB" sz="1100"/>
            <a:t>"2019-02-19"</a:t>
          </a:r>
        </a:p>
        <a:p>
          <a:r>
            <a:rPr lang="en-GB" sz="1100"/>
            <a:t>--create_report</a:t>
          </a:r>
        </a:p>
        <a:p>
          <a:r>
            <a:rPr lang="en-GB" sz="1100"/>
            <a:t>--report_name</a:t>
          </a:r>
        </a:p>
        <a:p>
          <a:r>
            <a:rPr lang="en-GB" sz="1100"/>
            <a:t>example</a:t>
          </a:r>
        </a:p>
        <a:p>
          <a:r>
            <a:rPr lang="en-GB" sz="1100"/>
            <a:t>--system</a:t>
          </a:r>
        </a:p>
        <a:p>
          <a:r>
            <a:rPr lang="en-GB" sz="1100"/>
            <a:t>windows</a:t>
          </a:r>
        </a:p>
        <a:p>
          <a:r>
            <a:rPr lang="en-GB" sz="1100"/>
            <a:t>--leverage</a:t>
          </a:r>
        </a:p>
        <a:p>
          <a:r>
            <a:rPr lang="en-GB" sz="1100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13</xdr:row>
      <xdr:rowOff>14288</xdr:rowOff>
    </xdr:from>
    <xdr:to>
      <xdr:col>19</xdr:col>
      <xdr:colOff>409575</xdr:colOff>
      <xdr:row>28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D27F-5A92-4BC7-B2F5-ED45ED8C1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28</xdr:row>
      <xdr:rowOff>166688</xdr:rowOff>
    </xdr:from>
    <xdr:to>
      <xdr:col>18</xdr:col>
      <xdr:colOff>104775</xdr:colOff>
      <xdr:row>44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01304-5FE4-469F-93A7-BE57274B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161925</xdr:rowOff>
    </xdr:from>
    <xdr:to>
      <xdr:col>2</xdr:col>
      <xdr:colOff>723900</xdr:colOff>
      <xdr:row>20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6813E5-7356-4231-94DB-CFCC2C4B00F2}"/>
            </a:ext>
          </a:extLst>
        </xdr:cNvPr>
        <xdr:cNvSpPr txBox="1"/>
      </xdr:nvSpPr>
      <xdr:spPr>
        <a:xfrm>
          <a:off x="1647825" y="161925"/>
          <a:ext cx="1162050" cy="358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--historic</a:t>
          </a:r>
        </a:p>
        <a:p>
          <a:r>
            <a:rPr lang="en-GB" sz="1100"/>
            <a:t>"long"</a:t>
          </a:r>
        </a:p>
        <a:p>
          <a:r>
            <a:rPr lang="en-GB" sz="1100"/>
            <a:t>--strategy</a:t>
          </a:r>
        </a:p>
        <a:p>
          <a:r>
            <a:rPr lang="en-GB" sz="1100"/>
            <a:t>onlystocks</a:t>
          </a:r>
        </a:p>
        <a:p>
          <a:r>
            <a:rPr lang="en-GB" sz="1100"/>
            <a:t>--initial_cash</a:t>
          </a:r>
        </a:p>
        <a:p>
          <a:r>
            <a:rPr lang="en-GB" sz="1100"/>
            <a:t>1000000</a:t>
          </a:r>
        </a:p>
        <a:p>
          <a:r>
            <a:rPr lang="en-GB" sz="1100"/>
            <a:t>--monthly_cash</a:t>
          </a:r>
        </a:p>
        <a:p>
          <a:r>
            <a:rPr lang="en-GB" sz="1100"/>
            <a:t>0</a:t>
          </a:r>
        </a:p>
        <a:p>
          <a:r>
            <a:rPr lang="en-GB" sz="1100"/>
            <a:t>--startdate</a:t>
          </a:r>
        </a:p>
        <a:p>
          <a:r>
            <a:rPr lang="en-GB" sz="1100"/>
            <a:t>"1928-01-01"</a:t>
          </a:r>
        </a:p>
        <a:p>
          <a:r>
            <a:rPr lang="en-GB" sz="1100"/>
            <a:t>--enddate</a:t>
          </a:r>
        </a:p>
        <a:p>
          <a:r>
            <a:rPr lang="en-GB" sz="1100"/>
            <a:t>"1940-01-01"</a:t>
          </a:r>
        </a:p>
        <a:p>
          <a:r>
            <a:rPr lang="en-GB" sz="1100"/>
            <a:t>--create_report</a:t>
          </a:r>
        </a:p>
        <a:p>
          <a:r>
            <a:rPr lang="en-GB" sz="1100"/>
            <a:t>--report_name</a:t>
          </a:r>
        </a:p>
        <a:p>
          <a:r>
            <a:rPr lang="en-GB" sz="1100"/>
            <a:t>example</a:t>
          </a:r>
        </a:p>
        <a:p>
          <a:r>
            <a:rPr lang="en-GB" sz="1100"/>
            <a:t>--system</a:t>
          </a:r>
        </a:p>
        <a:p>
          <a:r>
            <a:rPr lang="en-GB" sz="1100"/>
            <a:t>windows</a:t>
          </a:r>
        </a:p>
        <a:p>
          <a:r>
            <a:rPr lang="en-GB" sz="1100"/>
            <a:t>--leverage</a:t>
          </a:r>
        </a:p>
        <a:p>
          <a:r>
            <a:rPr lang="en-GB" sz="1100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6555-6A22-46D7-BF58-F136DBB594A7}">
  <dimension ref="A1:AR55"/>
  <sheetViews>
    <sheetView zoomScale="85" zoomScaleNormal="85" workbookViewId="0">
      <selection activeCell="G7" sqref="G7"/>
    </sheetView>
  </sheetViews>
  <sheetFormatPr defaultColWidth="9" defaultRowHeight="14.4" x14ac:dyDescent="0.3"/>
  <cols>
    <col min="1" max="1" width="15" style="6" bestFit="1" customWidth="1"/>
    <col min="2" max="2" width="12.88671875" style="6" bestFit="1" customWidth="1"/>
    <col min="3" max="3" width="15.109375" style="6" bestFit="1" customWidth="1"/>
    <col min="4" max="4" width="21.88671875" style="6" bestFit="1" customWidth="1"/>
    <col min="5" max="5" width="19" style="6" bestFit="1" customWidth="1"/>
    <col min="6" max="6" width="19" style="6" customWidth="1"/>
    <col min="7" max="7" width="11.44140625" style="6" bestFit="1" customWidth="1"/>
    <col min="8" max="13" width="9" style="6"/>
    <col min="14" max="14" width="10.77734375" style="6" bestFit="1" customWidth="1"/>
    <col min="15" max="16384" width="9" style="6"/>
  </cols>
  <sheetData>
    <row r="1" spans="1:25" x14ac:dyDescent="0.3">
      <c r="B1" s="6" t="s">
        <v>6</v>
      </c>
      <c r="H1" s="11" t="s">
        <v>23</v>
      </c>
      <c r="M1" s="7"/>
      <c r="P1" s="7"/>
    </row>
    <row r="2" spans="1:25" x14ac:dyDescent="0.3">
      <c r="A2" s="14"/>
      <c r="B2" s="12" t="s">
        <v>7</v>
      </c>
      <c r="C2" s="12" t="s">
        <v>8</v>
      </c>
      <c r="D2" s="12" t="s">
        <v>26</v>
      </c>
      <c r="E2" s="12" t="s">
        <v>27</v>
      </c>
      <c r="F2" s="18"/>
      <c r="H2" s="8" t="s">
        <v>9</v>
      </c>
      <c r="I2" s="8"/>
      <c r="J2" s="8" t="s">
        <v>10</v>
      </c>
      <c r="K2" s="8"/>
      <c r="L2" s="8" t="s">
        <v>11</v>
      </c>
      <c r="M2" s="9"/>
      <c r="N2" s="8" t="s">
        <v>12</v>
      </c>
      <c r="O2" s="8"/>
      <c r="P2" s="8" t="s">
        <v>13</v>
      </c>
      <c r="Q2" s="8"/>
      <c r="R2" s="8" t="s">
        <v>14</v>
      </c>
      <c r="S2" s="8"/>
      <c r="T2" s="8" t="s">
        <v>15</v>
      </c>
      <c r="U2" s="8"/>
      <c r="V2" s="8" t="s">
        <v>17</v>
      </c>
      <c r="W2" s="8"/>
      <c r="X2" s="8" t="s">
        <v>18</v>
      </c>
      <c r="Y2" s="8"/>
    </row>
    <row r="3" spans="1:25" x14ac:dyDescent="0.3">
      <c r="A3" s="13" t="s">
        <v>9</v>
      </c>
      <c r="H3" s="10">
        <v>100000</v>
      </c>
      <c r="I3" s="10">
        <v>10000000</v>
      </c>
      <c r="J3" s="10">
        <v>100000</v>
      </c>
      <c r="K3" s="10">
        <v>10000000</v>
      </c>
      <c r="L3" s="10">
        <v>100000</v>
      </c>
      <c r="M3" s="10">
        <v>10000000</v>
      </c>
      <c r="N3" s="10">
        <v>100000</v>
      </c>
      <c r="O3" s="10">
        <v>10000000</v>
      </c>
      <c r="P3" s="10">
        <v>100000</v>
      </c>
      <c r="Q3" s="10">
        <v>10000000</v>
      </c>
      <c r="R3" s="10">
        <v>100000</v>
      </c>
      <c r="S3" s="10">
        <v>10000000</v>
      </c>
      <c r="T3" s="10">
        <v>100000</v>
      </c>
      <c r="U3" s="10">
        <v>10000000</v>
      </c>
      <c r="V3" s="10">
        <v>100000</v>
      </c>
      <c r="W3" s="10">
        <v>10000000</v>
      </c>
      <c r="X3" s="10">
        <v>100000</v>
      </c>
      <c r="Y3" s="10">
        <v>10000000</v>
      </c>
    </row>
    <row r="4" spans="1:25" x14ac:dyDescent="0.3">
      <c r="A4" s="13" t="s">
        <v>10</v>
      </c>
      <c r="G4" s="19"/>
      <c r="H4" s="15"/>
      <c r="I4" s="39">
        <v>1.76228644980005E-2</v>
      </c>
      <c r="J4" s="37"/>
      <c r="K4" s="27"/>
      <c r="L4"/>
      <c r="M4" s="6">
        <v>1.7468999999999998E-2</v>
      </c>
      <c r="N4"/>
      <c r="O4" s="42"/>
      <c r="P4"/>
      <c r="R4" s="39"/>
      <c r="S4" s="39"/>
      <c r="T4" s="40"/>
      <c r="U4" s="40"/>
      <c r="V4" s="39"/>
      <c r="W4" s="39"/>
      <c r="X4" s="42"/>
    </row>
    <row r="5" spans="1:25" x14ac:dyDescent="0.3">
      <c r="A5" s="13" t="s">
        <v>11</v>
      </c>
      <c r="G5" s="19"/>
      <c r="J5" s="37"/>
      <c r="K5" s="27"/>
      <c r="L5"/>
      <c r="M5" s="6">
        <v>1.941E-3</v>
      </c>
      <c r="N5"/>
      <c r="O5" s="42"/>
      <c r="P5"/>
      <c r="R5" s="35"/>
      <c r="S5" s="35"/>
      <c r="T5" s="35"/>
      <c r="U5" s="35"/>
      <c r="V5" s="41"/>
      <c r="W5" s="41"/>
      <c r="X5" s="42"/>
    </row>
    <row r="6" spans="1:25" x14ac:dyDescent="0.3">
      <c r="A6" s="13" t="s">
        <v>12</v>
      </c>
      <c r="G6" s="19"/>
      <c r="J6" s="37"/>
      <c r="K6" s="27"/>
      <c r="L6"/>
      <c r="M6" s="6">
        <v>1.0318579999999999</v>
      </c>
      <c r="O6" s="42"/>
      <c r="P6"/>
      <c r="R6" s="35"/>
      <c r="S6" s="35"/>
      <c r="T6" s="35"/>
      <c r="U6" s="35"/>
      <c r="V6" s="39"/>
      <c r="W6" s="39"/>
      <c r="X6" s="35"/>
      <c r="Y6" s="35"/>
    </row>
    <row r="7" spans="1:25" x14ac:dyDescent="0.3">
      <c r="A7" s="13" t="s">
        <v>13</v>
      </c>
      <c r="G7" s="19">
        <v>43503</v>
      </c>
      <c r="J7" s="37"/>
      <c r="K7" s="27"/>
      <c r="L7"/>
      <c r="M7" s="6">
        <v>103.18579699999999</v>
      </c>
      <c r="O7" s="42"/>
      <c r="P7"/>
      <c r="Q7">
        <v>-9.3550000000000005E-3</v>
      </c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s="13" t="s">
        <v>14</v>
      </c>
      <c r="C8" s="26"/>
      <c r="G8" s="19">
        <v>43504</v>
      </c>
      <c r="J8" s="37"/>
      <c r="K8" s="27"/>
      <c r="L8" s="36"/>
      <c r="M8" s="45"/>
      <c r="O8" s="42"/>
      <c r="P8"/>
      <c r="Q8">
        <v>6.7599999999999995E-4</v>
      </c>
      <c r="R8" s="35"/>
      <c r="S8" s="35"/>
      <c r="T8" s="35"/>
      <c r="U8" s="35"/>
      <c r="W8" s="35"/>
      <c r="Y8" s="35"/>
    </row>
    <row r="9" spans="1:25" x14ac:dyDescent="0.3">
      <c r="A9" s="13" t="s">
        <v>15</v>
      </c>
      <c r="C9" s="26"/>
      <c r="G9" s="19">
        <v>43507</v>
      </c>
      <c r="J9" s="37"/>
      <c r="K9" s="27"/>
      <c r="L9" s="36"/>
      <c r="M9" s="45"/>
      <c r="O9" s="42"/>
      <c r="P9"/>
      <c r="Q9">
        <v>7.0899999999999999E-4</v>
      </c>
      <c r="R9" s="35"/>
      <c r="S9" s="35"/>
      <c r="T9" s="35"/>
      <c r="U9" s="35"/>
      <c r="W9" s="35"/>
    </row>
    <row r="10" spans="1:25" x14ac:dyDescent="0.3">
      <c r="A10" s="13" t="s">
        <v>17</v>
      </c>
      <c r="C10" s="26"/>
      <c r="D10" s="16"/>
      <c r="G10" s="19">
        <v>43508</v>
      </c>
      <c r="J10" s="37"/>
      <c r="K10" s="27"/>
      <c r="L10" s="36"/>
      <c r="M10" s="45"/>
      <c r="O10" s="42"/>
      <c r="P10"/>
      <c r="Q10">
        <v>1.2886999999999999E-2</v>
      </c>
      <c r="R10" s="35"/>
      <c r="S10" s="35"/>
      <c r="T10" s="35"/>
      <c r="U10" s="35"/>
      <c r="W10" s="35"/>
      <c r="X10" s="35"/>
      <c r="Y10" s="35"/>
    </row>
    <row r="11" spans="1:25" x14ac:dyDescent="0.3">
      <c r="A11" s="10" t="s">
        <v>19</v>
      </c>
      <c r="C11" s="26"/>
      <c r="G11" s="19">
        <v>43509</v>
      </c>
      <c r="J11" s="37"/>
      <c r="K11" s="27"/>
      <c r="L11" s="36"/>
      <c r="M11" s="45"/>
      <c r="O11" s="42"/>
      <c r="P11"/>
      <c r="Q11">
        <v>3.0230000000000001E-3</v>
      </c>
      <c r="R11" s="35"/>
      <c r="S11" s="35"/>
      <c r="T11" s="35"/>
      <c r="W11" s="35"/>
      <c r="X11" s="35"/>
      <c r="Y11" s="35"/>
    </row>
    <row r="12" spans="1:25" x14ac:dyDescent="0.3">
      <c r="G12" s="19">
        <v>43510</v>
      </c>
      <c r="J12" s="37"/>
      <c r="K12" s="27"/>
      <c r="L12" s="36"/>
      <c r="M12" s="45"/>
      <c r="O12" s="42"/>
      <c r="P12"/>
      <c r="Q12">
        <v>-2.6510000000000001E-3</v>
      </c>
      <c r="R12" s="35"/>
      <c r="S12" s="35"/>
      <c r="T12" s="35"/>
      <c r="W12" s="35"/>
      <c r="X12" s="35"/>
      <c r="Y12" s="35"/>
    </row>
    <row r="13" spans="1:25" x14ac:dyDescent="0.3">
      <c r="B13" s="6" t="s">
        <v>42</v>
      </c>
      <c r="G13" s="19">
        <v>43511</v>
      </c>
      <c r="J13" s="37"/>
      <c r="K13" s="27"/>
      <c r="L13" s="36"/>
      <c r="M13" s="45"/>
      <c r="O13" s="42"/>
      <c r="P13"/>
      <c r="Q13">
        <v>1.0876E-2</v>
      </c>
      <c r="R13" s="35"/>
      <c r="S13" s="35"/>
      <c r="T13" s="35"/>
      <c r="U13" s="35"/>
      <c r="W13" s="35"/>
      <c r="X13" s="35"/>
      <c r="Y13" s="35"/>
    </row>
    <row r="14" spans="1:25" x14ac:dyDescent="0.3">
      <c r="A14" s="14"/>
      <c r="B14" s="12" t="s">
        <v>7</v>
      </c>
      <c r="C14" s="12" t="s">
        <v>8</v>
      </c>
      <c r="D14" s="12" t="s">
        <v>26</v>
      </c>
      <c r="E14" s="12" t="s">
        <v>27</v>
      </c>
      <c r="F14" s="18"/>
      <c r="G14" s="19">
        <v>43514</v>
      </c>
      <c r="J14" s="37"/>
      <c r="K14" s="27"/>
      <c r="L14" s="36"/>
      <c r="M14" s="45"/>
      <c r="O14" s="42"/>
      <c r="P14"/>
      <c r="Q14">
        <v>0</v>
      </c>
      <c r="R14" s="35"/>
      <c r="S14" s="35"/>
      <c r="T14" s="35"/>
      <c r="W14" s="35"/>
      <c r="X14" s="35"/>
      <c r="Y14" s="35"/>
    </row>
    <row r="15" spans="1:25" x14ac:dyDescent="0.3">
      <c r="A15" s="13" t="s">
        <v>9</v>
      </c>
      <c r="G15" s="38">
        <v>43515</v>
      </c>
      <c r="J15" s="37"/>
      <c r="K15" s="27"/>
      <c r="L15" s="36"/>
      <c r="M15" s="36"/>
      <c r="O15" s="42"/>
      <c r="P15"/>
      <c r="Q15">
        <v>1.498E-3</v>
      </c>
      <c r="R15" s="35"/>
      <c r="S15" s="35"/>
      <c r="T15" s="35"/>
      <c r="U15" s="35"/>
      <c r="W15" s="35"/>
      <c r="X15" s="35"/>
      <c r="Y15" s="35"/>
    </row>
    <row r="16" spans="1:25" x14ac:dyDescent="0.3">
      <c r="A16" s="13" t="s">
        <v>10</v>
      </c>
      <c r="G16" s="19"/>
      <c r="J16" s="37"/>
      <c r="K16" s="27"/>
      <c r="L16" s="36"/>
      <c r="M16" s="36"/>
      <c r="N16"/>
      <c r="O16" s="42"/>
      <c r="P16"/>
      <c r="R16" s="35"/>
      <c r="S16" s="35"/>
      <c r="T16" s="35"/>
      <c r="U16" s="35"/>
      <c r="W16" s="35"/>
      <c r="X16" s="35"/>
      <c r="Y16" s="35"/>
    </row>
    <row r="17" spans="1:25" x14ac:dyDescent="0.3">
      <c r="A17" s="13" t="s">
        <v>11</v>
      </c>
      <c r="N17"/>
    </row>
    <row r="18" spans="1:25" x14ac:dyDescent="0.3">
      <c r="A18" s="13" t="s">
        <v>12</v>
      </c>
      <c r="J18" s="7"/>
    </row>
    <row r="19" spans="1:25" x14ac:dyDescent="0.3">
      <c r="A19" s="13" t="s">
        <v>13</v>
      </c>
      <c r="J19" s="7"/>
    </row>
    <row r="20" spans="1:25" x14ac:dyDescent="0.3">
      <c r="A20" s="13" t="s">
        <v>14</v>
      </c>
      <c r="C20" s="26"/>
      <c r="J20" s="7"/>
    </row>
    <row r="21" spans="1:25" x14ac:dyDescent="0.3">
      <c r="A21" s="13" t="s">
        <v>15</v>
      </c>
      <c r="C21" s="26"/>
      <c r="H21" s="11" t="s">
        <v>24</v>
      </c>
      <c r="M21" s="7"/>
      <c r="P21" s="7"/>
    </row>
    <row r="22" spans="1:25" x14ac:dyDescent="0.3">
      <c r="A22" s="13" t="s">
        <v>17</v>
      </c>
      <c r="C22" s="26"/>
      <c r="D22" s="16"/>
      <c r="H22" s="8" t="s">
        <v>9</v>
      </c>
      <c r="I22" s="8"/>
      <c r="J22" s="8" t="s">
        <v>10</v>
      </c>
      <c r="K22" s="8"/>
      <c r="L22" s="8" t="s">
        <v>11</v>
      </c>
      <c r="M22" s="9"/>
      <c r="N22" s="8" t="s">
        <v>12</v>
      </c>
      <c r="O22" s="8"/>
      <c r="P22" s="8" t="s">
        <v>13</v>
      </c>
      <c r="Q22" s="8"/>
      <c r="R22" s="8" t="s">
        <v>14</v>
      </c>
      <c r="S22" s="8"/>
      <c r="T22" s="8" t="s">
        <v>15</v>
      </c>
      <c r="U22" s="8"/>
      <c r="V22" s="8" t="s">
        <v>17</v>
      </c>
      <c r="W22" s="8"/>
      <c r="X22" s="8" t="s">
        <v>18</v>
      </c>
      <c r="Y22" s="8"/>
    </row>
    <row r="23" spans="1:25" x14ac:dyDescent="0.3">
      <c r="A23" s="10" t="s">
        <v>19</v>
      </c>
      <c r="C23" s="26"/>
      <c r="H23" s="10">
        <v>0</v>
      </c>
      <c r="I23" s="10">
        <v>1000000</v>
      </c>
      <c r="J23" s="10">
        <v>0</v>
      </c>
      <c r="K23" s="10">
        <v>1000000</v>
      </c>
      <c r="L23" s="10">
        <v>0</v>
      </c>
      <c r="M23" s="10">
        <v>1000000</v>
      </c>
      <c r="N23" s="10">
        <v>0</v>
      </c>
      <c r="O23" s="10">
        <v>1000000</v>
      </c>
      <c r="P23" s="10">
        <v>0</v>
      </c>
      <c r="Q23" s="10">
        <v>1000000</v>
      </c>
      <c r="R23" s="10">
        <v>0</v>
      </c>
      <c r="S23" s="10">
        <v>1000000</v>
      </c>
      <c r="T23" s="10">
        <v>0</v>
      </c>
      <c r="U23" s="10">
        <v>1000000</v>
      </c>
      <c r="V23" s="10">
        <v>0</v>
      </c>
      <c r="W23" s="10">
        <v>1000000</v>
      </c>
      <c r="X23" s="10">
        <v>0</v>
      </c>
      <c r="Y23" s="10">
        <v>1000000</v>
      </c>
    </row>
    <row r="24" spans="1:25" x14ac:dyDescent="0.3">
      <c r="G24" s="19">
        <v>10228</v>
      </c>
      <c r="H24" s="16"/>
      <c r="I24" s="16"/>
      <c r="J24" s="29"/>
      <c r="K24" s="29"/>
      <c r="L24" s="28"/>
      <c r="M24" s="28"/>
      <c r="N24" s="29"/>
      <c r="O24" s="29"/>
      <c r="P24" s="29"/>
      <c r="Q24" s="29"/>
    </row>
    <row r="25" spans="1:25" x14ac:dyDescent="0.3">
      <c r="G25" s="19">
        <v>10594</v>
      </c>
      <c r="J25" s="29"/>
      <c r="K25" s="29"/>
      <c r="L25" s="28"/>
      <c r="M25" s="28"/>
      <c r="N25" s="29"/>
      <c r="O25" s="29"/>
      <c r="P25" s="29"/>
      <c r="Q25" s="29"/>
    </row>
    <row r="26" spans="1:25" x14ac:dyDescent="0.3">
      <c r="B26" s="6" t="s">
        <v>29</v>
      </c>
      <c r="G26" s="19">
        <v>10959</v>
      </c>
      <c r="J26" s="29"/>
      <c r="K26" s="29"/>
      <c r="L26" s="28"/>
      <c r="M26" s="28"/>
      <c r="N26" s="29"/>
      <c r="O26" s="29"/>
      <c r="P26" s="29"/>
      <c r="Q26" s="29"/>
    </row>
    <row r="27" spans="1:25" x14ac:dyDescent="0.3">
      <c r="A27" s="14"/>
      <c r="B27" s="12" t="s">
        <v>7</v>
      </c>
      <c r="C27" s="12" t="s">
        <v>8</v>
      </c>
      <c r="D27" s="12" t="s">
        <v>26</v>
      </c>
      <c r="E27" s="12" t="s">
        <v>27</v>
      </c>
      <c r="F27" s="21">
        <v>0.5061245962408274</v>
      </c>
      <c r="G27" s="19">
        <v>11324</v>
      </c>
      <c r="J27" s="29"/>
      <c r="K27" s="29"/>
      <c r="L27" s="28"/>
      <c r="M27" s="28"/>
      <c r="N27" s="29"/>
      <c r="O27" s="29"/>
      <c r="P27" s="29"/>
      <c r="Q27" s="29"/>
    </row>
    <row r="28" spans="1:25" x14ac:dyDescent="0.3">
      <c r="A28" s="13" t="s">
        <v>9</v>
      </c>
      <c r="F28" s="21">
        <v>0.47089606446831578</v>
      </c>
      <c r="G28" s="19">
        <v>11689</v>
      </c>
      <c r="J28" s="29"/>
      <c r="K28" s="29"/>
      <c r="L28" s="28"/>
      <c r="M28" s="28"/>
      <c r="N28" s="29"/>
      <c r="O28" s="29"/>
      <c r="P28" s="29"/>
      <c r="Q28" s="29"/>
    </row>
    <row r="29" spans="1:25" x14ac:dyDescent="0.3">
      <c r="A29" s="13" t="s">
        <v>10</v>
      </c>
      <c r="F29" s="21">
        <v>0.93675113006658361</v>
      </c>
      <c r="G29" s="19">
        <v>12055</v>
      </c>
      <c r="J29" s="29"/>
      <c r="K29" s="29"/>
      <c r="L29" s="28"/>
      <c r="M29" s="28"/>
      <c r="N29" s="29"/>
      <c r="O29" s="29"/>
      <c r="P29" s="29"/>
      <c r="Q29" s="29"/>
    </row>
    <row r="30" spans="1:25" x14ac:dyDescent="0.3">
      <c r="A30" s="13" t="s">
        <v>11</v>
      </c>
      <c r="F30" s="21">
        <v>0.18580104717575341</v>
      </c>
      <c r="G30" s="19">
        <v>12420</v>
      </c>
      <c r="J30" s="29"/>
      <c r="K30" s="29"/>
      <c r="L30" s="28"/>
      <c r="M30" s="28"/>
      <c r="N30" s="29"/>
      <c r="O30" s="29"/>
      <c r="P30" s="29"/>
      <c r="Q30" s="29"/>
    </row>
    <row r="31" spans="1:25" x14ac:dyDescent="0.3">
      <c r="A31" s="13" t="s">
        <v>12</v>
      </c>
      <c r="F31" s="21">
        <v>0.63764478377388767</v>
      </c>
      <c r="G31" s="19">
        <v>12785</v>
      </c>
      <c r="J31" s="29"/>
      <c r="K31" s="29"/>
      <c r="L31" s="28"/>
      <c r="M31" s="28"/>
      <c r="N31" s="29"/>
      <c r="O31" s="29"/>
      <c r="P31" s="29"/>
      <c r="Q31" s="29"/>
    </row>
    <row r="32" spans="1:25" x14ac:dyDescent="0.3">
      <c r="A32" s="13" t="s">
        <v>13</v>
      </c>
      <c r="F32" s="21">
        <v>0.47260664872220559</v>
      </c>
      <c r="G32" s="19">
        <v>13150</v>
      </c>
      <c r="J32" s="29"/>
      <c r="K32" s="29"/>
      <c r="L32" s="28"/>
      <c r="M32" s="28"/>
      <c r="N32" s="29"/>
      <c r="O32" s="29"/>
      <c r="P32" s="29"/>
      <c r="Q32" s="29"/>
    </row>
    <row r="33" spans="1:44" x14ac:dyDescent="0.3">
      <c r="A33" s="13" t="s">
        <v>14</v>
      </c>
      <c r="C33" s="11"/>
      <c r="F33" s="21">
        <v>-0.23305955887207297</v>
      </c>
      <c r="G33" s="19">
        <v>13516</v>
      </c>
      <c r="J33" s="29"/>
      <c r="K33" s="29"/>
      <c r="L33" s="28"/>
      <c r="M33" s="28"/>
      <c r="N33" s="29"/>
      <c r="O33" s="29"/>
      <c r="P33" s="29"/>
      <c r="Q33" s="29"/>
    </row>
    <row r="34" spans="1:44" x14ac:dyDescent="0.3">
      <c r="A34" s="13" t="s">
        <v>15</v>
      </c>
      <c r="C34" s="11"/>
      <c r="F34" s="21">
        <v>0.29442936157796806</v>
      </c>
      <c r="G34" s="19">
        <v>13881</v>
      </c>
      <c r="J34" s="29"/>
      <c r="K34" s="29"/>
      <c r="L34" s="28"/>
      <c r="M34" s="28"/>
      <c r="N34" s="29"/>
      <c r="O34" s="29"/>
      <c r="P34" s="29"/>
      <c r="Q34" s="29"/>
    </row>
    <row r="35" spans="1:44" x14ac:dyDescent="0.3">
      <c r="A35" s="13" t="s">
        <v>17</v>
      </c>
      <c r="C35" s="11"/>
      <c r="F35" s="21">
        <v>9.8273901007652986E-2</v>
      </c>
      <c r="G35" s="19">
        <v>14246</v>
      </c>
      <c r="J35" s="29"/>
      <c r="K35" s="29"/>
      <c r="L35" s="28"/>
      <c r="M35" s="28"/>
      <c r="N35" s="29"/>
      <c r="O35" s="29"/>
      <c r="P35" s="29"/>
      <c r="Q35" s="29"/>
    </row>
    <row r="36" spans="1:44" x14ac:dyDescent="0.3">
      <c r="A36" s="10" t="s">
        <v>19</v>
      </c>
      <c r="C36" s="11"/>
      <c r="F36" s="21">
        <v>-2.6627788731378055E-2</v>
      </c>
      <c r="G36" s="19">
        <v>14611</v>
      </c>
      <c r="J36" s="29"/>
      <c r="K36" s="29"/>
      <c r="L36" s="28"/>
      <c r="M36" s="28"/>
      <c r="N36" s="29"/>
      <c r="O36" s="29"/>
      <c r="P36" s="29"/>
      <c r="Q36" s="29"/>
    </row>
    <row r="37" spans="1:44" x14ac:dyDescent="0.3">
      <c r="J37" s="28"/>
      <c r="K37" s="28"/>
      <c r="L37" s="28"/>
      <c r="M37" s="28"/>
      <c r="N37" s="28"/>
      <c r="O37" s="28"/>
      <c r="P37" s="28"/>
      <c r="Q37" s="28"/>
    </row>
    <row r="38" spans="1:44" x14ac:dyDescent="0.3">
      <c r="J38" s="28"/>
      <c r="K38" s="28"/>
      <c r="L38" s="28"/>
      <c r="M38" s="28"/>
      <c r="N38" s="28"/>
      <c r="O38" s="28"/>
      <c r="P38" s="28"/>
      <c r="Q38" s="28"/>
    </row>
    <row r="39" spans="1:44" x14ac:dyDescent="0.3">
      <c r="J39" s="28"/>
      <c r="K39" s="28"/>
      <c r="L39" s="28"/>
      <c r="M39" s="28"/>
      <c r="N39" s="28"/>
      <c r="O39" s="28"/>
      <c r="P39" s="28"/>
      <c r="Q39" s="28"/>
    </row>
    <row r="40" spans="1:44" x14ac:dyDescent="0.3">
      <c r="H40" s="11" t="s">
        <v>20</v>
      </c>
      <c r="J40" s="28"/>
      <c r="K40" s="28"/>
      <c r="L40" s="28"/>
      <c r="M40" s="28"/>
      <c r="N40" s="28"/>
      <c r="O40" s="28"/>
      <c r="P40" s="28"/>
      <c r="Q40" s="28"/>
      <c r="AA40" s="11" t="s">
        <v>25</v>
      </c>
      <c r="AF40" s="7"/>
      <c r="AI40" s="7"/>
    </row>
    <row r="41" spans="1:44" x14ac:dyDescent="0.3">
      <c r="H41" s="8" t="s">
        <v>9</v>
      </c>
      <c r="I41" s="8"/>
      <c r="J41" s="30" t="s">
        <v>10</v>
      </c>
      <c r="K41" s="30"/>
      <c r="L41" s="30" t="s">
        <v>11</v>
      </c>
      <c r="M41" s="30"/>
      <c r="N41" s="30" t="s">
        <v>12</v>
      </c>
      <c r="O41" s="30"/>
      <c r="P41" s="30" t="s">
        <v>13</v>
      </c>
      <c r="Q41" s="30"/>
      <c r="R41" s="8" t="s">
        <v>14</v>
      </c>
      <c r="S41" s="8"/>
      <c r="T41" s="8" t="s">
        <v>15</v>
      </c>
      <c r="U41" s="8"/>
      <c r="V41" s="8" t="s">
        <v>17</v>
      </c>
      <c r="W41" s="8"/>
      <c r="X41" s="8" t="s">
        <v>18</v>
      </c>
      <c r="Y41" s="8"/>
      <c r="AA41" s="8" t="s">
        <v>9</v>
      </c>
      <c r="AB41" s="8"/>
      <c r="AC41" s="8" t="s">
        <v>10</v>
      </c>
      <c r="AD41" s="8"/>
      <c r="AE41" s="8" t="s">
        <v>11</v>
      </c>
      <c r="AF41" s="9"/>
      <c r="AG41" s="8" t="s">
        <v>12</v>
      </c>
      <c r="AH41" s="8"/>
      <c r="AI41" s="8" t="s">
        <v>13</v>
      </c>
      <c r="AJ41" s="8"/>
      <c r="AK41" s="8" t="s">
        <v>14</v>
      </c>
      <c r="AL41" s="8"/>
      <c r="AM41" s="8" t="s">
        <v>15</v>
      </c>
      <c r="AN41" s="8"/>
      <c r="AO41" s="8" t="s">
        <v>17</v>
      </c>
      <c r="AP41" s="8"/>
      <c r="AQ41" s="8" t="s">
        <v>18</v>
      </c>
      <c r="AR41" s="8"/>
    </row>
    <row r="42" spans="1:44" x14ac:dyDescent="0.3">
      <c r="H42" s="10" t="b">
        <v>1</v>
      </c>
      <c r="I42" s="10" t="b">
        <v>0</v>
      </c>
      <c r="J42" s="31" t="b">
        <v>1</v>
      </c>
      <c r="K42" s="31" t="b">
        <v>0</v>
      </c>
      <c r="L42" s="31" t="b">
        <v>1</v>
      </c>
      <c r="M42" s="31" t="b">
        <v>0</v>
      </c>
      <c r="N42" s="31" t="b">
        <v>1</v>
      </c>
      <c r="O42" s="31" t="b">
        <v>0</v>
      </c>
      <c r="P42" s="31" t="b">
        <v>1</v>
      </c>
      <c r="Q42" s="31" t="b">
        <v>0</v>
      </c>
      <c r="R42" s="10" t="b">
        <v>1</v>
      </c>
      <c r="S42" s="10" t="b">
        <v>0</v>
      </c>
      <c r="T42" s="10" t="b">
        <v>1</v>
      </c>
      <c r="U42" s="10" t="b">
        <v>0</v>
      </c>
      <c r="V42" s="10" t="b">
        <v>1</v>
      </c>
      <c r="W42" s="10" t="b">
        <v>0</v>
      </c>
      <c r="X42" s="10" t="b">
        <v>1</v>
      </c>
      <c r="Y42" s="10" t="b">
        <v>0</v>
      </c>
      <c r="AA42" s="10" t="b">
        <v>1</v>
      </c>
      <c r="AB42" s="10" t="b">
        <v>0</v>
      </c>
      <c r="AC42" s="10" t="b">
        <v>1</v>
      </c>
      <c r="AD42" s="10" t="b">
        <v>0</v>
      </c>
      <c r="AE42" s="10" t="b">
        <v>1</v>
      </c>
      <c r="AF42" s="10" t="b">
        <v>0</v>
      </c>
      <c r="AG42" s="10" t="b">
        <v>1</v>
      </c>
      <c r="AH42" s="10" t="b">
        <v>0</v>
      </c>
      <c r="AI42" s="10" t="b">
        <v>1</v>
      </c>
      <c r="AJ42" s="10" t="b">
        <v>0</v>
      </c>
      <c r="AK42" s="10" t="b">
        <v>1</v>
      </c>
      <c r="AL42" s="10" t="b">
        <v>0</v>
      </c>
      <c r="AM42" s="10" t="b">
        <v>1</v>
      </c>
      <c r="AN42" s="10" t="b">
        <v>0</v>
      </c>
      <c r="AO42" s="10" t="b">
        <v>1</v>
      </c>
      <c r="AP42" s="10" t="b">
        <v>0</v>
      </c>
      <c r="AQ42" s="10" t="b">
        <v>1</v>
      </c>
      <c r="AR42" s="10" t="b">
        <v>0</v>
      </c>
    </row>
    <row r="43" spans="1:44" x14ac:dyDescent="0.3">
      <c r="G43" s="19">
        <v>10228</v>
      </c>
      <c r="H43" s="15"/>
      <c r="I43" s="15"/>
      <c r="J43" s="27"/>
      <c r="K43" s="27"/>
      <c r="L43" s="27"/>
      <c r="M43" s="27"/>
      <c r="N43" s="27"/>
      <c r="O43" s="27"/>
      <c r="P43" s="27"/>
      <c r="Q43" s="27"/>
      <c r="R43" s="15"/>
      <c r="S43" s="15"/>
      <c r="T43" s="15"/>
      <c r="U43" s="15"/>
      <c r="V43" s="15"/>
      <c r="W43" s="15"/>
      <c r="X43" s="15"/>
      <c r="Y43" s="15"/>
      <c r="AC43" s="28"/>
      <c r="AD43" s="28"/>
      <c r="AE43" s="28"/>
      <c r="AF43" s="28"/>
      <c r="AG43" s="28"/>
      <c r="AH43" s="28"/>
      <c r="AI43" s="28"/>
      <c r="AJ43" s="28"/>
    </row>
    <row r="44" spans="1:44" x14ac:dyDescent="0.3">
      <c r="G44" s="19">
        <v>10594</v>
      </c>
      <c r="J44" s="27"/>
      <c r="K44" s="27"/>
      <c r="L44" s="27"/>
      <c r="M44" s="27"/>
      <c r="N44" s="27"/>
      <c r="O44" s="27"/>
      <c r="P44" s="27"/>
      <c r="Q44" s="27"/>
      <c r="V44" s="15"/>
      <c r="W44" s="15"/>
      <c r="X44" s="15"/>
      <c r="Y44" s="15"/>
      <c r="AC44" s="28"/>
      <c r="AD44" s="28"/>
      <c r="AE44" s="28"/>
      <c r="AF44" s="28"/>
      <c r="AG44" s="28"/>
      <c r="AH44" s="28"/>
      <c r="AI44" s="28"/>
      <c r="AJ44" s="28"/>
    </row>
    <row r="45" spans="1:44" x14ac:dyDescent="0.3">
      <c r="G45" s="19">
        <v>10959</v>
      </c>
      <c r="J45" s="27"/>
      <c r="K45" s="27"/>
      <c r="L45" s="27"/>
      <c r="M45" s="27"/>
      <c r="N45" s="27"/>
      <c r="O45" s="27"/>
      <c r="P45" s="27"/>
      <c r="Q45" s="27"/>
      <c r="V45" s="16"/>
      <c r="W45" s="16"/>
      <c r="AC45" s="28"/>
      <c r="AD45" s="28"/>
      <c r="AE45" s="28"/>
      <c r="AF45" s="28"/>
      <c r="AG45" s="28"/>
      <c r="AH45" s="28"/>
      <c r="AI45" s="28"/>
      <c r="AJ45" s="28"/>
    </row>
    <row r="46" spans="1:44" x14ac:dyDescent="0.3">
      <c r="G46" s="19">
        <v>11324</v>
      </c>
      <c r="J46" s="27"/>
      <c r="K46" s="27"/>
      <c r="L46" s="27"/>
      <c r="M46" s="27"/>
      <c r="N46" s="27"/>
      <c r="O46" s="27"/>
      <c r="P46" s="27"/>
      <c r="Q46" s="27"/>
      <c r="AC46" s="28"/>
      <c r="AD46" s="28"/>
      <c r="AE46" s="28"/>
      <c r="AF46" s="28"/>
      <c r="AG46" s="28"/>
      <c r="AH46" s="28"/>
      <c r="AI46" s="28"/>
      <c r="AJ46" s="28"/>
    </row>
    <row r="47" spans="1:44" x14ac:dyDescent="0.3">
      <c r="G47" s="19">
        <v>11689</v>
      </c>
      <c r="J47" s="27"/>
      <c r="K47" s="27"/>
      <c r="L47" s="28"/>
      <c r="M47" s="28"/>
      <c r="N47" s="27"/>
      <c r="O47" s="27"/>
      <c r="P47" s="27"/>
      <c r="Q47" s="27"/>
      <c r="AC47" s="28"/>
      <c r="AD47" s="28"/>
      <c r="AE47" s="28"/>
      <c r="AF47" s="28"/>
      <c r="AG47" s="28"/>
      <c r="AH47" s="28"/>
      <c r="AI47" s="28"/>
      <c r="AJ47" s="28"/>
    </row>
    <row r="48" spans="1:44" x14ac:dyDescent="0.3">
      <c r="G48" s="19">
        <v>12055</v>
      </c>
      <c r="J48" s="27"/>
      <c r="K48" s="27"/>
      <c r="L48" s="28"/>
      <c r="M48" s="28"/>
      <c r="N48" s="27"/>
      <c r="O48" s="27"/>
      <c r="P48" s="27"/>
      <c r="Q48" s="27"/>
      <c r="AC48" s="28"/>
      <c r="AD48" s="28"/>
      <c r="AE48" s="28"/>
      <c r="AF48" s="28"/>
      <c r="AG48" s="28"/>
      <c r="AH48" s="28"/>
      <c r="AI48" s="28"/>
      <c r="AJ48" s="28"/>
    </row>
    <row r="49" spans="7:36" x14ac:dyDescent="0.3">
      <c r="G49" s="19">
        <v>12420</v>
      </c>
      <c r="J49" s="27"/>
      <c r="K49" s="27"/>
      <c r="L49" s="28"/>
      <c r="M49" s="28"/>
      <c r="N49" s="27"/>
      <c r="O49" s="27"/>
      <c r="P49" s="27"/>
      <c r="Q49" s="27"/>
      <c r="AC49" s="28"/>
      <c r="AD49" s="28"/>
      <c r="AE49" s="28"/>
      <c r="AF49" s="28"/>
      <c r="AG49" s="28"/>
      <c r="AH49" s="28"/>
      <c r="AI49" s="28"/>
      <c r="AJ49" s="28"/>
    </row>
    <row r="50" spans="7:36" x14ac:dyDescent="0.3">
      <c r="G50" s="19">
        <v>12785</v>
      </c>
      <c r="J50" s="27"/>
      <c r="K50" s="27"/>
      <c r="L50" s="28"/>
      <c r="M50" s="28"/>
      <c r="N50" s="27"/>
      <c r="O50" s="27"/>
      <c r="P50" s="27"/>
      <c r="Q50" s="27"/>
      <c r="AC50" s="28"/>
      <c r="AD50" s="28"/>
      <c r="AE50" s="28"/>
      <c r="AF50" s="28"/>
      <c r="AG50" s="28"/>
      <c r="AH50" s="28"/>
      <c r="AI50" s="28"/>
      <c r="AJ50" s="28"/>
    </row>
    <row r="51" spans="7:36" x14ac:dyDescent="0.3">
      <c r="G51" s="19">
        <v>13150</v>
      </c>
      <c r="J51" s="27"/>
      <c r="K51" s="27"/>
      <c r="L51" s="28"/>
      <c r="M51" s="28"/>
      <c r="N51" s="27"/>
      <c r="O51" s="27"/>
      <c r="P51" s="27"/>
      <c r="Q51" s="27"/>
      <c r="AC51" s="28"/>
      <c r="AD51" s="28"/>
      <c r="AE51" s="28"/>
      <c r="AF51" s="28"/>
      <c r="AG51" s="28"/>
      <c r="AH51" s="28"/>
      <c r="AI51" s="28"/>
      <c r="AJ51" s="28"/>
    </row>
    <row r="52" spans="7:36" x14ac:dyDescent="0.3">
      <c r="G52" s="19">
        <v>13516</v>
      </c>
      <c r="J52" s="27"/>
      <c r="K52" s="27"/>
      <c r="L52" s="28"/>
      <c r="M52" s="28"/>
      <c r="N52" s="27"/>
      <c r="O52" s="27"/>
      <c r="P52" s="27"/>
      <c r="Q52" s="27"/>
      <c r="AC52" s="28"/>
      <c r="AD52" s="28"/>
      <c r="AE52" s="28"/>
      <c r="AF52" s="28"/>
      <c r="AG52" s="28"/>
      <c r="AH52" s="28"/>
      <c r="AI52" s="28"/>
      <c r="AJ52" s="28"/>
    </row>
    <row r="53" spans="7:36" x14ac:dyDescent="0.3">
      <c r="G53" s="19">
        <v>13881</v>
      </c>
      <c r="J53" s="27"/>
      <c r="K53" s="27"/>
      <c r="L53" s="28"/>
      <c r="M53" s="28"/>
      <c r="N53" s="27"/>
      <c r="O53" s="27"/>
      <c r="P53" s="27"/>
      <c r="Q53" s="27"/>
      <c r="AC53" s="28"/>
      <c r="AD53" s="28"/>
      <c r="AE53" s="28"/>
      <c r="AF53" s="28"/>
      <c r="AG53" s="28"/>
      <c r="AH53" s="28"/>
      <c r="AI53" s="28"/>
      <c r="AJ53" s="28"/>
    </row>
    <row r="54" spans="7:36" x14ac:dyDescent="0.3">
      <c r="G54" s="19">
        <v>14246</v>
      </c>
      <c r="J54" s="27"/>
      <c r="K54" s="27"/>
      <c r="L54" s="28"/>
      <c r="M54" s="28"/>
      <c r="N54" s="27"/>
      <c r="O54" s="27"/>
      <c r="P54" s="27"/>
      <c r="Q54" s="27"/>
      <c r="AC54" s="28"/>
      <c r="AD54" s="28"/>
      <c r="AE54" s="28"/>
      <c r="AF54" s="28"/>
      <c r="AG54" s="28"/>
      <c r="AH54" s="28"/>
      <c r="AI54" s="28"/>
      <c r="AJ54" s="28"/>
    </row>
    <row r="55" spans="7:36" x14ac:dyDescent="0.3">
      <c r="G55" s="19">
        <v>14611</v>
      </c>
      <c r="J55" s="27"/>
      <c r="K55" s="27"/>
      <c r="L55" s="28"/>
      <c r="M55" s="28"/>
      <c r="N55" s="27"/>
      <c r="O55" s="27"/>
      <c r="P55" s="27"/>
      <c r="Q55" s="27"/>
      <c r="AC55" s="28"/>
      <c r="AD55" s="28"/>
      <c r="AE55" s="28"/>
      <c r="AF55" s="28"/>
      <c r="AG55" s="28"/>
      <c r="AH55" s="28"/>
      <c r="AI55" s="28"/>
      <c r="AJ55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AC33-8865-4FC7-A80E-FBB32674269F}">
  <dimension ref="A3:R48"/>
  <sheetViews>
    <sheetView tabSelected="1" zoomScale="80" zoomScaleNormal="80" workbookViewId="0">
      <selection activeCell="J25" sqref="J25"/>
    </sheetView>
  </sheetViews>
  <sheetFormatPr defaultRowHeight="14.4" x14ac:dyDescent="0.3"/>
  <cols>
    <col min="1" max="1" width="19.6640625" bestFit="1" customWidth="1"/>
    <col min="2" max="2" width="10.6640625" bestFit="1" customWidth="1"/>
    <col min="3" max="4" width="11.33203125" bestFit="1" customWidth="1"/>
    <col min="5" max="5" width="13.44140625" bestFit="1" customWidth="1"/>
    <col min="6" max="6" width="12" customWidth="1"/>
    <col min="7" max="7" width="10" bestFit="1" customWidth="1"/>
    <col min="12" max="12" width="16.6640625" bestFit="1" customWidth="1"/>
  </cols>
  <sheetData>
    <row r="3" spans="1:18" x14ac:dyDescent="0.3">
      <c r="A3" t="s">
        <v>16</v>
      </c>
      <c r="G3" t="s">
        <v>30</v>
      </c>
    </row>
    <row r="4" spans="1:18" x14ac:dyDescent="0.3">
      <c r="E4" s="5"/>
      <c r="M4" t="s">
        <v>44</v>
      </c>
    </row>
    <row r="5" spans="1:1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0" t="s">
        <v>31</v>
      </c>
      <c r="H5" s="20" t="s">
        <v>32</v>
      </c>
      <c r="I5" s="17"/>
      <c r="J5" s="17" t="s">
        <v>41</v>
      </c>
      <c r="K5" s="17"/>
      <c r="L5" s="17"/>
      <c r="M5" t="s">
        <v>11</v>
      </c>
      <c r="N5" t="s">
        <v>43</v>
      </c>
    </row>
    <row r="6" spans="1:18" x14ac:dyDescent="0.3">
      <c r="A6" s="38">
        <v>43500</v>
      </c>
      <c r="B6">
        <v>2724.8701169999999</v>
      </c>
      <c r="C6">
        <v>2724.8701169999999</v>
      </c>
      <c r="D6">
        <v>2724.8701169999999</v>
      </c>
      <c r="E6">
        <v>2724.8701169999999</v>
      </c>
      <c r="F6">
        <v>0</v>
      </c>
      <c r="G6" s="20"/>
      <c r="H6" s="20"/>
      <c r="I6" s="17"/>
      <c r="J6" s="17"/>
      <c r="K6" s="17"/>
      <c r="L6" s="17"/>
      <c r="M6" s="46"/>
      <c r="O6" s="32">
        <f t="shared" ref="O6" si="0">M6+1</f>
        <v>1</v>
      </c>
      <c r="P6" s="32">
        <f t="shared" ref="P6" si="1">N6</f>
        <v>0</v>
      </c>
      <c r="Q6">
        <f>PRODUCT($O$6:O6)</f>
        <v>1</v>
      </c>
    </row>
    <row r="7" spans="1:18" x14ac:dyDescent="0.3">
      <c r="A7" s="38">
        <v>43501</v>
      </c>
      <c r="B7">
        <v>2737.6999510000001</v>
      </c>
      <c r="C7">
        <v>2737.6999510000001</v>
      </c>
      <c r="D7">
        <v>2737.6999510000001</v>
      </c>
      <c r="E7">
        <v>2737.6999510000001</v>
      </c>
      <c r="F7">
        <v>0</v>
      </c>
      <c r="G7" s="33"/>
      <c r="H7" s="20"/>
      <c r="I7" s="17"/>
      <c r="J7" s="17"/>
      <c r="K7" s="17"/>
      <c r="L7" s="17"/>
      <c r="M7" s="46"/>
      <c r="O7" s="32">
        <f>M7+1</f>
        <v>1</v>
      </c>
      <c r="P7" s="32">
        <f>N7</f>
        <v>0</v>
      </c>
      <c r="Q7">
        <f>PRODUCT($O$6:O7)</f>
        <v>1</v>
      </c>
      <c r="R7">
        <f>EXP(SUM($P$7:P7))</f>
        <v>1</v>
      </c>
    </row>
    <row r="8" spans="1:18" x14ac:dyDescent="0.3">
      <c r="A8" s="38">
        <v>43502</v>
      </c>
      <c r="B8">
        <v>2731.610107</v>
      </c>
      <c r="C8">
        <v>2731.610107</v>
      </c>
      <c r="D8">
        <v>2731.610107</v>
      </c>
      <c r="E8">
        <v>2731.610107</v>
      </c>
      <c r="F8">
        <v>0</v>
      </c>
      <c r="G8" s="33"/>
      <c r="H8" s="20"/>
      <c r="I8" s="17"/>
      <c r="J8" s="17"/>
      <c r="K8" s="17"/>
      <c r="L8" s="17"/>
      <c r="M8" s="46"/>
      <c r="O8" s="32">
        <f t="shared" ref="O8:O15" si="2">M8+1</f>
        <v>1</v>
      </c>
      <c r="P8" s="32">
        <f t="shared" ref="P8:P15" si="3">N8</f>
        <v>0</v>
      </c>
      <c r="Q8">
        <f>PRODUCT($O$6:O8)</f>
        <v>1</v>
      </c>
      <c r="R8">
        <f>EXP(SUM($P$7:P8))</f>
        <v>1</v>
      </c>
    </row>
    <row r="9" spans="1:18" x14ac:dyDescent="0.3">
      <c r="A9" s="38">
        <v>43503</v>
      </c>
      <c r="B9">
        <v>2706.0500489999999</v>
      </c>
      <c r="C9">
        <v>2706.0500489999999</v>
      </c>
      <c r="D9">
        <v>2706.0500489999999</v>
      </c>
      <c r="E9">
        <v>2706.0500489999999</v>
      </c>
      <c r="F9">
        <v>0</v>
      </c>
      <c r="G9" s="33">
        <f t="shared" ref="G9:G16" si="4">E9/E8-1</f>
        <v>-9.357139928022673E-3</v>
      </c>
      <c r="H9" s="20">
        <f t="shared" ref="H9:H16" si="5">LN(E9/E8)</f>
        <v>-9.4011929842732732E-3</v>
      </c>
      <c r="I9" s="17">
        <f t="shared" ref="I9:I16" si="6">G9+1</f>
        <v>0.99064286007197733</v>
      </c>
      <c r="J9" s="17">
        <f>PRODUCT($I$7:I9)</f>
        <v>0.99064286007197733</v>
      </c>
      <c r="K9" s="17">
        <f>SUM($H$7:H9)</f>
        <v>-9.4011929842732732E-3</v>
      </c>
      <c r="L9" s="17">
        <f t="shared" ref="L9:L16" si="7">EXP(K9)</f>
        <v>0.99064286007197733</v>
      </c>
      <c r="M9" s="46">
        <v>-9.3550000000000005E-3</v>
      </c>
      <c r="O9" s="32">
        <f t="shared" si="2"/>
        <v>0.990645</v>
      </c>
      <c r="P9" s="32">
        <f t="shared" si="3"/>
        <v>0</v>
      </c>
      <c r="Q9">
        <f>PRODUCT($O$6:O9)</f>
        <v>0.990645</v>
      </c>
      <c r="R9">
        <f>EXP(SUM($P$7:P9))</f>
        <v>1</v>
      </c>
    </row>
    <row r="10" spans="1:18" x14ac:dyDescent="0.3">
      <c r="A10" s="38">
        <v>43504</v>
      </c>
      <c r="B10">
        <v>2707.8798829999901</v>
      </c>
      <c r="C10">
        <v>2707.8798829999901</v>
      </c>
      <c r="D10">
        <v>2707.8798829999901</v>
      </c>
      <c r="E10">
        <v>2707.8798829999901</v>
      </c>
      <c r="F10">
        <v>0</v>
      </c>
      <c r="G10" s="33">
        <f t="shared" si="4"/>
        <v>6.7620109268351491E-4</v>
      </c>
      <c r="H10" s="20">
        <f t="shared" si="5"/>
        <v>6.7597257173624824E-4</v>
      </c>
      <c r="I10" s="17">
        <f t="shared" si="6"/>
        <v>1.0006762010926835</v>
      </c>
      <c r="J10" s="17">
        <f>PRODUCT($I$7:I10)</f>
        <v>0.99131273385641716</v>
      </c>
      <c r="K10" s="17">
        <f>SUM($H$7:H10)</f>
        <v>-8.7252204125370242E-3</v>
      </c>
      <c r="L10" s="17">
        <f t="shared" si="7"/>
        <v>0.99131273385641716</v>
      </c>
      <c r="M10" s="46">
        <v>6.7599999999999995E-4</v>
      </c>
      <c r="O10" s="32">
        <f t="shared" si="2"/>
        <v>1.0006759999999999</v>
      </c>
      <c r="P10" s="32">
        <f t="shared" si="3"/>
        <v>0</v>
      </c>
      <c r="Q10">
        <f>PRODUCT($O$6:O10)</f>
        <v>0.9913146760199999</v>
      </c>
      <c r="R10">
        <f>EXP(SUM($P$7:P10))</f>
        <v>1</v>
      </c>
    </row>
    <row r="11" spans="1:18" x14ac:dyDescent="0.3">
      <c r="A11" s="38">
        <v>43507</v>
      </c>
      <c r="B11">
        <v>2709.8000489999999</v>
      </c>
      <c r="C11">
        <v>2709.8000489999999</v>
      </c>
      <c r="D11">
        <v>2709.8000489999999</v>
      </c>
      <c r="E11">
        <v>2709.8000489999999</v>
      </c>
      <c r="F11">
        <v>0</v>
      </c>
      <c r="G11" s="33">
        <f t="shared" si="4"/>
        <v>7.0910309281613237E-4</v>
      </c>
      <c r="H11" s="20">
        <f t="shared" si="5"/>
        <v>7.0885179800694539E-4</v>
      </c>
      <c r="I11" s="17">
        <f t="shared" si="6"/>
        <v>1.0007091030928161</v>
      </c>
      <c r="J11" s="17">
        <f>PRODUCT($I$7:I11)</f>
        <v>0.9920156767819428</v>
      </c>
      <c r="K11" s="17">
        <f>SUM($H$7:H11)</f>
        <v>-8.016368614530079E-3</v>
      </c>
      <c r="L11" s="17">
        <f t="shared" si="7"/>
        <v>0.99201567678194269</v>
      </c>
      <c r="M11" s="46">
        <v>7.0899999999999999E-4</v>
      </c>
      <c r="O11" s="32">
        <f t="shared" si="2"/>
        <v>1.0007090000000001</v>
      </c>
      <c r="P11" s="32">
        <f t="shared" si="3"/>
        <v>0</v>
      </c>
      <c r="Q11">
        <f>PRODUCT($O$6:O11)</f>
        <v>0.99201751812529815</v>
      </c>
      <c r="R11">
        <f>EXP(SUM($P$7:P11))</f>
        <v>1</v>
      </c>
    </row>
    <row r="12" spans="1:18" x14ac:dyDescent="0.3">
      <c r="A12" s="38">
        <v>43508</v>
      </c>
      <c r="B12">
        <v>2744.7299800000001</v>
      </c>
      <c r="C12">
        <v>2744.7299800000001</v>
      </c>
      <c r="D12">
        <v>2744.7299800000001</v>
      </c>
      <c r="E12">
        <v>2744.7299800000001</v>
      </c>
      <c r="F12">
        <v>0</v>
      </c>
      <c r="G12" s="33">
        <f t="shared" si="4"/>
        <v>1.2890224506745485E-2</v>
      </c>
      <c r="H12" s="20">
        <f t="shared" si="5"/>
        <v>1.2807852668629596E-2</v>
      </c>
      <c r="I12" s="17">
        <f t="shared" si="6"/>
        <v>1.0128902245067455</v>
      </c>
      <c r="J12" s="17">
        <f>PRODUCT($I$7:I12)</f>
        <v>1.0048029815698731</v>
      </c>
      <c r="K12" s="17">
        <f>SUM($H$7:H12)</f>
        <v>4.7914840540995169E-3</v>
      </c>
      <c r="L12" s="17">
        <f t="shared" si="7"/>
        <v>1.0048029815698731</v>
      </c>
      <c r="M12" s="46">
        <v>1.2886999999999999E-2</v>
      </c>
      <c r="O12" s="32">
        <f t="shared" si="2"/>
        <v>1.0128870000000001</v>
      </c>
      <c r="P12" s="32">
        <f t="shared" si="3"/>
        <v>0</v>
      </c>
      <c r="Q12">
        <f>PRODUCT($O$6:O12)</f>
        <v>1.004801647881379</v>
      </c>
      <c r="R12">
        <f>EXP(SUM($P$7:P12))</f>
        <v>1</v>
      </c>
    </row>
    <row r="13" spans="1:18" x14ac:dyDescent="0.3">
      <c r="A13" s="38">
        <v>43509</v>
      </c>
      <c r="B13">
        <v>2753.030029</v>
      </c>
      <c r="C13">
        <v>2753.030029</v>
      </c>
      <c r="D13">
        <v>2753.030029</v>
      </c>
      <c r="E13">
        <v>2753.030029</v>
      </c>
      <c r="F13">
        <v>0</v>
      </c>
      <c r="G13" s="33">
        <f t="shared" si="4"/>
        <v>3.0239947318970728E-3</v>
      </c>
      <c r="H13" s="20">
        <f t="shared" si="5"/>
        <v>3.0194316566570117E-3</v>
      </c>
      <c r="I13" s="17">
        <f t="shared" si="6"/>
        <v>1.0030239947318971</v>
      </c>
      <c r="J13" s="17">
        <f>PRODUCT($I$7:I13)</f>
        <v>1.0078415004927348</v>
      </c>
      <c r="K13" s="17">
        <f>SUM($H$7:H13)</f>
        <v>7.8109157107565282E-3</v>
      </c>
      <c r="L13" s="17">
        <f t="shared" si="7"/>
        <v>1.0078415004927348</v>
      </c>
      <c r="M13" s="46">
        <v>3.0230000000000001E-3</v>
      </c>
      <c r="O13" s="32">
        <f t="shared" si="2"/>
        <v>1.003023</v>
      </c>
      <c r="P13" s="32">
        <f t="shared" si="3"/>
        <v>0</v>
      </c>
      <c r="Q13">
        <f>PRODUCT($O$6:O13)</f>
        <v>1.0078391632629244</v>
      </c>
      <c r="R13">
        <f>EXP(SUM($P$7:P13))</f>
        <v>1</v>
      </c>
    </row>
    <row r="14" spans="1:18" x14ac:dyDescent="0.3">
      <c r="A14" s="38">
        <v>43510</v>
      </c>
      <c r="B14">
        <v>2745.7299800000001</v>
      </c>
      <c r="C14">
        <v>2745.7299800000001</v>
      </c>
      <c r="D14">
        <v>2745.7299800000001</v>
      </c>
      <c r="E14">
        <v>2745.7299800000001</v>
      </c>
      <c r="F14">
        <v>0</v>
      </c>
      <c r="G14" s="33">
        <f t="shared" si="4"/>
        <v>-2.6516416178182789E-3</v>
      </c>
      <c r="H14" s="20">
        <f t="shared" si="5"/>
        <v>-2.6551634465824207E-3</v>
      </c>
      <c r="I14" s="17">
        <f t="shared" si="6"/>
        <v>0.99734835838218172</v>
      </c>
      <c r="J14" s="17">
        <f>PRODUCT($I$7:I14)</f>
        <v>1.0051690660258639</v>
      </c>
      <c r="K14" s="17">
        <f>SUM($H$7:H14)</f>
        <v>5.1557522641741075E-3</v>
      </c>
      <c r="L14" s="17">
        <f t="shared" si="7"/>
        <v>1.0051690660258639</v>
      </c>
      <c r="M14" s="46">
        <v>-2.6510000000000001E-3</v>
      </c>
      <c r="O14" s="32">
        <f t="shared" si="2"/>
        <v>0.99734900000000004</v>
      </c>
      <c r="P14" s="32">
        <f t="shared" si="3"/>
        <v>0</v>
      </c>
      <c r="Q14">
        <f>PRODUCT($O$6:O14)</f>
        <v>1.0051673816411144</v>
      </c>
      <c r="R14">
        <f>EXP(SUM($P$7:P14))</f>
        <v>1</v>
      </c>
    </row>
    <row r="15" spans="1:18" x14ac:dyDescent="0.3">
      <c r="A15" s="38">
        <v>43511</v>
      </c>
      <c r="B15">
        <v>2775.6000979999999</v>
      </c>
      <c r="C15">
        <v>2775.6000979999999</v>
      </c>
      <c r="D15">
        <v>2775.6000979999999</v>
      </c>
      <c r="E15">
        <v>2775.6000979999999</v>
      </c>
      <c r="F15">
        <v>0</v>
      </c>
      <c r="G15" s="33">
        <f t="shared" si="4"/>
        <v>1.0878752906358091E-2</v>
      </c>
      <c r="H15" s="20">
        <f t="shared" si="5"/>
        <v>1.0820004959524163E-2</v>
      </c>
      <c r="I15" s="17">
        <f t="shared" si="6"/>
        <v>1.0108787529063581</v>
      </c>
      <c r="J15" s="17">
        <f>PRODUCT($I$7:I15)</f>
        <v>1.0161040519242739</v>
      </c>
      <c r="K15" s="17">
        <f>SUM($H$7:H15)</f>
        <v>1.5975757223698268E-2</v>
      </c>
      <c r="L15" s="17">
        <f t="shared" si="7"/>
        <v>1.0161040519242739</v>
      </c>
      <c r="M15" s="46">
        <v>1.0876E-2</v>
      </c>
      <c r="O15" s="32">
        <f t="shared" si="2"/>
        <v>1.0108760000000001</v>
      </c>
      <c r="P15" s="32">
        <f t="shared" si="3"/>
        <v>0</v>
      </c>
      <c r="Q15">
        <f>PRODUCT($O$6:O15)</f>
        <v>1.0160995820838432</v>
      </c>
      <c r="R15">
        <f>EXP(SUM($P$7:P15))</f>
        <v>1</v>
      </c>
    </row>
    <row r="16" spans="1:18" x14ac:dyDescent="0.3">
      <c r="A16" s="38">
        <v>43515</v>
      </c>
      <c r="B16">
        <v>2779.76001</v>
      </c>
      <c r="C16">
        <v>2779.76001</v>
      </c>
      <c r="D16">
        <v>2779.76001</v>
      </c>
      <c r="E16">
        <v>2779.76001</v>
      </c>
      <c r="F16">
        <v>0</v>
      </c>
      <c r="G16" s="33">
        <f t="shared" si="4"/>
        <v>1.4987432818573954E-3</v>
      </c>
      <c r="H16" s="20">
        <f t="shared" si="5"/>
        <v>1.4976212870598132E-3</v>
      </c>
      <c r="I16" s="17">
        <f t="shared" si="6"/>
        <v>1.0014987432818574</v>
      </c>
      <c r="J16" s="17">
        <f>PRODUCT($I$7:I16)</f>
        <v>1.0176269310457635</v>
      </c>
      <c r="K16" s="17">
        <f>SUM($H$7:H16)</f>
        <v>1.7473378510758083E-2</v>
      </c>
      <c r="L16" s="17">
        <f t="shared" si="7"/>
        <v>1.0176269310457635</v>
      </c>
      <c r="M16" s="46">
        <v>1.498E-3</v>
      </c>
      <c r="O16" s="32">
        <f>M16+1</f>
        <v>1.001498</v>
      </c>
      <c r="P16" s="32">
        <f>N16</f>
        <v>0</v>
      </c>
      <c r="Q16">
        <f>PRODUCT($O$6:O16)</f>
        <v>1.0176216992578049</v>
      </c>
      <c r="R16">
        <f>EXP(SUM($P$7:P16))</f>
        <v>1</v>
      </c>
    </row>
    <row r="18" spans="1:14" x14ac:dyDescent="0.3">
      <c r="G18" t="s">
        <v>37</v>
      </c>
      <c r="H18" t="s">
        <v>38</v>
      </c>
      <c r="J18" s="17">
        <f>365.25*H9</f>
        <v>-3.4337857375058132</v>
      </c>
      <c r="K18" s="17">
        <f>J18-0.01</f>
        <v>-3.443785737505813</v>
      </c>
      <c r="L18" s="17">
        <f>AVERAGE(K18:K26)</f>
        <v>0.70023905567271005</v>
      </c>
      <c r="M18" s="5"/>
      <c r="N18">
        <f>AVERAGE(H9:H16)</f>
        <v>2.1841723138447604E-3</v>
      </c>
    </row>
    <row r="19" spans="1:14" x14ac:dyDescent="0.3">
      <c r="C19" s="5"/>
      <c r="F19" t="s">
        <v>34</v>
      </c>
      <c r="G19" s="48">
        <f>J16</f>
        <v>1.0176269310457635</v>
      </c>
      <c r="H19" s="48">
        <f>L16</f>
        <v>1.0176269310457635</v>
      </c>
      <c r="J19" s="17">
        <f t="shared" ref="J19:J26" si="8">365.25*H10</f>
        <v>0.24689898182666467</v>
      </c>
      <c r="K19" s="17">
        <f t="shared" ref="K19:K25" si="9">J19-0.01</f>
        <v>0.23689898182666466</v>
      </c>
      <c r="L19">
        <f>_xlfn.STDEV.S(K18:K26)</f>
        <v>2.4325320751047155</v>
      </c>
      <c r="N19">
        <f>_xlfn.STDEV.S(H9:H16)</f>
        <v>7.0781383450986704E-3</v>
      </c>
    </row>
    <row r="20" spans="1:14" x14ac:dyDescent="0.3">
      <c r="C20" s="5"/>
      <c r="D20" s="5"/>
      <c r="F20" t="s">
        <v>33</v>
      </c>
      <c r="G20" s="49">
        <f>G19^(1/COUNT(G9:G16))-1</f>
        <v>2.186559355780382E-3</v>
      </c>
      <c r="H20" s="49">
        <f>H19^(1/COUNT(L9:L16))-1</f>
        <v>2.186559355780382E-3</v>
      </c>
      <c r="J20" s="17">
        <f t="shared" si="8"/>
        <v>0.25890811922203683</v>
      </c>
      <c r="K20" s="17">
        <f t="shared" si="9"/>
        <v>0.24890811922203682</v>
      </c>
      <c r="L20" s="44"/>
      <c r="N20" s="43">
        <f>N18/N19</f>
        <v>0.30858005415466522</v>
      </c>
    </row>
    <row r="21" spans="1:14" x14ac:dyDescent="0.3">
      <c r="D21" s="5"/>
      <c r="J21" s="17">
        <f t="shared" si="8"/>
        <v>4.6780681872169598</v>
      </c>
      <c r="K21" s="17">
        <f t="shared" si="9"/>
        <v>4.66806818721696</v>
      </c>
      <c r="L21">
        <f>L18/L19</f>
        <v>0.28786426408891902</v>
      </c>
    </row>
    <row r="22" spans="1:14" x14ac:dyDescent="0.3">
      <c r="C22" s="5"/>
      <c r="D22" s="5"/>
      <c r="F22" t="s">
        <v>36</v>
      </c>
      <c r="G22" s="4">
        <f>(AVERAGE(G9:G16)-0.01)/_xlfn.STDEV.S(G9:G16)</f>
        <v>-1.0980867636013225</v>
      </c>
      <c r="J22" s="17">
        <f t="shared" si="8"/>
        <v>1.1028474125939736</v>
      </c>
      <c r="K22" s="17">
        <f t="shared" si="9"/>
        <v>1.0928474125939736</v>
      </c>
    </row>
    <row r="23" spans="1:14" x14ac:dyDescent="0.3">
      <c r="C23" s="22"/>
      <c r="F23" t="s">
        <v>56</v>
      </c>
      <c r="G23" s="4">
        <f>(AVERAGE(H9:H16)-0.01)/_xlfn.STDEV.S(H9:H16)*SQRT(365.2422)</f>
        <v>-21.103107156945686</v>
      </c>
      <c r="J23" s="17">
        <f t="shared" si="8"/>
        <v>-0.96979844886422917</v>
      </c>
      <c r="K23" s="17">
        <f t="shared" si="9"/>
        <v>-0.97979844886422918</v>
      </c>
    </row>
    <row r="24" spans="1:14" x14ac:dyDescent="0.3">
      <c r="J24" s="17">
        <f t="shared" si="8"/>
        <v>3.9520068114662004</v>
      </c>
      <c r="K24" s="17">
        <f t="shared" si="9"/>
        <v>3.9420068114662006</v>
      </c>
    </row>
    <row r="25" spans="1:14" x14ac:dyDescent="0.3">
      <c r="F25" t="s">
        <v>46</v>
      </c>
      <c r="G25" s="4">
        <f>(E10-E9)/E9</f>
        <v>6.7620109268352803E-4</v>
      </c>
      <c r="J25" s="17">
        <f t="shared" si="8"/>
        <v>0.54700617509859673</v>
      </c>
      <c r="K25">
        <v>0</v>
      </c>
    </row>
    <row r="26" spans="1:14" x14ac:dyDescent="0.3">
      <c r="J26" s="17"/>
      <c r="K26" s="17">
        <f>J25-0.01</f>
        <v>0.53700617509859672</v>
      </c>
    </row>
    <row r="28" spans="1:14" x14ac:dyDescent="0.3">
      <c r="B28" t="s">
        <v>39</v>
      </c>
      <c r="C28" t="s">
        <v>40</v>
      </c>
      <c r="F28" t="s">
        <v>31</v>
      </c>
    </row>
    <row r="29" spans="1:14" x14ac:dyDescent="0.3">
      <c r="A29" s="2">
        <v>10228</v>
      </c>
      <c r="B29">
        <v>0</v>
      </c>
      <c r="C29">
        <f>SUM($B$29:B29)</f>
        <v>0</v>
      </c>
      <c r="D29" t="e">
        <f>#REF!</f>
        <v>#REF!</v>
      </c>
    </row>
    <row r="30" spans="1:14" x14ac:dyDescent="0.3">
      <c r="A30" s="2">
        <v>10594</v>
      </c>
      <c r="B30" s="23">
        <v>0</v>
      </c>
      <c r="C30">
        <f>SUM($B$29:B30)</f>
        <v>0</v>
      </c>
      <c r="D30" t="e">
        <f>#REF!</f>
        <v>#REF!</v>
      </c>
    </row>
    <row r="31" spans="1:14" x14ac:dyDescent="0.3">
      <c r="A31" s="2">
        <v>10959</v>
      </c>
      <c r="B31" s="23">
        <f>100000+1000000</f>
        <v>1100000</v>
      </c>
      <c r="C31">
        <f>SUM($B$29:B31)</f>
        <v>1100000</v>
      </c>
      <c r="D31">
        <f t="shared" ref="D31:D41" si="10">G6</f>
        <v>0</v>
      </c>
      <c r="E31" s="23">
        <f>C31*(1+D31)</f>
        <v>1100000</v>
      </c>
    </row>
    <row r="32" spans="1:14" x14ac:dyDescent="0.3">
      <c r="A32" s="2">
        <v>11324</v>
      </c>
      <c r="B32" s="23">
        <f>1000000</f>
        <v>1000000</v>
      </c>
      <c r="C32">
        <f>SUM($B$29:B32)</f>
        <v>2100000</v>
      </c>
      <c r="D32">
        <f t="shared" si="10"/>
        <v>0</v>
      </c>
      <c r="E32" s="23">
        <f>E31*(1+D32)+B32</f>
        <v>2100000</v>
      </c>
      <c r="F32" s="21">
        <f>E32/E31-1</f>
        <v>0.90909090909090917</v>
      </c>
      <c r="G32" s="25">
        <f>F32+1</f>
        <v>1.9090909090909092</v>
      </c>
      <c r="H32" s="17">
        <f>PRODUCT(G$32:$G32)</f>
        <v>1.9090909090909092</v>
      </c>
    </row>
    <row r="33" spans="1:8" x14ac:dyDescent="0.3">
      <c r="A33" s="2">
        <v>11689</v>
      </c>
      <c r="B33" s="23">
        <f t="shared" ref="B33:B41" si="11">1000000</f>
        <v>1000000</v>
      </c>
      <c r="C33">
        <f>SUM($B$29:B33)</f>
        <v>3100000</v>
      </c>
      <c r="D33">
        <f t="shared" si="10"/>
        <v>0</v>
      </c>
      <c r="E33" s="23">
        <f t="shared" ref="E33:E41" si="12">E32*(1+D33)+B33</f>
        <v>3100000</v>
      </c>
      <c r="F33" s="21">
        <f t="shared" ref="F33:F41" si="13">E33/E32-1</f>
        <v>0.47619047619047628</v>
      </c>
      <c r="G33" s="25">
        <f t="shared" ref="G33:G41" si="14">F33+1</f>
        <v>1.4761904761904763</v>
      </c>
      <c r="H33" s="17">
        <f>PRODUCT(G$32:$G33)</f>
        <v>2.8181818181818183</v>
      </c>
    </row>
    <row r="34" spans="1:8" x14ac:dyDescent="0.3">
      <c r="A34" s="2">
        <v>12055</v>
      </c>
      <c r="B34" s="23">
        <f t="shared" si="11"/>
        <v>1000000</v>
      </c>
      <c r="C34">
        <f>SUM($B$29:B34)</f>
        <v>4100000</v>
      </c>
      <c r="D34">
        <f t="shared" si="10"/>
        <v>-9.357139928022673E-3</v>
      </c>
      <c r="E34" s="23">
        <f t="shared" si="12"/>
        <v>4070992.8662231299</v>
      </c>
      <c r="F34" s="21">
        <f t="shared" si="13"/>
        <v>0.3132235052332677</v>
      </c>
      <c r="G34" s="25">
        <f t="shared" si="14"/>
        <v>1.3132235052332677</v>
      </c>
      <c r="H34" s="17">
        <f>PRODUCT(G$32:$G34)</f>
        <v>3.700902605657391</v>
      </c>
    </row>
    <row r="35" spans="1:8" x14ac:dyDescent="0.3">
      <c r="A35" s="2">
        <v>12420</v>
      </c>
      <c r="B35" s="23">
        <f t="shared" si="11"/>
        <v>1000000</v>
      </c>
      <c r="C35">
        <f>SUM($B$29:B35)</f>
        <v>5100000</v>
      </c>
      <c r="D35">
        <f t="shared" si="10"/>
        <v>6.7620109268351491E-4</v>
      </c>
      <c r="E35" s="23">
        <f t="shared" si="12"/>
        <v>5073745.6760475766</v>
      </c>
      <c r="F35" s="21">
        <f t="shared" si="13"/>
        <v>0.24631652345653765</v>
      </c>
      <c r="G35" s="25">
        <f t="shared" si="14"/>
        <v>1.2463165234565377</v>
      </c>
      <c r="H35" s="17">
        <f>PRODUCT(G$32:$G35)</f>
        <v>4.6124960691341608</v>
      </c>
    </row>
    <row r="36" spans="1:8" x14ac:dyDescent="0.3">
      <c r="A36" s="2">
        <v>12785</v>
      </c>
      <c r="B36" s="23">
        <f t="shared" si="11"/>
        <v>1000000</v>
      </c>
      <c r="C36">
        <f>SUM($B$29:B36)</f>
        <v>6100000</v>
      </c>
      <c r="D36">
        <f t="shared" si="10"/>
        <v>7.0910309281613237E-4</v>
      </c>
      <c r="E36" s="23">
        <f t="shared" si="12"/>
        <v>6077343.4847986242</v>
      </c>
      <c r="F36" s="21">
        <f t="shared" si="13"/>
        <v>0.19780215107920918</v>
      </c>
      <c r="G36" s="25">
        <f t="shared" si="14"/>
        <v>1.1978021510792092</v>
      </c>
      <c r="H36" s="17">
        <f>PRODUCT(G$32:$G36)</f>
        <v>5.5248577134532946</v>
      </c>
    </row>
    <row r="37" spans="1:8" x14ac:dyDescent="0.3">
      <c r="A37" s="2">
        <v>13150</v>
      </c>
      <c r="B37" s="23">
        <f t="shared" si="11"/>
        <v>1000000</v>
      </c>
      <c r="C37">
        <f>SUM($B$29:B37)</f>
        <v>7100000</v>
      </c>
      <c r="D37">
        <f t="shared" si="10"/>
        <v>1.2890224506745485E-2</v>
      </c>
      <c r="E37" s="23">
        <f t="shared" si="12"/>
        <v>7155681.8067222852</v>
      </c>
      <c r="F37" s="21">
        <f t="shared" si="13"/>
        <v>0.17743580309734508</v>
      </c>
      <c r="G37" s="25">
        <f t="shared" si="14"/>
        <v>1.1774358030973451</v>
      </c>
      <c r="H37" s="17">
        <f>PRODUCT(G$32:$G37)</f>
        <v>6.5051652788384411</v>
      </c>
    </row>
    <row r="38" spans="1:8" x14ac:dyDescent="0.3">
      <c r="A38" s="2">
        <v>13516</v>
      </c>
      <c r="B38" s="23">
        <f t="shared" si="11"/>
        <v>1000000</v>
      </c>
      <c r="C38">
        <f>SUM($B$29:B38)</f>
        <v>8100000</v>
      </c>
      <c r="D38">
        <f t="shared" si="10"/>
        <v>3.0239947318970728E-3</v>
      </c>
      <c r="E38" s="23">
        <f t="shared" si="12"/>
        <v>8177320.5508089447</v>
      </c>
      <c r="F38" s="21">
        <f t="shared" si="13"/>
        <v>0.14277308182246151</v>
      </c>
      <c r="G38" s="25">
        <f t="shared" si="14"/>
        <v>1.1427730818224615</v>
      </c>
      <c r="H38" s="17">
        <f>PRODUCT(G$32:$G38)</f>
        <v>7.4339277734626776</v>
      </c>
    </row>
    <row r="39" spans="1:8" x14ac:dyDescent="0.3">
      <c r="A39" s="2">
        <v>13881</v>
      </c>
      <c r="B39" s="23">
        <f t="shared" si="11"/>
        <v>1000000</v>
      </c>
      <c r="C39">
        <f>SUM($B$29:B39)</f>
        <v>9100000</v>
      </c>
      <c r="D39">
        <f t="shared" si="10"/>
        <v>-2.6516416178182789E-3</v>
      </c>
      <c r="E39" s="23">
        <f t="shared" si="12"/>
        <v>9155637.2273141779</v>
      </c>
      <c r="F39" s="21">
        <f t="shared" si="13"/>
        <v>0.11963780439161731</v>
      </c>
      <c r="G39" s="25">
        <f t="shared" si="14"/>
        <v>1.1196378043916173</v>
      </c>
      <c r="H39" s="17">
        <f>PRODUCT(G$32:$G39)</f>
        <v>8.3233065702856166</v>
      </c>
    </row>
    <row r="40" spans="1:8" x14ac:dyDescent="0.3">
      <c r="A40" s="2">
        <v>14246</v>
      </c>
      <c r="B40" s="23">
        <f t="shared" si="11"/>
        <v>1000000</v>
      </c>
      <c r="C40">
        <f>SUM($B$29:B40)</f>
        <v>10100000</v>
      </c>
      <c r="D40">
        <f t="shared" si="10"/>
        <v>1.0878752906358091E-2</v>
      </c>
      <c r="E40" s="23">
        <f t="shared" si="12"/>
        <v>10255239.142410383</v>
      </c>
      <c r="F40" s="21">
        <f t="shared" si="13"/>
        <v>0.12010107956393723</v>
      </c>
      <c r="G40" s="25">
        <f t="shared" si="14"/>
        <v>1.1201010795639372</v>
      </c>
      <c r="H40" s="17">
        <f>PRODUCT(G$32:$G40)</f>
        <v>9.3229446749185314</v>
      </c>
    </row>
    <row r="41" spans="1:8" x14ac:dyDescent="0.3">
      <c r="A41" s="2">
        <v>14611</v>
      </c>
      <c r="B41" s="23">
        <f t="shared" si="11"/>
        <v>1000000</v>
      </c>
      <c r="C41">
        <f>SUM($B$29:B41)</f>
        <v>11100000</v>
      </c>
      <c r="D41">
        <f t="shared" si="10"/>
        <v>1.4987432818573954E-3</v>
      </c>
      <c r="E41" s="23">
        <f t="shared" si="12"/>
        <v>11270609.113178911</v>
      </c>
      <c r="F41" s="21">
        <f t="shared" si="13"/>
        <v>9.9009877455658923E-2</v>
      </c>
      <c r="G41" s="25">
        <f t="shared" si="14"/>
        <v>1.0990098774556589</v>
      </c>
      <c r="H41" s="17">
        <f>PRODUCT(G$32:$G41)</f>
        <v>10.246008284708104</v>
      </c>
    </row>
    <row r="42" spans="1:8" x14ac:dyDescent="0.3">
      <c r="E42" s="24"/>
    </row>
    <row r="43" spans="1:8" x14ac:dyDescent="0.3">
      <c r="F43" t="s">
        <v>37</v>
      </c>
    </row>
    <row r="44" spans="1:8" x14ac:dyDescent="0.3">
      <c r="E44" t="s">
        <v>34</v>
      </c>
      <c r="F44" s="20">
        <f>H41</f>
        <v>10.246008284708104</v>
      </c>
      <c r="G44" s="20"/>
    </row>
    <row r="45" spans="1:8" x14ac:dyDescent="0.3">
      <c r="E45" t="s">
        <v>33</v>
      </c>
      <c r="F45" s="3">
        <f>F44^(1/COUNT(G32:G41))-1</f>
        <v>0.26198871182724948</v>
      </c>
      <c r="G45" s="3"/>
    </row>
    <row r="47" spans="1:8" x14ac:dyDescent="0.3">
      <c r="E47" t="s">
        <v>35</v>
      </c>
      <c r="F47" s="22">
        <f>F45/_xlfn.STDEV.S(F32:F41)</f>
        <v>1.0534636927554566</v>
      </c>
    </row>
    <row r="48" spans="1:8" x14ac:dyDescent="0.3">
      <c r="E48" t="s">
        <v>36</v>
      </c>
      <c r="F48" s="22">
        <f>(F45-1%)/_xlfn.STDEV.S(F32:F41)</f>
        <v>1.0132534224194547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F3AD-2B40-4273-B8E8-5855D05F3C60}">
  <dimension ref="A3:R50"/>
  <sheetViews>
    <sheetView zoomScale="80" zoomScaleNormal="80" workbookViewId="0">
      <selection activeCell="A7" activeCellId="1" sqref="A1 A7"/>
    </sheetView>
  </sheetViews>
  <sheetFormatPr defaultRowHeight="14.4" x14ac:dyDescent="0.3"/>
  <cols>
    <col min="1" max="1" width="19.6640625" bestFit="1" customWidth="1"/>
    <col min="2" max="2" width="10.6640625" bestFit="1" customWidth="1"/>
    <col min="3" max="4" width="11.33203125" bestFit="1" customWidth="1"/>
    <col min="5" max="5" width="13.44140625" bestFit="1" customWidth="1"/>
    <col min="6" max="6" width="12" customWidth="1"/>
    <col min="7" max="7" width="21.33203125" bestFit="1" customWidth="1"/>
    <col min="12" max="12" width="16.6640625" bestFit="1" customWidth="1"/>
  </cols>
  <sheetData>
    <row r="3" spans="1:18" x14ac:dyDescent="0.3">
      <c r="A3" t="s">
        <v>16</v>
      </c>
      <c r="G3" t="s">
        <v>30</v>
      </c>
    </row>
    <row r="4" spans="1:18" x14ac:dyDescent="0.3">
      <c r="E4" s="5"/>
      <c r="M4" t="s">
        <v>44</v>
      </c>
    </row>
    <row r="5" spans="1:1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0" t="s">
        <v>31</v>
      </c>
      <c r="H5" s="20" t="s">
        <v>32</v>
      </c>
      <c r="I5" s="17"/>
      <c r="J5" s="17" t="s">
        <v>41</v>
      </c>
      <c r="K5" s="17"/>
      <c r="L5" s="17"/>
      <c r="M5" t="s">
        <v>11</v>
      </c>
      <c r="N5" t="s">
        <v>43</v>
      </c>
    </row>
    <row r="6" spans="1:18" x14ac:dyDescent="0.3">
      <c r="A6" s="2">
        <v>10228</v>
      </c>
      <c r="B6" s="34">
        <v>8974.4599999999991</v>
      </c>
      <c r="C6" s="34">
        <v>8974.4599999999991</v>
      </c>
      <c r="D6" s="34">
        <v>8974.4599999999991</v>
      </c>
      <c r="E6" s="34">
        <v>8974.4599999999991</v>
      </c>
      <c r="F6" s="1">
        <v>0</v>
      </c>
      <c r="G6" s="20"/>
      <c r="H6" s="20"/>
      <c r="I6" s="17"/>
      <c r="J6" s="17"/>
      <c r="K6" s="17"/>
      <c r="L6" s="17"/>
      <c r="M6" s="32">
        <f>'Yearly from backtrader'!K4</f>
        <v>0</v>
      </c>
      <c r="N6">
        <f>'Yearly from backtrader'!O4</f>
        <v>0</v>
      </c>
      <c r="O6" s="32">
        <f t="shared" ref="O6:O8" si="0">M6+1</f>
        <v>1</v>
      </c>
      <c r="P6" s="32">
        <f t="shared" ref="P6:P8" si="1">N6</f>
        <v>0</v>
      </c>
      <c r="Q6">
        <f>PRODUCT($O6:O$6)</f>
        <v>1</v>
      </c>
    </row>
    <row r="7" spans="1:18" x14ac:dyDescent="0.3">
      <c r="A7" s="2">
        <v>10594</v>
      </c>
      <c r="B7" s="34">
        <v>8672.08</v>
      </c>
      <c r="C7" s="34">
        <v>8672.08</v>
      </c>
      <c r="D7" s="34">
        <v>8672.08</v>
      </c>
      <c r="E7" s="34">
        <v>8672.08</v>
      </c>
      <c r="F7" s="1">
        <v>0</v>
      </c>
      <c r="G7" s="20"/>
      <c r="H7" s="20"/>
      <c r="I7" s="17"/>
      <c r="J7" s="17"/>
      <c r="K7" s="17"/>
      <c r="L7" s="17"/>
      <c r="M7" s="32">
        <f>'Yearly from backtrader'!K5</f>
        <v>0</v>
      </c>
      <c r="N7">
        <f>'Yearly from backtrader'!O5</f>
        <v>0</v>
      </c>
      <c r="O7" s="32">
        <f t="shared" si="0"/>
        <v>1</v>
      </c>
      <c r="P7" s="32">
        <f t="shared" si="1"/>
        <v>0</v>
      </c>
      <c r="Q7">
        <f>PRODUCT($O$6:O7)</f>
        <v>1</v>
      </c>
    </row>
    <row r="8" spans="1:18" x14ac:dyDescent="0.3">
      <c r="A8" s="2">
        <v>10959</v>
      </c>
      <c r="B8" s="34">
        <v>6682.37</v>
      </c>
      <c r="C8" s="34">
        <v>6682.37</v>
      </c>
      <c r="D8" s="34">
        <v>6682.37</v>
      </c>
      <c r="E8" s="34">
        <v>6682.37</v>
      </c>
      <c r="F8" s="1">
        <v>0</v>
      </c>
      <c r="G8" s="20"/>
      <c r="H8" s="20"/>
      <c r="I8" s="17"/>
      <c r="J8" s="17"/>
      <c r="K8" s="17"/>
      <c r="L8" s="17"/>
      <c r="M8" s="32">
        <f>'Yearly from backtrader'!K6</f>
        <v>0</v>
      </c>
      <c r="N8">
        <f>'Yearly from backtrader'!O6</f>
        <v>0</v>
      </c>
      <c r="O8" s="32">
        <f t="shared" si="0"/>
        <v>1</v>
      </c>
      <c r="P8" s="32">
        <f t="shared" si="1"/>
        <v>0</v>
      </c>
      <c r="Q8">
        <f>PRODUCT($O$6:O8)</f>
        <v>1</v>
      </c>
    </row>
    <row r="9" spans="1:18" x14ac:dyDescent="0.3">
      <c r="A9" s="2">
        <v>11324</v>
      </c>
      <c r="B9" s="34">
        <v>3989.6</v>
      </c>
      <c r="C9" s="34">
        <v>3989.6</v>
      </c>
      <c r="D9" s="34">
        <v>3989.6</v>
      </c>
      <c r="E9" s="34">
        <v>3989.6</v>
      </c>
      <c r="F9" s="1">
        <v>0</v>
      </c>
      <c r="G9" s="33">
        <f>E9/E8-1</f>
        <v>-0.40296631285008166</v>
      </c>
      <c r="H9" s="20">
        <f>LN(E9/E8)</f>
        <v>-0.51578173979470221</v>
      </c>
      <c r="I9" s="17">
        <f>G9+1</f>
        <v>0.59703368714991834</v>
      </c>
      <c r="J9" s="17">
        <f>PRODUCT($I$9:I9)</f>
        <v>0.59703368714991834</v>
      </c>
      <c r="K9" s="17">
        <f>SUM($H$9:H9)</f>
        <v>-0.51578173979470221</v>
      </c>
      <c r="L9" s="17">
        <f>EXP(K9)</f>
        <v>0.59703368714991834</v>
      </c>
      <c r="M9" s="32">
        <f>'Yearly from backtrader'!K7</f>
        <v>-0.40122272999999897</v>
      </c>
      <c r="N9">
        <f>'Yearly from backtrader'!O7</f>
        <v>-0.51286600000000004</v>
      </c>
      <c r="O9" s="32">
        <f>M9+1</f>
        <v>0.59877727000000103</v>
      </c>
      <c r="P9" s="32">
        <f>N9</f>
        <v>-0.51286600000000004</v>
      </c>
      <c r="Q9">
        <f>PRODUCT($O$6:O9)</f>
        <v>0.59877727000000103</v>
      </c>
      <c r="R9">
        <f>EXP(SUM($P$9:P9))</f>
        <v>0.59877702235114416</v>
      </c>
    </row>
    <row r="10" spans="1:18" x14ac:dyDescent="0.3">
      <c r="A10" s="2">
        <v>11689</v>
      </c>
      <c r="B10" s="34">
        <v>3460.18</v>
      </c>
      <c r="C10" s="34">
        <v>3460.18</v>
      </c>
      <c r="D10" s="34">
        <v>3460.18</v>
      </c>
      <c r="E10" s="34">
        <v>3460.18</v>
      </c>
      <c r="F10" s="1">
        <v>0</v>
      </c>
      <c r="G10" s="33">
        <f t="shared" ref="G10:G18" si="2">E10/E9-1</f>
        <v>-0.13270002005213555</v>
      </c>
      <c r="H10" s="20">
        <f t="shared" ref="H10:H18" si="3">LN(E10/E9)</f>
        <v>-0.1423703644119112</v>
      </c>
      <c r="I10" s="17">
        <f t="shared" ref="I10:I18" si="4">G10+1</f>
        <v>0.86729997994786445</v>
      </c>
      <c r="J10" s="17">
        <f>PRODUCT($I$9:I10)</f>
        <v>0.51780730489332372</v>
      </c>
      <c r="K10" s="17">
        <f>SUM($H$9:H10)</f>
        <v>-0.65815210420661341</v>
      </c>
      <c r="L10" s="17">
        <f t="shared" ref="L10:L18" si="5">EXP(K10)</f>
        <v>0.51780730489332372</v>
      </c>
      <c r="M10" s="32">
        <f>'Yearly from backtrader'!K8</f>
        <v>-0.13262527483716899</v>
      </c>
      <c r="N10">
        <f>'Yearly from backtrader'!O8</f>
        <v>-0.14228399999999999</v>
      </c>
      <c r="O10" s="32">
        <f t="shared" ref="O10:O17" si="6">M10+1</f>
        <v>0.86737472516283098</v>
      </c>
      <c r="P10" s="32">
        <f t="shared" ref="P10:P17" si="7">N10</f>
        <v>-0.14228399999999999</v>
      </c>
      <c r="Q10">
        <f>PRODUCT($O$6:O10)</f>
        <v>0.51936427000000118</v>
      </c>
      <c r="R10">
        <f>EXP(SUM($P$9:P10))</f>
        <v>0.5193641521210911</v>
      </c>
    </row>
    <row r="11" spans="1:18" x14ac:dyDescent="0.3">
      <c r="A11" s="2">
        <v>12055</v>
      </c>
      <c r="B11" s="34">
        <v>5281.59</v>
      </c>
      <c r="C11" s="34">
        <v>5281.59</v>
      </c>
      <c r="D11" s="34">
        <v>5281.59</v>
      </c>
      <c r="E11" s="34">
        <v>5281.59</v>
      </c>
      <c r="F11" s="1">
        <v>0</v>
      </c>
      <c r="G11" s="33">
        <f t="shared" si="2"/>
        <v>0.52639169060569113</v>
      </c>
      <c r="H11" s="20">
        <f t="shared" si="3"/>
        <v>0.42290657791148789</v>
      </c>
      <c r="I11" s="17">
        <f t="shared" si="4"/>
        <v>1.5263916906056911</v>
      </c>
      <c r="J11" s="17">
        <f>PRODUCT($I$9:I11)</f>
        <v>0.79037676752409691</v>
      </c>
      <c r="K11" s="17">
        <f>SUM($H$9:H11)</f>
        <v>-0.23524552629512552</v>
      </c>
      <c r="L11" s="17">
        <f t="shared" si="5"/>
        <v>0.79037676752409702</v>
      </c>
      <c r="M11" s="32">
        <f>'Yearly from backtrader'!K9</f>
        <v>0.52604985706852603</v>
      </c>
      <c r="N11">
        <f>'Yearly from backtrader'!O9</f>
        <v>0.42268299999999998</v>
      </c>
      <c r="O11" s="32">
        <f t="shared" si="6"/>
        <v>1.5260498570685259</v>
      </c>
      <c r="P11" s="32">
        <f t="shared" si="7"/>
        <v>0.42268299999999998</v>
      </c>
      <c r="Q11">
        <f>PRODUCT($O$6:O11)</f>
        <v>0.79257577000000112</v>
      </c>
      <c r="R11">
        <f>EXP(SUM($P$9:P11))</f>
        <v>0.79257590392005461</v>
      </c>
    </row>
    <row r="12" spans="1:18" x14ac:dyDescent="0.3">
      <c r="A12" s="2">
        <v>12420</v>
      </c>
      <c r="B12" s="34">
        <v>5143.8500000000004</v>
      </c>
      <c r="C12" s="34">
        <v>5143.8500000000004</v>
      </c>
      <c r="D12" s="34">
        <v>5143.8500000000004</v>
      </c>
      <c r="E12" s="34">
        <v>5143.8500000000004</v>
      </c>
      <c r="F12" s="1">
        <v>0</v>
      </c>
      <c r="G12" s="33">
        <f t="shared" si="2"/>
        <v>-2.6079267796250694E-2</v>
      </c>
      <c r="H12" s="20">
        <f t="shared" si="3"/>
        <v>-2.6425362425825702E-2</v>
      </c>
      <c r="I12" s="17">
        <f t="shared" si="4"/>
        <v>0.97392073220374931</v>
      </c>
      <c r="J12" s="17">
        <f>PRODUCT($I$9:I12)</f>
        <v>0.76976432014390106</v>
      </c>
      <c r="K12" s="17">
        <f>SUM($H$9:H12)</f>
        <v>-0.26167088872095123</v>
      </c>
      <c r="L12" s="17">
        <f t="shared" si="5"/>
        <v>0.76976432014390106</v>
      </c>
      <c r="M12" s="32">
        <f>'Yearly from backtrader'!K10</f>
        <v>-2.6068170113249599E-2</v>
      </c>
      <c r="N12">
        <f>'Yearly from backtrader'!O10</f>
        <v>-2.6414E-2</v>
      </c>
      <c r="O12" s="32">
        <f t="shared" si="6"/>
        <v>0.97393182988675042</v>
      </c>
      <c r="P12" s="32">
        <f t="shared" si="7"/>
        <v>-2.6414E-2</v>
      </c>
      <c r="Q12">
        <f>PRODUCT($O$6:O12)</f>
        <v>0.7719147700000013</v>
      </c>
      <c r="R12">
        <f>EXP(SUM($P$9:P12))</f>
        <v>0.7719148754485553</v>
      </c>
    </row>
    <row r="13" spans="1:18" x14ac:dyDescent="0.3">
      <c r="A13" s="2">
        <v>12785</v>
      </c>
      <c r="B13" s="34">
        <v>7504.69</v>
      </c>
      <c r="C13" s="34">
        <v>7504.69</v>
      </c>
      <c r="D13" s="34">
        <v>7504.69</v>
      </c>
      <c r="E13" s="34">
        <v>7504.69</v>
      </c>
      <c r="F13" s="1">
        <v>0</v>
      </c>
      <c r="G13" s="33">
        <f t="shared" si="2"/>
        <v>0.45896361674621122</v>
      </c>
      <c r="H13" s="20">
        <f t="shared" si="3"/>
        <v>0.37772633211265472</v>
      </c>
      <c r="I13" s="17">
        <f t="shared" si="4"/>
        <v>1.4589636167462112</v>
      </c>
      <c r="J13" s="17">
        <f>PRODUCT($I$9:I13)</f>
        <v>1.1230581365593344</v>
      </c>
      <c r="K13" s="17">
        <f>SUM($H$9:H13)</f>
        <v>0.11605544339170348</v>
      </c>
      <c r="L13" s="17">
        <f t="shared" si="5"/>
        <v>1.1230581365593344</v>
      </c>
      <c r="M13" s="32">
        <f>'Yearly from backtrader'!K11</f>
        <v>0.45876308339066901</v>
      </c>
      <c r="N13">
        <f>'Yearly from backtrader'!O11</f>
        <v>0.37758900000000001</v>
      </c>
      <c r="O13" s="32">
        <f t="shared" si="6"/>
        <v>1.4587630833906691</v>
      </c>
      <c r="P13" s="32">
        <f t="shared" si="7"/>
        <v>0.37758900000000001</v>
      </c>
      <c r="Q13">
        <f>PRODUCT($O$6:O13)</f>
        <v>1.126040770000001</v>
      </c>
      <c r="R13">
        <f>EXP(SUM($P$9:P13))</f>
        <v>1.1260410662869416</v>
      </c>
    </row>
    <row r="14" spans="1:18" x14ac:dyDescent="0.3">
      <c r="A14" s="2">
        <v>13150</v>
      </c>
      <c r="B14" s="34">
        <v>10232.629999999999</v>
      </c>
      <c r="C14" s="34">
        <v>10232.629999999999</v>
      </c>
      <c r="D14" s="34">
        <v>10232.629999999999</v>
      </c>
      <c r="E14" s="34">
        <v>10232.629999999999</v>
      </c>
      <c r="F14" s="1">
        <v>0</v>
      </c>
      <c r="G14" s="33">
        <f t="shared" si="2"/>
        <v>0.36349802590113645</v>
      </c>
      <c r="H14" s="20">
        <f t="shared" si="3"/>
        <v>0.31005347548517642</v>
      </c>
      <c r="I14" s="17">
        <f t="shared" si="4"/>
        <v>1.3634980259011364</v>
      </c>
      <c r="J14" s="17">
        <f>PRODUCT($I$9:I14)</f>
        <v>1.5312875521708613</v>
      </c>
      <c r="K14" s="17">
        <f>SUM($H$9:H14)</f>
        <v>0.42610891887687991</v>
      </c>
      <c r="L14" s="17">
        <f t="shared" si="5"/>
        <v>1.5312875521708613</v>
      </c>
      <c r="M14" s="32">
        <f>'Yearly from backtrader'!K12</f>
        <v>0.36338915153134199</v>
      </c>
      <c r="N14">
        <f>'Yearly from backtrader'!O12</f>
        <v>0.30997400000000003</v>
      </c>
      <c r="O14" s="32">
        <f t="shared" si="6"/>
        <v>1.3633891515313419</v>
      </c>
      <c r="P14" s="32">
        <f t="shared" si="7"/>
        <v>0.30997400000000003</v>
      </c>
      <c r="Q14">
        <f>PRODUCT($O$6:O14)</f>
        <v>1.5352317700000002</v>
      </c>
      <c r="R14">
        <f>EXP(SUM($P$9:P14))</f>
        <v>1.5352327527493077</v>
      </c>
    </row>
    <row r="15" spans="1:18" x14ac:dyDescent="0.3">
      <c r="A15" s="2">
        <v>13516</v>
      </c>
      <c r="B15" s="34">
        <v>7089.66</v>
      </c>
      <c r="C15" s="34">
        <v>7089.66</v>
      </c>
      <c r="D15" s="34">
        <v>7089.66</v>
      </c>
      <c r="E15" s="34">
        <v>7089.66</v>
      </c>
      <c r="F15" s="1">
        <v>0</v>
      </c>
      <c r="G15" s="33">
        <f t="shared" si="2"/>
        <v>-0.30715172932080992</v>
      </c>
      <c r="H15" s="20">
        <f t="shared" si="3"/>
        <v>-0.36694424939320147</v>
      </c>
      <c r="I15" s="17">
        <f t="shared" si="4"/>
        <v>0.69284827067919008</v>
      </c>
      <c r="J15" s="17">
        <f>PRODUCT($I$9:I15)</f>
        <v>1.0609499324341514</v>
      </c>
      <c r="K15" s="17">
        <f>SUM($H$9:H15)</f>
        <v>5.9164669483678434E-2</v>
      </c>
      <c r="L15" s="17">
        <f t="shared" si="5"/>
        <v>1.0609499324341514</v>
      </c>
      <c r="M15" s="32">
        <f>'Yearly from backtrader'!K13</f>
        <v>-0.30708425217125301</v>
      </c>
      <c r="N15">
        <f>'Yearly from backtrader'!O13</f>
        <v>-0.36684699999999998</v>
      </c>
      <c r="O15" s="32">
        <f t="shared" si="6"/>
        <v>0.69291574782874699</v>
      </c>
      <c r="P15" s="32">
        <f t="shared" si="7"/>
        <v>-0.36684699999999998</v>
      </c>
      <c r="Q15">
        <f>PRODUCT($O$6:O15)</f>
        <v>1.0637862700000011</v>
      </c>
      <c r="R15">
        <f>EXP(SUM($P$9:P15))</f>
        <v>1.0637868054235444</v>
      </c>
    </row>
    <row r="16" spans="1:18" x14ac:dyDescent="0.3">
      <c r="A16" s="2">
        <v>13881</v>
      </c>
      <c r="B16" s="34">
        <v>8492.15</v>
      </c>
      <c r="C16" s="34">
        <v>8492.15</v>
      </c>
      <c r="D16" s="34">
        <v>8492.15</v>
      </c>
      <c r="E16" s="34">
        <v>8492.15</v>
      </c>
      <c r="F16" s="1">
        <v>0</v>
      </c>
      <c r="G16" s="33">
        <f t="shared" si="2"/>
        <v>0.19782189837030262</v>
      </c>
      <c r="H16" s="20">
        <f t="shared" si="3"/>
        <v>0.18050482284031907</v>
      </c>
      <c r="I16" s="17">
        <f t="shared" si="4"/>
        <v>1.1978218983703026</v>
      </c>
      <c r="J16" s="17">
        <f>PRODUCT($I$9:I16)</f>
        <v>1.2708290621441194</v>
      </c>
      <c r="K16" s="17">
        <f>SUM($H$9:H16)</f>
        <v>0.23966949232399751</v>
      </c>
      <c r="L16" s="17">
        <f t="shared" si="5"/>
        <v>1.2708290621441194</v>
      </c>
      <c r="M16" s="32">
        <f>'Yearly from backtrader'!K14</f>
        <v>0.19775917957655101</v>
      </c>
      <c r="N16">
        <f>'Yearly from backtrader'!O14</f>
        <v>0.180452</v>
      </c>
      <c r="O16" s="32">
        <f t="shared" si="6"/>
        <v>1.197759179576551</v>
      </c>
      <c r="P16" s="32">
        <f t="shared" si="7"/>
        <v>0.180452</v>
      </c>
      <c r="Q16">
        <f>PRODUCT($O$6:O16)</f>
        <v>1.2741597700000007</v>
      </c>
      <c r="R16">
        <f>EXP(SUM($P$9:P16))</f>
        <v>1.2741598242151291</v>
      </c>
    </row>
    <row r="17" spans="1:18" x14ac:dyDescent="0.3">
      <c r="A17" s="2">
        <v>14246</v>
      </c>
      <c r="B17" s="34">
        <v>8692.91</v>
      </c>
      <c r="C17" s="34">
        <v>8692.91</v>
      </c>
      <c r="D17" s="34">
        <v>8692.91</v>
      </c>
      <c r="E17" s="34">
        <v>8692.91</v>
      </c>
      <c r="F17" s="1">
        <v>0</v>
      </c>
      <c r="G17" s="33">
        <f t="shared" si="2"/>
        <v>2.364065637088375E-2</v>
      </c>
      <c r="H17" s="20">
        <f t="shared" si="3"/>
        <v>2.3365543517144486E-2</v>
      </c>
      <c r="I17" s="17">
        <f t="shared" si="4"/>
        <v>1.0236406563708838</v>
      </c>
      <c r="J17" s="17">
        <f>PRODUCT($I$9:I17)</f>
        <v>1.3008722953084011</v>
      </c>
      <c r="K17" s="17">
        <f>SUM($H$9:H17)</f>
        <v>0.26303503584114202</v>
      </c>
      <c r="L17" s="17">
        <f t="shared" si="5"/>
        <v>1.3008722953084011</v>
      </c>
      <c r="M17" s="32">
        <f>'Yearly from backtrader'!K15</f>
        <v>2.3634398690832701E-2</v>
      </c>
      <c r="N17">
        <f>'Yearly from backtrader'!O15</f>
        <v>2.3359000000000001E-2</v>
      </c>
      <c r="O17" s="32">
        <f t="shared" si="6"/>
        <v>1.0236343986908327</v>
      </c>
      <c r="P17" s="32">
        <f t="shared" si="7"/>
        <v>2.3359000000000001E-2</v>
      </c>
      <c r="Q17">
        <f>PRODUCT($O$6:O17)</f>
        <v>1.3042737700000004</v>
      </c>
      <c r="R17">
        <f>EXP(SUM($P$9:P17))</f>
        <v>1.3042732642185961</v>
      </c>
    </row>
    <row r="18" spans="1:18" x14ac:dyDescent="0.3">
      <c r="A18" s="2">
        <v>14611</v>
      </c>
      <c r="B18" s="34">
        <v>7870.71</v>
      </c>
      <c r="C18" s="34">
        <v>7870.71</v>
      </c>
      <c r="D18" s="34">
        <v>7870.71</v>
      </c>
      <c r="E18" s="34">
        <v>7870.71</v>
      </c>
      <c r="F18" s="1">
        <v>0</v>
      </c>
      <c r="G18" s="33">
        <f t="shared" si="2"/>
        <v>-9.4582826694398103E-2</v>
      </c>
      <c r="H18" s="20">
        <f t="shared" si="3"/>
        <v>-9.9359476515362366E-2</v>
      </c>
      <c r="I18" s="17">
        <f t="shared" si="4"/>
        <v>0.9054171733056019</v>
      </c>
      <c r="J18" s="17">
        <f>PRODUCT($I$9:I18)</f>
        <v>1.1778321164497028</v>
      </c>
      <c r="K18" s="17">
        <f>SUM($H$9:H18)</f>
        <v>0.16367555932577965</v>
      </c>
      <c r="L18" s="17">
        <f t="shared" si="5"/>
        <v>1.1778321164497028</v>
      </c>
      <c r="M18" s="32">
        <f>'Yearly from backtrader'!K16</f>
        <v>-9.4558368677459301E-2</v>
      </c>
      <c r="N18">
        <f>'Yearly from backtrader'!O16</f>
        <v>-9.9332000000000004E-2</v>
      </c>
      <c r="O18" s="32">
        <f>M18+1</f>
        <v>0.90544163132254074</v>
      </c>
      <c r="P18" s="32">
        <f>N18</f>
        <v>-9.9332000000000004E-2</v>
      </c>
      <c r="Q18">
        <f>PRODUCT($O$6:O18)</f>
        <v>1.1809437700000007</v>
      </c>
      <c r="R18">
        <f>EXP(SUM($P$9:P18))</f>
        <v>1.1809438598832021</v>
      </c>
    </row>
    <row r="20" spans="1:18" x14ac:dyDescent="0.3">
      <c r="G20" t="s">
        <v>37</v>
      </c>
      <c r="H20" t="s">
        <v>38</v>
      </c>
      <c r="M20" s="5"/>
    </row>
    <row r="21" spans="1:18" x14ac:dyDescent="0.3">
      <c r="C21" s="5"/>
      <c r="F21" t="s">
        <v>34</v>
      </c>
      <c r="G21" s="20">
        <f>J18</f>
        <v>1.1778321164497028</v>
      </c>
      <c r="H21" s="20">
        <f>L18</f>
        <v>1.1778321164497028</v>
      </c>
    </row>
    <row r="22" spans="1:18" x14ac:dyDescent="0.3">
      <c r="C22" s="5"/>
      <c r="D22" s="5"/>
      <c r="F22" t="s">
        <v>33</v>
      </c>
      <c r="G22" s="3">
        <f>G21^(1/COUNT(G9:G18))-1</f>
        <v>1.6502238179241902E-2</v>
      </c>
      <c r="H22" s="3">
        <f>H21^(1/COUNT(L9:L18))-1</f>
        <v>1.6502238179241902E-2</v>
      </c>
      <c r="J22" s="43"/>
      <c r="K22" s="43"/>
      <c r="L22" s="44"/>
      <c r="N22" s="43"/>
    </row>
    <row r="23" spans="1:18" x14ac:dyDescent="0.3">
      <c r="D23" s="5"/>
    </row>
    <row r="24" spans="1:18" x14ac:dyDescent="0.3">
      <c r="C24" s="5"/>
      <c r="D24" s="5"/>
      <c r="F24" t="s">
        <v>35</v>
      </c>
      <c r="G24" s="4">
        <f>AVERAGE(G9:G18)/_xlfn.STDEV.S(G9:G18)</f>
        <v>0.19118867669333342</v>
      </c>
    </row>
    <row r="25" spans="1:18" x14ac:dyDescent="0.3">
      <c r="C25" s="22"/>
      <c r="F25" t="s">
        <v>36</v>
      </c>
      <c r="G25" s="4">
        <f>(AVERAGE(G9:G18)-0.01)/_xlfn.STDEV.S(G9:G18)</f>
        <v>0.15968283963758101</v>
      </c>
    </row>
    <row r="26" spans="1:18" x14ac:dyDescent="0.3">
      <c r="G26" s="4"/>
    </row>
    <row r="27" spans="1:18" x14ac:dyDescent="0.3">
      <c r="F27" t="s">
        <v>46</v>
      </c>
      <c r="G27" s="4">
        <f>(E10-E8)/E8</f>
        <v>-0.48219269510667623</v>
      </c>
    </row>
    <row r="30" spans="1:18" x14ac:dyDescent="0.3">
      <c r="B30" t="s">
        <v>39</v>
      </c>
      <c r="C30" t="s">
        <v>40</v>
      </c>
      <c r="F30" t="s">
        <v>31</v>
      </c>
    </row>
    <row r="31" spans="1:18" x14ac:dyDescent="0.3">
      <c r="A31" s="2">
        <v>10228</v>
      </c>
      <c r="B31">
        <v>0</v>
      </c>
      <c r="C31">
        <f>SUM($B$31:B31)</f>
        <v>0</v>
      </c>
      <c r="D31">
        <f>G6</f>
        <v>0</v>
      </c>
    </row>
    <row r="32" spans="1:18" x14ac:dyDescent="0.3">
      <c r="A32" s="2">
        <v>10594</v>
      </c>
      <c r="B32" s="23">
        <v>0</v>
      </c>
      <c r="C32">
        <f>SUM($B$31:B32)</f>
        <v>0</v>
      </c>
      <c r="D32">
        <f t="shared" ref="D32:D43" si="8">G7</f>
        <v>0</v>
      </c>
    </row>
    <row r="33" spans="1:8" x14ac:dyDescent="0.3">
      <c r="A33" s="2">
        <v>10959</v>
      </c>
      <c r="B33" s="23">
        <f>100000+1000000</f>
        <v>1100000</v>
      </c>
      <c r="C33">
        <f>SUM($B$31:B33)</f>
        <v>1100000</v>
      </c>
      <c r="D33">
        <f t="shared" si="8"/>
        <v>0</v>
      </c>
      <c r="E33" s="23">
        <f>C33*(1+D33)</f>
        <v>1100000</v>
      </c>
    </row>
    <row r="34" spans="1:8" x14ac:dyDescent="0.3">
      <c r="A34" s="2">
        <v>11324</v>
      </c>
      <c r="B34" s="23">
        <f>1000000</f>
        <v>1000000</v>
      </c>
      <c r="C34">
        <f>SUM($B$31:B34)</f>
        <v>2100000</v>
      </c>
      <c r="D34">
        <f t="shared" si="8"/>
        <v>-0.40296631285008166</v>
      </c>
      <c r="E34" s="23">
        <f>E33*(1+D34)+B34</f>
        <v>1656737.0558649101</v>
      </c>
      <c r="F34" s="21">
        <f>E34/E33-1</f>
        <v>0.5061245962408274</v>
      </c>
      <c r="G34" s="25">
        <f>F34+1</f>
        <v>1.5061245962408274</v>
      </c>
      <c r="H34" s="17">
        <f>PRODUCT(G$34:$G34)</f>
        <v>1.5061245962408274</v>
      </c>
    </row>
    <row r="35" spans="1:8" x14ac:dyDescent="0.3">
      <c r="A35" s="2">
        <v>11689</v>
      </c>
      <c r="B35" s="23">
        <f t="shared" ref="B35:B43" si="9">1000000</f>
        <v>1000000</v>
      </c>
      <c r="C35">
        <f>SUM($B$31:B35)</f>
        <v>3100000</v>
      </c>
      <c r="D35">
        <f t="shared" si="8"/>
        <v>-0.13270002005213555</v>
      </c>
      <c r="E35" s="23">
        <f t="shared" ref="E35:E43" si="10">E34*(1+D35)+B35</f>
        <v>2436888.0153305205</v>
      </c>
      <c r="F35" s="21">
        <f t="shared" ref="F35:F43" si="11">E35/E34-1</f>
        <v>0.47089606446831578</v>
      </c>
      <c r="G35" s="25">
        <f t="shared" ref="G35:G43" si="12">F35+1</f>
        <v>1.4708960644683158</v>
      </c>
      <c r="H35" s="17">
        <f>PRODUCT(G$34:$G35)</f>
        <v>2.2153527412095642</v>
      </c>
    </row>
    <row r="36" spans="1:8" x14ac:dyDescent="0.3">
      <c r="A36" s="2">
        <v>12055</v>
      </c>
      <c r="B36" s="23">
        <f t="shared" si="9"/>
        <v>1000000</v>
      </c>
      <c r="C36">
        <f>SUM($B$31:B36)</f>
        <v>4100000</v>
      </c>
      <c r="D36">
        <f t="shared" si="8"/>
        <v>0.52639169060569113</v>
      </c>
      <c r="E36" s="23">
        <f t="shared" si="10"/>
        <v>4719645.6175370999</v>
      </c>
      <c r="F36" s="21">
        <f t="shared" si="11"/>
        <v>0.93675113006658361</v>
      </c>
      <c r="G36" s="25">
        <f t="shared" si="12"/>
        <v>1.9367511300665836</v>
      </c>
      <c r="H36" s="17">
        <f>PRODUCT(G$34:$G36)</f>
        <v>4.2905869250337272</v>
      </c>
    </row>
    <row r="37" spans="1:8" x14ac:dyDescent="0.3">
      <c r="A37" s="2">
        <v>12420</v>
      </c>
      <c r="B37" s="23">
        <f t="shared" si="9"/>
        <v>1000000</v>
      </c>
      <c r="C37">
        <f>SUM($B$31:B37)</f>
        <v>5100000</v>
      </c>
      <c r="D37">
        <f t="shared" si="8"/>
        <v>-2.6079267796250694E-2</v>
      </c>
      <c r="E37" s="23">
        <f t="shared" si="10"/>
        <v>5596560.7155739488</v>
      </c>
      <c r="F37" s="21">
        <f t="shared" si="11"/>
        <v>0.18580104717575341</v>
      </c>
      <c r="G37" s="25">
        <f t="shared" si="12"/>
        <v>1.1858010471757534</v>
      </c>
      <c r="H37" s="17">
        <f>PRODUCT(G$34:$G37)</f>
        <v>5.0877824687035895</v>
      </c>
    </row>
    <row r="38" spans="1:8" x14ac:dyDescent="0.3">
      <c r="A38" s="2">
        <v>12785</v>
      </c>
      <c r="B38" s="23">
        <f t="shared" si="9"/>
        <v>1000000</v>
      </c>
      <c r="C38">
        <f>SUM($B$31:B38)</f>
        <v>6100000</v>
      </c>
      <c r="D38">
        <f t="shared" si="8"/>
        <v>0.45896361674621122</v>
      </c>
      <c r="E38" s="23">
        <f t="shared" si="10"/>
        <v>9165178.4629335329</v>
      </c>
      <c r="F38" s="21">
        <f t="shared" si="11"/>
        <v>0.63764478377388767</v>
      </c>
      <c r="G38" s="25">
        <f t="shared" si="12"/>
        <v>1.6376447837738877</v>
      </c>
      <c r="H38" s="17">
        <f>PRODUCT(G$34:$G38)</f>
        <v>8.3319804208486659</v>
      </c>
    </row>
    <row r="39" spans="1:8" x14ac:dyDescent="0.3">
      <c r="A39" s="2">
        <v>13150</v>
      </c>
      <c r="B39" s="23">
        <f t="shared" si="9"/>
        <v>1000000</v>
      </c>
      <c r="C39">
        <f>SUM($B$31:B39)</f>
        <v>7100000</v>
      </c>
      <c r="D39">
        <f t="shared" si="8"/>
        <v>0.36349802590113645</v>
      </c>
      <c r="E39" s="23">
        <f t="shared" si="10"/>
        <v>13496702.741241485</v>
      </c>
      <c r="F39" s="21">
        <f t="shared" si="11"/>
        <v>0.47260664872220559</v>
      </c>
      <c r="G39" s="25">
        <f t="shared" si="12"/>
        <v>1.4726066487222056</v>
      </c>
      <c r="H39" s="17">
        <f>PRODUCT(G$34:$G39)</f>
        <v>12.269729764764985</v>
      </c>
    </row>
    <row r="40" spans="1:8" x14ac:dyDescent="0.3">
      <c r="A40" s="2">
        <v>13516</v>
      </c>
      <c r="B40" s="23">
        <f t="shared" si="9"/>
        <v>1000000</v>
      </c>
      <c r="C40">
        <f>SUM($B$31:B40)</f>
        <v>8100000</v>
      </c>
      <c r="D40">
        <f t="shared" si="8"/>
        <v>-0.30715172932080992</v>
      </c>
      <c r="E40" s="23">
        <f t="shared" si="10"/>
        <v>10351167.154140247</v>
      </c>
      <c r="F40" s="21">
        <f t="shared" si="11"/>
        <v>-0.23305955887207297</v>
      </c>
      <c r="G40" s="25">
        <f t="shared" si="12"/>
        <v>0.76694044112792703</v>
      </c>
      <c r="H40" s="17">
        <f>PRODUCT(G$34:$G40)</f>
        <v>9.4101519583093136</v>
      </c>
    </row>
    <row r="41" spans="1:8" x14ac:dyDescent="0.3">
      <c r="A41" s="2">
        <v>13881</v>
      </c>
      <c r="B41" s="23">
        <f t="shared" si="9"/>
        <v>1000000</v>
      </c>
      <c r="C41">
        <f>SUM($B$31:B41)</f>
        <v>9100000</v>
      </c>
      <c r="D41">
        <f t="shared" si="8"/>
        <v>0.19782189837030262</v>
      </c>
      <c r="E41" s="23">
        <f t="shared" si="10"/>
        <v>13398854.690920593</v>
      </c>
      <c r="F41" s="21">
        <f t="shared" si="11"/>
        <v>0.29442936157796806</v>
      </c>
      <c r="G41" s="25">
        <f t="shared" si="12"/>
        <v>1.2944293615779681</v>
      </c>
      <c r="H41" s="17">
        <f>PRODUCT(G$34:$G41)</f>
        <v>12.18077699174599</v>
      </c>
    </row>
    <row r="42" spans="1:8" x14ac:dyDescent="0.3">
      <c r="A42" s="2">
        <v>14246</v>
      </c>
      <c r="B42" s="23">
        <f t="shared" si="9"/>
        <v>1000000</v>
      </c>
      <c r="C42">
        <f>SUM($B$31:B42)</f>
        <v>10100000</v>
      </c>
      <c r="D42">
        <f t="shared" si="8"/>
        <v>2.364065637088375E-2</v>
      </c>
      <c r="E42" s="23">
        <f t="shared" si="10"/>
        <v>14715612.41043205</v>
      </c>
      <c r="F42" s="21">
        <f t="shared" si="11"/>
        <v>9.8273901007652986E-2</v>
      </c>
      <c r="G42" s="25">
        <f t="shared" si="12"/>
        <v>1.098273901007653</v>
      </c>
      <c r="H42" s="17">
        <f>PRODUCT(G$34:$G42)</f>
        <v>13.377829464029132</v>
      </c>
    </row>
    <row r="43" spans="1:8" x14ac:dyDescent="0.3">
      <c r="A43" s="2">
        <v>14611</v>
      </c>
      <c r="B43" s="23">
        <f t="shared" si="9"/>
        <v>1000000</v>
      </c>
      <c r="C43">
        <f>SUM($B$31:B43)</f>
        <v>11100000</v>
      </c>
      <c r="D43">
        <f t="shared" si="8"/>
        <v>-9.4582826694398103E-2</v>
      </c>
      <c r="E43" s="23">
        <f t="shared" si="10"/>
        <v>14323768.192114221</v>
      </c>
      <c r="F43" s="21">
        <f t="shared" si="11"/>
        <v>-2.6627788731378055E-2</v>
      </c>
      <c r="G43" s="25">
        <f t="shared" si="12"/>
        <v>0.97337221126862195</v>
      </c>
      <c r="H43" s="17">
        <f>PRODUCT(G$34:$G43)</f>
        <v>13.02160744737656</v>
      </c>
    </row>
    <row r="44" spans="1:8" x14ac:dyDescent="0.3">
      <c r="E44" s="24"/>
    </row>
    <row r="45" spans="1:8" x14ac:dyDescent="0.3">
      <c r="F45" t="s">
        <v>37</v>
      </c>
    </row>
    <row r="46" spans="1:8" x14ac:dyDescent="0.3">
      <c r="E46" t="s">
        <v>34</v>
      </c>
      <c r="F46" s="20">
        <f>H43</f>
        <v>13.02160744737656</v>
      </c>
      <c r="G46" s="20"/>
    </row>
    <row r="47" spans="1:8" x14ac:dyDescent="0.3">
      <c r="E47" t="s">
        <v>33</v>
      </c>
      <c r="F47" s="3">
        <f>F46^(1/COUNT(G34:G43))-1</f>
        <v>0.29260687025877141</v>
      </c>
      <c r="G47" s="3"/>
    </row>
    <row r="49" spans="5:6" x14ac:dyDescent="0.3">
      <c r="E49" t="s">
        <v>35</v>
      </c>
      <c r="F49" s="22">
        <f>F47/_xlfn.STDEV.S(F34:F43)</f>
        <v>0.85512248722166651</v>
      </c>
    </row>
    <row r="50" spans="5:6" x14ac:dyDescent="0.3">
      <c r="E50" t="s">
        <v>36</v>
      </c>
      <c r="F50" s="22">
        <f>(F47-1%)/_xlfn.STDEV.S(F34:F43)</f>
        <v>0.82589820802188463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9219-D119-4914-A2FC-629BD30F62CE}">
  <dimension ref="A1:AR55"/>
  <sheetViews>
    <sheetView zoomScale="85" zoomScaleNormal="85" workbookViewId="0">
      <selection activeCell="A18" sqref="A18"/>
    </sheetView>
  </sheetViews>
  <sheetFormatPr defaultColWidth="9" defaultRowHeight="14.4" x14ac:dyDescent="0.3"/>
  <cols>
    <col min="1" max="1" width="15" style="6" bestFit="1" customWidth="1"/>
    <col min="2" max="2" width="12.88671875" style="6" bestFit="1" customWidth="1"/>
    <col min="3" max="3" width="15.109375" style="6" bestFit="1" customWidth="1"/>
    <col min="4" max="4" width="21.88671875" style="6" bestFit="1" customWidth="1"/>
    <col min="5" max="5" width="19" style="6" bestFit="1" customWidth="1"/>
    <col min="6" max="6" width="19" style="6" customWidth="1"/>
    <col min="7" max="7" width="11.44140625" style="6" bestFit="1" customWidth="1"/>
    <col min="8" max="16384" width="9" style="6"/>
  </cols>
  <sheetData>
    <row r="1" spans="1:25" x14ac:dyDescent="0.3">
      <c r="B1" s="6" t="s">
        <v>6</v>
      </c>
      <c r="H1" s="11" t="s">
        <v>23</v>
      </c>
      <c r="M1" s="7"/>
      <c r="P1" s="7"/>
    </row>
    <row r="2" spans="1:25" x14ac:dyDescent="0.3">
      <c r="A2" s="14"/>
      <c r="B2" s="12" t="s">
        <v>7</v>
      </c>
      <c r="C2" s="12" t="s">
        <v>8</v>
      </c>
      <c r="D2" s="12" t="s">
        <v>26</v>
      </c>
      <c r="E2" s="12" t="s">
        <v>27</v>
      </c>
      <c r="F2" s="18"/>
      <c r="H2" s="8" t="s">
        <v>9</v>
      </c>
      <c r="I2" s="8"/>
      <c r="J2" s="8" t="s">
        <v>10</v>
      </c>
      <c r="K2" s="8"/>
      <c r="L2" s="8" t="s">
        <v>11</v>
      </c>
      <c r="M2" s="9"/>
      <c r="N2" s="8" t="s">
        <v>12</v>
      </c>
      <c r="O2" s="8"/>
      <c r="P2" s="8" t="s">
        <v>13</v>
      </c>
      <c r="Q2" s="8"/>
      <c r="R2" s="8" t="s">
        <v>14</v>
      </c>
      <c r="S2" s="8"/>
      <c r="T2" s="8" t="s">
        <v>15</v>
      </c>
      <c r="U2" s="8"/>
      <c r="V2" s="8" t="s">
        <v>17</v>
      </c>
      <c r="W2" s="8"/>
      <c r="X2" s="8" t="s">
        <v>18</v>
      </c>
      <c r="Y2" s="8"/>
    </row>
    <row r="3" spans="1:25" x14ac:dyDescent="0.3">
      <c r="A3" s="13" t="s">
        <v>9</v>
      </c>
      <c r="B3" s="6" t="s">
        <v>21</v>
      </c>
      <c r="C3" s="6" t="s">
        <v>22</v>
      </c>
      <c r="D3" s="6" t="s">
        <v>21</v>
      </c>
      <c r="H3" s="10">
        <v>100000</v>
      </c>
      <c r="I3" s="10">
        <v>10000000</v>
      </c>
      <c r="J3" s="10">
        <v>100000</v>
      </c>
      <c r="K3" s="10">
        <v>10000000</v>
      </c>
      <c r="L3" s="10">
        <v>100000</v>
      </c>
      <c r="M3" s="10">
        <v>10000000</v>
      </c>
      <c r="N3" s="10">
        <v>100000</v>
      </c>
      <c r="O3" s="10">
        <v>10000000</v>
      </c>
      <c r="P3" s="10">
        <v>100000</v>
      </c>
      <c r="Q3" s="10">
        <v>10000000</v>
      </c>
      <c r="R3" s="10">
        <v>100000</v>
      </c>
      <c r="S3" s="10">
        <v>10000000</v>
      </c>
      <c r="T3" s="10">
        <v>100000</v>
      </c>
      <c r="U3" s="10">
        <v>10000000</v>
      </c>
      <c r="V3" s="10">
        <v>100000</v>
      </c>
      <c r="W3" s="10">
        <v>10000000</v>
      </c>
      <c r="X3" s="10">
        <v>100000</v>
      </c>
      <c r="Y3" s="10">
        <v>10000000</v>
      </c>
    </row>
    <row r="4" spans="1:25" x14ac:dyDescent="0.3">
      <c r="A4" s="13" t="s">
        <v>10</v>
      </c>
      <c r="B4" s="6" t="s">
        <v>21</v>
      </c>
      <c r="C4" s="6" t="s">
        <v>22</v>
      </c>
      <c r="D4" s="6" t="s">
        <v>21</v>
      </c>
      <c r="G4" s="19">
        <v>10228</v>
      </c>
      <c r="H4" s="15">
        <v>0.20517869999999999</v>
      </c>
      <c r="I4" s="39">
        <v>0.18094377</v>
      </c>
      <c r="J4" s="37">
        <v>0</v>
      </c>
      <c r="K4" s="27">
        <v>0</v>
      </c>
      <c r="L4">
        <v>0.18662799999999999</v>
      </c>
      <c r="M4" s="42">
        <v>0.16631399999999999</v>
      </c>
      <c r="N4">
        <v>0</v>
      </c>
      <c r="O4" s="42">
        <v>0</v>
      </c>
      <c r="P4">
        <v>0</v>
      </c>
      <c r="Q4" s="6">
        <v>0</v>
      </c>
      <c r="R4" s="39">
        <v>0.13459391741207</v>
      </c>
      <c r="S4" s="39">
        <v>0.133315973532879</v>
      </c>
      <c r="T4" s="40">
        <v>-0.61264236683932305</v>
      </c>
      <c r="U4" s="40">
        <v>-0.727513986634446</v>
      </c>
      <c r="V4" s="39">
        <v>4</v>
      </c>
      <c r="W4" s="39">
        <v>4</v>
      </c>
      <c r="X4" s="42">
        <v>45.640079999999998</v>
      </c>
      <c r="Y4" s="6">
        <v>48.063572999999998</v>
      </c>
    </row>
    <row r="5" spans="1:25" x14ac:dyDescent="0.3">
      <c r="A5" s="13" t="s">
        <v>11</v>
      </c>
      <c r="B5" s="6" t="s">
        <v>21</v>
      </c>
      <c r="D5" s="6" t="s">
        <v>21</v>
      </c>
      <c r="G5" s="19">
        <v>10594</v>
      </c>
      <c r="J5" s="37">
        <v>0</v>
      </c>
      <c r="K5" s="27">
        <v>0</v>
      </c>
      <c r="L5">
        <v>1.4356000000000001E-2</v>
      </c>
      <c r="M5" s="42">
        <v>1.2793000000000001E-2</v>
      </c>
      <c r="N5">
        <v>0</v>
      </c>
      <c r="O5" s="42">
        <v>0</v>
      </c>
      <c r="P5">
        <v>0</v>
      </c>
      <c r="Q5" s="6">
        <v>0</v>
      </c>
      <c r="R5" s="35"/>
      <c r="S5" s="35"/>
      <c r="T5" s="35"/>
      <c r="U5" s="35"/>
      <c r="V5" s="41">
        <v>45.640079999999898</v>
      </c>
      <c r="W5" s="41">
        <v>48.063572999999899</v>
      </c>
      <c r="X5" s="42">
        <v>4</v>
      </c>
      <c r="Y5" s="6">
        <v>4</v>
      </c>
    </row>
    <row r="6" spans="1:25" x14ac:dyDescent="0.3">
      <c r="A6" s="13" t="s">
        <v>12</v>
      </c>
      <c r="B6" s="6" t="s">
        <v>21</v>
      </c>
      <c r="C6" s="6" t="s">
        <v>22</v>
      </c>
      <c r="D6" s="6" t="s">
        <v>21</v>
      </c>
      <c r="G6" s="19">
        <v>10959</v>
      </c>
      <c r="J6" s="37">
        <v>0</v>
      </c>
      <c r="K6" s="27">
        <v>0</v>
      </c>
      <c r="L6">
        <v>1.4460000000000001E-2</v>
      </c>
      <c r="M6" s="42">
        <v>1.2876E-2</v>
      </c>
      <c r="N6">
        <v>0</v>
      </c>
      <c r="O6" s="42">
        <v>0</v>
      </c>
      <c r="P6">
        <v>0</v>
      </c>
      <c r="Q6" s="6">
        <v>0</v>
      </c>
      <c r="R6" s="35"/>
      <c r="S6" s="35"/>
      <c r="T6" s="35"/>
      <c r="U6" s="35"/>
      <c r="V6" s="39">
        <v>47.144549999999903</v>
      </c>
      <c r="W6" s="39">
        <v>48.063572999999899</v>
      </c>
      <c r="X6" s="35"/>
      <c r="Y6" s="35"/>
    </row>
    <row r="7" spans="1:25" x14ac:dyDescent="0.3">
      <c r="A7" s="13" t="s">
        <v>13</v>
      </c>
      <c r="B7" s="6" t="s">
        <v>21</v>
      </c>
      <c r="C7" s="6" t="s">
        <v>22</v>
      </c>
      <c r="D7" s="6" t="s">
        <v>21</v>
      </c>
      <c r="G7" s="19">
        <v>11324</v>
      </c>
      <c r="J7" s="37">
        <v>-0.37698779999999898</v>
      </c>
      <c r="K7" s="27">
        <v>-0.40122272999999897</v>
      </c>
      <c r="L7">
        <v>1.445953</v>
      </c>
      <c r="M7" s="42">
        <v>1.2875559999999999</v>
      </c>
      <c r="N7">
        <v>-0.47318900000000003</v>
      </c>
      <c r="O7" s="42">
        <v>-0.51286600000000004</v>
      </c>
      <c r="P7">
        <v>-0.37698799999999999</v>
      </c>
      <c r="Q7" s="6">
        <v>-0.401223</v>
      </c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s="13" t="s">
        <v>14</v>
      </c>
      <c r="B8" s="6" t="s">
        <v>21</v>
      </c>
      <c r="C8" s="26" t="s">
        <v>22</v>
      </c>
      <c r="D8" s="6" t="s">
        <v>21</v>
      </c>
      <c r="G8" s="19">
        <v>11689</v>
      </c>
      <c r="J8" s="37">
        <v>-0.12746620371157999</v>
      </c>
      <c r="K8" s="27">
        <v>-0.13262527483716899</v>
      </c>
      <c r="L8" s="36"/>
      <c r="M8" s="36"/>
      <c r="N8">
        <v>-0.136354</v>
      </c>
      <c r="O8" s="42">
        <v>-0.14228399999999999</v>
      </c>
      <c r="P8">
        <v>-0.127466</v>
      </c>
      <c r="Q8" s="6">
        <v>-0.13262499999999999</v>
      </c>
      <c r="R8" s="35"/>
      <c r="S8" s="35"/>
      <c r="T8" s="35"/>
      <c r="U8" s="35"/>
      <c r="W8" s="35"/>
      <c r="Y8" s="35"/>
    </row>
    <row r="9" spans="1:25" x14ac:dyDescent="0.3">
      <c r="A9" s="13" t="s">
        <v>15</v>
      </c>
      <c r="B9" s="6" t="s">
        <v>22</v>
      </c>
      <c r="C9" s="26" t="s">
        <v>22</v>
      </c>
      <c r="D9" s="6" t="s">
        <v>21</v>
      </c>
      <c r="G9" s="19">
        <v>12055</v>
      </c>
      <c r="J9" s="37">
        <v>0.50259731802401397</v>
      </c>
      <c r="K9" s="27">
        <v>0.52604985706852603</v>
      </c>
      <c r="L9" s="36"/>
      <c r="M9" s="36"/>
      <c r="N9">
        <v>0.40719499999999997</v>
      </c>
      <c r="O9" s="42">
        <v>0.42268299999999998</v>
      </c>
      <c r="P9">
        <v>0.50259699999999996</v>
      </c>
      <c r="Q9" s="6">
        <v>0.52605000000000002</v>
      </c>
      <c r="R9" s="35"/>
      <c r="S9" s="35"/>
      <c r="T9" s="35"/>
      <c r="U9" s="35"/>
      <c r="W9" s="35"/>
    </row>
    <row r="10" spans="1:25" x14ac:dyDescent="0.3">
      <c r="A10" s="13" t="s">
        <v>17</v>
      </c>
      <c r="B10" s="6" t="s">
        <v>28</v>
      </c>
      <c r="C10" s="26" t="s">
        <v>22</v>
      </c>
      <c r="D10" s="16" t="s">
        <v>22</v>
      </c>
      <c r="G10" s="19">
        <v>12420</v>
      </c>
      <c r="J10" s="37">
        <v>-2.5294722510368298E-2</v>
      </c>
      <c r="K10" s="27">
        <v>-2.6068170113249599E-2</v>
      </c>
      <c r="L10" s="36"/>
      <c r="M10" s="36"/>
      <c r="N10">
        <v>-2.562E-2</v>
      </c>
      <c r="O10" s="42">
        <v>-2.6414E-2</v>
      </c>
      <c r="P10">
        <v>-2.5295000000000002E-2</v>
      </c>
      <c r="Q10" s="6">
        <v>-2.6068000000000001E-2</v>
      </c>
      <c r="R10" s="35"/>
      <c r="S10" s="35"/>
      <c r="T10" s="35"/>
      <c r="U10" s="35"/>
      <c r="W10" s="35"/>
      <c r="X10" s="35"/>
      <c r="Y10" s="35"/>
    </row>
    <row r="11" spans="1:25" x14ac:dyDescent="0.3">
      <c r="A11" s="10" t="s">
        <v>19</v>
      </c>
      <c r="B11" s="6" t="s">
        <v>28</v>
      </c>
      <c r="C11" s="26" t="s">
        <v>22</v>
      </c>
      <c r="D11" s="6" t="s">
        <v>21</v>
      </c>
      <c r="G11" s="19">
        <v>12785</v>
      </c>
      <c r="J11" s="37">
        <v>0.44479825841798298</v>
      </c>
      <c r="K11" s="27">
        <v>0.45876308339066901</v>
      </c>
      <c r="L11" s="36"/>
      <c r="M11" s="36"/>
      <c r="N11">
        <v>0.36797000000000002</v>
      </c>
      <c r="O11" s="42">
        <v>0.37758900000000001</v>
      </c>
      <c r="P11">
        <v>0.44479800000000003</v>
      </c>
      <c r="Q11" s="6">
        <v>0.45876299999999998</v>
      </c>
      <c r="R11" s="35"/>
      <c r="S11" s="35"/>
      <c r="T11" s="35"/>
      <c r="W11" s="35"/>
      <c r="X11" s="35"/>
      <c r="Y11" s="35"/>
    </row>
    <row r="12" spans="1:25" x14ac:dyDescent="0.3">
      <c r="G12" s="19">
        <v>13150</v>
      </c>
      <c r="J12" s="37">
        <v>0.35573297775481</v>
      </c>
      <c r="K12" s="27">
        <v>0.36338915153134199</v>
      </c>
      <c r="L12" s="36"/>
      <c r="M12" s="36"/>
      <c r="N12">
        <v>0.304342</v>
      </c>
      <c r="O12" s="42">
        <v>0.30997400000000003</v>
      </c>
      <c r="P12">
        <v>0.35573300000000002</v>
      </c>
      <c r="Q12" s="6">
        <v>0.36338900000000002</v>
      </c>
      <c r="R12" s="35"/>
      <c r="S12" s="35"/>
      <c r="T12" s="35"/>
      <c r="W12" s="35"/>
      <c r="X12" s="35"/>
      <c r="Y12" s="35"/>
    </row>
    <row r="13" spans="1:25" x14ac:dyDescent="0.3">
      <c r="B13" s="6" t="s">
        <v>42</v>
      </c>
      <c r="G13" s="19">
        <v>13516</v>
      </c>
      <c r="J13" s="37">
        <v>-0.30231200191706498</v>
      </c>
      <c r="K13" s="27">
        <v>-0.30708425217125301</v>
      </c>
      <c r="L13" s="36"/>
      <c r="M13" s="36"/>
      <c r="N13">
        <v>-0.359983</v>
      </c>
      <c r="O13" s="42">
        <v>-0.36684699999999998</v>
      </c>
      <c r="P13">
        <v>-0.30231200000000003</v>
      </c>
      <c r="Q13" s="6">
        <v>-0.30708400000000002</v>
      </c>
      <c r="R13" s="35"/>
      <c r="S13" s="35"/>
      <c r="T13" s="35"/>
      <c r="U13" s="35"/>
      <c r="W13" s="35"/>
      <c r="X13" s="35"/>
      <c r="Y13" s="35"/>
    </row>
    <row r="14" spans="1:25" x14ac:dyDescent="0.3">
      <c r="A14" s="14"/>
      <c r="B14" s="12" t="s">
        <v>7</v>
      </c>
      <c r="C14" s="12" t="s">
        <v>8</v>
      </c>
      <c r="D14" s="12" t="s">
        <v>26</v>
      </c>
      <c r="E14" s="12" t="s">
        <v>27</v>
      </c>
      <c r="F14" s="18"/>
      <c r="G14" s="19">
        <v>13881</v>
      </c>
      <c r="J14" s="37">
        <v>0.193354228759513</v>
      </c>
      <c r="K14" s="27">
        <v>0.19775917957655101</v>
      </c>
      <c r="L14" s="36"/>
      <c r="M14" s="36"/>
      <c r="N14">
        <v>0.17676800000000001</v>
      </c>
      <c r="O14" s="42">
        <v>0.180452</v>
      </c>
      <c r="P14">
        <v>0.193354</v>
      </c>
      <c r="Q14" s="6">
        <v>0.19775899999999999</v>
      </c>
      <c r="R14" s="35"/>
      <c r="S14" s="35"/>
      <c r="T14" s="35"/>
      <c r="W14" s="35"/>
      <c r="X14" s="35"/>
      <c r="Y14" s="35"/>
    </row>
    <row r="15" spans="1:25" x14ac:dyDescent="0.3">
      <c r="A15" s="13" t="s">
        <v>9</v>
      </c>
      <c r="B15" s="6" t="s">
        <v>45</v>
      </c>
      <c r="G15" s="19">
        <v>14246</v>
      </c>
      <c r="J15" s="37">
        <v>2.3193255486948498E-2</v>
      </c>
      <c r="K15" s="27">
        <v>2.3634398690832701E-2</v>
      </c>
      <c r="L15" s="36"/>
      <c r="M15" s="36"/>
      <c r="N15">
        <v>2.2928E-2</v>
      </c>
      <c r="O15" s="42">
        <v>2.3359000000000001E-2</v>
      </c>
      <c r="P15">
        <v>2.3192999999999998E-2</v>
      </c>
      <c r="Q15" s="6">
        <v>2.3633999999999999E-2</v>
      </c>
      <c r="R15" s="35"/>
      <c r="S15" s="35"/>
      <c r="T15" s="35"/>
      <c r="U15" s="35"/>
      <c r="W15" s="35"/>
      <c r="X15" s="35"/>
      <c r="Y15" s="35"/>
    </row>
    <row r="16" spans="1:25" x14ac:dyDescent="0.3">
      <c r="A16" s="13" t="s">
        <v>10</v>
      </c>
      <c r="B16" s="6" t="s">
        <v>45</v>
      </c>
      <c r="G16" s="19">
        <v>14611</v>
      </c>
      <c r="J16" s="37">
        <v>-9.2833415392763199E-2</v>
      </c>
      <c r="K16" s="27">
        <v>-9.4558368677459301E-2</v>
      </c>
      <c r="L16" s="36"/>
      <c r="M16" s="36"/>
      <c r="N16">
        <v>-9.7429000000000002E-2</v>
      </c>
      <c r="O16" s="42">
        <v>-9.9332000000000004E-2</v>
      </c>
      <c r="P16">
        <v>-9.2832999999999999E-2</v>
      </c>
      <c r="Q16" s="6">
        <v>-9.4558000000000003E-2</v>
      </c>
      <c r="R16" s="35"/>
      <c r="S16" s="35"/>
      <c r="T16" s="35"/>
      <c r="U16" s="35"/>
      <c r="W16" s="35"/>
      <c r="X16" s="35"/>
      <c r="Y16" s="35"/>
    </row>
    <row r="17" spans="1:25" x14ac:dyDescent="0.3">
      <c r="A17" s="13" t="s">
        <v>11</v>
      </c>
      <c r="B17" s="6" t="s">
        <v>45</v>
      </c>
      <c r="N17"/>
    </row>
    <row r="18" spans="1:25" x14ac:dyDescent="0.3">
      <c r="A18" s="13" t="s">
        <v>12</v>
      </c>
      <c r="B18" s="6" t="s">
        <v>45</v>
      </c>
      <c r="J18" s="7"/>
    </row>
    <row r="19" spans="1:25" x14ac:dyDescent="0.3">
      <c r="A19" s="13" t="s">
        <v>13</v>
      </c>
      <c r="B19" s="6" t="s">
        <v>45</v>
      </c>
      <c r="J19" s="7"/>
    </row>
    <row r="20" spans="1:25" x14ac:dyDescent="0.3">
      <c r="A20" s="13" t="s">
        <v>14</v>
      </c>
      <c r="B20" s="6" t="s">
        <v>45</v>
      </c>
      <c r="C20" s="26"/>
      <c r="J20" s="7"/>
    </row>
    <row r="21" spans="1:25" x14ac:dyDescent="0.3">
      <c r="A21" s="13" t="s">
        <v>15</v>
      </c>
      <c r="C21" s="26"/>
      <c r="H21" s="11" t="s">
        <v>24</v>
      </c>
      <c r="M21" s="7"/>
      <c r="P21" s="7"/>
    </row>
    <row r="22" spans="1:25" x14ac:dyDescent="0.3">
      <c r="A22" s="13" t="s">
        <v>17</v>
      </c>
      <c r="B22" s="6" t="s">
        <v>45</v>
      </c>
      <c r="C22" s="26"/>
      <c r="D22" s="16"/>
      <c r="H22" s="8" t="s">
        <v>9</v>
      </c>
      <c r="I22" s="8"/>
      <c r="J22" s="8" t="s">
        <v>10</v>
      </c>
      <c r="K22" s="8"/>
      <c r="L22" s="8" t="s">
        <v>11</v>
      </c>
      <c r="M22" s="9"/>
      <c r="N22" s="8" t="s">
        <v>12</v>
      </c>
      <c r="O22" s="8"/>
      <c r="P22" s="8" t="s">
        <v>13</v>
      </c>
      <c r="Q22" s="8"/>
      <c r="R22" s="8" t="s">
        <v>14</v>
      </c>
      <c r="S22" s="8"/>
      <c r="T22" s="8" t="s">
        <v>15</v>
      </c>
      <c r="U22" s="8"/>
      <c r="V22" s="8" t="s">
        <v>17</v>
      </c>
      <c r="W22" s="8"/>
      <c r="X22" s="8" t="s">
        <v>18</v>
      </c>
      <c r="Y22" s="8"/>
    </row>
    <row r="23" spans="1:25" x14ac:dyDescent="0.3">
      <c r="A23" s="10" t="s">
        <v>19</v>
      </c>
      <c r="B23" s="6" t="s">
        <v>45</v>
      </c>
      <c r="C23" s="26"/>
      <c r="H23" s="10">
        <v>0</v>
      </c>
      <c r="I23" s="10">
        <v>1000000</v>
      </c>
      <c r="J23" s="10">
        <v>0</v>
      </c>
      <c r="K23" s="10">
        <v>1000000</v>
      </c>
      <c r="L23" s="10">
        <v>0</v>
      </c>
      <c r="M23" s="10">
        <v>1000000</v>
      </c>
      <c r="N23" s="10">
        <v>0</v>
      </c>
      <c r="O23" s="10">
        <v>1000000</v>
      </c>
      <c r="P23" s="10">
        <v>0</v>
      </c>
      <c r="Q23" s="10">
        <v>1000000</v>
      </c>
      <c r="R23" s="10">
        <v>0</v>
      </c>
      <c r="S23" s="10">
        <v>1000000</v>
      </c>
      <c r="T23" s="10">
        <v>0</v>
      </c>
      <c r="U23" s="10">
        <v>1000000</v>
      </c>
      <c r="V23" s="10">
        <v>0</v>
      </c>
      <c r="W23" s="10">
        <v>1000000</v>
      </c>
      <c r="X23" s="10">
        <v>0</v>
      </c>
      <c r="Y23" s="10">
        <v>1000000</v>
      </c>
    </row>
    <row r="24" spans="1:25" x14ac:dyDescent="0.3">
      <c r="G24" s="19">
        <v>10228</v>
      </c>
      <c r="H24" s="16">
        <v>1.3635839999999899</v>
      </c>
      <c r="I24" s="16">
        <v>1304.1937089999999</v>
      </c>
      <c r="J24" s="29">
        <v>0</v>
      </c>
      <c r="K24" s="29">
        <v>0</v>
      </c>
      <c r="L24" s="28">
        <v>0.31011652756654001</v>
      </c>
      <c r="M24" s="28">
        <v>0.56431820888766704</v>
      </c>
      <c r="N24" s="29">
        <v>0</v>
      </c>
      <c r="O24" s="29">
        <v>0</v>
      </c>
      <c r="P24" s="29">
        <v>0</v>
      </c>
      <c r="Q24" s="29">
        <v>0</v>
      </c>
      <c r="R24" s="6">
        <v>0.164674455745699</v>
      </c>
      <c r="S24" s="6">
        <v>0.26168927015042998</v>
      </c>
      <c r="T24" s="6">
        <v>-0.51034090327755999</v>
      </c>
      <c r="U24" s="6">
        <v>19.5737514132841</v>
      </c>
      <c r="V24" s="6">
        <v>4</v>
      </c>
      <c r="W24" s="6">
        <v>4</v>
      </c>
      <c r="X24" s="6">
        <v>38.6206099999999</v>
      </c>
      <c r="Y24" s="6">
        <v>28.318865105813501</v>
      </c>
    </row>
    <row r="25" spans="1:25" x14ac:dyDescent="0.3">
      <c r="G25" s="19">
        <v>10594</v>
      </c>
      <c r="J25" s="29">
        <v>0</v>
      </c>
      <c r="K25" s="29">
        <v>0</v>
      </c>
      <c r="L25" s="28">
        <v>2.3855117505118401E-2</v>
      </c>
      <c r="M25" s="28">
        <v>4.3409092991358998E-2</v>
      </c>
      <c r="N25" s="29">
        <v>0</v>
      </c>
      <c r="O25" s="29">
        <v>0</v>
      </c>
      <c r="P25" s="29">
        <v>0</v>
      </c>
      <c r="Q25" s="29">
        <v>0</v>
      </c>
      <c r="V25" s="6">
        <v>38.6206099999999</v>
      </c>
      <c r="W25" s="6">
        <v>28.318865105813501</v>
      </c>
      <c r="X25" s="6">
        <v>4</v>
      </c>
      <c r="Y25" s="6">
        <v>4</v>
      </c>
    </row>
    <row r="26" spans="1:25" x14ac:dyDescent="0.3">
      <c r="B26" s="6" t="s">
        <v>29</v>
      </c>
      <c r="G26" s="19">
        <v>10959</v>
      </c>
      <c r="J26" s="29">
        <v>0</v>
      </c>
      <c r="K26" s="29">
        <v>0</v>
      </c>
      <c r="L26" s="28">
        <v>2.4141926903770299E-2</v>
      </c>
      <c r="M26" s="28">
        <v>4.4365049893919997E-2</v>
      </c>
      <c r="N26" s="29">
        <v>0</v>
      </c>
      <c r="O26" s="29">
        <v>0</v>
      </c>
      <c r="P26" s="29">
        <v>0</v>
      </c>
      <c r="Q26" s="29">
        <v>0</v>
      </c>
      <c r="V26" s="6">
        <v>53.430489999999899</v>
      </c>
      <c r="W26" s="6">
        <v>63.251005609487301</v>
      </c>
    </row>
    <row r="27" spans="1:25" x14ac:dyDescent="0.3">
      <c r="A27" s="14"/>
      <c r="B27" s="12" t="s">
        <v>7</v>
      </c>
      <c r="C27" s="12" t="s">
        <v>8</v>
      </c>
      <c r="D27" s="12" t="s">
        <v>26</v>
      </c>
      <c r="E27" s="12" t="s">
        <v>27</v>
      </c>
      <c r="F27" s="21">
        <v>0.5061245962408274</v>
      </c>
      <c r="G27" s="19">
        <v>11324</v>
      </c>
      <c r="J27" s="29">
        <v>-0.29620469999999899</v>
      </c>
      <c r="K27" s="29">
        <v>99.703795299999996</v>
      </c>
      <c r="L27" s="28">
        <v>2.4141926903770301</v>
      </c>
      <c r="M27" s="28">
        <v>4.4365049893919997</v>
      </c>
      <c r="N27" s="29">
        <v>-0.35126773215048201</v>
      </c>
      <c r="O27" s="29">
        <v>-2.9370286511924502E-3</v>
      </c>
      <c r="P27" s="29">
        <v>-0.29620469999999899</v>
      </c>
      <c r="Q27" s="29">
        <v>-2.9327198019802798E-3</v>
      </c>
    </row>
    <row r="28" spans="1:25" x14ac:dyDescent="0.3">
      <c r="A28" s="13" t="s">
        <v>9</v>
      </c>
      <c r="B28" s="6" t="s">
        <v>21</v>
      </c>
      <c r="F28" s="21">
        <v>0.47089606446831578</v>
      </c>
      <c r="G28" s="19">
        <v>11689</v>
      </c>
      <c r="J28" s="29">
        <v>-0.12788008104060899</v>
      </c>
      <c r="K28" s="29">
        <v>0.86031950376750099</v>
      </c>
      <c r="L28" s="28"/>
      <c r="M28" s="28"/>
      <c r="N28" s="29">
        <v>-0.13682834278598399</v>
      </c>
      <c r="O28" s="29">
        <v>-6.8898428554977797E-2</v>
      </c>
      <c r="P28" s="29">
        <v>-0.12788008104060899</v>
      </c>
      <c r="Q28" s="29">
        <v>-6.6578515767608704E-2</v>
      </c>
    </row>
    <row r="29" spans="1:25" x14ac:dyDescent="0.3">
      <c r="A29" s="13" t="s">
        <v>10</v>
      </c>
      <c r="B29" s="6" t="s">
        <v>21</v>
      </c>
      <c r="F29" s="21">
        <v>0.93675113006658361</v>
      </c>
      <c r="G29" s="19">
        <v>12055</v>
      </c>
      <c r="J29" s="29">
        <v>0.504468519481864</v>
      </c>
      <c r="K29" s="29">
        <v>1.06015708677312</v>
      </c>
      <c r="L29" s="28"/>
      <c r="M29" s="28"/>
      <c r="N29" s="29">
        <v>0.408439692629675</v>
      </c>
      <c r="O29" s="29">
        <v>0.29504349311432099</v>
      </c>
      <c r="P29" s="29">
        <v>0.504468519481864</v>
      </c>
      <c r="Q29" s="29">
        <v>0.34318477670492498</v>
      </c>
    </row>
    <row r="30" spans="1:25" x14ac:dyDescent="0.3">
      <c r="A30" s="13" t="s">
        <v>11</v>
      </c>
      <c r="B30" s="6" t="s">
        <v>21</v>
      </c>
      <c r="F30" s="21">
        <v>0.18580104717575341</v>
      </c>
      <c r="G30" s="19">
        <v>12420</v>
      </c>
      <c r="J30" s="29">
        <v>-2.535731859876E-2</v>
      </c>
      <c r="K30" s="29">
        <v>0.233021856446324</v>
      </c>
      <c r="L30" s="28"/>
      <c r="M30" s="28"/>
      <c r="N30" s="29">
        <v>-2.5684355768834499E-2</v>
      </c>
      <c r="O30" s="29">
        <v>-2.0928695641764E-2</v>
      </c>
      <c r="P30" s="29">
        <v>-2.535731859876E-2</v>
      </c>
      <c r="Q30" s="29">
        <v>-2.0711210361313001E-2</v>
      </c>
    </row>
    <row r="31" spans="1:25" x14ac:dyDescent="0.3">
      <c r="A31" s="13" t="s">
        <v>12</v>
      </c>
      <c r="B31" s="6" t="s">
        <v>21</v>
      </c>
      <c r="F31" s="21">
        <v>0.63764478377388767</v>
      </c>
      <c r="G31" s="19">
        <v>12785</v>
      </c>
      <c r="J31" s="29">
        <v>0.44592762498697203</v>
      </c>
      <c r="K31" s="29">
        <v>0.66906814704900197</v>
      </c>
      <c r="L31" s="28"/>
      <c r="M31" s="28"/>
      <c r="N31" s="29">
        <v>0.36875107060770601</v>
      </c>
      <c r="O31" s="29">
        <v>0.32153470421462099</v>
      </c>
      <c r="P31" s="29">
        <v>0.44592762498697203</v>
      </c>
      <c r="Q31" s="29">
        <v>0.37924287073616397</v>
      </c>
    </row>
    <row r="32" spans="1:25" x14ac:dyDescent="0.3">
      <c r="A32" s="13" t="s">
        <v>13</v>
      </c>
      <c r="B32" s="6" t="s">
        <v>21</v>
      </c>
      <c r="F32" s="21">
        <v>0.47260664872220559</v>
      </c>
      <c r="G32" s="19">
        <v>13150</v>
      </c>
      <c r="J32" s="29">
        <v>0.356357645989896</v>
      </c>
      <c r="K32" s="29">
        <v>0.48936581162112502</v>
      </c>
      <c r="L32" s="28"/>
      <c r="M32" s="28"/>
      <c r="N32" s="29">
        <v>0.30480290547210598</v>
      </c>
      <c r="O32" s="29">
        <v>0.27976878788918502</v>
      </c>
      <c r="P32" s="29">
        <v>0.356357645989896</v>
      </c>
      <c r="Q32" s="29">
        <v>0.32282392406454402</v>
      </c>
    </row>
    <row r="33" spans="1:44" x14ac:dyDescent="0.3">
      <c r="A33" s="13" t="s">
        <v>14</v>
      </c>
      <c r="B33" s="6" t="s">
        <v>21</v>
      </c>
      <c r="C33" s="11"/>
      <c r="F33" s="21">
        <v>-0.23305955887207297</v>
      </c>
      <c r="G33" s="19">
        <v>13516</v>
      </c>
      <c r="J33" s="29">
        <v>-0.30270338897782201</v>
      </c>
      <c r="K33" s="29">
        <v>-0.22259530520872201</v>
      </c>
      <c r="L33" s="28"/>
      <c r="M33" s="28"/>
      <c r="N33" s="29">
        <v>-0.36054440491013801</v>
      </c>
      <c r="O33" s="29">
        <v>-0.33294258465955301</v>
      </c>
      <c r="P33" s="29">
        <v>-0.30270338897782201</v>
      </c>
      <c r="Q33" s="29">
        <v>-0.28318865105813501</v>
      </c>
    </row>
    <row r="34" spans="1:44" x14ac:dyDescent="0.3">
      <c r="A34" s="13" t="s">
        <v>15</v>
      </c>
      <c r="B34" s="6" t="s">
        <v>22</v>
      </c>
      <c r="C34" s="11"/>
      <c r="F34" s="21">
        <v>0.29442936157796806</v>
      </c>
      <c r="G34" s="19">
        <v>13881</v>
      </c>
      <c r="J34" s="29">
        <v>0.193713222763466</v>
      </c>
      <c r="K34" s="29">
        <v>0.306544927104003</v>
      </c>
      <c r="L34" s="28"/>
      <c r="M34" s="28"/>
      <c r="N34" s="29">
        <v>0.177068804181963</v>
      </c>
      <c r="O34" s="29">
        <v>0.164165666763322</v>
      </c>
      <c r="P34" s="29">
        <v>0.193713222763466</v>
      </c>
      <c r="Q34" s="29">
        <v>0.17840952221402301</v>
      </c>
    </row>
    <row r="35" spans="1:44" x14ac:dyDescent="0.3">
      <c r="A35" s="13" t="s">
        <v>17</v>
      </c>
      <c r="B35" s="6" t="s">
        <v>28</v>
      </c>
      <c r="C35" s="11"/>
      <c r="F35" s="21">
        <v>9.8273901007652986E-2</v>
      </c>
      <c r="G35" s="19">
        <v>14246</v>
      </c>
      <c r="J35" s="29">
        <v>2.32293295639181E-2</v>
      </c>
      <c r="K35" s="29">
        <v>0.106864212611692</v>
      </c>
      <c r="L35" s="28"/>
      <c r="M35" s="28"/>
      <c r="N35" s="29">
        <v>2.2963635418116201E-2</v>
      </c>
      <c r="O35" s="29">
        <v>2.1589209714984198E-2</v>
      </c>
      <c r="P35" s="29">
        <v>2.32293295639181E-2</v>
      </c>
      <c r="Q35" s="29">
        <v>2.1823942894184399E-2</v>
      </c>
    </row>
    <row r="36" spans="1:44" x14ac:dyDescent="0.3">
      <c r="A36" s="10" t="s">
        <v>19</v>
      </c>
      <c r="B36" s="6" t="s">
        <v>28</v>
      </c>
      <c r="C36" s="11"/>
      <c r="F36" s="21">
        <v>-2.6627788731378055E-2</v>
      </c>
      <c r="G36" s="19">
        <v>14611</v>
      </c>
      <c r="J36" s="29">
        <v>-9.2974527690676406E-2</v>
      </c>
      <c r="K36" s="29">
        <v>-1.9390019047677402E-2</v>
      </c>
      <c r="L36" s="28"/>
      <c r="M36" s="28"/>
      <c r="N36" s="29">
        <v>-9.7584745127588801E-2</v>
      </c>
      <c r="O36" s="29">
        <v>-9.2076915301279996E-2</v>
      </c>
      <c r="P36" s="29">
        <v>-9.2974527690676406E-2</v>
      </c>
      <c r="Q36" s="29">
        <v>-8.79650025993646E-2</v>
      </c>
    </row>
    <row r="37" spans="1:44" x14ac:dyDescent="0.3">
      <c r="J37" s="28"/>
      <c r="K37" s="28"/>
      <c r="L37" s="28"/>
      <c r="M37" s="28"/>
      <c r="N37" s="28"/>
      <c r="O37" s="28"/>
      <c r="P37" s="28"/>
      <c r="Q37" s="28"/>
    </row>
    <row r="38" spans="1:44" x14ac:dyDescent="0.3">
      <c r="J38" s="28"/>
      <c r="K38" s="28"/>
      <c r="L38" s="28"/>
      <c r="M38" s="28"/>
      <c r="N38" s="28"/>
      <c r="O38" s="28"/>
      <c r="P38" s="28"/>
      <c r="Q38" s="28"/>
    </row>
    <row r="39" spans="1:44" x14ac:dyDescent="0.3">
      <c r="J39" s="28"/>
      <c r="K39" s="28"/>
      <c r="L39" s="28"/>
      <c r="M39" s="28"/>
      <c r="N39" s="28"/>
      <c r="O39" s="28"/>
      <c r="P39" s="28"/>
      <c r="Q39" s="28"/>
    </row>
    <row r="40" spans="1:44" x14ac:dyDescent="0.3">
      <c r="H40" s="11" t="s">
        <v>20</v>
      </c>
      <c r="J40" s="28"/>
      <c r="K40" s="28"/>
      <c r="L40" s="28"/>
      <c r="M40" s="28"/>
      <c r="N40" s="28"/>
      <c r="O40" s="28"/>
      <c r="P40" s="28"/>
      <c r="Q40" s="28"/>
      <c r="AA40" s="11" t="s">
        <v>25</v>
      </c>
      <c r="AF40" s="7"/>
      <c r="AI40" s="7"/>
    </row>
    <row r="41" spans="1:44" x14ac:dyDescent="0.3">
      <c r="H41" s="8" t="s">
        <v>9</v>
      </c>
      <c r="I41" s="8"/>
      <c r="J41" s="30" t="s">
        <v>10</v>
      </c>
      <c r="K41" s="30"/>
      <c r="L41" s="30" t="s">
        <v>11</v>
      </c>
      <c r="M41" s="30"/>
      <c r="N41" s="30" t="s">
        <v>12</v>
      </c>
      <c r="O41" s="30"/>
      <c r="P41" s="30" t="s">
        <v>13</v>
      </c>
      <c r="Q41" s="30"/>
      <c r="R41" s="8" t="s">
        <v>14</v>
      </c>
      <c r="S41" s="8"/>
      <c r="T41" s="8" t="s">
        <v>15</v>
      </c>
      <c r="U41" s="8"/>
      <c r="V41" s="8" t="s">
        <v>17</v>
      </c>
      <c r="W41" s="8"/>
      <c r="X41" s="8" t="s">
        <v>18</v>
      </c>
      <c r="Y41" s="8"/>
      <c r="AA41" s="8" t="s">
        <v>9</v>
      </c>
      <c r="AB41" s="8"/>
      <c r="AC41" s="8" t="s">
        <v>10</v>
      </c>
      <c r="AD41" s="8"/>
      <c r="AE41" s="8" t="s">
        <v>11</v>
      </c>
      <c r="AF41" s="9"/>
      <c r="AG41" s="8" t="s">
        <v>12</v>
      </c>
      <c r="AH41" s="8"/>
      <c r="AI41" s="8" t="s">
        <v>13</v>
      </c>
      <c r="AJ41" s="8"/>
      <c r="AK41" s="8" t="s">
        <v>14</v>
      </c>
      <c r="AL41" s="8"/>
      <c r="AM41" s="8" t="s">
        <v>15</v>
      </c>
      <c r="AN41" s="8"/>
      <c r="AO41" s="8" t="s">
        <v>17</v>
      </c>
      <c r="AP41" s="8"/>
      <c r="AQ41" s="8" t="s">
        <v>18</v>
      </c>
      <c r="AR41" s="8"/>
    </row>
    <row r="42" spans="1:44" x14ac:dyDescent="0.3">
      <c r="H42" s="10" t="b">
        <v>1</v>
      </c>
      <c r="I42" s="10" t="b">
        <v>0</v>
      </c>
      <c r="J42" s="31" t="b">
        <v>1</v>
      </c>
      <c r="K42" s="31" t="b">
        <v>0</v>
      </c>
      <c r="L42" s="31" t="b">
        <v>1</v>
      </c>
      <c r="M42" s="31" t="b">
        <v>0</v>
      </c>
      <c r="N42" s="31" t="b">
        <v>1</v>
      </c>
      <c r="O42" s="31" t="b">
        <v>0</v>
      </c>
      <c r="P42" s="31" t="b">
        <v>1</v>
      </c>
      <c r="Q42" s="31" t="b">
        <v>0</v>
      </c>
      <c r="R42" s="10" t="b">
        <v>1</v>
      </c>
      <c r="S42" s="10" t="b">
        <v>0</v>
      </c>
      <c r="T42" s="10" t="b">
        <v>1</v>
      </c>
      <c r="U42" s="10" t="b">
        <v>0</v>
      </c>
      <c r="V42" s="10" t="b">
        <v>1</v>
      </c>
      <c r="W42" s="10" t="b">
        <v>0</v>
      </c>
      <c r="X42" s="10" t="b">
        <v>1</v>
      </c>
      <c r="Y42" s="10" t="b">
        <v>0</v>
      </c>
      <c r="AA42" s="10" t="b">
        <v>1</v>
      </c>
      <c r="AB42" s="10" t="b">
        <v>0</v>
      </c>
      <c r="AC42" s="10" t="b">
        <v>1</v>
      </c>
      <c r="AD42" s="10" t="b">
        <v>0</v>
      </c>
      <c r="AE42" s="10" t="b">
        <v>1</v>
      </c>
      <c r="AF42" s="10" t="b">
        <v>0</v>
      </c>
      <c r="AG42" s="10" t="b">
        <v>1</v>
      </c>
      <c r="AH42" s="10" t="b">
        <v>0</v>
      </c>
      <c r="AI42" s="10" t="b">
        <v>1</v>
      </c>
      <c r="AJ42" s="10" t="b">
        <v>0</v>
      </c>
      <c r="AK42" s="10" t="b">
        <v>1</v>
      </c>
      <c r="AL42" s="10" t="b">
        <v>0</v>
      </c>
      <c r="AM42" s="10" t="b">
        <v>1</v>
      </c>
      <c r="AN42" s="10" t="b">
        <v>0</v>
      </c>
      <c r="AO42" s="10" t="b">
        <v>1</v>
      </c>
      <c r="AP42" s="10" t="b">
        <v>0</v>
      </c>
      <c r="AQ42" s="10" t="b">
        <v>1</v>
      </c>
      <c r="AR42" s="10" t="b">
        <v>0</v>
      </c>
    </row>
    <row r="43" spans="1:44" x14ac:dyDescent="0.3">
      <c r="G43" s="19">
        <v>10228</v>
      </c>
      <c r="H43" s="15">
        <v>1.3635839999999899</v>
      </c>
      <c r="I43" s="15">
        <v>1.3635839999999899</v>
      </c>
      <c r="J43" s="27">
        <v>0</v>
      </c>
      <c r="K43" s="27">
        <v>0</v>
      </c>
      <c r="L43" s="27">
        <v>0.31011652756654001</v>
      </c>
      <c r="M43" s="27">
        <v>0.31011652756654001</v>
      </c>
      <c r="N43" s="27">
        <v>0</v>
      </c>
      <c r="O43" s="27">
        <v>0</v>
      </c>
      <c r="P43" s="27">
        <v>0</v>
      </c>
      <c r="Q43" s="27">
        <v>0</v>
      </c>
      <c r="R43" s="15">
        <v>0.164674455745699</v>
      </c>
      <c r="S43" s="15">
        <v>0.164674455745699</v>
      </c>
      <c r="T43" s="15">
        <v>-0.51034090327755999</v>
      </c>
      <c r="U43" s="15">
        <v>-0.51034090327755999</v>
      </c>
      <c r="V43" s="15">
        <v>4</v>
      </c>
      <c r="W43" s="15">
        <v>4</v>
      </c>
      <c r="X43" s="15">
        <v>38.6206099999999</v>
      </c>
      <c r="Y43" s="15">
        <v>38.6206099999999</v>
      </c>
      <c r="AA43" s="6">
        <v>1304.1937089999999</v>
      </c>
      <c r="AB43" s="6">
        <v>131.62972329999999</v>
      </c>
      <c r="AC43" s="28">
        <v>0</v>
      </c>
      <c r="AD43" s="28">
        <v>0</v>
      </c>
      <c r="AE43" s="28">
        <v>0.56431820888766704</v>
      </c>
      <c r="AF43" s="28">
        <v>4.8799928543307196</v>
      </c>
      <c r="AG43" s="28">
        <v>0</v>
      </c>
      <c r="AH43" s="28">
        <v>0</v>
      </c>
      <c r="AI43" s="28">
        <v>0</v>
      </c>
      <c r="AJ43" s="28">
        <v>0</v>
      </c>
      <c r="AK43" s="6">
        <v>0.26168927015042998</v>
      </c>
      <c r="AL43" s="6">
        <v>0.37794413694145401</v>
      </c>
      <c r="AM43" s="6">
        <v>19.5737514132841</v>
      </c>
      <c r="AN43" s="6">
        <v>-426.24770428881999</v>
      </c>
      <c r="AO43" s="6">
        <v>4</v>
      </c>
      <c r="AP43" s="6">
        <v>1</v>
      </c>
      <c r="AQ43" s="6">
        <v>28.318865105813501</v>
      </c>
      <c r="AR43" s="6">
        <v>28.3402595275079</v>
      </c>
    </row>
    <row r="44" spans="1:44" x14ac:dyDescent="0.3">
      <c r="G44" s="19">
        <v>10594</v>
      </c>
      <c r="J44" s="27">
        <v>0</v>
      </c>
      <c r="K44" s="27">
        <v>0</v>
      </c>
      <c r="L44" s="27">
        <v>2.3855117505118401E-2</v>
      </c>
      <c r="M44" s="27">
        <v>2.3855117505118401E-2</v>
      </c>
      <c r="N44" s="27">
        <v>0</v>
      </c>
      <c r="O44" s="27">
        <v>0</v>
      </c>
      <c r="P44" s="27">
        <v>0</v>
      </c>
      <c r="Q44" s="27">
        <v>0</v>
      </c>
      <c r="V44" s="15">
        <v>38.6206099999999</v>
      </c>
      <c r="W44" s="15">
        <v>38.6206099999999</v>
      </c>
      <c r="X44" s="15">
        <v>4</v>
      </c>
      <c r="Y44" s="15">
        <v>4</v>
      </c>
      <c r="AC44" s="28">
        <v>0</v>
      </c>
      <c r="AD44" s="28">
        <v>0</v>
      </c>
      <c r="AE44" s="28">
        <v>4.3409092991358998E-2</v>
      </c>
      <c r="AF44" s="28">
        <v>0.37538406571774702</v>
      </c>
      <c r="AG44" s="28">
        <v>0</v>
      </c>
      <c r="AH44" s="28">
        <v>0</v>
      </c>
      <c r="AI44" s="28">
        <v>0</v>
      </c>
      <c r="AJ44" s="28">
        <v>0</v>
      </c>
      <c r="AO44" s="6">
        <v>28.318865105813501</v>
      </c>
      <c r="AP44" s="6">
        <v>22.361906536944002</v>
      </c>
      <c r="AQ44" s="6">
        <v>4</v>
      </c>
      <c r="AR44" s="6">
        <v>4</v>
      </c>
    </row>
    <row r="45" spans="1:44" x14ac:dyDescent="0.3">
      <c r="G45" s="19">
        <v>10959</v>
      </c>
      <c r="J45" s="27">
        <v>0</v>
      </c>
      <c r="K45" s="27">
        <v>0</v>
      </c>
      <c r="L45" s="27">
        <v>2.4141926903770299E-2</v>
      </c>
      <c r="M45" s="27">
        <v>2.4141926903770299E-2</v>
      </c>
      <c r="N45" s="27">
        <v>0</v>
      </c>
      <c r="O45" s="27">
        <v>0</v>
      </c>
      <c r="P45" s="27">
        <v>0</v>
      </c>
      <c r="Q45" s="27">
        <v>0</v>
      </c>
      <c r="V45" s="16">
        <v>53.430489999999899</v>
      </c>
      <c r="W45" s="16">
        <v>53430.489999999903</v>
      </c>
      <c r="AC45" s="28">
        <v>0</v>
      </c>
      <c r="AD45" s="28">
        <v>0</v>
      </c>
      <c r="AE45" s="28">
        <v>4.4365049893919997E-2</v>
      </c>
      <c r="AF45" s="28">
        <v>0.45555033426424002</v>
      </c>
      <c r="AG45" s="28">
        <v>0</v>
      </c>
      <c r="AH45" s="28">
        <v>0</v>
      </c>
      <c r="AI45" s="28">
        <v>0</v>
      </c>
      <c r="AJ45" s="28">
        <v>0</v>
      </c>
      <c r="AO45" s="6">
        <v>63.251005609487301</v>
      </c>
      <c r="AP45" s="6">
        <v>2680417.8699999899</v>
      </c>
    </row>
    <row r="46" spans="1:44" x14ac:dyDescent="0.3">
      <c r="G46" s="19">
        <v>11324</v>
      </c>
      <c r="J46" s="27">
        <v>-0.29620469999999899</v>
      </c>
      <c r="K46" s="27">
        <v>-0.29620469999999899</v>
      </c>
      <c r="L46" s="27">
        <v>2.4141926903770301</v>
      </c>
      <c r="M46" s="27">
        <v>2.4141926903770301</v>
      </c>
      <c r="N46" s="27">
        <v>-0.35126773215048201</v>
      </c>
      <c r="O46" s="27">
        <v>-0.35126773215048201</v>
      </c>
      <c r="P46" s="27">
        <v>-0.29620469999999899</v>
      </c>
      <c r="Q46" s="27">
        <v>-0.29620469999999899</v>
      </c>
      <c r="AC46" s="28">
        <v>99.703795299999996</v>
      </c>
      <c r="AD46" s="28">
        <v>9.7037952999999995</v>
      </c>
      <c r="AE46" s="28">
        <v>4.4365049893919997</v>
      </c>
      <c r="AF46" s="28">
        <v>45.555033426424004</v>
      </c>
      <c r="AG46" s="28">
        <v>-2.9370286511924502E-3</v>
      </c>
      <c r="AH46" s="28">
        <v>2.37059837951093</v>
      </c>
      <c r="AI46" s="28">
        <v>-2.9327198019802798E-3</v>
      </c>
      <c r="AJ46" s="28">
        <v>9.7037952999999995</v>
      </c>
    </row>
    <row r="47" spans="1:44" x14ac:dyDescent="0.3">
      <c r="G47" s="19">
        <v>11689</v>
      </c>
      <c r="J47" s="27">
        <v>-0.12788008104060899</v>
      </c>
      <c r="K47" s="27">
        <v>-0.12788008104060899</v>
      </c>
      <c r="L47" s="28"/>
      <c r="M47" s="28"/>
      <c r="N47" s="27">
        <v>-0.13682834278598399</v>
      </c>
      <c r="O47" s="27">
        <v>-0.13682834278598399</v>
      </c>
      <c r="P47" s="27">
        <v>-0.12788008104060899</v>
      </c>
      <c r="Q47" s="27">
        <v>-0.12788008104060899</v>
      </c>
      <c r="AC47" s="28">
        <v>0.86031950376750099</v>
      </c>
      <c r="AD47" s="28">
        <v>0.80169268558414997</v>
      </c>
      <c r="AE47" s="28"/>
      <c r="AF47" s="28"/>
      <c r="AG47" s="28">
        <v>-6.8898428554977797E-2</v>
      </c>
      <c r="AH47" s="28">
        <v>0.58872660390110498</v>
      </c>
      <c r="AI47" s="28">
        <v>-6.6578515767608704E-2</v>
      </c>
      <c r="AJ47" s="28">
        <v>0.80169268558414997</v>
      </c>
    </row>
    <row r="48" spans="1:44" x14ac:dyDescent="0.3">
      <c r="G48" s="19">
        <v>12055</v>
      </c>
      <c r="J48" s="27">
        <v>0.504468519481864</v>
      </c>
      <c r="K48" s="27">
        <v>0.504468519481864</v>
      </c>
      <c r="L48" s="28"/>
      <c r="M48" s="28"/>
      <c r="N48" s="27">
        <v>0.408439692629675</v>
      </c>
      <c r="O48" s="27">
        <v>0.408439692629675</v>
      </c>
      <c r="P48" s="27">
        <v>0.504468519481864</v>
      </c>
      <c r="Q48" s="27">
        <v>0.504468519481864</v>
      </c>
      <c r="AC48" s="28">
        <v>1.06015708677312</v>
      </c>
      <c r="AD48" s="28">
        <v>1.0446101241321799</v>
      </c>
      <c r="AE48" s="28"/>
      <c r="AF48" s="28"/>
      <c r="AG48" s="28">
        <v>0.29504349311432099</v>
      </c>
      <c r="AH48" s="28">
        <v>0.71520712297293998</v>
      </c>
      <c r="AI48" s="28">
        <v>0.34318477670492498</v>
      </c>
      <c r="AJ48" s="28">
        <v>1.0446101241321799</v>
      </c>
    </row>
    <row r="49" spans="7:36" x14ac:dyDescent="0.3">
      <c r="G49" s="19">
        <v>12420</v>
      </c>
      <c r="J49" s="27">
        <v>-2.535731859876E-2</v>
      </c>
      <c r="K49" s="27">
        <v>-2.535731859876E-2</v>
      </c>
      <c r="L49" s="28"/>
      <c r="M49" s="28"/>
      <c r="N49" s="27">
        <v>-2.5684355768834499E-2</v>
      </c>
      <c r="O49" s="27">
        <v>-2.5684355768834499E-2</v>
      </c>
      <c r="P49" s="27">
        <v>-2.535731859876E-2</v>
      </c>
      <c r="Q49" s="27">
        <v>-2.535731859876E-2</v>
      </c>
      <c r="AC49" s="28">
        <v>0.233021856446324</v>
      </c>
      <c r="AD49" s="28">
        <v>0.22755296261038299</v>
      </c>
      <c r="AE49" s="28"/>
      <c r="AF49" s="28"/>
      <c r="AG49" s="28">
        <v>-2.0928695641764E-2</v>
      </c>
      <c r="AH49" s="28">
        <v>0.20502272648518099</v>
      </c>
      <c r="AI49" s="28">
        <v>-2.0711210361313001E-2</v>
      </c>
      <c r="AJ49" s="28">
        <v>0.22755296261038299</v>
      </c>
    </row>
    <row r="50" spans="7:36" x14ac:dyDescent="0.3">
      <c r="G50" s="19">
        <v>12785</v>
      </c>
      <c r="J50" s="27">
        <v>0.44592762498697203</v>
      </c>
      <c r="K50" s="27">
        <v>0.44592762498697203</v>
      </c>
      <c r="L50" s="28"/>
      <c r="M50" s="28"/>
      <c r="N50" s="27">
        <v>0.36875107060770601</v>
      </c>
      <c r="O50" s="27">
        <v>0.36875107060770601</v>
      </c>
      <c r="P50" s="27">
        <v>0.44592762498697203</v>
      </c>
      <c r="Q50" s="27">
        <v>0.44592762498697203</v>
      </c>
      <c r="AC50" s="28">
        <v>0.66906814704900197</v>
      </c>
      <c r="AD50" s="28">
        <v>0.66508522475302601</v>
      </c>
      <c r="AE50" s="28"/>
      <c r="AF50" s="28"/>
      <c r="AG50" s="28">
        <v>0.32153470421462099</v>
      </c>
      <c r="AH50" s="28">
        <v>0.50987630816030005</v>
      </c>
      <c r="AI50" s="28">
        <v>0.37924287073616397</v>
      </c>
      <c r="AJ50" s="28">
        <v>0.66508522475302601</v>
      </c>
    </row>
    <row r="51" spans="7:36" x14ac:dyDescent="0.3">
      <c r="G51" s="19">
        <v>13150</v>
      </c>
      <c r="J51" s="27">
        <v>0.356357645989896</v>
      </c>
      <c r="K51" s="27">
        <v>0.356357645989896</v>
      </c>
      <c r="L51" s="28"/>
      <c r="M51" s="28"/>
      <c r="N51" s="27">
        <v>0.30480290547210598</v>
      </c>
      <c r="O51" s="27">
        <v>0.30480290547210598</v>
      </c>
      <c r="P51" s="27">
        <v>0.356357645989896</v>
      </c>
      <c r="Q51" s="27">
        <v>0.356357645989896</v>
      </c>
      <c r="AC51" s="28">
        <v>0.48936581162112502</v>
      </c>
      <c r="AD51" s="28">
        <v>0.487263615401133</v>
      </c>
      <c r="AE51" s="28"/>
      <c r="AF51" s="28"/>
      <c r="AG51" s="28">
        <v>0.27976878788918502</v>
      </c>
      <c r="AH51" s="28">
        <v>0.39693793179343301</v>
      </c>
      <c r="AI51" s="28">
        <v>0.32282392406454402</v>
      </c>
      <c r="AJ51" s="28">
        <v>0.487263615401133</v>
      </c>
    </row>
    <row r="52" spans="7:36" x14ac:dyDescent="0.3">
      <c r="G52" s="19">
        <v>13516</v>
      </c>
      <c r="J52" s="27">
        <v>-0.30270338897782201</v>
      </c>
      <c r="K52" s="27">
        <v>-0.30270338897782201</v>
      </c>
      <c r="L52" s="28"/>
      <c r="M52" s="28"/>
      <c r="N52" s="27">
        <v>-0.36054440491013801</v>
      </c>
      <c r="O52" s="27">
        <v>-0.36054440491013801</v>
      </c>
      <c r="P52" s="27">
        <v>-0.30270338897782201</v>
      </c>
      <c r="Q52" s="27">
        <v>-0.30270338897782201</v>
      </c>
      <c r="AC52" s="28">
        <v>-0.22259530520872201</v>
      </c>
      <c r="AD52" s="28">
        <v>-0.22361906536944001</v>
      </c>
      <c r="AE52" s="28"/>
      <c r="AF52" s="28"/>
      <c r="AG52" s="28">
        <v>-0.33294258465955301</v>
      </c>
      <c r="AH52" s="28">
        <v>-0.25311198410604702</v>
      </c>
      <c r="AI52" s="28">
        <v>-0.28318865105813501</v>
      </c>
      <c r="AJ52" s="28">
        <v>-0.22361906536944001</v>
      </c>
    </row>
    <row r="53" spans="7:36" x14ac:dyDescent="0.3">
      <c r="G53" s="19">
        <v>13881</v>
      </c>
      <c r="J53" s="27">
        <v>0.193713222763466</v>
      </c>
      <c r="K53" s="27">
        <v>0.193713222763466</v>
      </c>
      <c r="L53" s="28"/>
      <c r="M53" s="28"/>
      <c r="N53" s="27">
        <v>0.177068804181963</v>
      </c>
      <c r="O53" s="27">
        <v>0.177068804181963</v>
      </c>
      <c r="P53" s="27">
        <v>0.193713222763466</v>
      </c>
      <c r="Q53" s="27">
        <v>0.193713222763466</v>
      </c>
      <c r="AC53" s="28">
        <v>0.306544927104003</v>
      </c>
      <c r="AD53" s="28">
        <v>0.30518278263976101</v>
      </c>
      <c r="AE53" s="28"/>
      <c r="AF53" s="28"/>
      <c r="AG53" s="28">
        <v>0.164165666763322</v>
      </c>
      <c r="AH53" s="28">
        <v>0.266343094292192</v>
      </c>
      <c r="AI53" s="28">
        <v>0.17840952221402301</v>
      </c>
      <c r="AJ53" s="28">
        <v>0.30518278263976101</v>
      </c>
    </row>
    <row r="54" spans="7:36" x14ac:dyDescent="0.3">
      <c r="G54" s="19">
        <v>14246</v>
      </c>
      <c r="J54" s="27">
        <v>2.32293295639181E-2</v>
      </c>
      <c r="K54" s="27">
        <v>2.32293295639181E-2</v>
      </c>
      <c r="L54" s="28"/>
      <c r="M54" s="28"/>
      <c r="N54" s="27">
        <v>2.2963635418116201E-2</v>
      </c>
      <c r="O54" s="27">
        <v>2.2963635418116201E-2</v>
      </c>
      <c r="P54" s="27">
        <v>2.32293295639181E-2</v>
      </c>
      <c r="Q54" s="27">
        <v>2.32293295639181E-2</v>
      </c>
      <c r="AC54" s="28">
        <v>0.106864212611692</v>
      </c>
      <c r="AD54" s="28">
        <v>0.105966346618644</v>
      </c>
      <c r="AE54" s="28"/>
      <c r="AF54" s="28"/>
      <c r="AG54" s="28">
        <v>2.1589209714984198E-2</v>
      </c>
      <c r="AH54" s="28">
        <v>0.100719474625126</v>
      </c>
      <c r="AI54" s="28">
        <v>2.1823942894184399E-2</v>
      </c>
      <c r="AJ54" s="28">
        <v>0.105966346618644</v>
      </c>
    </row>
    <row r="55" spans="7:36" x14ac:dyDescent="0.3">
      <c r="G55" s="19">
        <v>14611</v>
      </c>
      <c r="J55" s="27">
        <v>-9.2974527690676406E-2</v>
      </c>
      <c r="K55" s="27">
        <v>-9.2974527690676406E-2</v>
      </c>
      <c r="L55" s="28"/>
      <c r="M55" s="28"/>
      <c r="N55" s="27">
        <v>-9.7584745127588801E-2</v>
      </c>
      <c r="O55" s="27">
        <v>-9.7584745127588801E-2</v>
      </c>
      <c r="P55" s="27">
        <v>-9.2974527690676406E-2</v>
      </c>
      <c r="Q55" s="27">
        <v>-9.2974527690676406E-2</v>
      </c>
      <c r="AC55" s="28">
        <v>-1.9390019047677402E-2</v>
      </c>
      <c r="AD55" s="28">
        <v>-2.0121606521588599E-2</v>
      </c>
      <c r="AE55" s="28"/>
      <c r="AF55" s="28"/>
      <c r="AG55" s="28">
        <v>-9.2076915301279996E-2</v>
      </c>
      <c r="AH55" s="28">
        <v>-2.0326803304443301E-2</v>
      </c>
      <c r="AI55" s="28">
        <v>-8.79650025993646E-2</v>
      </c>
      <c r="AJ55" s="28">
        <v>-2.0121606521588599E-2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1419-436F-4506-9C6C-1EBD96D9F722}">
  <dimension ref="B1:I13"/>
  <sheetViews>
    <sheetView workbookViewId="0">
      <selection activeCell="B1" sqref="B1:B9"/>
    </sheetView>
  </sheetViews>
  <sheetFormatPr defaultRowHeight="14.4" x14ac:dyDescent="0.3"/>
  <cols>
    <col min="4" max="4" width="10.5546875" bestFit="1" customWidth="1"/>
    <col min="7" max="7" width="10.5546875" bestFit="1" customWidth="1"/>
  </cols>
  <sheetData>
    <row r="1" spans="2:9" x14ac:dyDescent="0.3">
      <c r="B1" s="47" t="s">
        <v>47</v>
      </c>
      <c r="D1" s="38"/>
      <c r="G1" s="38"/>
      <c r="I1" s="20"/>
    </row>
    <row r="2" spans="2:9" x14ac:dyDescent="0.3">
      <c r="B2" s="47" t="s">
        <v>48</v>
      </c>
      <c r="D2" s="38"/>
      <c r="G2" s="38"/>
      <c r="I2" s="20"/>
    </row>
    <row r="3" spans="2:9" x14ac:dyDescent="0.3">
      <c r="B3" s="47" t="s">
        <v>49</v>
      </c>
      <c r="D3" s="38"/>
      <c r="G3" s="38"/>
      <c r="I3" s="20"/>
    </row>
    <row r="4" spans="2:9" x14ac:dyDescent="0.3">
      <c r="B4" s="47" t="s">
        <v>50</v>
      </c>
      <c r="D4" s="38"/>
      <c r="G4" s="38"/>
      <c r="I4" s="20"/>
    </row>
    <row r="5" spans="2:9" x14ac:dyDescent="0.3">
      <c r="B5" s="47" t="s">
        <v>51</v>
      </c>
      <c r="D5" s="38"/>
      <c r="G5" s="38"/>
      <c r="I5" s="20"/>
    </row>
    <row r="6" spans="2:9" x14ac:dyDescent="0.3">
      <c r="B6" s="47" t="s">
        <v>52</v>
      </c>
      <c r="D6" s="38"/>
      <c r="G6" s="38"/>
      <c r="I6" s="20"/>
    </row>
    <row r="7" spans="2:9" x14ac:dyDescent="0.3">
      <c r="B7" s="47" t="s">
        <v>53</v>
      </c>
      <c r="D7" s="38"/>
      <c r="G7" s="38"/>
      <c r="I7" s="20"/>
    </row>
    <row r="8" spans="2:9" x14ac:dyDescent="0.3">
      <c r="B8" s="47" t="s">
        <v>54</v>
      </c>
      <c r="D8" s="38"/>
      <c r="G8" s="38"/>
      <c r="I8" s="20"/>
    </row>
    <row r="9" spans="2:9" x14ac:dyDescent="0.3">
      <c r="B9" s="47" t="s">
        <v>55</v>
      </c>
      <c r="D9" s="38"/>
      <c r="G9" s="38"/>
    </row>
    <row r="10" spans="2:9" x14ac:dyDescent="0.3">
      <c r="D10" s="38"/>
      <c r="G10" s="38"/>
    </row>
    <row r="11" spans="2:9" x14ac:dyDescent="0.3">
      <c r="D11" s="38"/>
      <c r="G11" s="38"/>
    </row>
    <row r="12" spans="2:9" x14ac:dyDescent="0.3">
      <c r="D12" s="38"/>
      <c r="G12" s="38"/>
    </row>
    <row r="13" spans="2:9" x14ac:dyDescent="0.3">
      <c r="D13" s="38"/>
      <c r="G13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from backtrader</vt:lpstr>
      <vt:lpstr>Daily calculated</vt:lpstr>
      <vt:lpstr>Yearly calculated</vt:lpstr>
      <vt:lpstr>Yearly from backtrader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Garzarelli, Federico</cp:lastModifiedBy>
  <dcterms:created xsi:type="dcterms:W3CDTF">2020-08-02T09:32:18Z</dcterms:created>
  <dcterms:modified xsi:type="dcterms:W3CDTF">2020-08-05T09:47:35Z</dcterms:modified>
</cp:coreProperties>
</file>