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<sst xmlns="http://schemas.openxmlformats.org/spreadsheetml/2006/main" count="46" uniqueCount="46">
  <si>
    <t xml:space="preserve">P&amp;L Explain</t>
  </si>
  <si>
    <t>Alice</t>
  </si>
  <si>
    <t>Bob</t>
  </si>
  <si>
    <t xml:space="preserve">Source Channel</t>
  </si>
  <si>
    <t xml:space="preserve">Target Channel</t>
  </si>
  <si>
    <t>Forward</t>
  </si>
  <si>
    <t xml:space="preserve">P&amp;L Decomposition Fwd (source margin)</t>
  </si>
  <si>
    <t xml:space="preserve">P&amp;L Decomposition Fwd (target margin)</t>
  </si>
  <si>
    <t>Rebalancing</t>
  </si>
  <si>
    <t xml:space="preserve">Alice -&gt; Bob</t>
  </si>
  <si>
    <t xml:space="preserve">Bob -&gt; Alice</t>
  </si>
  <si>
    <t xml:space="preserve">P&amp;L Reb Decomposition (source)</t>
  </si>
  <si>
    <t xml:space="preserve">P&amp;L Reb Decomposition (target)</t>
  </si>
  <si>
    <t xml:space="preserve">outbound fee rate ppm</t>
  </si>
  <si>
    <t xml:space="preserve">out amount msat</t>
  </si>
  <si>
    <t xml:space="preserve">1) overpayment type 1</t>
  </si>
  <si>
    <t xml:space="preserve">1*) fee value sold source appr</t>
  </si>
  <si>
    <t xml:space="preserve">1*) spread value sold source appr</t>
  </si>
  <si>
    <t xml:space="preserve">outbound base fee msat</t>
  </si>
  <si>
    <t xml:space="preserve">actual fee</t>
  </si>
  <si>
    <t xml:space="preserve">2) overpayment type 2</t>
  </si>
  <si>
    <t xml:space="preserve">2) fee value bought target</t>
  </si>
  <si>
    <t xml:space="preserve">2) spread value bought target</t>
  </si>
  <si>
    <t xml:space="preserve">inbound fee rate ppm</t>
  </si>
  <si>
    <t xml:space="preserve">3) margin base</t>
  </si>
  <si>
    <t xml:space="preserve">3) margin difference</t>
  </si>
  <si>
    <t xml:space="preserve">inbound base fee msat</t>
  </si>
  <si>
    <t xml:space="preserve">out fee msat</t>
  </si>
  <si>
    <t xml:space="preserve">4) margin proportional</t>
  </si>
  <si>
    <t xml:space="preserve">in fee msat</t>
  </si>
  <si>
    <t xml:space="preserve">5) fee value bought source</t>
  </si>
  <si>
    <t xml:space="preserve">5) spread value bought source</t>
  </si>
  <si>
    <t xml:space="preserve">max rebalancing costs</t>
  </si>
  <si>
    <t xml:space="preserve">margin ppm</t>
  </si>
  <si>
    <t xml:space="preserve">6) fee value sold target</t>
  </si>
  <si>
    <t xml:space="preserve">6) spread value sold target</t>
  </si>
  <si>
    <t xml:space="preserve">1) fee value sold source final</t>
  </si>
  <si>
    <t xml:space="preserve">spread ppm</t>
  </si>
  <si>
    <t xml:space="preserve">min expected fee msat</t>
  </si>
  <si>
    <t xml:space="preserve">7) residual</t>
  </si>
  <si>
    <t xml:space="preserve">check sum</t>
  </si>
  <si>
    <t xml:space="preserve">spread effective ppm</t>
  </si>
  <si>
    <t xml:space="preserve">floored expected fee msat</t>
  </si>
  <si>
    <t xml:space="preserve">outbound espilon ppm</t>
  </si>
  <si>
    <t xml:space="preserve">rounding error to actual fee</t>
  </si>
  <si>
    <t xml:space="preserve">inbound epsilon ppm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</si>
</sst>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4.000000"/>
      <color theme="1"/>
      <name val="Calibri"/>
      <scheme val="minor"/>
    </font>
    <font>
      <b/>
      <sz val="11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1" fillId="0" borderId="0" numFmtId="0" xfId="0" applyFont="1"/>
    <xf fontId="2" fillId="2" borderId="1" numFmtId="0" xfId="0" applyFont="1" applyFill="1" applyBorder="1"/>
    <xf fontId="2" fillId="0" borderId="0" numFmtId="0" xfId="0" applyFont="1"/>
    <xf fontId="2" fillId="2" borderId="2" numFmtId="0" xfId="0" applyFont="1" applyFill="1" applyBorder="1" applyAlignment="1">
      <alignment horizontal="center"/>
    </xf>
    <xf fontId="2" fillId="2" borderId="3" numFmtId="0" xfId="0" applyFont="1" applyFill="1" applyBorder="1" applyAlignment="1">
      <alignment horizontal="center"/>
    </xf>
    <xf fontId="0" fillId="3" borderId="1" numFmtId="0" xfId="0" applyFill="1" applyBorder="1"/>
    <xf fontId="0" fillId="0" borderId="1" numFmtId="0" xfId="0" applyBorder="1"/>
    <xf fontId="0" fillId="0" borderId="1" numFmtId="3" xfId="0" applyNumberFormat="1" applyBorder="1"/>
    <xf fontId="0" fillId="3" borderId="1" numFmtId="0" xfId="0" applyFill="1" applyBorder="1"/>
    <xf fontId="0" fillId="0" borderId="0" numFmtId="3" xfId="0" applyNumberFormat="1"/>
    <xf fontId="0" fillId="0" borderId="1" numFmtId="0" xfId="0" applyBorder="1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K1" zoomScale="100" workbookViewId="0">
      <selection activeCell="A1" activeCellId="0" sqref="A1"/>
    </sheetView>
  </sheetViews>
  <sheetFormatPr defaultRowHeight="14.25"/>
  <cols>
    <col customWidth="1" min="1" max="1" width="21.140625"/>
    <col bestFit="1" customWidth="1" min="2" max="2" width="14.140625"/>
    <col bestFit="1" customWidth="1" min="3" max="3" width="13.57421875"/>
    <col bestFit="1" min="5" max="5" width="22.7109375"/>
    <col bestFit="1" min="6" max="6" width="13.25390625"/>
    <col customWidth="1" min="7" max="7" width="13.28125"/>
    <col customWidth="1" min="8" max="8" width="24.57421875"/>
    <col customWidth="1" min="9" max="9" width="15.28125"/>
    <col customWidth="1" min="10" max="10" width="27.28125"/>
    <col customWidth="1" min="11" max="11" width="15.28125"/>
    <col bestFit="1" customWidth="1" min="13" max="13" width="23.57421875"/>
    <col customWidth="1" min="14" max="15" width="13.7109375"/>
    <col customWidth="1" min="17" max="17" width="27.8515625"/>
    <col customWidth="1" min="18" max="18" width="11.8515625"/>
    <col customWidth="1" min="20" max="20" width="30.140625"/>
    <col customWidth="1" min="21" max="21" width="13.7109375"/>
  </cols>
  <sheetData>
    <row r="1" ht="18.75">
      <c r="A1" s="1" t="s">
        <v>0</v>
      </c>
    </row>
    <row r="2" ht="18.75">
      <c r="A2" s="1"/>
    </row>
    <row r="3" ht="14.25">
      <c r="B3" s="2" t="s">
        <v>1</v>
      </c>
      <c r="C3" s="2" t="s">
        <v>2</v>
      </c>
      <c r="D3" s="3"/>
      <c r="E3" s="3"/>
      <c r="F3" s="3"/>
      <c r="G3" s="3"/>
      <c r="H3" s="3"/>
      <c r="I3" s="3"/>
    </row>
    <row r="4" ht="14.25">
      <c r="B4" s="2" t="s">
        <v>3</v>
      </c>
      <c r="C4" s="2" t="s">
        <v>4</v>
      </c>
      <c r="D4" s="3"/>
      <c r="E4" s="2" t="s">
        <v>5</v>
      </c>
      <c r="F4" s="2"/>
      <c r="G4" s="3"/>
      <c r="H4" s="4" t="s">
        <v>6</v>
      </c>
      <c r="I4" s="5"/>
      <c r="J4" s="4" t="s">
        <v>7</v>
      </c>
      <c r="K4" s="5"/>
      <c r="M4" s="2" t="s">
        <v>8</v>
      </c>
      <c r="N4" s="2" t="s">
        <v>9</v>
      </c>
      <c r="O4" s="2" t="s">
        <v>10</v>
      </c>
      <c r="Q4" s="4" t="s">
        <v>11</v>
      </c>
      <c r="R4" s="5"/>
      <c r="T4" s="4" t="s">
        <v>12</v>
      </c>
      <c r="U4" s="5"/>
    </row>
    <row r="5" ht="14.25">
      <c r="A5" s="6" t="s">
        <v>13</v>
      </c>
      <c r="B5" s="7">
        <v>200</v>
      </c>
      <c r="C5" s="7">
        <v>1000</v>
      </c>
      <c r="E5" s="6" t="s">
        <v>14</v>
      </c>
      <c r="F5" s="8">
        <v>1000000000</v>
      </c>
      <c r="H5" s="6" t="s">
        <v>15</v>
      </c>
      <c r="I5" s="8">
        <f>F6-F12</f>
        <v>1571</v>
      </c>
      <c r="J5" s="6" t="s">
        <v>15</v>
      </c>
      <c r="K5" s="8">
        <f>I5</f>
        <v>1571</v>
      </c>
      <c r="M5" s="6" t="s">
        <v>14</v>
      </c>
      <c r="N5" s="8">
        <v>1000000000</v>
      </c>
      <c r="O5" s="8">
        <v>1000000000</v>
      </c>
      <c r="Q5" s="9" t="s">
        <v>16</v>
      </c>
      <c r="R5" s="8">
        <f>N5*B5/10^6</f>
        <v>200000</v>
      </c>
      <c r="T5" s="9" t="s">
        <v>17</v>
      </c>
      <c r="U5" s="8">
        <f>N5*(B12+B14)/10^6</f>
        <v>50000</v>
      </c>
    </row>
    <row r="6" ht="14.25">
      <c r="A6" s="6" t="s">
        <v>18</v>
      </c>
      <c r="B6" s="7">
        <v>100</v>
      </c>
      <c r="C6" s="7">
        <v>500</v>
      </c>
      <c r="E6" s="6" t="s">
        <v>19</v>
      </c>
      <c r="F6" s="8">
        <v>952000</v>
      </c>
      <c r="H6" s="6" t="s">
        <v>20</v>
      </c>
      <c r="I6" s="8">
        <f>F12-F11</f>
        <v>0</v>
      </c>
      <c r="J6" s="6" t="s">
        <v>20</v>
      </c>
      <c r="K6" s="8">
        <f>I6</f>
        <v>0</v>
      </c>
      <c r="M6" s="9"/>
      <c r="N6" s="8"/>
      <c r="O6" s="8"/>
      <c r="Q6" s="9" t="s">
        <v>21</v>
      </c>
      <c r="R6" s="8">
        <f>-N5*C5/10^6</f>
        <v>-1000000</v>
      </c>
      <c r="T6" s="9" t="s">
        <v>22</v>
      </c>
      <c r="U6" s="8">
        <f>-N5*(C12+C14)/10^6</f>
        <v>-805000</v>
      </c>
    </row>
    <row r="7" ht="14.25">
      <c r="A7" s="6" t="s">
        <v>23</v>
      </c>
      <c r="B7" s="7">
        <v>-50</v>
      </c>
      <c r="C7" s="7">
        <v>-798</v>
      </c>
      <c r="E7" s="6"/>
      <c r="F7" s="8"/>
      <c r="H7" s="6" t="s">
        <v>24</v>
      </c>
      <c r="I7" s="7">
        <f>C6+SIGN(B7)*INT(ABS(B7*C6/10^6))+B8</f>
        <v>480</v>
      </c>
      <c r="J7" s="6" t="s">
        <v>24</v>
      </c>
      <c r="K7" s="8">
        <f>I7</f>
        <v>480</v>
      </c>
      <c r="M7" s="6"/>
      <c r="N7" s="8"/>
      <c r="O7" s="8"/>
      <c r="Q7" s="9" t="s">
        <v>25</v>
      </c>
      <c r="R7" s="8">
        <f>(O5+O11)*C10/10^6-(N5+N11)*B10/10^6</f>
        <v>44740.794449999987</v>
      </c>
      <c r="T7" s="6" t="s">
        <v>25</v>
      </c>
      <c r="U7" s="8">
        <f>-(O5+O11)*C10/10^6+(N5+N11)*B10/10^6</f>
        <v>-44740.794449999987</v>
      </c>
    </row>
    <row r="8" ht="14.25">
      <c r="A8" s="6" t="s">
        <v>26</v>
      </c>
      <c r="B8" s="7">
        <v>-20</v>
      </c>
      <c r="C8" s="7">
        <v>-100</v>
      </c>
      <c r="E8" s="6" t="s">
        <v>27</v>
      </c>
      <c r="F8" s="8">
        <f>INT(F5*C5/10^6)+C6</f>
        <v>1000500</v>
      </c>
      <c r="H8" s="6" t="s">
        <v>28</v>
      </c>
      <c r="I8" s="8">
        <f>INT((F5+F6)*B10/10^6)</f>
        <v>150142</v>
      </c>
      <c r="J8" s="6" t="s">
        <v>28</v>
      </c>
      <c r="K8" s="8">
        <f>INT((C10*F5)/10^6)</f>
        <v>195000</v>
      </c>
      <c r="M8" s="6" t="s">
        <v>27</v>
      </c>
      <c r="N8" s="8">
        <f>INT(N(N5*C5/10^6)+C6)</f>
        <v>1000500</v>
      </c>
      <c r="O8" s="8">
        <f>INT(N5*B5/10^6)+B6</f>
        <v>200100</v>
      </c>
      <c r="Q8" s="9"/>
      <c r="R8" s="8"/>
      <c r="T8" s="6"/>
      <c r="U8" s="8"/>
    </row>
    <row r="9" ht="14.25">
      <c r="A9" s="6"/>
      <c r="B9" s="7"/>
      <c r="C9" s="7"/>
      <c r="E9" s="6" t="s">
        <v>29</v>
      </c>
      <c r="F9" s="8">
        <f>INT(ABS(B7*(F8+F5)/10^6)*SIGN(B7)+B8)</f>
        <v>-50071</v>
      </c>
      <c r="H9" s="6" t="s">
        <v>30</v>
      </c>
      <c r="I9" s="8">
        <f>-INT((F5+F6)*B5/10^6)</f>
        <v>-200190</v>
      </c>
      <c r="J9" s="6" t="s">
        <v>31</v>
      </c>
      <c r="K9" s="8">
        <f>-(F5+F6)*(B12+B14)/10^6</f>
        <v>-50047.599999999999</v>
      </c>
      <c r="M9" s="6" t="s">
        <v>29</v>
      </c>
      <c r="N9" s="8">
        <f>INT(ABS(B7*(N8+N5)/10^6)*SIGN(B7)+B8)</f>
        <v>-50071</v>
      </c>
      <c r="O9" s="8">
        <f>INT(ABS(C7*(O8+O5)/10^6)*SIGN(C8)+C8)</f>
        <v>-798260</v>
      </c>
      <c r="Q9" s="6" t="s">
        <v>32</v>
      </c>
      <c r="R9" s="8">
        <f>(R5+R6+R7)/(1-B5/10^6)</f>
        <v>-755410.28760752152</v>
      </c>
      <c r="T9" s="6" t="s">
        <v>32</v>
      </c>
      <c r="U9" s="8">
        <f>(U5+U6+U7)/(1-(B12+B14)/10^6)</f>
        <v>-799780.78348917433</v>
      </c>
    </row>
    <row r="10" ht="14.25">
      <c r="A10" s="6" t="s">
        <v>33</v>
      </c>
      <c r="B10" s="7">
        <v>150</v>
      </c>
      <c r="C10" s="7">
        <v>195</v>
      </c>
      <c r="E10" s="6"/>
      <c r="F10" s="7"/>
      <c r="H10" s="6" t="s">
        <v>34</v>
      </c>
      <c r="I10" s="8">
        <f>INT(F5*C5/10^6)</f>
        <v>1000000</v>
      </c>
      <c r="J10" s="6" t="s">
        <v>35</v>
      </c>
      <c r="K10" s="8">
        <f>F5*(C12+C14)/10^6</f>
        <v>805000</v>
      </c>
      <c r="M10" s="6"/>
      <c r="N10" s="7"/>
      <c r="O10" s="7"/>
      <c r="Q10" s="9" t="s">
        <v>36</v>
      </c>
      <c r="R10" s="8">
        <f>(N5+R9)*B5/10^6</f>
        <v>199848.9179424785</v>
      </c>
      <c r="T10" s="6" t="s">
        <v>36</v>
      </c>
      <c r="U10" s="8">
        <f>(N5+U9)*(B12+B14)/10^6</f>
        <v>49960.010960825537</v>
      </c>
    </row>
    <row r="11" ht="14.25">
      <c r="A11" s="6" t="s">
        <v>37</v>
      </c>
      <c r="B11" s="7">
        <v>48</v>
      </c>
      <c r="C11" s="7">
        <v>800</v>
      </c>
      <c r="E11" s="6" t="s">
        <v>38</v>
      </c>
      <c r="F11" s="8">
        <f>F8+F9</f>
        <v>950429</v>
      </c>
      <c r="H11" s="6" t="s">
        <v>39</v>
      </c>
      <c r="I11" s="8">
        <f>INT((F5*C5*B7/10^12-F6*B7/10^6+(F5+F6)*(B15+B14)/10^6))</f>
        <v>-3</v>
      </c>
      <c r="J11" s="6" t="s">
        <v>39</v>
      </c>
      <c r="K11" s="8">
        <f>I11</f>
        <v>-3</v>
      </c>
      <c r="M11" s="6" t="s">
        <v>38</v>
      </c>
      <c r="N11" s="8">
        <f>N8+N9</f>
        <v>950429</v>
      </c>
      <c r="O11" s="8">
        <f>O8+O9</f>
        <v>-598160</v>
      </c>
      <c r="Q11" s="9" t="s">
        <v>40</v>
      </c>
      <c r="R11" s="8">
        <f>R9-(R10+R7+R6)</f>
        <v>0</v>
      </c>
      <c r="T11" s="6" t="s">
        <v>40</v>
      </c>
      <c r="U11" s="8">
        <f>U9-(U10+U7+U6)</f>
        <v>1.1641532182693481e-10</v>
      </c>
    </row>
    <row r="12" ht="14.25">
      <c r="A12" s="6" t="s">
        <v>41</v>
      </c>
      <c r="B12" s="7">
        <f>IF(B10+B11&gt;=0,B11,-B10)</f>
        <v>48</v>
      </c>
      <c r="C12" s="7">
        <f>IF(C10+C11&gt;=0,C11,-C10)</f>
        <v>800</v>
      </c>
      <c r="E12" s="6" t="s">
        <v>42</v>
      </c>
      <c r="F12" s="8">
        <f>MAX(F11,0)</f>
        <v>950429</v>
      </c>
      <c r="H12" s="6" t="s">
        <v>40</v>
      </c>
      <c r="I12" s="8">
        <f>SUM(I5:I11)</f>
        <v>952000</v>
      </c>
      <c r="J12" s="6" t="s">
        <v>40</v>
      </c>
      <c r="K12" s="8">
        <f>SUM(K5:K11)</f>
        <v>952000.40000000002</v>
      </c>
      <c r="M12" s="6" t="s">
        <v>42</v>
      </c>
      <c r="N12" s="8">
        <f>MAX(N11,0)</f>
        <v>950429</v>
      </c>
      <c r="O12" s="8">
        <f>MAX(O11,0)</f>
        <v>0</v>
      </c>
    </row>
    <row r="13" ht="14.25">
      <c r="A13" s="6"/>
      <c r="B13" s="7"/>
      <c r="C13" s="7"/>
      <c r="F13" s="10"/>
      <c r="H13" s="6"/>
      <c r="I13" s="8"/>
      <c r="J13" s="6"/>
      <c r="K13" s="8"/>
    </row>
    <row r="14" ht="14.25">
      <c r="A14" s="6" t="s">
        <v>43</v>
      </c>
      <c r="B14" s="7">
        <f>B5-B12-B10</f>
        <v>2</v>
      </c>
      <c r="C14" s="11">
        <f>C5-C12-C10</f>
        <v>5</v>
      </c>
      <c r="F14" s="10"/>
      <c r="H14" s="6" t="s">
        <v>44</v>
      </c>
      <c r="I14" s="8">
        <f>F6-I12</f>
        <v>0</v>
      </c>
      <c r="J14" s="6" t="s">
        <v>44</v>
      </c>
      <c r="K14" s="8">
        <f>F6-K12</f>
        <v>-0.40000000002328306</v>
      </c>
    </row>
    <row r="15" ht="14.25">
      <c r="A15" s="6" t="s">
        <v>45</v>
      </c>
      <c r="B15" s="7">
        <f>B7+B12</f>
        <v>-2</v>
      </c>
      <c r="C15" s="11">
        <f>C7+C12</f>
        <v>2</v>
      </c>
      <c r="F15" s="10"/>
    </row>
    <row r="17" ht="14.25"/>
    <row r="18" ht="14.25"/>
    <row r="19" ht="14.25"/>
    <row r="20" ht="14.25"/>
    <row r="21" ht="14.25"/>
    <row r="22" ht="14.25"/>
    <row r="23" ht="14.25"/>
    <row r="24" ht="14.25"/>
    <row r="25" ht="14.25"/>
    <row r="26" ht="14.25"/>
    <row r="27" ht="14.25"/>
    <row r="28" ht="14.25"/>
  </sheetData>
  <mergeCells count="4">
    <mergeCell ref="H4:I4"/>
    <mergeCell ref="J4:K4"/>
    <mergeCell ref="Q4:R4"/>
    <mergeCell ref="T4:U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7</cp:revision>
  <dcterms:modified xsi:type="dcterms:W3CDTF">2024-09-24T22:32:50Z</dcterms:modified>
</cp:coreProperties>
</file>