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ММАД\Лабораторные\lab3\"/>
    </mc:Choice>
  </mc:AlternateContent>
  <xr:revisionPtr revIDLastSave="0" documentId="13_ncr:1_{D98E7E61-59DE-45CE-82D9-BE4C9795AEA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lab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" l="1"/>
  <c r="H8" i="1" s="1"/>
  <c r="Q6" i="1"/>
  <c r="J8" i="1"/>
  <c r="J9" i="1"/>
  <c r="J10" i="1"/>
  <c r="J11" i="1"/>
  <c r="J12" i="1"/>
  <c r="J13" i="1"/>
  <c r="J14" i="1"/>
  <c r="J15" i="1"/>
  <c r="J16" i="1"/>
  <c r="H9" i="1"/>
  <c r="H11" i="1"/>
  <c r="H15" i="1"/>
  <c r="G7" i="1"/>
  <c r="G6" i="1"/>
  <c r="H6" i="1" s="1"/>
  <c r="J7" i="1" l="1"/>
  <c r="J6" i="1"/>
  <c r="H10" i="1"/>
  <c r="H14" i="1"/>
  <c r="H7" i="1"/>
  <c r="H13" i="1"/>
  <c r="H16" i="1"/>
  <c r="H12" i="1"/>
  <c r="C34" i="1"/>
  <c r="B30" i="1" l="1"/>
  <c r="A39" i="1" a="1"/>
  <c r="A39" i="1" s="1"/>
  <c r="B39" i="1" l="1"/>
  <c r="C13" i="1" s="1"/>
  <c r="D13" i="1" s="1"/>
  <c r="C15" i="1" l="1"/>
  <c r="D15" i="1" s="1"/>
  <c r="C12" i="1"/>
  <c r="D12" i="1" s="1"/>
  <c r="E13" i="1"/>
  <c r="C8" i="1"/>
  <c r="D8" i="1" s="1"/>
  <c r="C19" i="1"/>
  <c r="D19" i="1" s="1"/>
  <c r="C23" i="1"/>
  <c r="D23" i="1" s="1"/>
  <c r="C16" i="1"/>
  <c r="D16" i="1" s="1"/>
  <c r="C17" i="1"/>
  <c r="D17" i="1" s="1"/>
  <c r="C18" i="1"/>
  <c r="D18" i="1" s="1"/>
  <c r="C25" i="1"/>
  <c r="D25" i="1" s="1"/>
  <c r="C14" i="1"/>
  <c r="D14" i="1" s="1"/>
  <c r="C10" i="1"/>
  <c r="D10" i="1" s="1"/>
  <c r="C11" i="1"/>
  <c r="D11" i="1" s="1"/>
  <c r="C21" i="1"/>
  <c r="D21" i="1" s="1"/>
  <c r="C22" i="1"/>
  <c r="D22" i="1" s="1"/>
  <c r="C7" i="1"/>
  <c r="D7" i="1" s="1"/>
  <c r="C20" i="1"/>
  <c r="D20" i="1" s="1"/>
  <c r="C9" i="1"/>
  <c r="D9" i="1" s="1"/>
  <c r="C24" i="1"/>
  <c r="D24" i="1" s="1"/>
  <c r="C6" i="1"/>
  <c r="E6" i="1" l="1"/>
  <c r="D6" i="1"/>
  <c r="D42" i="1" s="1"/>
  <c r="E23" i="1"/>
  <c r="E16" i="1"/>
  <c r="E22" i="1"/>
  <c r="E11" i="1"/>
  <c r="E10" i="1"/>
  <c r="E24" i="1"/>
  <c r="E9" i="1"/>
  <c r="E25" i="1"/>
  <c r="E21" i="1"/>
  <c r="E19" i="1"/>
  <c r="E8" i="1"/>
  <c r="E20" i="1"/>
  <c r="E18" i="1"/>
  <c r="E12" i="1"/>
  <c r="E14" i="1"/>
  <c r="K14" i="1" s="1"/>
  <c r="E7" i="1"/>
  <c r="E17" i="1"/>
  <c r="E15" i="1"/>
  <c r="K10" i="1" l="1"/>
  <c r="K11" i="1"/>
  <c r="K8" i="1"/>
  <c r="K15" i="1"/>
  <c r="K16" i="1"/>
  <c r="K7" i="1"/>
  <c r="K9" i="1"/>
  <c r="C30" i="1"/>
  <c r="K6" i="1"/>
  <c r="C31" i="1"/>
  <c r="C32" i="1"/>
  <c r="C28" i="1"/>
  <c r="K12" i="1"/>
  <c r="K13" i="1"/>
  <c r="B33" i="1"/>
  <c r="I9" i="1" l="1"/>
  <c r="I10" i="1"/>
  <c r="I11" i="1"/>
  <c r="I14" i="1"/>
  <c r="I12" i="1"/>
  <c r="I15" i="1"/>
  <c r="I8" i="1"/>
  <c r="I7" i="1"/>
  <c r="I13" i="1"/>
  <c r="I16" i="1"/>
  <c r="I6" i="1"/>
  <c r="C33" i="1"/>
  <c r="C29" i="1"/>
  <c r="B29" i="1"/>
  <c r="D43" i="1" s="1"/>
  <c r="N7" i="1" l="1"/>
  <c r="M7" i="1"/>
  <c r="R6" i="1" s="1"/>
  <c r="S7" i="1" l="1"/>
  <c r="R7" i="1"/>
</calcChain>
</file>

<file path=xl/sharedStrings.xml><?xml version="1.0" encoding="utf-8"?>
<sst xmlns="http://schemas.openxmlformats.org/spreadsheetml/2006/main" count="41" uniqueCount="41">
  <si>
    <t>№ точки</t>
  </si>
  <si>
    <t>Описательные статистики</t>
  </si>
  <si>
    <t>Выборочное среднее</t>
  </si>
  <si>
    <t>Выборочная дисперсия</t>
  </si>
  <si>
    <t>Стандартное отклонение</t>
  </si>
  <si>
    <t>Минимум</t>
  </si>
  <si>
    <t>Максимум</t>
  </si>
  <si>
    <t>Коэффициент вариации</t>
  </si>
  <si>
    <t>Кол-во значений</t>
  </si>
  <si>
    <t>Параметры тренда</t>
  </si>
  <si>
    <t>a</t>
  </si>
  <si>
    <t>b</t>
  </si>
  <si>
    <t>Остатки регрессии</t>
  </si>
  <si>
    <r>
      <t>(y* - y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</si>
  <si>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δ̅</t>
    </r>
    <r>
      <rPr>
        <vertAlign val="superscript"/>
        <sz val="11"/>
        <color theme="1"/>
        <rFont val="Calibri"/>
        <family val="2"/>
        <charset val="204"/>
      </rPr>
      <t>2</t>
    </r>
  </si>
  <si>
    <t>Значения тренда, y*</t>
  </si>
  <si>
    <t>Мощность слоя, y</t>
  </si>
  <si>
    <t>Уравнение модели тренда 
y*(t) = 4.9647 * t + 4.3311</t>
  </si>
  <si>
    <r>
      <t>Коэффициент детерминации η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vertAlign val="subscript"/>
        <sz val="11"/>
        <color theme="1"/>
        <rFont val="Calibri"/>
        <family val="2"/>
        <charset val="204"/>
        <scheme val="minor"/>
      </rPr>
      <t>y(t)</t>
    </r>
  </si>
  <si>
    <t>h</t>
  </si>
  <si>
    <t>Оценка ковариационной функции исходного ряда</t>
  </si>
  <si>
    <t>Оценка ковариационной функции ряда остатков</t>
  </si>
  <si>
    <t>Исходный ряд</t>
  </si>
  <si>
    <t>Ряд остатков</t>
  </si>
  <si>
    <t>Оценка семивариаграммы функции исходного ряда</t>
  </si>
  <si>
    <t>Оценка семивариаграммы функции ряда остатков</t>
  </si>
  <si>
    <t>Коэффициенты линейной модели семивариаграммы</t>
  </si>
  <si>
    <t>а</t>
  </si>
  <si>
    <t>с</t>
  </si>
  <si>
    <t>x</t>
  </si>
  <si>
    <t>y</t>
  </si>
  <si>
    <t>Значения в точках модели для построения модели семивариаграммы</t>
  </si>
  <si>
    <t>Аналитический вид модели</t>
  </si>
  <si>
    <t>По виду графика, представляющего данные о мощности слоя в 20 точках, можно сделать вывод о явном наличии тренда, что подтверждается дальнейшей проверкой.</t>
  </si>
  <si>
    <t xml:space="preserve">Получен коэффициент детерминации, очень близкий к единице, что свидетельствует о явном наличии тренда. Также проверку тренда можно осуществить с помощью других методов. К примеру, рассмотрим метод восходящих и нисходящих серий: очевидно, что мы будем иметь одну серию длины 19 (v(T) = 1, l(T) = 19), так как все значения ряда возрастают. Проверим неравенства:          v(T) = 1 &gt; 9.47, l(T) = 19 &lt; 5.  Как мы видим, ни одно из неравенств не выполняется, а при невыполнении хотя бы одного из них можно сделать вывод о наличии тренда. Следовательно, и проверка с помощью данного метода подтверждает наличие тренда. </t>
  </si>
  <si>
    <t xml:space="preserve">Для определения зависимости между наблюдениями из ряда остатков воспользуемся понятием ранга корреляции. Ранг - значение t* такое, что γ(t*) = R(0). Наблюдения, накодящиеся друг от друга на расситоянии t &gt;= t*, являются некоррелированными. В случае ряда остатков  γ(t*) &gt; R(0) уже при t* = 1. Следовательно, можно сделать вывод о некоррелированности даже соседних наблюдений ряда остатков. </t>
  </si>
  <si>
    <t>Так как выборочное среднее ряда остатков очень близко к нулю, коэффициент вариации не будет нести особого смысла, однако по остальным характеристикам и по виду графика ряда остатков можно сделать вывод о сильной неоднородности данных. Оценить же однородность данных исходного ряда можно с помощью коэффициента вариации: он составляет 50%, что также свидетельствует о неоднородности данных.</t>
  </si>
  <si>
    <t>Выбор данной модели (линейной) был основан на визуальном методе. Коэффициенты модели были выбраны следующим образом: коэффициент c - порог, был выбран как значение оценки ковариационной функции R(0) (это же выборочная дисперсия), коэффициент а - ранг, значение, при котором семивариаграмма достигла порогового значения.</t>
  </si>
  <si>
    <t>Как видно из графиков, время корреляции для исходного ряда куда больше, чем для ряда остатков. Если наблюдения из ряда остаков некоррелированы начиная с первого лага, то в исходных данных корреляция будет наблюдаться вплоть до восьмого лага. Следовательно, при исключении тренда наши данные отличаются куда меньшей зависимостью, чем при его присутствии.
Также наличие тренда добавляет в формулы оценок дополнительные слагаемые. Если смотреть на оценку семивариаграммы, например, то для исходного ряда она возрастает из-за наличия этих слагаемых (т.к. тренд положительный), и к тому же достигает довольно больших значений по сравнению с оценкой для остатков (на 10-ом лаге значение оценки равно 1226 для исходного ряда и 1.05 для ряда остатков).
Соответственно, тренд мешает увидеть реальную зависимость (или независимость) данных, и его нужно обязательно убирать при вычислении оценок.</t>
  </si>
  <si>
    <t>Выполнили: Крученков Евгений Андреевич и Кендысь Алексей Максимович.</t>
  </si>
  <si>
    <t>Лабораторная работа №3. Подбор модели семивариограммы. Вариант №1.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</si>
</sst>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/>
    <xf numFmtId="0" fontId="4" fillId="0" borderId="1" xfId="0" applyFont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0" fillId="0" borderId="7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Мощность осадочного слоя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'lab3'!$B$5</c:f>
              <c:strCache>
                <c:ptCount val="1"/>
                <c:pt idx="0">
                  <c:v>Мощность слоя,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'lab3'!$A$6:$A$25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'lab3'!$B$6:$B$25</c:f>
              <c:numCache>
                <c:formatCode>General</c:formatCode>
                <c:ptCount val="20"/>
                <c:pt idx="0">
                  <c:v>8.1</c:v>
                </c:pt>
                <c:pt idx="1">
                  <c:v>15.8</c:v>
                </c:pt>
                <c:pt idx="2">
                  <c:v>18.2</c:v>
                </c:pt>
                <c:pt idx="3">
                  <c:v>25.4</c:v>
                </c:pt>
                <c:pt idx="4">
                  <c:v>29.9</c:v>
                </c:pt>
                <c:pt idx="5">
                  <c:v>35.200000000000003</c:v>
                </c:pt>
                <c:pt idx="6">
                  <c:v>38.4</c:v>
                </c:pt>
                <c:pt idx="7">
                  <c:v>44.8</c:v>
                </c:pt>
                <c:pt idx="8">
                  <c:v>47.8</c:v>
                </c:pt>
                <c:pt idx="9">
                  <c:v>53.5</c:v>
                </c:pt>
                <c:pt idx="10">
                  <c:v>57.4</c:v>
                </c:pt>
                <c:pt idx="11">
                  <c:v>65.099999999999994</c:v>
                </c:pt>
                <c:pt idx="12">
                  <c:v>68.8</c:v>
                </c:pt>
                <c:pt idx="13">
                  <c:v>72.599999999999994</c:v>
                </c:pt>
                <c:pt idx="14">
                  <c:v>79.2</c:v>
                </c:pt>
                <c:pt idx="15">
                  <c:v>82.4</c:v>
                </c:pt>
                <c:pt idx="16">
                  <c:v>88.6</c:v>
                </c:pt>
                <c:pt idx="17">
                  <c:v>93.7</c:v>
                </c:pt>
                <c:pt idx="18">
                  <c:v>99.5</c:v>
                </c:pt>
                <c:pt idx="19">
                  <c:v>104.8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B0-46F8-AE59-B57ECDE75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6239"/>
        <c:axId val="1392539535"/>
      </c:lineChart>
      <c:catAx>
        <c:axId val="142299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39535"/>
        <c:crosses val="autoZero"/>
        <c:auto val="1"/>
        <c:lblAlgn val="ctr"/>
        <c:lblOffset val="100"/>
        <c:noMultiLvlLbl val="0"/>
      </c:catAx>
      <c:valAx>
        <c:axId val="1392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Мощность и линия тренда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753386045687"/>
          <c:y val="0.15495860662860036"/>
          <c:w val="0.84872642319824709"/>
          <c:h val="0.68500650247696737"/>
        </c:manualLayout>
      </c:layout>
      <c:lineChart>
        <c:grouping val="standard"/>
        <c:varyColors val="0"/>
        <c:ser>
          <c:idx val="1"/>
          <c:order val="0"/>
          <c:tx>
            <c:strRef>
              <c:f>'lab3'!$B$5</c:f>
              <c:strCache>
                <c:ptCount val="1"/>
                <c:pt idx="0">
                  <c:v>Мощность слоя,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Линия тренда</c:name>
            <c:spPr>
              <a:ln w="12700" cap="flat" cmpd="sng" algn="ctr">
                <a:solidFill>
                  <a:srgbClr val="002060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273840769903761E-4"/>
                  <c:y val="-4.26441804798850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'lab3'!$A$6:$A$25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'lab3'!$B$6:$B$25</c:f>
              <c:numCache>
                <c:formatCode>General</c:formatCode>
                <c:ptCount val="20"/>
                <c:pt idx="0">
                  <c:v>8.1</c:v>
                </c:pt>
                <c:pt idx="1">
                  <c:v>15.8</c:v>
                </c:pt>
                <c:pt idx="2">
                  <c:v>18.2</c:v>
                </c:pt>
                <c:pt idx="3">
                  <c:v>25.4</c:v>
                </c:pt>
                <c:pt idx="4">
                  <c:v>29.9</c:v>
                </c:pt>
                <c:pt idx="5">
                  <c:v>35.200000000000003</c:v>
                </c:pt>
                <c:pt idx="6">
                  <c:v>38.4</c:v>
                </c:pt>
                <c:pt idx="7">
                  <c:v>44.8</c:v>
                </c:pt>
                <c:pt idx="8">
                  <c:v>47.8</c:v>
                </c:pt>
                <c:pt idx="9">
                  <c:v>53.5</c:v>
                </c:pt>
                <c:pt idx="10">
                  <c:v>57.4</c:v>
                </c:pt>
                <c:pt idx="11">
                  <c:v>65.099999999999994</c:v>
                </c:pt>
                <c:pt idx="12">
                  <c:v>68.8</c:v>
                </c:pt>
                <c:pt idx="13">
                  <c:v>72.599999999999994</c:v>
                </c:pt>
                <c:pt idx="14">
                  <c:v>79.2</c:v>
                </c:pt>
                <c:pt idx="15">
                  <c:v>82.4</c:v>
                </c:pt>
                <c:pt idx="16">
                  <c:v>88.6</c:v>
                </c:pt>
                <c:pt idx="17">
                  <c:v>93.7</c:v>
                </c:pt>
                <c:pt idx="18">
                  <c:v>99.5</c:v>
                </c:pt>
                <c:pt idx="19">
                  <c:v>104.8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3-438D-AE44-9220B455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6239"/>
        <c:axId val="1392539535"/>
      </c:lineChart>
      <c:catAx>
        <c:axId val="142299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39535"/>
        <c:crosses val="autoZero"/>
        <c:auto val="1"/>
        <c:lblAlgn val="ctr"/>
        <c:lblOffset val="100"/>
        <c:noMultiLvlLbl val="0"/>
      </c:catAx>
      <c:valAx>
        <c:axId val="1392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остатков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'lab3'!$E$5</c:f>
              <c:strCache>
                <c:ptCount val="1"/>
                <c:pt idx="0">
                  <c:v>Остатки регрессии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'lab3'!$A$6:$A$25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'lab3'!$E$6:$E$25</c:f>
              <c:numCache>
                <c:formatCode>General</c:formatCode>
                <c:ptCount val="20"/>
                <c:pt idx="0">
                  <c:v>-1.1957142857142866</c:v>
                </c:pt>
                <c:pt idx="1">
                  <c:v>1.5396240601503752</c:v>
                </c:pt>
                <c:pt idx="2">
                  <c:v>-1.0250375939849654</c:v>
                </c:pt>
                <c:pt idx="3">
                  <c:v>1.2103007518796964</c:v>
                </c:pt>
                <c:pt idx="4">
                  <c:v>0.74563909774435899</c:v>
                </c:pt>
                <c:pt idx="5">
                  <c:v>1.0809774436090223</c:v>
                </c:pt>
                <c:pt idx="6">
                  <c:v>-0.68368421052631589</c:v>
                </c:pt>
                <c:pt idx="7">
                  <c:v>0.75165413533834169</c:v>
                </c:pt>
                <c:pt idx="8">
                  <c:v>-1.2130075187969993</c:v>
                </c:pt>
                <c:pt idx="9">
                  <c:v>-0.47766917293233035</c:v>
                </c:pt>
                <c:pt idx="10">
                  <c:v>-1.5423308270676728</c:v>
                </c:pt>
                <c:pt idx="11">
                  <c:v>1.193007518796982</c:v>
                </c:pt>
                <c:pt idx="12">
                  <c:v>-7.165413533836329E-2</c:v>
                </c:pt>
                <c:pt idx="13">
                  <c:v>-1.2363157894736787</c:v>
                </c:pt>
                <c:pt idx="14">
                  <c:v>0.39902255639098883</c:v>
                </c:pt>
                <c:pt idx="15">
                  <c:v>-1.3656390977443493</c:v>
                </c:pt>
                <c:pt idx="16">
                  <c:v>-0.13030075187970169</c:v>
                </c:pt>
                <c:pt idx="17">
                  <c:v>5.037593984965838E-3</c:v>
                </c:pt>
                <c:pt idx="18">
                  <c:v>0.840375939849622</c:v>
                </c:pt>
                <c:pt idx="19">
                  <c:v>1.1757142857142782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F-4F16-8E04-DF4ACC7B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96239"/>
        <c:axId val="1392539535"/>
      </c:lineChart>
      <c:catAx>
        <c:axId val="142299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 точки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539535"/>
        <c:crosses val="autoZero"/>
        <c:auto val="1"/>
        <c:lblAlgn val="ctr"/>
        <c:lblOffset val="100"/>
        <c:noMultiLvlLbl val="0"/>
      </c:catAx>
      <c:valAx>
        <c:axId val="13925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Остатки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9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</a:t>
            </a:r>
            <a:r>
              <a:rPr lang="ru-RU" baseline="0"/>
              <a:t> и модель семивариаграммы</a:t>
            </a:r>
            <a:endParaRPr lang="ru-RU"/>
          </a:p>
        </c:rich>
      </c:tx>
      <c:layout>
        <c:manualLayout>
          <c:xMode val="edge"/>
          <c:yMode val="edge"/>
          <c:x val="0.25379565927324799"/>
          <c:y val="3.693930784462919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499430200811779E-2"/>
          <c:y val="7.8780490926309857E-2"/>
          <c:w val="0.85725475319363909"/>
          <c:h val="0.77065454307214865"/>
        </c:manualLayout>
      </c:layout>
      <c:scatterChart>
        <c:scatterStyle val="lineMarker"/>
        <c:varyColors val="0"/>
        <c:ser>
          <c:idx val="0"/>
          <c:order val="0"/>
          <c:tx>
            <c:v>Оценка семивариаграммы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'lab3'!$G$6:$G$16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'lab3'!$K$6:$K$16</c:f>
              <c:numCache>
                <c:formatCode>General</c:formatCode>
                <c:ptCount val="11"/>
                <c:pt idx="0">
                  <c:v>0</c:v>
                </c:pt>
                <c:pt idx="1">
                  <c:v>1.2808915145005353</c:v>
                </c:pt>
                <c:pt idx="2">
                  <c:v>0.63629041274865905</c:v>
                </c:pt>
                <c:pt idx="3">
                  <c:v>1.2150556843235851</c:v>
                </c:pt>
                <c:pt idx="4">
                  <c:v>0.99672676168804886</c:v>
                </c:pt>
                <c:pt idx="5">
                  <c:v>1.3068931916256792</c:v>
                </c:pt>
                <c:pt idx="6">
                  <c:v>0.95655463847588595</c:v>
                </c:pt>
                <c:pt idx="7">
                  <c:v>0.97780204559983264</c:v>
                </c:pt>
                <c:pt idx="8">
                  <c:v>0.96306306178981183</c:v>
                </c:pt>
                <c:pt idx="9">
                  <c:v>1.4919058068959119</c:v>
                </c:pt>
                <c:pt idx="10">
                  <c:v>1.0527482050992067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15-42BE-BE63-D60AC3DC5E07}"/>
            </c:ext>
          </c:extLst>
        </c:ser>
        <c:ser>
          <c:idx val="1"/>
          <c:order val="1"/>
          <c:tx>
            <c:v>Линейная модель семивариаграммы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'lab3'!$Q$6:$S$6</c:f>
              <c:numCache>
                <c:formatCode>General</c:formatCode>
                <c:ptCount val="3"/>
                <c:pt idx="0">
                  <c:v>0</c:v>
                </c:pt>
                <c:pt idx="1">
                  <c:v>0.78997903581521189</c:v>
                </c:pt>
                <c:pt idx="2">
                  <c:v>10</c:v>
                </c:pt>
              </c:numCache>
            </c:numRef>
          </c:xVal>
          <c:yVal>
            <c:numRef>
              <c:f>'lab3'!$Q$7:$S$7</c:f>
              <c:numCache>
                <c:formatCode>General</c:formatCode>
                <c:ptCount val="3"/>
                <c:pt idx="0">
                  <c:v>0</c:v>
                </c:pt>
                <c:pt idx="1">
                  <c:v>1.0118774436090194</c:v>
                </c:pt>
                <c:pt idx="2">
                  <c:v>1.0118774436090194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15-42BE-BE63-D60AC3DC5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975551"/>
        <c:axId val="1723975967"/>
      </c:scatterChart>
      <c:valAx>
        <c:axId val="172397555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975967"/>
        <c:crosses val="autoZero"/>
        <c:crossBetween val="midCat"/>
      </c:valAx>
      <c:valAx>
        <c:axId val="17239759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97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678144963196013"/>
          <c:y val="0.50517331240300956"/>
          <c:w val="0.23686035119166596"/>
          <c:h val="0.22974767899289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Оценки</a:t>
            </a:r>
            <a:r>
              <a:rPr lang="ru-RU" baseline="0"/>
              <a:t> функций исходного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Оценка семивариаграммы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'lab3'!$G$6:$G$16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'lab3'!$J$6:$J$16</c:f>
              <c:numCache>
                <c:formatCode>General</c:formatCode>
                <c:ptCount val="11"/>
                <c:pt idx="0">
                  <c:v>0</c:v>
                </c:pt>
                <c:pt idx="1">
                  <c:v>14.224473684210526</c:v>
                </c:pt>
                <c:pt idx="2">
                  <c:v>50.854444444444439</c:v>
                </c:pt>
                <c:pt idx="3">
                  <c:v>114.49794117647059</c:v>
                </c:pt>
                <c:pt idx="4">
                  <c:v>199.86968749999997</c:v>
                </c:pt>
                <c:pt idx="5">
                  <c:v>308.16466666666662</c:v>
                </c:pt>
                <c:pt idx="6">
                  <c:v>441.57214285714286</c:v>
                </c:pt>
                <c:pt idx="7">
                  <c:v>599.54615384615386</c:v>
                </c:pt>
                <c:pt idx="8">
                  <c:v>780.40250000000015</c:v>
                </c:pt>
                <c:pt idx="9">
                  <c:v>998.09954545454525</c:v>
                </c:pt>
                <c:pt idx="10">
                  <c:v>1226.1669999999999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0F-4407-B3D1-EE4C6E95313F}"/>
            </c:ext>
          </c:extLst>
        </c:ser>
        <c:ser>
          <c:idx val="1"/>
          <c:order val="1"/>
          <c:tx>
            <c:v>Оценка ковариационной функции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'lab3'!$G$6:$G$16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'lab3'!$H$6:$H$16</c:f>
              <c:numCache>
                <c:formatCode>General</c:formatCode>
                <c:ptCount val="11"/>
                <c:pt idx="0">
                  <c:v>820.55340000000001</c:v>
                </c:pt>
                <c:pt idx="1">
                  <c:v>726.47791578947363</c:v>
                </c:pt>
                <c:pt idx="2">
                  <c:v>633.6181555555554</c:v>
                </c:pt>
                <c:pt idx="3">
                  <c:v>526.39524705882354</c:v>
                </c:pt>
                <c:pt idx="4">
                  <c:v>418.65110000000004</c:v>
                </c:pt>
                <c:pt idx="5">
                  <c:v>305.64693333333332</c:v>
                </c:pt>
                <c:pt idx="6">
                  <c:v>181.4726</c:v>
                </c:pt>
                <c:pt idx="7">
                  <c:v>48.861138461538452</c:v>
                </c:pt>
                <c:pt idx="8">
                  <c:v>-89.970899999999986</c:v>
                </c:pt>
                <c:pt idx="9">
                  <c:v>-251.70349090909093</c:v>
                </c:pt>
                <c:pt idx="10">
                  <c:v>-405.61359999999996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0F-4407-B3D1-EE4C6E953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9760"/>
        <c:axId val="78670160"/>
      </c:scatterChart>
      <c:valAx>
        <c:axId val="7865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0160"/>
        <c:crosses val="autoZero"/>
        <c:crossBetween val="midCat"/>
      </c:valAx>
      <c:valAx>
        <c:axId val="786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Оценки</a:t>
            </a:r>
            <a:r>
              <a:rPr lang="ru-RU" baseline="0"/>
              <a:t> функций ряда остатков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Оценка семивариаграммы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'lab3'!$G$6:$G$16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'lab3'!$K$6:$K$16</c:f>
              <c:numCache>
                <c:formatCode>General</c:formatCode>
                <c:ptCount val="11"/>
                <c:pt idx="0">
                  <c:v>0</c:v>
                </c:pt>
                <c:pt idx="1">
                  <c:v>1.2808915145005353</c:v>
                </c:pt>
                <c:pt idx="2">
                  <c:v>0.63629041274865905</c:v>
                </c:pt>
                <c:pt idx="3">
                  <c:v>1.2150556843235851</c:v>
                </c:pt>
                <c:pt idx="4">
                  <c:v>0.99672676168804886</c:v>
                </c:pt>
                <c:pt idx="5">
                  <c:v>1.3068931916256792</c:v>
                </c:pt>
                <c:pt idx="6">
                  <c:v>0.95655463847588595</c:v>
                </c:pt>
                <c:pt idx="7">
                  <c:v>0.97780204559983264</c:v>
                </c:pt>
                <c:pt idx="8">
                  <c:v>0.96306306178981183</c:v>
                </c:pt>
                <c:pt idx="9">
                  <c:v>1.4919058068959119</c:v>
                </c:pt>
                <c:pt idx="10">
                  <c:v>1.0527482050992067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03-498A-98B1-E49B246DD042}"/>
            </c:ext>
          </c:extLst>
        </c:ser>
        <c:ser>
          <c:idx val="1"/>
          <c:order val="1"/>
          <c:tx>
            <c:v>Оценка ковариационной функции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'lab3'!$G$6:$G$16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'lab3'!$I$6:$I$16</c:f>
              <c:numCache>
                <c:formatCode>General</c:formatCode>
                <c:ptCount val="11"/>
                <c:pt idx="0">
                  <c:v>1.0118774436090194</c:v>
                </c:pt>
                <c:pt idx="1">
                  <c:v>-0.28975833003561641</c:v>
                </c:pt>
                <c:pt idx="2">
                  <c:v>0.32444256066230898</c:v>
                </c:pt>
                <c:pt idx="3">
                  <c:v>-0.22871275501890254</c:v>
                </c:pt>
                <c:pt idx="4">
                  <c:v>4.9561570750207007E-3</c:v>
                </c:pt>
                <c:pt idx="5">
                  <c:v>-0.31912967192417235</c:v>
                </c:pt>
                <c:pt idx="6">
                  <c:v>5.434444570071785E-2</c:v>
                </c:pt>
                <c:pt idx="7">
                  <c:v>3.4093090012475083E-2</c:v>
                </c:pt>
                <c:pt idx="8">
                  <c:v>0.10940174119509133</c:v>
                </c:pt>
                <c:pt idx="9">
                  <c:v>-0.45351939366529853</c:v>
                </c:pt>
                <c:pt idx="10">
                  <c:v>-4.0870761490187403E-2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03-498A-98B1-E49B246DD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57136"/>
        <c:axId val="165650896"/>
      </c:scatterChart>
      <c:valAx>
        <c:axId val="16565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0896"/>
        <c:crosses val="autoZero"/>
        <c:crossBetween val="midCat"/>
      </c:valAx>
      <c:valAx>
        <c:axId val="1656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5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824619</xdr:colOff>
      <xdr:row>26</xdr:row>
      <xdr:rowOff>25400</xdr:rowOff>
    </xdr:from>
    <xdr:to>
      <xdr:col>10</xdr:col>
      <xdr:colOff>1219729</xdr:colOff>
      <xdr:row>34</xdr:row>
      <xdr:rowOff>58208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43</xdr:row>
      <xdr:rowOff>84243</xdr:rowOff>
    </xdr:from>
    <xdr:to>
      <xdr:col>7</xdr:col>
      <xdr:colOff>123190</xdr:colOff>
      <xdr:row>60</xdr:row>
      <xdr:rowOff>122343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1012614</xdr:colOff>
      <xdr:row>25</xdr:row>
      <xdr:rowOff>85091</xdr:rowOff>
    </xdr:from>
    <xdr:to>
      <xdr:col>23</xdr:col>
      <xdr:colOff>189090</xdr:colOff>
      <xdr:row>36</xdr:row>
      <xdr:rowOff>2682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306160</xdr:colOff>
      <xdr:row>4</xdr:row>
      <xdr:rowOff>0</xdr:rowOff>
    </xdr:from>
    <xdr:to>
      <xdr:col>29</xdr:col>
      <xdr:colOff>555624</xdr:colOff>
      <xdr:row>14</xdr:row>
      <xdr:rowOff>13608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14</xdr:col>
      <xdr:colOff>55564</xdr:colOff>
      <xdr:row>5</xdr:row>
      <xdr:rowOff>82550</xdr:rowOff>
    </xdr:from>
    <xdr:ext cx="1492249" cy="479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2533314" y="828675"/>
              <a:ext cx="1492249" cy="479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aseline="0"/>
                <a:t> </a:t>
              </a:r>
              <a:r>
                <a:rPr lang="el-GR" sz="1200" baseline="0"/>
                <a:t>γ</a:t>
              </a:r>
              <a:r>
                <a:rPr lang="ru-RU" sz="1200" baseline="0"/>
                <a:t>(</a:t>
              </a:r>
              <a:r>
                <a:rPr lang="en-US" sz="1200" baseline="0"/>
                <a:t>h) </a:t>
              </a:r>
              <a14:m>
                <m:oMath xmlns:m="http://schemas.openxmlformats.org/officeDocument/2006/math">
                  <m:r>
                    <a:rPr lang="el-GR" sz="12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l-GR" sz="12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l-GR" sz="120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𝑐</m:t>
                          </m:r>
                          <m:f>
                            <m:fPr>
                              <m:ctrlPr>
                                <a:rPr lang="en-US" sz="1200" b="0" i="1" baseline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200" b="0" i="1" baseline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h</m:t>
                              </m:r>
                            </m:num>
                            <m:den>
                              <m:r>
                                <a:rPr lang="en-US" sz="1200" b="0" i="1" baseline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</m:den>
                          </m:f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 0≤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h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𝑐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, 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h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&gt;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𝑎</m:t>
                          </m:r>
                        </m:e>
                      </m:eqArr>
                    </m:e>
                  </m:d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533314" y="828675"/>
              <a:ext cx="1492249" cy="479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aseline="0"/>
                <a:t> </a:t>
              </a:r>
              <a:r>
                <a:rPr lang="el-GR" sz="1200" baseline="0"/>
                <a:t>γ</a:t>
              </a:r>
              <a:r>
                <a:rPr lang="ru-RU" sz="1200" baseline="0"/>
                <a:t>(</a:t>
              </a:r>
              <a:r>
                <a:rPr lang="en-US" sz="1200" baseline="0"/>
                <a:t>h) </a:t>
              </a:r>
              <a:r>
                <a:rPr lang="el-GR" sz="12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={█(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𝑐 ℎ/𝑎, 0≤ℎ≤𝑎</a:t>
              </a:r>
              <a:r>
                <a:rPr lang="el-GR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@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𝑐, ℎ&gt;𝑎</a:t>
              </a:r>
              <a:r>
                <a:rPr lang="el-GR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118268</xdr:colOff>
      <xdr:row>6</xdr:row>
      <xdr:rowOff>98425</xdr:rowOff>
    </xdr:from>
    <xdr:ext cx="1451423" cy="3683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2596018" y="1416050"/>
              <a:ext cx="1451423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𝑅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e>
                    </m:d>
                    <m:r>
                      <a:rPr lang="en-US" sz="1200" b="0" i="1">
                        <a:latin typeface="Cambria Math" panose="02040503050406030204" pitchFamily="18" charset="0"/>
                      </a:rPr>
                      <m:t>, </m:t>
                    </m:r>
                  </m:oMath>
                </m:oMathPara>
              </a14:m>
              <a:endParaRPr lang="en-US" sz="12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</a:rPr>
                      <m:t>: </m:t>
                    </m:r>
                    <m:r>
                      <m:rPr>
                        <m:nor/>
                      </m:rPr>
                      <a:rPr lang="el-GR" sz="1200" baseline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n-US" sz="12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2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2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2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p>
                      </m:e>
                    </m:d>
                    <m:r>
                      <a:rPr lang="en-US" sz="12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𝑅</m:t>
                    </m:r>
                    <m:r>
                      <a:rPr lang="en-US" sz="12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(0)  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596018" y="1416050"/>
              <a:ext cx="1451423" cy="3683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𝑎=𝑅(0), </a:t>
              </a:r>
              <a:endParaRPr lang="en-US" sz="1200" b="0" i="1">
                <a:latin typeface="Cambria Math" panose="02040503050406030204" pitchFamily="18" charset="0"/>
              </a:endParaRPr>
            </a:p>
            <a:p>
              <a:r>
                <a:rPr lang="en-US" sz="1200" b="0" i="0">
                  <a:latin typeface="Cambria Math" panose="02040503050406030204" pitchFamily="18" charset="0"/>
                </a:rPr>
                <a:t>𝑐=𝑡^∗: </a:t>
              </a:r>
              <a:r>
                <a:rPr lang="el-GR" sz="12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l-GR" sz="12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</a:t>
              </a:r>
              <a:r>
                <a:rPr lang="en-US" sz="12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(𝑡^∗ )=𝑅(0)</a:t>
              </a:r>
              <a:r>
                <a:rPr lang="en-US" sz="1200" b="0" i="0">
                  <a:latin typeface="Cambria Math" panose="02040503050406030204" pitchFamily="18" charset="0"/>
                </a:rPr>
                <a:t>  </a:t>
              </a:r>
              <a:endParaRPr lang="ru-RU" sz="1200"/>
            </a:p>
          </xdr:txBody>
        </xdr:sp>
      </mc:Fallback>
    </mc:AlternateContent>
    <xdr:clientData/>
  </xdr:oneCellAnchor>
  <xdr:twoCellAnchor>
    <xdr:from>
      <xdr:col>8</xdr:col>
      <xdr:colOff>358321</xdr:colOff>
      <xdr:row>44</xdr:row>
      <xdr:rowOff>34471</xdr:rowOff>
    </xdr:from>
    <xdr:to>
      <xdr:col>12</xdr:col>
      <xdr:colOff>258535</xdr:colOff>
      <xdr:row>59</xdr:row>
      <xdr:rowOff>56243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548820</xdr:colOff>
      <xdr:row>44</xdr:row>
      <xdr:rowOff>34472</xdr:rowOff>
    </xdr:from>
    <xdr:to>
      <xdr:col>18</xdr:col>
      <xdr:colOff>340177</xdr:colOff>
      <xdr:row>59</xdr:row>
      <xdr:rowOff>56244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topLeftCell="G40" zoomScaleNormal="100" workbookViewId="0">
      <selection activeCell="L12" sqref="L12"/>
    </sheetView>
  </sheetViews>
  <sheetFormatPr defaultRowHeight="14.4" x14ac:dyDescent="0.3"/>
  <cols>
    <col min="1" max="1" width="13.77734375" customWidth="1"/>
    <col min="2" max="2" width="12.33203125" customWidth="1"/>
    <col min="3" max="3" width="11.21875" customWidth="1"/>
    <col min="4" max="4" width="12" customWidth="1"/>
    <col min="5" max="5" width="12.6640625" bestFit="1" customWidth="1"/>
    <col min="7" max="7" width="8.21875" customWidth="1"/>
    <col min="8" max="8" width="15.33203125" customWidth="1"/>
    <col min="9" max="9" width="17.33203125" customWidth="1"/>
    <col min="10" max="10" width="21.21875" customWidth="1"/>
    <col min="11" max="11" width="19.5546875" customWidth="1"/>
    <col min="15" max="15" width="23.109375" customWidth="1"/>
    <col min="16" max="16" width="10.5546875" customWidth="1"/>
  </cols>
  <sheetData>
    <row r="1" spans="1:19" x14ac:dyDescent="0.3">
      <c r="A1" s="48" t="s">
        <v>40</v>
      </c>
    </row>
    <row r="2" spans="1:19" x14ac:dyDescent="0.3">
      <c r="A2" s="48" t="s">
        <v>39</v>
      </c>
    </row>
    <row r="3" spans="1:19" x14ac:dyDescent="0.3">
      <c r="A3" s="48"/>
    </row>
    <row r="5" spans="1:19" ht="58.8" customHeight="1" x14ac:dyDescent="0.35">
      <c r="A5" s="1" t="s">
        <v>0</v>
      </c>
      <c r="B5" s="2" t="s">
        <v>16</v>
      </c>
      <c r="C5" s="4" t="s">
        <v>15</v>
      </c>
      <c r="D5" s="9" t="s">
        <v>13</v>
      </c>
      <c r="E5" s="4" t="s">
        <v>12</v>
      </c>
      <c r="F5" s="7"/>
      <c r="G5" s="14" t="s">
        <v>19</v>
      </c>
      <c r="H5" s="14" t="s">
        <v>20</v>
      </c>
      <c r="I5" s="14" t="s">
        <v>21</v>
      </c>
      <c r="J5" s="14" t="s">
        <v>24</v>
      </c>
      <c r="K5" s="14" t="s">
        <v>25</v>
      </c>
      <c r="M5" s="43" t="s">
        <v>26</v>
      </c>
      <c r="N5" s="43"/>
      <c r="O5" s="44" t="s">
        <v>32</v>
      </c>
      <c r="P5" s="43" t="s">
        <v>31</v>
      </c>
      <c r="Q5" s="43"/>
      <c r="R5" s="43"/>
      <c r="S5" s="43"/>
    </row>
    <row r="6" spans="1:19" ht="45" customHeight="1" x14ac:dyDescent="0.3">
      <c r="A6" s="3">
        <v>1</v>
      </c>
      <c r="B6" s="3">
        <v>8.1</v>
      </c>
      <c r="C6" s="3">
        <f>$A$39*A6 + $B$39</f>
        <v>9.2957142857142863</v>
      </c>
      <c r="D6" s="10">
        <f t="shared" ref="D6:D25" si="0">(C6-$B$28)^2</f>
        <v>2224.4698469387754</v>
      </c>
      <c r="E6" s="3">
        <f>B6-C6</f>
        <v>-1.1957142857142866</v>
      </c>
      <c r="F6" s="8"/>
      <c r="G6" s="3">
        <f>0</f>
        <v>0</v>
      </c>
      <c r="H6" s="3">
        <f>SUMPRODUCT((INDEX($B$6:$B$25,G6+1):$B$25)-$B$28,($B$6:INDEX($B$6:$B$25,20 - G6))-$B$28)/($B$34 - G6)</f>
        <v>820.55340000000001</v>
      </c>
      <c r="I6" s="3">
        <f>SUMPRODUCT((INDEX($E$6:$E$25,G6+1):$E$25)-$C$28,($E$6:INDEX($E$6:$E$25,20 - G6))-$C$28)/($C$34 - G6)</f>
        <v>1.0118774436090194</v>
      </c>
      <c r="J6" s="3">
        <f>SUMPRODUCT((INDEX($B$6:$B$25,G6+1):$B$25)-($B$6:INDEX($B$6:$B$25,20 - G6)),(INDEX($B$6:$B$25,G6+1):$B$25)-($B$6:INDEX($B$6:$B$25,20 - G6)))/(2*($B$34 - G6))</f>
        <v>0</v>
      </c>
      <c r="K6" s="3">
        <f>SUMPRODUCT((INDEX($E$6:$E$25,G6+1):$E$25)-($E$6:INDEX($E$6:$E$25,20 - G6)),(INDEX($E$6:$E$25,G6+1):$E$25)-($E$6:INDEX($E$6:$E$25,20 - G6)))/(2*($B$34 - G6))</f>
        <v>0</v>
      </c>
      <c r="M6" s="44" t="s">
        <v>27</v>
      </c>
      <c r="N6" s="44" t="s">
        <v>28</v>
      </c>
      <c r="O6" s="45"/>
      <c r="P6" s="46" t="s">
        <v>29</v>
      </c>
      <c r="Q6" s="3">
        <f>0</f>
        <v>0</v>
      </c>
      <c r="R6" s="3">
        <f>M7</f>
        <v>0.78997903581521189</v>
      </c>
      <c r="S6" s="3">
        <v>10</v>
      </c>
    </row>
    <row r="7" spans="1:19" ht="48" customHeight="1" x14ac:dyDescent="0.3">
      <c r="A7" s="3">
        <v>2</v>
      </c>
      <c r="B7" s="3">
        <v>15.8</v>
      </c>
      <c r="C7" s="3">
        <f>$A$39*A7 + $B$39</f>
        <v>14.260375939849625</v>
      </c>
      <c r="D7" s="10">
        <f t="shared" si="0"/>
        <v>1780.8082708180225</v>
      </c>
      <c r="E7" s="3">
        <f t="shared" ref="E7:E25" si="1">B7-C7</f>
        <v>1.5396240601503752</v>
      </c>
      <c r="F7" s="8"/>
      <c r="G7" s="3">
        <f>1</f>
        <v>1</v>
      </c>
      <c r="H7" s="3">
        <f>SUMPRODUCT((INDEX($B$6:$B$25,G7+1):$B$25)-$B$28,($B$6:INDEX($B$6:$B$25,20 - G7))-$B$28)/($B$34 - G7)</f>
        <v>726.47791578947363</v>
      </c>
      <c r="I7" s="3">
        <f>SUMPRODUCT((INDEX($E$6:$E$25,G7+1):$E$25)-$C$28,($E$6:INDEX($E$6:$E$25,20 - G7))-$C$28)/($C$34 - G7)</f>
        <v>-0.28975833003561641</v>
      </c>
      <c r="J7" s="3">
        <f>SUMPRODUCT((INDEX($B$6:$B$25,G7+1):$B$25)-($B$6:INDEX($B$6:$B$25,20 - G7)),(INDEX($B$6:$B$25,G7+1):$B$25)-($B$6:INDEX($B$6:$B$25,20 - G7)))/(2*($B$34 - G7))</f>
        <v>14.224473684210526</v>
      </c>
      <c r="K7" s="3">
        <f>SUMPRODUCT((INDEX($E$6:$E$25,G7+1):$E$25)-($E$6:INDEX($E$6:$E$25,20 - G7)),(INDEX($E$6:$E$25,G7+1):$E$25)-($E$6:INDEX($E$6:$E$25,20 - G7)))/(2*($B$34 - G7))</f>
        <v>1.2808915145005353</v>
      </c>
      <c r="M7" s="3">
        <f>I6/K7</f>
        <v>0.78997903581521189</v>
      </c>
      <c r="N7" s="3">
        <f>I6</f>
        <v>1.0118774436090194</v>
      </c>
      <c r="O7" s="45"/>
      <c r="P7" s="46" t="s">
        <v>30</v>
      </c>
      <c r="Q7" s="3">
        <v>0</v>
      </c>
      <c r="R7" s="3">
        <f>N7</f>
        <v>1.0118774436090194</v>
      </c>
      <c r="S7" s="3">
        <f>N7</f>
        <v>1.0118774436090194</v>
      </c>
    </row>
    <row r="8" spans="1:19" ht="28.8" customHeight="1" x14ac:dyDescent="0.3">
      <c r="A8" s="3">
        <v>3</v>
      </c>
      <c r="B8" s="3">
        <v>18.2</v>
      </c>
      <c r="C8" s="3">
        <f t="shared" ref="C8:C25" si="2">$A$39*A8 + $B$39</f>
        <v>19.225037593984965</v>
      </c>
      <c r="D8" s="10">
        <f t="shared" si="0"/>
        <v>1386.4424253773529</v>
      </c>
      <c r="E8" s="3">
        <f t="shared" si="1"/>
        <v>-1.0250375939849654</v>
      </c>
      <c r="F8" s="8"/>
      <c r="G8" s="3">
        <v>2</v>
      </c>
      <c r="H8" s="3">
        <f>SUMPRODUCT((INDEX($B$6:$B$25,G8+1):$B$25)-$B$28,($B$6:INDEX($B$6:$B$25,20 - G8))-$B$28)/($B$34 - G8)</f>
        <v>633.6181555555554</v>
      </c>
      <c r="I8" s="3">
        <f>SUMPRODUCT((INDEX($E$6:$E$25,G8+1):$E$25)-$C$28,($E$6:INDEX($E$6:$E$25,20 - G8))-$C$28)/($C$34 - G8)</f>
        <v>0.32444256066230898</v>
      </c>
      <c r="J8" s="3">
        <f>SUMPRODUCT((INDEX($B$6:$B$25,G8+1):$B$25)-($B$6:INDEX($B$6:$B$25,20 - G8)),(INDEX($B$6:$B$25,G8+1):$B$25)-($B$6:INDEX($B$6:$B$25,20 - G8)))/(2*($B$34 - G8))</f>
        <v>50.854444444444439</v>
      </c>
      <c r="K8" s="3">
        <f>SUMPRODUCT((INDEX($E$6:$E$25,G8+1):$E$25)-($E$6:INDEX($E$6:$E$25,20 - G8)),(INDEX($E$6:$E$25,G8+1):$E$25)-($E$6:INDEX($E$6:$E$25,20 - G8)))/(2*($B$34 - G8))</f>
        <v>0.63629041274865905</v>
      </c>
      <c r="M8" s="47" t="s">
        <v>37</v>
      </c>
      <c r="N8" s="47"/>
      <c r="O8" s="47"/>
      <c r="P8" s="47"/>
      <c r="Q8" s="47"/>
      <c r="R8" s="47"/>
      <c r="S8" s="47"/>
    </row>
    <row r="9" spans="1:19" x14ac:dyDescent="0.3">
      <c r="A9" s="3">
        <v>4</v>
      </c>
      <c r="B9" s="3">
        <v>25.4</v>
      </c>
      <c r="C9" s="3">
        <f t="shared" si="2"/>
        <v>24.189699248120302</v>
      </c>
      <c r="D9" s="10">
        <f t="shared" si="0"/>
        <v>1041.3723106167677</v>
      </c>
      <c r="E9" s="3">
        <f t="shared" si="1"/>
        <v>1.2103007518796964</v>
      </c>
      <c r="F9" s="8"/>
      <c r="G9" s="3">
        <v>3</v>
      </c>
      <c r="H9" s="3">
        <f>SUMPRODUCT((INDEX($B$6:$B$25,G9+1):$B$25)-$B$28,($B$6:INDEX($B$6:$B$25,20 - G9))-$B$28)/($B$34 - G9)</f>
        <v>526.39524705882354</v>
      </c>
      <c r="I9" s="3">
        <f>SUMPRODUCT((INDEX($E$6:$E$25,G9+1):$E$25)-$C$28,($E$6:INDEX($E$6:$E$25,20 - G9))-$C$28)/($C$34 - G9)</f>
        <v>-0.22871275501890254</v>
      </c>
      <c r="J9" s="3">
        <f>SUMPRODUCT((INDEX($B$6:$B$25,G9+1):$B$25)-($B$6:INDEX($B$6:$B$25,20 - G9)),(INDEX($B$6:$B$25,G9+1):$B$25)-($B$6:INDEX($B$6:$B$25,20 - G9)))/(2*($B$34 - G9))</f>
        <v>114.49794117647059</v>
      </c>
      <c r="K9" s="3">
        <f>SUMPRODUCT((INDEX($E$6:$E$25,G9+1):$E$25)-($E$6:INDEX($E$6:$E$25,20 - G9)),(INDEX($E$6:$E$25,G9+1):$E$25)-($E$6:INDEX($E$6:$E$25,20 - G9)))/(2*($B$34 - G9))</f>
        <v>1.2150556843235851</v>
      </c>
      <c r="M9" s="47"/>
      <c r="N9" s="47"/>
      <c r="O9" s="47"/>
      <c r="P9" s="47"/>
      <c r="Q9" s="47"/>
      <c r="R9" s="47"/>
      <c r="S9" s="47"/>
    </row>
    <row r="10" spans="1:19" x14ac:dyDescent="0.3">
      <c r="A10" s="3">
        <v>5</v>
      </c>
      <c r="B10" s="3">
        <v>29.9</v>
      </c>
      <c r="C10" s="3">
        <f t="shared" si="2"/>
        <v>29.15436090225564</v>
      </c>
      <c r="D10" s="10">
        <f t="shared" si="0"/>
        <v>745.5979265362655</v>
      </c>
      <c r="E10" s="3">
        <f t="shared" si="1"/>
        <v>0.74563909774435899</v>
      </c>
      <c r="F10" s="8"/>
      <c r="G10" s="3">
        <v>4</v>
      </c>
      <c r="H10" s="3">
        <f>SUMPRODUCT((INDEX($B$6:$B$25,G10+1):$B$25)-$B$28,($B$6:INDEX($B$6:$B$25,20 - G10))-$B$28)/($B$34 - G10)</f>
        <v>418.65110000000004</v>
      </c>
      <c r="I10" s="3">
        <f>SUMPRODUCT((INDEX($E$6:$E$25,G10+1):$E$25)-$C$28,($E$6:INDEX($E$6:$E$25,20 - G10))-$C$28)/($C$34 - G10)</f>
        <v>4.9561570750207007E-3</v>
      </c>
      <c r="J10" s="3">
        <f>SUMPRODUCT((INDEX($B$6:$B$25,G10+1):$B$25)-($B$6:INDEX($B$6:$B$25,20 - G10)),(INDEX($B$6:$B$25,G10+1):$B$25)-($B$6:INDEX($B$6:$B$25,20 - G10)))/(2*($B$34 - G10))</f>
        <v>199.86968749999997</v>
      </c>
      <c r="K10" s="3">
        <f>SUMPRODUCT((INDEX($E$6:$E$25,G10+1):$E$25)-($E$6:INDEX($E$6:$E$25,20 - G10)),(INDEX($E$6:$E$25,G10+1):$E$25)-($E$6:INDEX($E$6:$E$25,20 - G10)))/(2*($B$34 - G10))</f>
        <v>0.99672676168804886</v>
      </c>
      <c r="M10" s="47"/>
      <c r="N10" s="47"/>
      <c r="O10" s="47"/>
      <c r="P10" s="47"/>
      <c r="Q10" s="47"/>
      <c r="R10" s="47"/>
      <c r="S10" s="47"/>
    </row>
    <row r="11" spans="1:19" ht="29.4" customHeight="1" x14ac:dyDescent="0.3">
      <c r="A11" s="3">
        <v>6</v>
      </c>
      <c r="B11" s="3">
        <v>35.200000000000003</v>
      </c>
      <c r="C11" s="3">
        <f t="shared" si="2"/>
        <v>34.119022556390981</v>
      </c>
      <c r="D11" s="10">
        <f t="shared" si="0"/>
        <v>499.11927313584704</v>
      </c>
      <c r="E11" s="3">
        <f t="shared" si="1"/>
        <v>1.0809774436090223</v>
      </c>
      <c r="F11" s="8"/>
      <c r="G11" s="3">
        <v>5</v>
      </c>
      <c r="H11" s="3">
        <f>SUMPRODUCT((INDEX($B$6:$B$25,G11+1):$B$25)-$B$28,($B$6:INDEX($B$6:$B$25,20 - G11))-$B$28)/($B$34 - G11)</f>
        <v>305.64693333333332</v>
      </c>
      <c r="I11" s="3">
        <f>SUMPRODUCT((INDEX($E$6:$E$25,G11+1):$E$25)-$C$28,($E$6:INDEX($E$6:$E$25,20 - G11))-$C$28)/($C$34 - G11)</f>
        <v>-0.31912967192417235</v>
      </c>
      <c r="J11" s="3">
        <f>SUMPRODUCT((INDEX($B$6:$B$25,G11+1):$B$25)-($B$6:INDEX($B$6:$B$25,20 - G11)),(INDEX($B$6:$B$25,G11+1):$B$25)-($B$6:INDEX($B$6:$B$25,20 - G11)))/(2*($B$34 - G11))</f>
        <v>308.16466666666662</v>
      </c>
      <c r="K11" s="3">
        <f>SUMPRODUCT((INDEX($E$6:$E$25,G11+1):$E$25)-($E$6:INDEX($E$6:$E$25,20 - G11)),(INDEX($E$6:$E$25,G11+1):$E$25)-($E$6:INDEX($E$6:$E$25,20 - G11)))/(2*($B$34 - G11))</f>
        <v>1.3068931916256792</v>
      </c>
      <c r="M11" s="47"/>
      <c r="N11" s="47"/>
      <c r="O11" s="47"/>
      <c r="P11" s="47"/>
      <c r="Q11" s="47"/>
      <c r="R11" s="47"/>
      <c r="S11" s="47"/>
    </row>
    <row r="12" spans="1:19" x14ac:dyDescent="0.3">
      <c r="A12" s="3">
        <v>7</v>
      </c>
      <c r="B12" s="3">
        <v>38.4</v>
      </c>
      <c r="C12" s="3">
        <f t="shared" si="2"/>
        <v>39.083684210526314</v>
      </c>
      <c r="D12" s="10">
        <f t="shared" si="0"/>
        <v>301.93635041551255</v>
      </c>
      <c r="E12" s="3">
        <f t="shared" si="1"/>
        <v>-0.68368421052631589</v>
      </c>
      <c r="F12" s="8"/>
      <c r="G12" s="3">
        <v>6</v>
      </c>
      <c r="H12" s="3">
        <f>SUMPRODUCT((INDEX($B$6:$B$25,G12+1):$B$25)-$B$28,($B$6:INDEX($B$6:$B$25,20 - G12))-$B$28)/($B$34 - G12)</f>
        <v>181.4726</v>
      </c>
      <c r="I12" s="3">
        <f>SUMPRODUCT((INDEX($E$6:$E$25,G12+1):$E$25)-$C$28,($E$6:INDEX($E$6:$E$25,20 - G12))-$C$28)/($C$34 - G12)</f>
        <v>5.434444570071785E-2</v>
      </c>
      <c r="J12" s="3">
        <f>SUMPRODUCT((INDEX($B$6:$B$25,G12+1):$B$25)-($B$6:INDEX($B$6:$B$25,20 - G12)),(INDEX($B$6:$B$25,G12+1):$B$25)-($B$6:INDEX($B$6:$B$25,20 - G12)))/(2*($B$34 - G12))</f>
        <v>441.57214285714286</v>
      </c>
      <c r="K12" s="3">
        <f>SUMPRODUCT((INDEX($E$6:$E$25,G12+1):$E$25)-($E$6:INDEX($E$6:$E$25,20 - G12)),(INDEX($E$6:$E$25,G12+1):$E$25)-($E$6:INDEX($E$6:$E$25,20 - G12)))/(2*($B$34 - G12))</f>
        <v>0.95655463847588595</v>
      </c>
    </row>
    <row r="13" spans="1:19" x14ac:dyDescent="0.3">
      <c r="A13" s="3">
        <v>8</v>
      </c>
      <c r="B13" s="3">
        <v>44.8</v>
      </c>
      <c r="C13" s="3">
        <f t="shared" si="2"/>
        <v>44.048345864661655</v>
      </c>
      <c r="D13" s="10">
        <f t="shared" si="0"/>
        <v>154.04915837526144</v>
      </c>
      <c r="E13" s="3">
        <f t="shared" si="1"/>
        <v>0.75165413533834169</v>
      </c>
      <c r="F13" s="8"/>
      <c r="G13" s="3">
        <v>7</v>
      </c>
      <c r="H13" s="3">
        <f>SUMPRODUCT((INDEX($B$6:$B$25,G13+1):$B$25)-$B$28,($B$6:INDEX($B$6:$B$25,20 - G13))-$B$28)/($B$34 - G13)</f>
        <v>48.861138461538452</v>
      </c>
      <c r="I13" s="3">
        <f>SUMPRODUCT((INDEX($E$6:$E$25,G13+1):$E$25)-$C$28,($E$6:INDEX($E$6:$E$25,20 - G13))-$C$28)/($C$34 - G13)</f>
        <v>3.4093090012475083E-2</v>
      </c>
      <c r="J13" s="3">
        <f>SUMPRODUCT((INDEX($B$6:$B$25,G13+1):$B$25)-($B$6:INDEX($B$6:$B$25,20 - G13)),(INDEX($B$6:$B$25,G13+1):$B$25)-($B$6:INDEX($B$6:$B$25,20 - G13)))/(2*($B$34 - G13))</f>
        <v>599.54615384615386</v>
      </c>
      <c r="K13" s="3">
        <f>SUMPRODUCT((INDEX($E$6:$E$25,G13+1):$E$25)-($E$6:INDEX($E$6:$E$25,20 - G13)),(INDEX($E$6:$E$25,G13+1):$E$25)-($E$6:INDEX($E$6:$E$25,20 - G13)))/(2*($B$34 - G13))</f>
        <v>0.97780204559983264</v>
      </c>
    </row>
    <row r="14" spans="1:19" x14ac:dyDescent="0.3">
      <c r="A14" s="3">
        <v>9</v>
      </c>
      <c r="B14" s="3">
        <v>47.8</v>
      </c>
      <c r="C14" s="3">
        <f t="shared" si="2"/>
        <v>49.013007518796996</v>
      </c>
      <c r="D14" s="10">
        <f t="shared" si="0"/>
        <v>55.457697015094077</v>
      </c>
      <c r="E14" s="3">
        <f t="shared" si="1"/>
        <v>-1.2130075187969993</v>
      </c>
      <c r="F14" s="8"/>
      <c r="G14" s="3">
        <v>8</v>
      </c>
      <c r="H14" s="3">
        <f>SUMPRODUCT((INDEX($B$6:$B$25,G14+1):$B$25)-$B$28,($B$6:INDEX($B$6:$B$25,20 - G14))-$B$28)/($B$34 - G14)</f>
        <v>-89.970899999999986</v>
      </c>
      <c r="I14" s="3">
        <f>SUMPRODUCT((INDEX($E$6:$E$25,G14+1):$E$25)-$C$28,($E$6:INDEX($E$6:$E$25,20 - G14))-$C$28)/($C$34 - G14)</f>
        <v>0.10940174119509133</v>
      </c>
      <c r="J14" s="3">
        <f>SUMPRODUCT((INDEX($B$6:$B$25,G14+1):$B$25)-($B$6:INDEX($B$6:$B$25,20 - G14)),(INDEX($B$6:$B$25,G14+1):$B$25)-($B$6:INDEX($B$6:$B$25,20 - G14)))/(2*($B$34 - G14))</f>
        <v>780.40250000000015</v>
      </c>
      <c r="K14" s="3">
        <f>SUMPRODUCT((INDEX($E$6:$E$25,G14+1):$E$25)-($E$6:INDEX($E$6:$E$25,20 - G14)),(INDEX($E$6:$E$25,G14+1):$E$25)-($E$6:INDEX($E$6:$E$25,20 - G14)))/(2*($B$34 - G14))</f>
        <v>0.96306306178981183</v>
      </c>
    </row>
    <row r="15" spans="1:19" x14ac:dyDescent="0.3">
      <c r="A15" s="3">
        <v>10</v>
      </c>
      <c r="B15" s="3">
        <v>53.5</v>
      </c>
      <c r="C15" s="3">
        <f t="shared" si="2"/>
        <v>53.97766917293233</v>
      </c>
      <c r="D15" s="10">
        <f t="shared" si="0"/>
        <v>6.1619663350104652</v>
      </c>
      <c r="E15" s="3">
        <f t="shared" si="1"/>
        <v>-0.47766917293233035</v>
      </c>
      <c r="F15" s="8"/>
      <c r="G15" s="3">
        <v>9</v>
      </c>
      <c r="H15" s="3">
        <f>SUMPRODUCT((INDEX($B$6:$B$25,G15+1):$B$25)-$B$28,($B$6:INDEX($B$6:$B$25,20 - G15))-$B$28)/($B$34 - G15)</f>
        <v>-251.70349090909093</v>
      </c>
      <c r="I15" s="3">
        <f>SUMPRODUCT((INDEX($E$6:$E$25,G15+1):$E$25)-$C$28,($E$6:INDEX($E$6:$E$25,20 - G15))-$C$28)/($C$34 - G15)</f>
        <v>-0.45351939366529853</v>
      </c>
      <c r="J15" s="3">
        <f>SUMPRODUCT((INDEX($B$6:$B$25,G15+1):$B$25)-($B$6:INDEX($B$6:$B$25,20 - G15)),(INDEX($B$6:$B$25,G15+1):$B$25)-($B$6:INDEX($B$6:$B$25,20 - G15)))/(2*($B$34 - G15))</f>
        <v>998.09954545454525</v>
      </c>
      <c r="K15" s="3">
        <f>SUMPRODUCT((INDEX($E$6:$E$25,G15+1):$E$25)-($E$6:INDEX($E$6:$E$25,20 - G15)),(INDEX($E$6:$E$25,G15+1):$E$25)-($E$6:INDEX($E$6:$E$25,20 - G15)))/(2*($B$34 - G15))</f>
        <v>1.4919058068959119</v>
      </c>
    </row>
    <row r="16" spans="1:19" x14ac:dyDescent="0.3">
      <c r="A16" s="3">
        <v>11</v>
      </c>
      <c r="B16" s="3">
        <v>57.4</v>
      </c>
      <c r="C16" s="3">
        <f t="shared" si="2"/>
        <v>58.942330827067671</v>
      </c>
      <c r="D16" s="10">
        <f t="shared" si="0"/>
        <v>6.1619663350104652</v>
      </c>
      <c r="E16" s="3">
        <f t="shared" si="1"/>
        <v>-1.5423308270676728</v>
      </c>
      <c r="F16" s="8"/>
      <c r="G16" s="3">
        <v>10</v>
      </c>
      <c r="H16" s="3">
        <f>SUMPRODUCT((INDEX($B$6:$B$25,G16+1):$B$25)-$B$28,($B$6:INDEX($B$6:$B$25,20 - G16))-$B$28)/($B$34 - G16)</f>
        <v>-405.61359999999996</v>
      </c>
      <c r="I16" s="3">
        <f>SUMPRODUCT((INDEX($E$6:$E$25,G16+1):$E$25)-$C$28,($E$6:INDEX($E$6:$E$25,20 - G16))-$C$28)/($C$34 - G16)</f>
        <v>-4.0870761490187403E-2</v>
      </c>
      <c r="J16" s="3">
        <f>SUMPRODUCT((INDEX($B$6:$B$25,G16+1):$B$25)-($B$6:INDEX($B$6:$B$25,20 - G16)),(INDEX($B$6:$B$25,G16+1):$B$25)-($B$6:INDEX($B$6:$B$25,20 - G16)))/(2*($B$34 - G16))</f>
        <v>1226.1669999999999</v>
      </c>
      <c r="K16" s="3">
        <f>SUMPRODUCT((INDEX($E$6:$E$25,G16+1):$E$25)-($E$6:INDEX($E$6:$E$25,20 - G16)),(INDEX($E$6:$E$25,G16+1):$E$25)-($E$6:INDEX($E$6:$E$25,20 - G16)))/(2*($B$34 - G16))</f>
        <v>1.0527482050992067</v>
      </c>
    </row>
    <row r="17" spans="1:14" x14ac:dyDescent="0.3">
      <c r="A17" s="3">
        <v>12</v>
      </c>
      <c r="B17" s="3">
        <v>65.099999999999994</v>
      </c>
      <c r="C17" s="3">
        <f t="shared" si="2"/>
        <v>63.906992481203012</v>
      </c>
      <c r="D17" s="10">
        <f t="shared" si="0"/>
        <v>55.457697015094183</v>
      </c>
      <c r="E17" s="3">
        <f t="shared" si="1"/>
        <v>1.193007518796982</v>
      </c>
      <c r="F17" s="8"/>
      <c r="G17" s="29" t="s">
        <v>35</v>
      </c>
      <c r="H17" s="30"/>
      <c r="I17" s="30"/>
      <c r="J17" s="30"/>
      <c r="K17" s="31"/>
    </row>
    <row r="18" spans="1:14" x14ac:dyDescent="0.3">
      <c r="A18" s="3">
        <v>13</v>
      </c>
      <c r="B18" s="3">
        <v>68.8</v>
      </c>
      <c r="C18" s="3">
        <f t="shared" si="2"/>
        <v>68.87165413533836</v>
      </c>
      <c r="D18" s="10">
        <f t="shared" si="0"/>
        <v>154.04915837526181</v>
      </c>
      <c r="E18" s="3">
        <f t="shared" si="1"/>
        <v>-7.165413533836329E-2</v>
      </c>
      <c r="F18" s="8"/>
      <c r="G18" s="32"/>
      <c r="H18" s="33"/>
      <c r="I18" s="33"/>
      <c r="J18" s="33"/>
      <c r="K18" s="34"/>
    </row>
    <row r="19" spans="1:14" x14ac:dyDescent="0.3">
      <c r="A19" s="3">
        <v>14</v>
      </c>
      <c r="B19" s="3">
        <v>72.599999999999994</v>
      </c>
      <c r="C19" s="3">
        <f t="shared" si="2"/>
        <v>73.836315789473673</v>
      </c>
      <c r="D19" s="10">
        <f t="shared" si="0"/>
        <v>301.93635041551204</v>
      </c>
      <c r="E19" s="3">
        <f t="shared" si="1"/>
        <v>-1.2363157894736787</v>
      </c>
      <c r="F19" s="8"/>
      <c r="G19" s="32"/>
      <c r="H19" s="33"/>
      <c r="I19" s="33"/>
      <c r="J19" s="33"/>
      <c r="K19" s="34"/>
    </row>
    <row r="20" spans="1:14" x14ac:dyDescent="0.3">
      <c r="A20" s="3">
        <v>15</v>
      </c>
      <c r="B20" s="3">
        <v>79.2</v>
      </c>
      <c r="C20" s="3">
        <f t="shared" si="2"/>
        <v>78.800977443609014</v>
      </c>
      <c r="D20" s="10">
        <f t="shared" si="0"/>
        <v>499.1192731358467</v>
      </c>
      <c r="E20" s="3">
        <f t="shared" si="1"/>
        <v>0.39902255639098883</v>
      </c>
      <c r="F20" s="8"/>
      <c r="G20" s="32"/>
      <c r="H20" s="33"/>
      <c r="I20" s="33"/>
      <c r="J20" s="33"/>
      <c r="K20" s="34"/>
    </row>
    <row r="21" spans="1:14" x14ac:dyDescent="0.3">
      <c r="A21" s="3">
        <v>16</v>
      </c>
      <c r="B21" s="3">
        <v>82.4</v>
      </c>
      <c r="C21" s="3">
        <f t="shared" si="2"/>
        <v>83.765639097744355</v>
      </c>
      <c r="D21" s="10">
        <f t="shared" si="0"/>
        <v>745.59792653626516</v>
      </c>
      <c r="E21" s="3">
        <f t="shared" si="1"/>
        <v>-1.3656390977443493</v>
      </c>
      <c r="F21" s="8"/>
      <c r="G21" s="32"/>
      <c r="H21" s="33"/>
      <c r="I21" s="33"/>
      <c r="J21" s="33"/>
      <c r="K21" s="34"/>
    </row>
    <row r="22" spans="1:14" x14ac:dyDescent="0.3">
      <c r="A22" s="3">
        <v>17</v>
      </c>
      <c r="B22" s="3">
        <v>88.6</v>
      </c>
      <c r="C22" s="3">
        <f t="shared" si="2"/>
        <v>88.730300751879696</v>
      </c>
      <c r="D22" s="10">
        <f t="shared" si="0"/>
        <v>1041.3723106167672</v>
      </c>
      <c r="E22" s="3">
        <f t="shared" si="1"/>
        <v>-0.13030075187970169</v>
      </c>
      <c r="F22" s="8"/>
      <c r="G22" s="32"/>
      <c r="H22" s="33"/>
      <c r="I22" s="33"/>
      <c r="J22" s="33"/>
      <c r="K22" s="34"/>
    </row>
    <row r="23" spans="1:14" x14ac:dyDescent="0.3">
      <c r="A23" s="3">
        <v>18</v>
      </c>
      <c r="B23" s="3">
        <v>93.7</v>
      </c>
      <c r="C23" s="3">
        <f t="shared" si="2"/>
        <v>93.694962406015037</v>
      </c>
      <c r="D23" s="10">
        <f t="shared" si="0"/>
        <v>1386.4424253773529</v>
      </c>
      <c r="E23" s="3">
        <f t="shared" si="1"/>
        <v>5.037593984965838E-3</v>
      </c>
      <c r="F23" s="8"/>
      <c r="G23" s="32"/>
      <c r="H23" s="33"/>
      <c r="I23" s="33"/>
      <c r="J23" s="33"/>
      <c r="K23" s="34"/>
    </row>
    <row r="24" spans="1:14" x14ac:dyDescent="0.3">
      <c r="A24" s="3">
        <v>19</v>
      </c>
      <c r="B24" s="3">
        <v>99.5</v>
      </c>
      <c r="C24" s="3">
        <f t="shared" si="2"/>
        <v>98.659624060150378</v>
      </c>
      <c r="D24" s="10">
        <f t="shared" si="0"/>
        <v>1780.8082708180225</v>
      </c>
      <c r="E24" s="3">
        <f t="shared" si="1"/>
        <v>0.840375939849622</v>
      </c>
      <c r="F24" s="8"/>
      <c r="G24" s="32"/>
      <c r="H24" s="33"/>
      <c r="I24" s="33"/>
      <c r="J24" s="33"/>
      <c r="K24" s="34"/>
    </row>
    <row r="25" spans="1:14" x14ac:dyDescent="0.3">
      <c r="A25" s="3">
        <v>20</v>
      </c>
      <c r="B25" s="3">
        <v>104.8</v>
      </c>
      <c r="C25" s="3">
        <f t="shared" si="2"/>
        <v>103.62428571428572</v>
      </c>
      <c r="D25" s="10">
        <f t="shared" si="0"/>
        <v>2224.4698469387758</v>
      </c>
      <c r="E25" s="3">
        <f t="shared" si="1"/>
        <v>1.1757142857142782</v>
      </c>
      <c r="F25" s="8"/>
      <c r="G25" s="35"/>
      <c r="H25" s="36"/>
      <c r="I25" s="36"/>
      <c r="J25" s="36"/>
      <c r="K25" s="37"/>
    </row>
    <row r="26" spans="1:14" ht="28.8" customHeight="1" x14ac:dyDescent="0.3">
      <c r="A26" s="8"/>
      <c r="B26" s="8"/>
      <c r="C26" s="8"/>
      <c r="D26" s="16"/>
      <c r="E26" s="17"/>
    </row>
    <row r="27" spans="1:14" ht="33.450000000000003" customHeight="1" x14ac:dyDescent="0.3">
      <c r="A27" s="13" t="s">
        <v>1</v>
      </c>
      <c r="B27" s="15" t="s">
        <v>22</v>
      </c>
      <c r="C27" s="15" t="s">
        <v>23</v>
      </c>
      <c r="D27" s="19"/>
      <c r="E27" s="29" t="s">
        <v>36</v>
      </c>
      <c r="F27" s="30"/>
      <c r="G27" s="31"/>
      <c r="J27" s="18"/>
      <c r="K27" s="18"/>
      <c r="L27" s="29" t="s">
        <v>33</v>
      </c>
      <c r="M27" s="30"/>
      <c r="N27" s="31"/>
    </row>
    <row r="28" spans="1:14" ht="30.6" customHeight="1" x14ac:dyDescent="0.3">
      <c r="A28" s="5" t="s">
        <v>2</v>
      </c>
      <c r="B28" s="6">
        <f>AVERAGE(B6:B25)</f>
        <v>56.46</v>
      </c>
      <c r="C28" s="3">
        <f>AVERAGE(E6:E25)</f>
        <v>-1.5987211554602255E-15</v>
      </c>
      <c r="D28" s="19"/>
      <c r="E28" s="32"/>
      <c r="F28" s="33"/>
      <c r="G28" s="34"/>
      <c r="J28" s="18"/>
      <c r="K28" s="18"/>
      <c r="L28" s="32"/>
      <c r="M28" s="33"/>
      <c r="N28" s="34"/>
    </row>
    <row r="29" spans="1:14" ht="31.8" customHeight="1" x14ac:dyDescent="0.3">
      <c r="A29" s="5" t="s">
        <v>3</v>
      </c>
      <c r="B29" s="6">
        <f>B30^2</f>
        <v>820.55339999999978</v>
      </c>
      <c r="C29" s="3">
        <f>C30^2</f>
        <v>1.0118774436090197</v>
      </c>
      <c r="D29" s="19"/>
      <c r="E29" s="32"/>
      <c r="F29" s="33"/>
      <c r="G29" s="34"/>
      <c r="J29" s="18"/>
      <c r="K29" s="18"/>
      <c r="L29" s="32"/>
      <c r="M29" s="33"/>
      <c r="N29" s="34"/>
    </row>
    <row r="30" spans="1:14" ht="30" customHeight="1" x14ac:dyDescent="0.3">
      <c r="A30" s="5" t="s">
        <v>4</v>
      </c>
      <c r="B30" s="6">
        <f>_xlfn.STDEV.P(B6:B25)</f>
        <v>28.64530327994451</v>
      </c>
      <c r="C30" s="3">
        <f>_xlfn.STDEV.P(E6:E25)</f>
        <v>1.005921191549825</v>
      </c>
      <c r="D30" s="19"/>
      <c r="E30" s="32"/>
      <c r="F30" s="33"/>
      <c r="G30" s="34"/>
      <c r="J30" s="18"/>
      <c r="K30" s="18"/>
      <c r="L30" s="32"/>
      <c r="M30" s="33"/>
      <c r="N30" s="34"/>
    </row>
    <row r="31" spans="1:14" x14ac:dyDescent="0.3">
      <c r="A31" s="6" t="s">
        <v>5</v>
      </c>
      <c r="B31" s="6">
        <v>8.1</v>
      </c>
      <c r="C31" s="3">
        <f>MIN(E6:E25)</f>
        <v>-1.5423308270676728</v>
      </c>
      <c r="D31" s="19"/>
      <c r="E31" s="32"/>
      <c r="F31" s="33"/>
      <c r="G31" s="34"/>
      <c r="J31" s="18"/>
      <c r="K31" s="18"/>
      <c r="L31" s="32"/>
      <c r="M31" s="33"/>
      <c r="N31" s="34"/>
    </row>
    <row r="32" spans="1:14" x14ac:dyDescent="0.3">
      <c r="A32" s="6" t="s">
        <v>6</v>
      </c>
      <c r="B32" s="6">
        <v>104.8</v>
      </c>
      <c r="C32" s="3">
        <f>MAX(E6:E25)</f>
        <v>1.5396240601503752</v>
      </c>
      <c r="D32" s="19"/>
      <c r="E32" s="32"/>
      <c r="F32" s="33"/>
      <c r="G32" s="34"/>
      <c r="J32" s="18"/>
      <c r="K32" s="18"/>
      <c r="L32" s="32"/>
      <c r="M32" s="33"/>
      <c r="N32" s="34"/>
    </row>
    <row r="33" spans="1:19" ht="30" customHeight="1" x14ac:dyDescent="0.3">
      <c r="A33" s="5" t="s">
        <v>7</v>
      </c>
      <c r="B33" s="6">
        <f>B30/B28</f>
        <v>0.50735570811095487</v>
      </c>
      <c r="C33" s="3">
        <f>C30/C28</f>
        <v>-629203653253871.75</v>
      </c>
      <c r="D33" s="19"/>
      <c r="E33" s="32"/>
      <c r="F33" s="33"/>
      <c r="G33" s="34"/>
      <c r="J33" s="18"/>
      <c r="K33" s="18"/>
      <c r="L33" s="32"/>
      <c r="M33" s="33"/>
      <c r="N33" s="34"/>
    </row>
    <row r="34" spans="1:19" ht="28.2" customHeight="1" x14ac:dyDescent="0.3">
      <c r="A34" s="5" t="s">
        <v>8</v>
      </c>
      <c r="B34" s="6">
        <v>20</v>
      </c>
      <c r="C34" s="3">
        <f>20</f>
        <v>20</v>
      </c>
      <c r="D34" s="19"/>
      <c r="E34" s="35"/>
      <c r="F34" s="36"/>
      <c r="G34" s="37"/>
      <c r="J34" s="18"/>
      <c r="K34" s="18"/>
      <c r="L34" s="35"/>
      <c r="M34" s="36"/>
      <c r="N34" s="37"/>
    </row>
    <row r="35" spans="1:19" ht="15.6" customHeight="1" x14ac:dyDescent="0.3">
      <c r="A35" s="11"/>
      <c r="B35" s="12"/>
      <c r="D35" s="8"/>
    </row>
    <row r="36" spans="1:19" ht="13.8" customHeight="1" x14ac:dyDescent="0.3">
      <c r="A36" s="11"/>
      <c r="B36" s="12"/>
      <c r="D36" s="8"/>
      <c r="F36" s="29" t="s">
        <v>34</v>
      </c>
      <c r="G36" s="30"/>
      <c r="H36" s="30"/>
      <c r="I36" s="30"/>
      <c r="J36" s="30"/>
      <c r="K36" s="31"/>
    </row>
    <row r="37" spans="1:19" x14ac:dyDescent="0.3">
      <c r="A37" s="39" t="s">
        <v>9</v>
      </c>
      <c r="B37" s="40"/>
      <c r="C37" s="7"/>
      <c r="D37" s="8"/>
      <c r="E37" s="7"/>
      <c r="F37" s="32"/>
      <c r="G37" s="33"/>
      <c r="H37" s="33"/>
      <c r="I37" s="33"/>
      <c r="J37" s="33"/>
      <c r="K37" s="34"/>
    </row>
    <row r="38" spans="1:19" x14ac:dyDescent="0.3">
      <c r="A38" s="3" t="s">
        <v>10</v>
      </c>
      <c r="B38" s="3" t="s">
        <v>11</v>
      </c>
      <c r="C38" s="8"/>
      <c r="D38" s="8"/>
      <c r="E38" s="8"/>
      <c r="F38" s="32"/>
      <c r="G38" s="33"/>
      <c r="H38" s="33"/>
      <c r="I38" s="33"/>
      <c r="J38" s="33"/>
      <c r="K38" s="34"/>
    </row>
    <row r="39" spans="1:19" x14ac:dyDescent="0.3">
      <c r="A39" s="3">
        <f t="array" ref="A39:B39">LINEST(B6:B25)</f>
        <v>4.9646616541353383</v>
      </c>
      <c r="B39" s="3">
        <v>4.3310526315789488</v>
      </c>
      <c r="C39" s="8"/>
      <c r="D39" s="8"/>
      <c r="E39" s="8"/>
      <c r="F39" s="32"/>
      <c r="G39" s="33"/>
      <c r="H39" s="33"/>
      <c r="I39" s="33"/>
      <c r="J39" s="33"/>
      <c r="K39" s="34"/>
    </row>
    <row r="40" spans="1:19" x14ac:dyDescent="0.3">
      <c r="D40" s="8"/>
      <c r="F40" s="32"/>
      <c r="G40" s="33"/>
      <c r="H40" s="33"/>
      <c r="I40" s="33"/>
      <c r="J40" s="33"/>
      <c r="K40" s="34"/>
    </row>
    <row r="41" spans="1:19" ht="29.4" customHeight="1" x14ac:dyDescent="0.3">
      <c r="A41" s="42" t="s">
        <v>17</v>
      </c>
      <c r="B41" s="42"/>
      <c r="C41" s="42"/>
      <c r="D41" s="42"/>
      <c r="F41" s="32"/>
      <c r="G41" s="33"/>
      <c r="H41" s="33"/>
      <c r="I41" s="33"/>
      <c r="J41" s="33"/>
      <c r="K41" s="34"/>
    </row>
    <row r="42" spans="1:19" ht="16.2" x14ac:dyDescent="0.3">
      <c r="A42" s="41" t="s">
        <v>14</v>
      </c>
      <c r="B42" s="41"/>
      <c r="C42" s="41"/>
      <c r="D42" s="3">
        <f>SUM(D6:D25)/B34</f>
        <v>819.54152255639087</v>
      </c>
      <c r="F42" s="32"/>
      <c r="G42" s="33"/>
      <c r="H42" s="33"/>
      <c r="I42" s="33"/>
      <c r="J42" s="33"/>
      <c r="K42" s="34"/>
    </row>
    <row r="43" spans="1:19" ht="16.8" x14ac:dyDescent="0.35">
      <c r="A43" s="38" t="s">
        <v>18</v>
      </c>
      <c r="B43" s="38"/>
      <c r="C43" s="38"/>
      <c r="D43" s="3">
        <f>D42/B29</f>
        <v>0.99876683535330069</v>
      </c>
      <c r="F43" s="35"/>
      <c r="G43" s="36"/>
      <c r="H43" s="36"/>
      <c r="I43" s="36"/>
      <c r="J43" s="36"/>
      <c r="K43" s="37"/>
    </row>
    <row r="44" spans="1:19" x14ac:dyDescent="0.3">
      <c r="D44" s="8"/>
    </row>
    <row r="45" spans="1:19" x14ac:dyDescent="0.3">
      <c r="D45" s="8"/>
      <c r="I45" s="20"/>
      <c r="J45" s="21"/>
      <c r="K45" s="21"/>
      <c r="L45" s="21"/>
      <c r="M45" s="21"/>
      <c r="N45" s="21"/>
      <c r="O45" s="21"/>
      <c r="P45" s="21"/>
      <c r="Q45" s="21"/>
      <c r="R45" s="21"/>
      <c r="S45" s="22"/>
    </row>
    <row r="46" spans="1:19" x14ac:dyDescent="0.3">
      <c r="D46" s="8"/>
      <c r="I46" s="23"/>
      <c r="J46" s="24"/>
      <c r="K46" s="24"/>
      <c r="L46" s="24"/>
      <c r="M46" s="24"/>
      <c r="N46" s="24"/>
      <c r="O46" s="24"/>
      <c r="P46" s="24"/>
      <c r="Q46" s="24"/>
      <c r="R46" s="24"/>
      <c r="S46" s="25"/>
    </row>
    <row r="47" spans="1:19" x14ac:dyDescent="0.3">
      <c r="D47" s="8"/>
      <c r="I47" s="23"/>
      <c r="J47" s="24"/>
      <c r="K47" s="24"/>
      <c r="L47" s="24"/>
      <c r="M47" s="24"/>
      <c r="N47" s="24"/>
      <c r="O47" s="24"/>
      <c r="P47" s="24"/>
      <c r="Q47" s="24"/>
      <c r="R47" s="24"/>
      <c r="S47" s="25"/>
    </row>
    <row r="48" spans="1:19" x14ac:dyDescent="0.3">
      <c r="D48" s="8"/>
      <c r="I48" s="23"/>
      <c r="J48" s="24"/>
      <c r="K48" s="24"/>
      <c r="L48" s="24"/>
      <c r="M48" s="24"/>
      <c r="N48" s="24"/>
      <c r="O48" s="24"/>
      <c r="P48" s="24"/>
      <c r="Q48" s="24"/>
      <c r="R48" s="24"/>
      <c r="S48" s="25"/>
    </row>
    <row r="49" spans="4:19" x14ac:dyDescent="0.3">
      <c r="D49" s="8"/>
      <c r="I49" s="23"/>
      <c r="J49" s="24"/>
      <c r="K49" s="24"/>
      <c r="L49" s="24"/>
      <c r="M49" s="24"/>
      <c r="N49" s="24"/>
      <c r="O49" s="24"/>
      <c r="P49" s="24"/>
      <c r="Q49" s="24"/>
      <c r="R49" s="24"/>
      <c r="S49" s="25"/>
    </row>
    <row r="50" spans="4:19" x14ac:dyDescent="0.3">
      <c r="D50" s="8"/>
      <c r="I50" s="23"/>
      <c r="J50" s="24"/>
      <c r="K50" s="24"/>
      <c r="L50" s="24"/>
      <c r="M50" s="24"/>
      <c r="N50" s="24"/>
      <c r="O50" s="24"/>
      <c r="P50" s="24"/>
      <c r="Q50" s="24"/>
      <c r="R50" s="24"/>
      <c r="S50" s="25"/>
    </row>
    <row r="51" spans="4:19" x14ac:dyDescent="0.3">
      <c r="I51" s="23"/>
      <c r="J51" s="24"/>
      <c r="K51" s="24"/>
      <c r="L51" s="24"/>
      <c r="M51" s="24"/>
      <c r="N51" s="24"/>
      <c r="O51" s="24"/>
      <c r="P51" s="24"/>
      <c r="Q51" s="24"/>
      <c r="R51" s="24"/>
      <c r="S51" s="25"/>
    </row>
    <row r="52" spans="4:19" x14ac:dyDescent="0.3">
      <c r="I52" s="23"/>
      <c r="J52" s="24"/>
      <c r="K52" s="24"/>
      <c r="L52" s="24"/>
      <c r="M52" s="24"/>
      <c r="N52" s="24"/>
      <c r="O52" s="24"/>
      <c r="P52" s="24"/>
      <c r="Q52" s="24"/>
      <c r="R52" s="24"/>
      <c r="S52" s="25"/>
    </row>
    <row r="53" spans="4:19" x14ac:dyDescent="0.3">
      <c r="I53" s="23"/>
      <c r="J53" s="24"/>
      <c r="K53" s="24"/>
      <c r="L53" s="24"/>
      <c r="M53" s="24"/>
      <c r="N53" s="24"/>
      <c r="O53" s="24"/>
      <c r="P53" s="24"/>
      <c r="Q53" s="24"/>
      <c r="R53" s="24"/>
      <c r="S53" s="25"/>
    </row>
    <row r="54" spans="4:19" x14ac:dyDescent="0.3">
      <c r="I54" s="23"/>
      <c r="J54" s="24"/>
      <c r="K54" s="24"/>
      <c r="L54" s="24"/>
      <c r="M54" s="24"/>
      <c r="N54" s="24"/>
      <c r="O54" s="24"/>
      <c r="P54" s="24"/>
      <c r="Q54" s="24"/>
      <c r="R54" s="24"/>
      <c r="S54" s="25"/>
    </row>
    <row r="55" spans="4:19" x14ac:dyDescent="0.3">
      <c r="I55" s="23"/>
      <c r="J55" s="24"/>
      <c r="K55" s="24"/>
      <c r="L55" s="24"/>
      <c r="M55" s="24"/>
      <c r="N55" s="24"/>
      <c r="O55" s="24"/>
      <c r="P55" s="24"/>
      <c r="Q55" s="24"/>
      <c r="R55" s="24"/>
      <c r="S55" s="25"/>
    </row>
    <row r="56" spans="4:19" x14ac:dyDescent="0.3">
      <c r="I56" s="23"/>
      <c r="J56" s="24"/>
      <c r="K56" s="24"/>
      <c r="L56" s="24"/>
      <c r="M56" s="24"/>
      <c r="N56" s="24"/>
      <c r="O56" s="24"/>
      <c r="P56" s="24"/>
      <c r="Q56" s="24"/>
      <c r="R56" s="24"/>
      <c r="S56" s="25"/>
    </row>
    <row r="57" spans="4:19" x14ac:dyDescent="0.3">
      <c r="I57" s="23"/>
      <c r="J57" s="24"/>
      <c r="K57" s="24"/>
      <c r="L57" s="24"/>
      <c r="M57" s="24"/>
      <c r="N57" s="24"/>
      <c r="O57" s="24"/>
      <c r="P57" s="24"/>
      <c r="Q57" s="24"/>
      <c r="R57" s="24"/>
      <c r="S57" s="25"/>
    </row>
    <row r="58" spans="4:19" x14ac:dyDescent="0.3">
      <c r="I58" s="23"/>
      <c r="J58" s="24"/>
      <c r="K58" s="24"/>
      <c r="L58" s="24"/>
      <c r="M58" s="24"/>
      <c r="N58" s="24"/>
      <c r="O58" s="24"/>
      <c r="P58" s="24"/>
      <c r="Q58" s="24"/>
      <c r="R58" s="24"/>
      <c r="S58" s="25"/>
    </row>
    <row r="59" spans="4:19" x14ac:dyDescent="0.3"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5"/>
    </row>
    <row r="60" spans="4:19" x14ac:dyDescent="0.3">
      <c r="I60" s="26"/>
      <c r="J60" s="27"/>
      <c r="K60" s="27"/>
      <c r="L60" s="27"/>
      <c r="M60" s="27"/>
      <c r="N60" s="27"/>
      <c r="O60" s="27"/>
      <c r="P60" s="27"/>
      <c r="Q60" s="27"/>
      <c r="R60" s="27"/>
      <c r="S60" s="28"/>
    </row>
    <row r="61" spans="4:19" x14ac:dyDescent="0.3">
      <c r="I61" s="29" t="s">
        <v>38</v>
      </c>
      <c r="J61" s="30"/>
      <c r="K61" s="30"/>
      <c r="L61" s="30"/>
      <c r="M61" s="30"/>
      <c r="N61" s="30"/>
      <c r="O61" s="30"/>
      <c r="P61" s="30"/>
      <c r="Q61" s="30"/>
      <c r="R61" s="30"/>
      <c r="S61" s="31"/>
    </row>
    <row r="62" spans="4:19" x14ac:dyDescent="0.3">
      <c r="I62" s="32"/>
      <c r="J62" s="33"/>
      <c r="K62" s="33"/>
      <c r="L62" s="33"/>
      <c r="M62" s="33"/>
      <c r="N62" s="33"/>
      <c r="O62" s="33"/>
      <c r="P62" s="33"/>
      <c r="Q62" s="33"/>
      <c r="R62" s="33"/>
      <c r="S62" s="34"/>
    </row>
    <row r="63" spans="4:19" x14ac:dyDescent="0.3">
      <c r="I63" s="32"/>
      <c r="J63" s="33"/>
      <c r="K63" s="33"/>
      <c r="L63" s="33"/>
      <c r="M63" s="33"/>
      <c r="N63" s="33"/>
      <c r="O63" s="33"/>
      <c r="P63" s="33"/>
      <c r="Q63" s="33"/>
      <c r="R63" s="33"/>
      <c r="S63" s="34"/>
    </row>
    <row r="64" spans="4:19" x14ac:dyDescent="0.3">
      <c r="I64" s="32"/>
      <c r="J64" s="33"/>
      <c r="K64" s="33"/>
      <c r="L64" s="33"/>
      <c r="M64" s="33"/>
      <c r="N64" s="33"/>
      <c r="O64" s="33"/>
      <c r="P64" s="33"/>
      <c r="Q64" s="33"/>
      <c r="R64" s="33"/>
      <c r="S64" s="34"/>
    </row>
    <row r="65" spans="9:19" x14ac:dyDescent="0.3">
      <c r="I65" s="32"/>
      <c r="J65" s="33"/>
      <c r="K65" s="33"/>
      <c r="L65" s="33"/>
      <c r="M65" s="33"/>
      <c r="N65" s="33"/>
      <c r="O65" s="33"/>
      <c r="P65" s="33"/>
      <c r="Q65" s="33"/>
      <c r="R65" s="33"/>
      <c r="S65" s="34"/>
    </row>
    <row r="66" spans="9:19" x14ac:dyDescent="0.3">
      <c r="I66" s="32"/>
      <c r="J66" s="33"/>
      <c r="K66" s="33"/>
      <c r="L66" s="33"/>
      <c r="M66" s="33"/>
      <c r="N66" s="33"/>
      <c r="O66" s="33"/>
      <c r="P66" s="33"/>
      <c r="Q66" s="33"/>
      <c r="R66" s="33"/>
      <c r="S66" s="34"/>
    </row>
    <row r="67" spans="9:19" x14ac:dyDescent="0.3">
      <c r="I67" s="35"/>
      <c r="J67" s="36"/>
      <c r="K67" s="36"/>
      <c r="L67" s="36"/>
      <c r="M67" s="36"/>
      <c r="N67" s="36"/>
      <c r="O67" s="36"/>
      <c r="P67" s="36"/>
      <c r="Q67" s="36"/>
      <c r="R67" s="36"/>
      <c r="S67" s="37"/>
    </row>
  </sheetData>
  <mergeCells count="14">
    <mergeCell ref="A43:C43"/>
    <mergeCell ref="A37:B37"/>
    <mergeCell ref="A42:C42"/>
    <mergeCell ref="A41:D41"/>
    <mergeCell ref="G17:K25"/>
    <mergeCell ref="F36:K43"/>
    <mergeCell ref="E27:G34"/>
    <mergeCell ref="I45:S60"/>
    <mergeCell ref="I61:S67"/>
    <mergeCell ref="L27:N34"/>
    <mergeCell ref="M5:N5"/>
    <mergeCell ref="P5:S5"/>
    <mergeCell ref="M8:S11"/>
    <mergeCell ref="O6:O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feel it break</cp:lastModifiedBy>
  <dcterms:created xsi:type="dcterms:W3CDTF">2015-06-05T18:17:20Z</dcterms:created>
  <dcterms:modified xsi:type="dcterms:W3CDTF">2023-05-07T18:43:38Z</dcterms:modified>
</cp:coreProperties>
</file>