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4\"/>
    </mc:Choice>
  </mc:AlternateContent>
  <xr:revisionPtr revIDLastSave="0" documentId="13_ncr:1_{B61B1979-BDE8-4115-916B-348DAF60FE7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, lab4" sheetId="2" r:id="rId1"/>
    <sheet name="lab2 results" sheetId="1" r:id="rId2"/>
  </sheets>
  <definedNames>
    <definedName name="_xlnm._FilterDatabase" localSheetId="1" hidden="1">'lab2 results'!$H$3:$H$39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  <c r="G12" i="2"/>
  <c r="G11" i="2"/>
  <c r="E12" i="2"/>
  <c r="E11" i="2"/>
  <c r="C26" i="2" l="1"/>
  <c r="B25" i="2"/>
  <c r="C27" i="2"/>
  <c r="C23" i="2"/>
  <c r="B26" i="2"/>
  <c r="C25" i="2"/>
  <c r="C24" i="2"/>
  <c r="B24" i="2"/>
  <c r="B27" i="2"/>
  <c r="K40" i="2"/>
  <c r="K39" i="2"/>
  <c r="Q3" i="2"/>
  <c r="J40" i="2"/>
  <c r="J3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C12" i="2"/>
  <c r="C11" i="2"/>
  <c r="C10" i="2"/>
  <c r="I7" i="2" l="1"/>
  <c r="C7" i="2"/>
  <c r="J3" i="2"/>
  <c r="G3" i="2"/>
  <c r="C3" i="2"/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P6" i="1" l="1"/>
  <c r="P3" i="1"/>
  <c r="P20" i="1"/>
  <c r="P4" i="1"/>
  <c r="L15" i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P12" i="1" s="1"/>
  <c r="M5" i="1"/>
  <c r="M20" i="1"/>
  <c r="M16" i="1"/>
  <c r="M12" i="1"/>
  <c r="M8" i="1"/>
  <c r="M4" i="1"/>
  <c r="P7" i="1" s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  <c r="P10" i="1" l="1"/>
  <c r="P21" i="1"/>
  <c r="P15" i="1"/>
  <c r="P9" i="1"/>
  <c r="P13" i="1"/>
  <c r="P18" i="1"/>
  <c r="P22" i="1"/>
  <c r="P11" i="1"/>
  <c r="P19" i="1"/>
  <c r="P17" i="1"/>
  <c r="N5" i="1"/>
  <c r="P8" i="1"/>
  <c r="P16" i="1"/>
  <c r="P5" i="1"/>
  <c r="E45" i="1"/>
  <c r="P14" i="1"/>
  <c r="L40" i="1"/>
  <c r="M40" i="1"/>
  <c r="F45" i="1" s="1"/>
  <c r="K40" i="1"/>
  <c r="D45" i="1" s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J2" i="2" l="1"/>
  <c r="E49" i="1"/>
  <c r="E47" i="1"/>
  <c r="F49" i="1"/>
  <c r="F47" i="1"/>
  <c r="Q3" i="1"/>
  <c r="D49" i="1"/>
  <c r="D47" i="1"/>
  <c r="Q7" i="1"/>
  <c r="V9" i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D50" i="1"/>
  <c r="D51" i="1" s="1"/>
  <c r="C2" i="2" l="1"/>
  <c r="E51" i="1"/>
  <c r="F51" i="1"/>
  <c r="G2" i="2"/>
  <c r="S40" i="1"/>
  <c r="F54" i="1" s="1"/>
  <c r="Q40" i="1"/>
  <c r="T40" i="1"/>
  <c r="V40" i="1"/>
  <c r="F58" i="1" s="1"/>
  <c r="R40" i="1"/>
  <c r="E54" i="1" s="1"/>
  <c r="U40" i="1"/>
  <c r="E58" i="1" s="1"/>
  <c r="C6" i="2" l="1"/>
  <c r="E8" i="2" s="1"/>
  <c r="C8" i="2" s="1"/>
  <c r="E6" i="2"/>
  <c r="G6" i="2" s="1"/>
  <c r="D54" i="1"/>
  <c r="D58" i="1"/>
  <c r="E9" i="2" l="1"/>
  <c r="C9" i="2" s="1"/>
</calcChain>
</file>

<file path=xl/sharedStrings.xml><?xml version="1.0" encoding="utf-8"?>
<sst xmlns="http://schemas.openxmlformats.org/spreadsheetml/2006/main" count="117" uniqueCount="106">
  <si>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</si>
  <si>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</si>
  <si>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</si>
  <si>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</si>
  <si>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</si>
  <si>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</si>
  <si>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</si>
  <si>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</si>
  <si>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</si>
  <si>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</si>
  <si>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</si>
  <si>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</si>
  <si>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</si>
  <si>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</si>
  <si>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</si>
  <si>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</si>
  <si>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</si>
  <si>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</si>
  <si>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</si>
  <si>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</si>
  <si>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</si>
  <si>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</si>
  <si>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</si>
  <si>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</si>
  <si>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</si>
  <si>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</si>
  <si>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</si>
  <si>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</si>
  <si>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</si>
  <si>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</si>
  <si>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</si>
  <si>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</si>
  <si>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</si>
  <si>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</si>
  <si>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</si>
  <si>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</si>
  <si>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</si>
  <si>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</si>
  <si>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</si>
  <si>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</si>
  <si>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</si>
  <si>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</si>
  <si>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</si>
  <si>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</si>
  <si>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</si>
  <si>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</si>
  <si>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</si>
  <si>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</si>
  <si>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</si>
  <si>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</si>
  <si>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</si>
  <si>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</si>
  <si>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</si>
  <si>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</si>
  <si>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</si>
  <si>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</si>
  <si>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</si>
  <si>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</si>
  <si>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</si>
  <si>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</si>
  <si>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</si>
  <si>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</si>
  <si>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СТАНДОТКЛОНП для X</t>
  </si>
  <si>
    <t>СТАНДОТКЛОНП для Y</t>
  </si>
  <si>
    <t>КОВАР</t>
  </si>
  <si>
    <t>Параметры линейной регрессии</t>
  </si>
  <si>
    <t>Оценка значимости</t>
  </si>
  <si>
    <t>ПИРСОН</t>
  </si>
  <si>
    <t>СТЬЮДРАСПОБР</t>
  </si>
  <si>
    <t>θ̅</t>
  </si>
  <si>
    <t>θ̲</t>
  </si>
  <si>
    <t>α</t>
  </si>
  <si>
    <t>β</t>
  </si>
  <si>
    <t>γ</t>
  </si>
  <si>
    <r>
      <t>σ</t>
    </r>
    <r>
      <rPr>
        <vertAlign val="subscript"/>
        <sz val="11"/>
        <color theme="1"/>
        <rFont val="Calibri"/>
        <family val="2"/>
        <charset val="204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</si>
  <si>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</si>
  <si>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(35;</t>
    </r>
    <r>
      <rPr>
        <sz val="11"/>
        <color theme="1"/>
        <rFont val="Calibri"/>
        <family val="2"/>
        <charset val="204"/>
      </rPr>
      <t>0,02)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</si>
  <si>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</si>
  <si>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</si>
  <si>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</si>
  <si>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</si>
  <si>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</si>
  <si>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Длина доверительного интервала равна 0.52, т.е. коэффициент корреляции с вероятностью 0.98 попадает в этот интервал.</t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</si>
  <si>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говорит о средней прямой зависимости. Нулевая гипотеза отвергается, т.е.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</si>
  <si>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r>
      <t>σ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ε</t>
    </r>
  </si>
  <si>
    <t>a</t>
  </si>
  <si>
    <t>b</t>
  </si>
  <si>
    <t>Малая дисперсия ошибки.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</si>
  <si>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</si>
  <si>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</si>
  <si>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Уравнение модели y*(x) = 0.57 * x + 3.53</t>
  </si>
  <si>
    <t>Месяц 2, 
X</t>
  </si>
  <si>
    <t>Месяц 3,
Y</t>
  </si>
  <si>
    <t>Y*</t>
  </si>
  <si>
    <t>x</t>
  </si>
  <si>
    <t>y*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</si>
  <si>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</si>
  <si>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</si>
  <si>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ЛИНЕЙН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</si>
  <si>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</si>
  <si>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</si>
  <si>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F-статистика</t>
  </si>
  <si>
    <t>Число тепеней свободы df</t>
  </si>
  <si>
    <t>Регрессионная сумма квадратов</t>
  </si>
  <si>
    <t>Остаточная сумма квадратов</t>
  </si>
  <si>
    <t>Значимый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</si>
</sst>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связи и линия регрессии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'Report, lab4'!$O$3:$O$39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'Report, lab4'!$P$3:$P$39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ser>
          <c:idx val="1"/>
          <c:order val="1"/>
          <c:tx>
            <c:v>Line</c:v>
          </c:tx>
          <c:spPr>
            <a:effectLst/>
          </c:spPr>
          <c:marker>
            <c:symbol val="none"/>
          </c:marker>
          <c:xVal>
            <c:numRef>
              <c:f>'Report, lab4'!$J$39:$J$40</c:f>
              <c:numCache>
                <c:formatCode>General</c:formatCode>
                <c:ptCount val="2"/>
                <c:pt idx="0">
                  <c:v>6.3</c:v>
                </c:pt>
                <c:pt idx="1">
                  <c:v>9</c:v>
                </c:pt>
              </c:numCache>
            </c:numRef>
          </c:xVal>
          <c:yVal>
            <c:numRef>
              <c:f>'Report, lab4'!$K$39:$K$40</c:f>
              <c:numCache>
                <c:formatCode>General</c:formatCode>
                <c:ptCount val="2"/>
                <c:pt idx="0">
                  <c:v>7.1032347460461551</c:v>
                </c:pt>
                <c:pt idx="1">
                  <c:v>8.6333938554159282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1C-42FF-AA53-4ACB2AE8B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9504"/>
        <c:axId val="105831424"/>
      </c:scatterChart>
      <c:valAx>
        <c:axId val="10582950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464820</xdr:colOff>
      <xdr:row>19</xdr:row>
      <xdr:rowOff>91440</xdr:rowOff>
    </xdr:from>
    <xdr:to>
      <xdr:col>11</xdr:col>
      <xdr:colOff>752475</xdr:colOff>
      <xdr:row>35</xdr:row>
      <xdr:rowOff>148590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I16" sqref="I16"/>
    </sheetView>
  </sheetViews>
  <sheetFormatPr defaultRowHeight="14.4" x14ac:dyDescent="0.3"/>
  <cols>
    <col min="1" max="1" width="9.5546875" customWidth="1"/>
    <col min="2" max="2" width="10.44140625" customWidth="1"/>
    <col min="3" max="3" width="11.5546875" bestFit="1" customWidth="1"/>
    <col min="4" max="4" width="8.6640625" customWidth="1"/>
    <col min="5" max="5" width="7.88671875" customWidth="1"/>
    <col min="6" max="6" width="6.5546875" customWidth="1"/>
    <col min="7" max="7" width="11.5546875" bestFit="1" customWidth="1"/>
    <col min="8" max="8" width="15.88671875" customWidth="1"/>
    <col min="9" max="9" width="9.6640625" customWidth="1"/>
    <col min="10" max="10" width="19" customWidth="1"/>
    <col min="11" max="11" width="23.88671875" customWidth="1"/>
    <col min="12" max="12" width="20.33203125" customWidth="1"/>
  </cols>
  <sheetData>
    <row r="1" spans="1:18" x14ac:dyDescent="0.3">
      <c r="A1" s="31" t="s">
        <v>61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O1" s="41" t="s">
        <v>91</v>
      </c>
      <c r="P1" s="41" t="s">
        <v>92</v>
      </c>
      <c r="Q1" s="31" t="s">
        <v>93</v>
      </c>
      <c r="R1" s="45"/>
    </row>
    <row r="2" spans="1:18" ht="15.6" x14ac:dyDescent="0.35">
      <c r="A2" s="30" t="s">
        <v>81</v>
      </c>
      <c r="B2" s="30"/>
      <c r="C2" s="1">
        <f>'lab2 results'!E50</f>
        <v>0.55295210126788286</v>
      </c>
      <c r="D2" s="29" t="s">
        <v>80</v>
      </c>
      <c r="E2" s="29"/>
      <c r="F2" s="29"/>
      <c r="G2" s="1">
        <f>'lab2 results'!F50</f>
        <v>0.5263960186438722</v>
      </c>
      <c r="H2" s="29" t="s">
        <v>79</v>
      </c>
      <c r="I2" s="29"/>
      <c r="J2" s="29">
        <f>SUMPRODUCT('lab2 results'!C3:C39-'lab2 results'!E45, 'lab2 results'!D3:D39-'lab2 results'!F45)/'lab2 results'!L40</f>
        <v>0.17327976625273925</v>
      </c>
      <c r="K2" s="29"/>
      <c r="L2" s="29"/>
      <c r="O2" s="41"/>
      <c r="P2" s="41"/>
      <c r="Q2" s="31"/>
      <c r="R2" s="45"/>
    </row>
    <row r="3" spans="1:18" x14ac:dyDescent="0.3">
      <c r="A3" s="31" t="s">
        <v>62</v>
      </c>
      <c r="B3" s="31"/>
      <c r="C3" s="1">
        <f>STDEVP('lab2 results'!C3:C39)</f>
        <v>0.55295210126788263</v>
      </c>
      <c r="D3" s="31" t="s">
        <v>63</v>
      </c>
      <c r="E3" s="31"/>
      <c r="F3" s="31"/>
      <c r="G3" s="1">
        <f>STDEVP('lab2 results'!D3:D39)</f>
        <v>0.5263960186438722</v>
      </c>
      <c r="H3" s="31" t="s">
        <v>64</v>
      </c>
      <c r="I3" s="31"/>
      <c r="J3" s="29">
        <f>COVAR('lab2 results'!C3:C39, 'lab2 results'!D3:D39)</f>
        <v>0.17327976625273925</v>
      </c>
      <c r="K3" s="29"/>
      <c r="L3" s="29"/>
      <c r="O3" s="1">
        <v>7.9</v>
      </c>
      <c r="P3" s="1">
        <v>8.5</v>
      </c>
      <c r="Q3" s="1">
        <f>$C$11*O3+$C$12</f>
        <v>8.0099956997467636</v>
      </c>
    </row>
    <row r="4" spans="1:18" x14ac:dyDescent="0.3">
      <c r="A4" s="29" t="s">
        <v>90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O4" s="1">
        <v>8.1999999999999993</v>
      </c>
      <c r="P4" s="1">
        <v>8.4</v>
      </c>
      <c r="Q4" s="1">
        <f t="shared" ref="Q4:R39" si="0">$C$11*O4+$C$12</f>
        <v>8.1800133785656257</v>
      </c>
    </row>
    <row r="5" spans="1:18" x14ac:dyDescent="0.3">
      <c r="A5" s="29" t="s">
        <v>65</v>
      </c>
      <c r="B5" s="29"/>
      <c r="C5" s="29"/>
      <c r="D5" s="29" t="s">
        <v>66</v>
      </c>
      <c r="E5" s="29"/>
      <c r="F5" s="29"/>
      <c r="G5" s="29"/>
      <c r="H5" s="29"/>
      <c r="I5" s="29"/>
      <c r="J5" s="31" t="s">
        <v>29</v>
      </c>
      <c r="K5" s="31"/>
      <c r="L5" s="31"/>
      <c r="O5" s="1">
        <v>8.3000000000000007</v>
      </c>
      <c r="P5" s="1">
        <v>8.5</v>
      </c>
      <c r="Q5" s="1">
        <f t="shared" si="0"/>
        <v>8.2366859381719131</v>
      </c>
    </row>
    <row r="6" spans="1:18" ht="15.6" x14ac:dyDescent="0.35">
      <c r="A6" s="29" t="s">
        <v>77</v>
      </c>
      <c r="B6" s="29"/>
      <c r="C6" s="1">
        <f>J2/(C2*G2)</f>
        <v>0.59531626016584871</v>
      </c>
      <c r="D6" s="28" t="s">
        <v>74</v>
      </c>
      <c r="E6" s="29">
        <f>SQRT((1-C6^2)/('lab2 results'!L40-2))</f>
        <v>0.13581484774523497</v>
      </c>
      <c r="F6" s="29" t="s">
        <v>75</v>
      </c>
      <c r="G6" s="32">
        <f>C6/E6</f>
        <v>4.3832929171526107</v>
      </c>
      <c r="H6" s="1" t="s">
        <v>76</v>
      </c>
      <c r="I6" s="13">
        <v>2.44</v>
      </c>
      <c r="J6" s="27" t="s">
        <v>83</v>
      </c>
      <c r="K6" s="27"/>
      <c r="L6" s="27"/>
      <c r="O6" s="1">
        <v>8.4</v>
      </c>
      <c r="P6" s="1">
        <v>8.5</v>
      </c>
      <c r="Q6" s="1">
        <f t="shared" si="0"/>
        <v>8.2933584977782022</v>
      </c>
    </row>
    <row r="7" spans="1:18" x14ac:dyDescent="0.3">
      <c r="A7" s="31" t="s">
        <v>67</v>
      </c>
      <c r="B7" s="31"/>
      <c r="C7" s="1">
        <f>PEARSON('lab2 results'!C3:C39, 'lab2 results'!D3:D39)</f>
        <v>0.59531626016584893</v>
      </c>
      <c r="D7" s="29"/>
      <c r="E7" s="29"/>
      <c r="F7" s="29"/>
      <c r="G7" s="32"/>
      <c r="H7" s="2" t="s">
        <v>68</v>
      </c>
      <c r="I7" s="14">
        <f>TINV(0.02, 35)</f>
        <v>2.4377225471437423</v>
      </c>
      <c r="J7" s="27"/>
      <c r="K7" s="27"/>
      <c r="L7" s="27"/>
      <c r="O7" s="1">
        <v>8.4</v>
      </c>
      <c r="P7" s="1">
        <v>8.8000000000000007</v>
      </c>
      <c r="Q7" s="1">
        <f t="shared" si="0"/>
        <v>8.2933584977782022</v>
      </c>
    </row>
    <row r="8" spans="1:18" x14ac:dyDescent="0.3">
      <c r="A8" s="28" t="s">
        <v>70</v>
      </c>
      <c r="B8" s="29"/>
      <c r="C8" s="1">
        <f>(EXP(2*E8)-1)/(EXP(2*E8)+1)</f>
        <v>0.2786971970352396</v>
      </c>
      <c r="D8" s="16" t="s">
        <v>71</v>
      </c>
      <c r="E8" s="14">
        <f>0.5*LN((1+C6)/(1-C6))-(I8/SQRT('lab2 results'!L40-3))</f>
        <v>0.28626899913994547</v>
      </c>
      <c r="F8" s="28" t="s">
        <v>73</v>
      </c>
      <c r="G8" s="32">
        <v>0.98</v>
      </c>
      <c r="H8" s="29" t="s">
        <v>78</v>
      </c>
      <c r="I8" s="32">
        <v>2.33</v>
      </c>
      <c r="J8" s="27" t="s">
        <v>82</v>
      </c>
      <c r="K8" s="27"/>
      <c r="L8" s="27"/>
      <c r="O8" s="1">
        <v>8.1999999999999993</v>
      </c>
      <c r="P8" s="1">
        <v>7.9</v>
      </c>
      <c r="Q8" s="1">
        <f t="shared" si="0"/>
        <v>8.1800133785656257</v>
      </c>
    </row>
    <row r="9" spans="1:18" x14ac:dyDescent="0.3">
      <c r="A9" s="28" t="s">
        <v>69</v>
      </c>
      <c r="B9" s="29"/>
      <c r="C9" s="1">
        <f>(EXP(2*E9)-1)/(EXP(2*E9)+1)</f>
        <v>0.79521231427662864</v>
      </c>
      <c r="D9" s="16" t="s">
        <v>72</v>
      </c>
      <c r="E9" s="14">
        <f>0.5*LN((1+C6)/(1-C6))+(I8/SQRT('lab2 results'!L40-3))</f>
        <v>1.0854524059040367</v>
      </c>
      <c r="F9" s="29"/>
      <c r="G9" s="32"/>
      <c r="H9" s="29"/>
      <c r="I9" s="32"/>
      <c r="J9" s="27"/>
      <c r="K9" s="27"/>
      <c r="L9" s="27"/>
      <c r="O9" s="1">
        <v>8.1999999999999993</v>
      </c>
      <c r="P9" s="1">
        <v>8.5</v>
      </c>
      <c r="Q9" s="1">
        <f t="shared" si="0"/>
        <v>8.1800133785656257</v>
      </c>
    </row>
    <row r="10" spans="1:18" ht="16.8" customHeight="1" x14ac:dyDescent="0.3">
      <c r="A10" s="46" t="s">
        <v>84</v>
      </c>
      <c r="B10" s="47"/>
      <c r="C10" s="48">
        <f>G2^2*(1-C6^2)</f>
        <v>0.17889068962889984</v>
      </c>
      <c r="D10" s="48"/>
      <c r="E10" s="48"/>
      <c r="F10" s="48"/>
      <c r="G10" s="48"/>
      <c r="H10" s="48"/>
      <c r="I10" s="48"/>
      <c r="J10" s="49" t="s">
        <v>87</v>
      </c>
      <c r="K10" s="49"/>
      <c r="L10" s="49"/>
      <c r="O10" s="1">
        <v>9</v>
      </c>
      <c r="P10" s="1">
        <v>9.1</v>
      </c>
      <c r="Q10" s="1">
        <f t="shared" si="0"/>
        <v>8.6333938554159282</v>
      </c>
    </row>
    <row r="11" spans="1:18" ht="14.4" customHeight="1" x14ac:dyDescent="0.35">
      <c r="A11" s="47" t="s">
        <v>85</v>
      </c>
      <c r="B11" s="47"/>
      <c r="C11" s="48">
        <f>J2/C2^2</f>
        <v>0.56672559606287909</v>
      </c>
      <c r="D11" s="48" t="s">
        <v>88</v>
      </c>
      <c r="E11" s="48">
        <f>SQRT(C10)/(C2*SQRT('lab2 results'!L40-2))</f>
        <v>0.12929220263724112</v>
      </c>
      <c r="F11" s="48" t="s">
        <v>96</v>
      </c>
      <c r="G11" s="48">
        <f>C11/E11</f>
        <v>4.3832929171526107</v>
      </c>
      <c r="H11" s="1" t="s">
        <v>76</v>
      </c>
      <c r="I11" s="17">
        <v>2.44</v>
      </c>
      <c r="J11" s="50" t="s">
        <v>105</v>
      </c>
      <c r="K11" s="51"/>
      <c r="L11" s="52"/>
      <c r="O11" s="1">
        <v>9</v>
      </c>
      <c r="P11" s="1">
        <v>8.9</v>
      </c>
      <c r="Q11" s="1">
        <f t="shared" si="0"/>
        <v>8.6333938554159282</v>
      </c>
    </row>
    <row r="12" spans="1:18" ht="15.6" x14ac:dyDescent="0.35">
      <c r="A12" s="47" t="s">
        <v>86</v>
      </c>
      <c r="B12" s="47"/>
      <c r="C12" s="48">
        <f>'lab2 results'!F45-'lab2 results'!E45*C11</f>
        <v>3.5328634908500174</v>
      </c>
      <c r="D12" s="48" t="s">
        <v>89</v>
      </c>
      <c r="E12" s="48">
        <f>(SQRT(C10)/SQRT('lab2 results'!L40-2))*SQRT(1+('lab2 results'!E45^2/C2^2))</f>
        <v>1.0333193806032008</v>
      </c>
      <c r="F12" s="48" t="s">
        <v>97</v>
      </c>
      <c r="G12" s="48">
        <f>C12/E12</f>
        <v>3.4189463172438574</v>
      </c>
      <c r="H12" s="1" t="s">
        <v>76</v>
      </c>
      <c r="I12" s="17">
        <v>2.44</v>
      </c>
      <c r="J12" s="50" t="s">
        <v>105</v>
      </c>
      <c r="K12" s="51"/>
      <c r="L12" s="52"/>
      <c r="O12" s="1">
        <v>8.6</v>
      </c>
      <c r="P12" s="1">
        <v>8.6</v>
      </c>
      <c r="Q12" s="1">
        <f t="shared" si="0"/>
        <v>8.406703616990777</v>
      </c>
    </row>
    <row r="13" spans="1:18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O13" s="1">
        <v>8.8000000000000007</v>
      </c>
      <c r="P13" s="1">
        <v>7.9</v>
      </c>
      <c r="Q13" s="1">
        <f t="shared" si="0"/>
        <v>8.5200487362033535</v>
      </c>
    </row>
    <row r="14" spans="1:18" x14ac:dyDescent="0.3">
      <c r="O14" s="1">
        <v>8.5</v>
      </c>
      <c r="P14" s="1">
        <v>8.3000000000000007</v>
      </c>
      <c r="Q14" s="1">
        <f t="shared" si="0"/>
        <v>8.3500310573844896</v>
      </c>
    </row>
    <row r="15" spans="1:18" x14ac:dyDescent="0.3">
      <c r="O15" s="1">
        <v>8.1999999999999993</v>
      </c>
      <c r="P15" s="1">
        <v>8.1999999999999993</v>
      </c>
      <c r="Q15" s="1">
        <f t="shared" si="0"/>
        <v>8.1800133785656257</v>
      </c>
    </row>
    <row r="16" spans="1:18" x14ac:dyDescent="0.3">
      <c r="O16" s="1">
        <v>8.3000000000000007</v>
      </c>
      <c r="P16" s="1">
        <v>7.9</v>
      </c>
      <c r="Q16" s="1">
        <f t="shared" si="0"/>
        <v>8.2366859381719131</v>
      </c>
    </row>
    <row r="17" spans="1:17" x14ac:dyDescent="0.3">
      <c r="O17" s="1">
        <v>7.8</v>
      </c>
      <c r="P17" s="1">
        <v>7.8</v>
      </c>
      <c r="Q17" s="1">
        <f t="shared" si="0"/>
        <v>7.9533231401404745</v>
      </c>
    </row>
    <row r="18" spans="1:17" x14ac:dyDescent="0.3">
      <c r="O18" s="1">
        <v>8</v>
      </c>
      <c r="P18" s="1">
        <v>8.1</v>
      </c>
      <c r="Q18" s="1">
        <f t="shared" si="0"/>
        <v>8.066668259353051</v>
      </c>
    </row>
    <row r="19" spans="1:17" x14ac:dyDescent="0.3">
      <c r="O19" s="1">
        <v>7.7</v>
      </c>
      <c r="P19" s="1">
        <v>7.8</v>
      </c>
      <c r="Q19" s="1">
        <f t="shared" si="0"/>
        <v>7.8966505805341862</v>
      </c>
    </row>
    <row r="20" spans="1:17" x14ac:dyDescent="0.3">
      <c r="O20" s="1">
        <v>7.8</v>
      </c>
      <c r="P20" s="1">
        <v>8</v>
      </c>
      <c r="Q20" s="1">
        <f t="shared" si="0"/>
        <v>7.9533231401404745</v>
      </c>
    </row>
    <row r="21" spans="1:17" x14ac:dyDescent="0.3">
      <c r="O21" s="1">
        <v>7.2</v>
      </c>
      <c r="P21" s="1">
        <v>7.3</v>
      </c>
      <c r="Q21" s="1">
        <f t="shared" si="0"/>
        <v>7.6132877825027467</v>
      </c>
    </row>
    <row r="22" spans="1:17" x14ac:dyDescent="0.3">
      <c r="B22" s="31" t="s">
        <v>98</v>
      </c>
      <c r="C22" s="31"/>
      <c r="O22" s="1">
        <v>7.2</v>
      </c>
      <c r="P22" s="1">
        <v>7.2</v>
      </c>
      <c r="Q22" s="1">
        <f t="shared" si="0"/>
        <v>7.6132877825027467</v>
      </c>
    </row>
    <row r="23" spans="1:17" x14ac:dyDescent="0.3">
      <c r="A23" t="s">
        <v>85</v>
      </c>
      <c r="B23" s="14">
        <f t="array" ref="B23:C27">LINEST(P3:P39, O3:O39,TRUE,TRUE)</f>
        <v>0.56672559606287931</v>
      </c>
      <c r="C23" s="14">
        <v>3.5328634908500156</v>
      </c>
      <c r="D23" t="s">
        <v>86</v>
      </c>
      <c r="O23" s="1">
        <v>7.3</v>
      </c>
      <c r="P23" s="1">
        <v>8.1</v>
      </c>
      <c r="Q23" s="1">
        <f t="shared" si="0"/>
        <v>7.669960342109035</v>
      </c>
    </row>
    <row r="24" spans="1:17" ht="15.6" x14ac:dyDescent="0.3">
      <c r="A24" s="44" t="s">
        <v>88</v>
      </c>
      <c r="B24" s="1">
        <v>0.12929220263724109</v>
      </c>
      <c r="C24" s="1">
        <v>1.0333193806032006</v>
      </c>
      <c r="D24" s="42" t="s">
        <v>89</v>
      </c>
      <c r="O24" s="1">
        <v>7.5</v>
      </c>
      <c r="P24" s="1">
        <v>8.9</v>
      </c>
      <c r="Q24" s="1">
        <f t="shared" si="0"/>
        <v>7.7833054613216106</v>
      </c>
    </row>
    <row r="25" spans="1:17" ht="16.8" x14ac:dyDescent="0.35">
      <c r="A25" t="s">
        <v>99</v>
      </c>
      <c r="B25" s="1">
        <v>0.35440144961785258</v>
      </c>
      <c r="C25" s="1">
        <v>0.43487126227258477</v>
      </c>
      <c r="D25" s="42" t="s">
        <v>100</v>
      </c>
      <c r="O25" s="1">
        <v>7.9</v>
      </c>
      <c r="P25" s="1">
        <v>7.1</v>
      </c>
      <c r="Q25" s="1">
        <f t="shared" si="0"/>
        <v>8.0099956997467636</v>
      </c>
    </row>
    <row r="26" spans="1:17" x14ac:dyDescent="0.3">
      <c r="A26" t="s">
        <v>101</v>
      </c>
      <c r="B26" s="1">
        <v>19.213256797560252</v>
      </c>
      <c r="C26" s="1">
        <v>35</v>
      </c>
      <c r="D26" t="s">
        <v>102</v>
      </c>
      <c r="O26" s="1">
        <v>7.8</v>
      </c>
      <c r="P26" s="1">
        <v>7.3</v>
      </c>
      <c r="Q26" s="1">
        <f t="shared" si="0"/>
        <v>7.9533231401404745</v>
      </c>
    </row>
    <row r="27" spans="1:17" x14ac:dyDescent="0.3">
      <c r="A27" t="s">
        <v>103</v>
      </c>
      <c r="B27" s="1">
        <v>3.6334769161631408</v>
      </c>
      <c r="C27" s="1">
        <v>6.6189555162692928</v>
      </c>
      <c r="D27" t="s">
        <v>104</v>
      </c>
      <c r="O27" s="1">
        <v>6.3</v>
      </c>
      <c r="P27" s="1">
        <v>7.3</v>
      </c>
      <c r="Q27" s="1">
        <f t="shared" si="0"/>
        <v>7.1032347460461551</v>
      </c>
    </row>
    <row r="28" spans="1:17" x14ac:dyDescent="0.3">
      <c r="O28" s="1">
        <v>7.9</v>
      </c>
      <c r="P28" s="1">
        <v>7.5</v>
      </c>
      <c r="Q28" s="1">
        <f t="shared" si="0"/>
        <v>8.0099956997467636</v>
      </c>
    </row>
    <row r="29" spans="1:17" x14ac:dyDescent="0.3">
      <c r="O29" s="1">
        <v>9</v>
      </c>
      <c r="P29" s="1">
        <v>7.9</v>
      </c>
      <c r="Q29" s="1">
        <f t="shared" si="0"/>
        <v>8.6333938554159282</v>
      </c>
    </row>
    <row r="30" spans="1:17" x14ac:dyDescent="0.3">
      <c r="O30" s="1">
        <v>7.4</v>
      </c>
      <c r="P30" s="1">
        <v>7.6</v>
      </c>
      <c r="Q30" s="1">
        <f t="shared" si="0"/>
        <v>7.7266329017153232</v>
      </c>
    </row>
    <row r="31" spans="1:17" x14ac:dyDescent="0.3">
      <c r="O31" s="1">
        <v>7.9</v>
      </c>
      <c r="P31" s="1">
        <v>8.3000000000000007</v>
      </c>
      <c r="Q31" s="1">
        <f t="shared" si="0"/>
        <v>8.0099956997467636</v>
      </c>
    </row>
    <row r="32" spans="1:17" x14ac:dyDescent="0.3">
      <c r="O32" s="1">
        <v>8.4</v>
      </c>
      <c r="P32" s="1">
        <v>9</v>
      </c>
      <c r="Q32" s="1">
        <f t="shared" si="0"/>
        <v>8.2933584977782022</v>
      </c>
    </row>
    <row r="33" spans="10:17" x14ac:dyDescent="0.3">
      <c r="O33" s="1">
        <v>7.7</v>
      </c>
      <c r="P33" s="1">
        <v>8.1</v>
      </c>
      <c r="Q33" s="1">
        <f t="shared" si="0"/>
        <v>7.8966505805341862</v>
      </c>
    </row>
    <row r="34" spans="10:17" x14ac:dyDescent="0.3">
      <c r="O34" s="1">
        <v>7.6</v>
      </c>
      <c r="P34" s="1">
        <v>7.8</v>
      </c>
      <c r="Q34" s="1">
        <f t="shared" si="0"/>
        <v>7.839978020927898</v>
      </c>
    </row>
    <row r="35" spans="10:17" x14ac:dyDescent="0.3">
      <c r="O35" s="1">
        <v>7.9</v>
      </c>
      <c r="P35" s="1">
        <v>8.1</v>
      </c>
      <c r="Q35" s="1">
        <f t="shared" si="0"/>
        <v>8.0099956997467636</v>
      </c>
    </row>
    <row r="36" spans="10:17" x14ac:dyDescent="0.3">
      <c r="O36" s="1">
        <v>7.6</v>
      </c>
      <c r="P36" s="1">
        <v>7.7</v>
      </c>
      <c r="Q36" s="1">
        <f t="shared" si="0"/>
        <v>7.839978020927898</v>
      </c>
    </row>
    <row r="37" spans="10:17" x14ac:dyDescent="0.3">
      <c r="O37" s="1">
        <v>7.6</v>
      </c>
      <c r="P37" s="1">
        <v>8</v>
      </c>
      <c r="Q37" s="1">
        <f t="shared" si="0"/>
        <v>7.839978020927898</v>
      </c>
    </row>
    <row r="38" spans="10:17" x14ac:dyDescent="0.3">
      <c r="J38" s="15" t="s">
        <v>94</v>
      </c>
      <c r="K38" s="15" t="s">
        <v>95</v>
      </c>
      <c r="O38" s="1">
        <v>7.9</v>
      </c>
      <c r="P38" s="1">
        <v>7.4</v>
      </c>
      <c r="Q38" s="1">
        <f t="shared" si="0"/>
        <v>8.0099956997467636</v>
      </c>
    </row>
    <row r="39" spans="10:17" x14ac:dyDescent="0.3">
      <c r="J39" s="1">
        <f>MIN(O3:O39)</f>
        <v>6.3</v>
      </c>
      <c r="K39" s="1">
        <f>$C$11*J39+$C$12</f>
        <v>7.1032347460461551</v>
      </c>
      <c r="O39" s="1">
        <v>7.6</v>
      </c>
      <c r="P39" s="1">
        <v>7.6</v>
      </c>
      <c r="Q39" s="1">
        <f t="shared" si="0"/>
        <v>7.839978020927898</v>
      </c>
    </row>
    <row r="40" spans="10:17" x14ac:dyDescent="0.3">
      <c r="J40" s="1">
        <f>MAX(O3:O39)</f>
        <v>9</v>
      </c>
      <c r="K40" s="1">
        <f>$C$11*J40+$C$12</f>
        <v>8.6333938554159282</v>
      </c>
    </row>
  </sheetData>
  <sortState xmlns:xlrd2="http://schemas.microsoft.com/office/spreadsheetml/2017/richdata2" ref="R3:R39">
    <sortCondition ref="R3"/>
  </sortState>
  <mergeCells count="38">
    <mergeCell ref="B22:C22"/>
    <mergeCell ref="O1:O2"/>
    <mergeCell ref="P1:P2"/>
    <mergeCell ref="Q1:Q2"/>
    <mergeCell ref="R1:R2"/>
    <mergeCell ref="J11:L11"/>
    <mergeCell ref="A10:B10"/>
    <mergeCell ref="A11:B11"/>
    <mergeCell ref="A12:B12"/>
    <mergeCell ref="J10:L10"/>
    <mergeCell ref="J12:L12"/>
    <mergeCell ref="A6:B6"/>
    <mergeCell ref="A7:B7"/>
    <mergeCell ref="D6:D7"/>
    <mergeCell ref="E6:E7"/>
    <mergeCell ref="F6:F7"/>
    <mergeCell ref="J5:L5"/>
    <mergeCell ref="A1:L1"/>
    <mergeCell ref="J2:L2"/>
    <mergeCell ref="J3:L3"/>
    <mergeCell ref="A4:L4"/>
    <mergeCell ref="H2:I2"/>
    <mergeCell ref="H3:I3"/>
    <mergeCell ref="J8:L9"/>
    <mergeCell ref="A8:B8"/>
    <mergeCell ref="A9:B9"/>
    <mergeCell ref="A2:B2"/>
    <mergeCell ref="A3:B3"/>
    <mergeCell ref="D2:F2"/>
    <mergeCell ref="D3:F3"/>
    <mergeCell ref="A5:C5"/>
    <mergeCell ref="D5:I5"/>
    <mergeCell ref="I8:I9"/>
    <mergeCell ref="F8:F9"/>
    <mergeCell ref="G8:G9"/>
    <mergeCell ref="H8:H9"/>
    <mergeCell ref="G6:G7"/>
    <mergeCell ref="J6:L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topLeftCell="A27" workbookViewId="0">
      <selection activeCell="C1" sqref="C1:D39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3320312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31" t="s">
        <v>0</v>
      </c>
      <c r="B1" s="41" t="s">
        <v>11</v>
      </c>
      <c r="C1" s="41" t="s">
        <v>12</v>
      </c>
      <c r="D1" s="41" t="s">
        <v>13</v>
      </c>
      <c r="E1" s="41" t="s">
        <v>14</v>
      </c>
      <c r="F1" s="41" t="s">
        <v>15</v>
      </c>
      <c r="G1" s="41" t="s">
        <v>16</v>
      </c>
      <c r="H1" s="41" t="s">
        <v>17</v>
      </c>
      <c r="I1" s="41" t="s">
        <v>18</v>
      </c>
      <c r="J1" s="41" t="s">
        <v>19</v>
      </c>
      <c r="K1" s="31" t="s">
        <v>2</v>
      </c>
      <c r="L1" s="31"/>
      <c r="M1" s="31"/>
      <c r="N1" s="38" t="s">
        <v>1</v>
      </c>
      <c r="O1" s="39"/>
      <c r="P1" s="40"/>
      <c r="Q1" s="31" t="s">
        <v>30</v>
      </c>
      <c r="R1" s="31" t="s">
        <v>31</v>
      </c>
      <c r="S1" s="31" t="s">
        <v>32</v>
      </c>
      <c r="T1" s="31" t="s">
        <v>33</v>
      </c>
      <c r="U1" s="31" t="s">
        <v>34</v>
      </c>
      <c r="V1" s="31" t="s">
        <v>35</v>
      </c>
    </row>
    <row r="2" spans="1:22" ht="16.8" x14ac:dyDescent="0.35">
      <c r="A2" s="31"/>
      <c r="B2" s="41"/>
      <c r="C2" s="41"/>
      <c r="D2" s="41"/>
      <c r="E2" s="41"/>
      <c r="F2" s="41"/>
      <c r="G2" s="41"/>
      <c r="H2" s="41"/>
      <c r="I2" s="41"/>
      <c r="J2" s="41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31"/>
      <c r="R2" s="31"/>
      <c r="S2" s="31"/>
      <c r="T2" s="31"/>
      <c r="U2" s="31"/>
      <c r="V2" s="31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34"/>
      <c r="B43" s="34"/>
      <c r="C43" s="34"/>
      <c r="E43" s="5"/>
      <c r="I43" s="5"/>
      <c r="J43" s="5"/>
    </row>
    <row r="44" spans="1:22" ht="15.6" x14ac:dyDescent="0.35">
      <c r="A44" s="29"/>
      <c r="B44" s="29"/>
      <c r="C44" s="29"/>
      <c r="D44" s="6" t="s">
        <v>26</v>
      </c>
      <c r="E44" s="6" t="s">
        <v>27</v>
      </c>
      <c r="F44" s="6" t="s">
        <v>28</v>
      </c>
      <c r="G44" s="38" t="s">
        <v>29</v>
      </c>
      <c r="H44" s="39"/>
      <c r="I44" s="39"/>
      <c r="J44" s="40"/>
      <c r="L44" s="1"/>
      <c r="M44" s="31" t="s">
        <v>52</v>
      </c>
      <c r="N44" s="31"/>
      <c r="O44" s="31"/>
    </row>
    <row r="45" spans="1:22" ht="14.4" customHeight="1" x14ac:dyDescent="0.35">
      <c r="A45" s="33" t="s">
        <v>4</v>
      </c>
      <c r="B45" s="33"/>
      <c r="C45" s="33"/>
      <c r="D45" s="32">
        <f>SUMPRODUCT(K3:K19,H3:H19)/K40</f>
        <v>8.1810810810810803</v>
      </c>
      <c r="E45" s="32">
        <f>SUMPRODUCT(L3:L19,I3:I19)/L40</f>
        <v>7.9729729729729746</v>
      </c>
      <c r="F45" s="32">
        <f>SUMPRODUCT(M3:M22,J3:J22)/M40</f>
        <v>8.0513513513513519</v>
      </c>
      <c r="G45" s="35" t="s">
        <v>53</v>
      </c>
      <c r="H45" s="36"/>
      <c r="I45" s="36"/>
      <c r="J45" s="37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33"/>
      <c r="B46" s="33"/>
      <c r="C46" s="33"/>
      <c r="D46" s="32"/>
      <c r="E46" s="32"/>
      <c r="F46" s="32"/>
      <c r="G46" s="35"/>
      <c r="H46" s="36"/>
      <c r="I46" s="36"/>
      <c r="J46" s="37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33" t="s">
        <v>5</v>
      </c>
      <c r="B47" s="33"/>
      <c r="C47" s="33"/>
      <c r="D47" s="32">
        <f>SUMPRODUCT(H3:H19-D45, H3:H19-D45, K3:K19)/K40</f>
        <v>0.43937180423666905</v>
      </c>
      <c r="E47" s="32">
        <f>SUMPRODUCT(I3:I19-E45, I3:I19-E45, L3:L19)/L40</f>
        <v>0.30575602629656695</v>
      </c>
      <c r="F47" s="32">
        <f>SUMPRODUCT(J3:J22-F45, J3:J22-F45, M3:M22)/M40</f>
        <v>0.2770927684441199</v>
      </c>
      <c r="G47" s="35" t="s">
        <v>58</v>
      </c>
      <c r="H47" s="36"/>
      <c r="I47" s="36"/>
      <c r="J47" s="37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33"/>
      <c r="B48" s="33"/>
      <c r="C48" s="33"/>
      <c r="D48" s="32"/>
      <c r="E48" s="32"/>
      <c r="F48" s="32"/>
      <c r="G48" s="35"/>
      <c r="H48" s="36"/>
      <c r="I48" s="36"/>
      <c r="J48" s="37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33" t="s">
        <v>6</v>
      </c>
      <c r="B49" s="33"/>
      <c r="C49" s="33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35"/>
      <c r="H49" s="36"/>
      <c r="I49" s="36"/>
      <c r="J49" s="37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33" t="s">
        <v>7</v>
      </c>
      <c r="B50" s="33"/>
      <c r="C50" s="33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35"/>
      <c r="H50" s="36"/>
      <c r="I50" s="36"/>
      <c r="J50" s="37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33" t="s">
        <v>8</v>
      </c>
      <c r="B51" s="33"/>
      <c r="C51" s="33"/>
      <c r="D51" s="32">
        <f>D50/D45</f>
        <v>8.1022454366902683E-2</v>
      </c>
      <c r="E51" s="32">
        <f>E50/E45</f>
        <v>6.935331439631072E-2</v>
      </c>
      <c r="F51" s="32">
        <f>F50/F45</f>
        <v>6.5379834474062676E-2</v>
      </c>
      <c r="G51" s="35" t="s">
        <v>54</v>
      </c>
      <c r="H51" s="36"/>
      <c r="I51" s="36"/>
      <c r="J51" s="37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33"/>
      <c r="B52" s="33"/>
      <c r="C52" s="33"/>
      <c r="D52" s="32"/>
      <c r="E52" s="32"/>
      <c r="F52" s="32"/>
      <c r="G52" s="35"/>
      <c r="H52" s="36"/>
      <c r="I52" s="36"/>
      <c r="J52" s="37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33"/>
      <c r="B53" s="33"/>
      <c r="C53" s="33"/>
      <c r="D53" s="32"/>
      <c r="E53" s="32"/>
      <c r="F53" s="32"/>
      <c r="G53" s="35"/>
      <c r="H53" s="36"/>
      <c r="I53" s="36"/>
      <c r="J53" s="37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33" t="s">
        <v>9</v>
      </c>
      <c r="B54" s="33"/>
      <c r="C54" s="33"/>
      <c r="D54" s="32">
        <f>Q40/(K40*D50^3)</f>
        <v>-1.2619066541331863</v>
      </c>
      <c r="E54" s="32">
        <f>R40/(L40*E50^3)</f>
        <v>-0.3056496884394217</v>
      </c>
      <c r="F54" s="32">
        <f>S40/(M40*F50^3)</f>
        <v>0.14240945598119886</v>
      </c>
      <c r="G54" s="35" t="s">
        <v>55</v>
      </c>
      <c r="H54" s="36"/>
      <c r="I54" s="36"/>
      <c r="J54" s="37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33"/>
      <c r="B55" s="33"/>
      <c r="C55" s="33"/>
      <c r="D55" s="32"/>
      <c r="E55" s="32"/>
      <c r="F55" s="32"/>
      <c r="G55" s="35"/>
      <c r="H55" s="36"/>
      <c r="I55" s="36"/>
      <c r="J55" s="37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33"/>
      <c r="B56" s="33"/>
      <c r="C56" s="33"/>
      <c r="D56" s="32"/>
      <c r="E56" s="32"/>
      <c r="F56" s="32"/>
      <c r="G56" s="35"/>
      <c r="H56" s="36"/>
      <c r="I56" s="36"/>
      <c r="J56" s="37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33"/>
      <c r="B57" s="33"/>
      <c r="C57" s="33"/>
      <c r="D57" s="32"/>
      <c r="E57" s="32"/>
      <c r="F57" s="32"/>
      <c r="G57" s="35"/>
      <c r="H57" s="36"/>
      <c r="I57" s="36"/>
      <c r="J57" s="37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33" t="s">
        <v>10</v>
      </c>
      <c r="B58" s="33"/>
      <c r="C58" s="33"/>
      <c r="D58" s="32">
        <f>T40/(K40*D47^2)-3</f>
        <v>1.4708680584490494</v>
      </c>
      <c r="E58" s="32">
        <f>U40/(L40*E47^2)-3</f>
        <v>0.80811175067843388</v>
      </c>
      <c r="F58" s="32">
        <f>V40/(M40*F47^2)-3</f>
        <v>-0.77126245071575994</v>
      </c>
      <c r="G58" s="35" t="s">
        <v>59</v>
      </c>
      <c r="H58" s="36"/>
      <c r="I58" s="36"/>
      <c r="J58" s="37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33"/>
      <c r="B59" s="33"/>
      <c r="C59" s="33"/>
      <c r="D59" s="32"/>
      <c r="E59" s="32"/>
      <c r="F59" s="32"/>
      <c r="G59" s="35"/>
      <c r="H59" s="36"/>
      <c r="I59" s="36"/>
      <c r="J59" s="37"/>
    </row>
    <row r="60" spans="1:17" ht="14.4" customHeight="1" x14ac:dyDescent="0.3">
      <c r="A60" s="33"/>
      <c r="B60" s="33"/>
      <c r="C60" s="33"/>
      <c r="D60" s="32"/>
      <c r="E60" s="32"/>
      <c r="F60" s="32"/>
      <c r="G60" s="35"/>
      <c r="H60" s="36"/>
      <c r="I60" s="36"/>
      <c r="J60" s="37"/>
      <c r="L60" s="18" t="s">
        <v>57</v>
      </c>
      <c r="M60" s="19"/>
      <c r="N60" s="19"/>
      <c r="O60" s="20"/>
      <c r="P60" s="12"/>
      <c r="Q60" s="12"/>
    </row>
    <row r="61" spans="1:17" x14ac:dyDescent="0.3">
      <c r="A61" s="33"/>
      <c r="B61" s="33"/>
      <c r="C61" s="33"/>
      <c r="D61" s="32"/>
      <c r="E61" s="32"/>
      <c r="F61" s="32"/>
      <c r="G61" s="35"/>
      <c r="H61" s="36"/>
      <c r="I61" s="36"/>
      <c r="J61" s="37"/>
      <c r="L61" s="21"/>
      <c r="M61" s="22"/>
      <c r="N61" s="22"/>
      <c r="O61" s="23"/>
      <c r="P61" s="12"/>
      <c r="Q61" s="12"/>
    </row>
    <row r="62" spans="1:17" x14ac:dyDescent="0.3">
      <c r="A62" s="33"/>
      <c r="B62" s="33"/>
      <c r="C62" s="33"/>
      <c r="D62" s="32"/>
      <c r="E62" s="32"/>
      <c r="F62" s="32"/>
      <c r="G62" s="35"/>
      <c r="H62" s="36"/>
      <c r="I62" s="36"/>
      <c r="J62" s="37"/>
      <c r="L62" s="21"/>
      <c r="M62" s="22"/>
      <c r="N62" s="22"/>
      <c r="O62" s="23"/>
      <c r="P62" s="12"/>
      <c r="Q62" s="12"/>
    </row>
    <row r="63" spans="1:17" x14ac:dyDescent="0.3">
      <c r="A63" s="33"/>
      <c r="B63" s="33"/>
      <c r="C63" s="33"/>
      <c r="D63" s="32"/>
      <c r="E63" s="32"/>
      <c r="F63" s="32"/>
      <c r="G63" s="35"/>
      <c r="H63" s="36"/>
      <c r="I63" s="36"/>
      <c r="J63" s="37"/>
      <c r="L63" s="21"/>
      <c r="M63" s="22"/>
      <c r="N63" s="22"/>
      <c r="O63" s="23"/>
      <c r="P63" s="12"/>
      <c r="Q63" s="12"/>
    </row>
    <row r="64" spans="1:17" x14ac:dyDescent="0.3">
      <c r="A64" s="33"/>
      <c r="B64" s="33"/>
      <c r="C64" s="33"/>
      <c r="D64" s="32"/>
      <c r="E64" s="32"/>
      <c r="F64" s="32"/>
      <c r="G64" s="35"/>
      <c r="H64" s="36"/>
      <c r="I64" s="36"/>
      <c r="J64" s="37"/>
      <c r="L64" s="21"/>
      <c r="M64" s="22"/>
      <c r="N64" s="22"/>
      <c r="O64" s="23"/>
      <c r="P64" s="12"/>
      <c r="Q64" s="12"/>
    </row>
    <row r="65" spans="1:17" x14ac:dyDescent="0.3">
      <c r="A65" s="33" t="s">
        <v>36</v>
      </c>
      <c r="B65" s="33"/>
      <c r="C65" s="33"/>
      <c r="D65" s="32">
        <f>H12</f>
        <v>8.3000000000000007</v>
      </c>
      <c r="E65" s="32">
        <f>I11</f>
        <v>7.9</v>
      </c>
      <c r="F65" s="32" t="str">
        <f>J11&amp;", "&amp;J13&amp;", "&amp;J17</f>
        <v>7.9, 8.1, 8.5</v>
      </c>
      <c r="G65" s="35" t="s">
        <v>56</v>
      </c>
      <c r="H65" s="36"/>
      <c r="I65" s="36"/>
      <c r="J65" s="37"/>
      <c r="L65" s="21"/>
      <c r="M65" s="22"/>
      <c r="N65" s="22"/>
      <c r="O65" s="23"/>
      <c r="P65" s="12"/>
      <c r="Q65" s="12"/>
    </row>
    <row r="66" spans="1:17" x14ac:dyDescent="0.3">
      <c r="A66" s="33"/>
      <c r="B66" s="33"/>
      <c r="C66" s="33"/>
      <c r="D66" s="32"/>
      <c r="E66" s="32"/>
      <c r="F66" s="32"/>
      <c r="G66" s="35"/>
      <c r="H66" s="36"/>
      <c r="I66" s="36"/>
      <c r="J66" s="37"/>
      <c r="L66" s="24"/>
      <c r="M66" s="25"/>
      <c r="N66" s="25"/>
      <c r="O66" s="26"/>
    </row>
    <row r="67" spans="1:17" x14ac:dyDescent="0.3">
      <c r="A67" s="33"/>
      <c r="B67" s="33"/>
      <c r="C67" s="33"/>
      <c r="D67" s="32"/>
      <c r="E67" s="32"/>
      <c r="F67" s="32"/>
      <c r="G67" s="35"/>
      <c r="H67" s="36"/>
      <c r="I67" s="36"/>
      <c r="J67" s="37"/>
      <c r="L67" s="12"/>
      <c r="M67" s="12"/>
      <c r="N67" s="12"/>
      <c r="O67" s="12"/>
    </row>
    <row r="68" spans="1:17" x14ac:dyDescent="0.3">
      <c r="A68" s="33"/>
      <c r="B68" s="33"/>
      <c r="C68" s="33"/>
      <c r="D68" s="32"/>
      <c r="E68" s="32"/>
      <c r="F68" s="32"/>
      <c r="G68" s="35"/>
      <c r="H68" s="36"/>
      <c r="I68" s="36"/>
      <c r="J68" s="37"/>
      <c r="M68" s="7"/>
      <c r="N68" s="7"/>
    </row>
    <row r="69" spans="1:17" x14ac:dyDescent="0.3">
      <c r="A69" s="33"/>
      <c r="B69" s="33"/>
      <c r="C69" s="33"/>
      <c r="D69" s="32"/>
      <c r="E69" s="32"/>
      <c r="F69" s="32"/>
      <c r="G69" s="35"/>
      <c r="H69" s="36"/>
      <c r="I69" s="36"/>
      <c r="J69" s="37"/>
      <c r="M69" s="7"/>
      <c r="N69" s="7"/>
    </row>
    <row r="70" spans="1:17" x14ac:dyDescent="0.3">
      <c r="A70" s="33"/>
      <c r="B70" s="33"/>
      <c r="C70" s="33"/>
      <c r="D70" s="32"/>
      <c r="E70" s="32"/>
      <c r="F70" s="32"/>
      <c r="G70" s="35"/>
      <c r="H70" s="36"/>
      <c r="I70" s="36"/>
      <c r="J70" s="37"/>
    </row>
    <row r="71" spans="1:17" x14ac:dyDescent="0.3">
      <c r="A71" s="33" t="s">
        <v>37</v>
      </c>
      <c r="B71" s="33"/>
      <c r="C71" s="33"/>
      <c r="D71" s="10">
        <f>E21</f>
        <v>8.3000000000000007</v>
      </c>
      <c r="E71" s="10">
        <f>F21</f>
        <v>7.9</v>
      </c>
      <c r="F71" s="10">
        <f>G21</f>
        <v>8</v>
      </c>
      <c r="G71" s="35" t="s">
        <v>60</v>
      </c>
      <c r="H71" s="36"/>
      <c r="I71" s="36"/>
      <c r="J71" s="37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1000000}"/>
  <sortState xmlns:xlrd2="http://schemas.microsoft.com/office/spreadsheetml/2017/richdata2" ref="G3:G39">
    <sortCondition ref="G3"/>
  </sortState>
  <mergeCells count="57">
    <mergeCell ref="A71:C71"/>
    <mergeCell ref="D65:D70"/>
    <mergeCell ref="E65:E70"/>
    <mergeCell ref="D51:D53"/>
    <mergeCell ref="E51:E53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F47:F48"/>
    <mergeCell ref="A45:C46"/>
    <mergeCell ref="D45:D46"/>
    <mergeCell ref="E45:E46"/>
    <mergeCell ref="F45:F46"/>
    <mergeCell ref="U1:U2"/>
    <mergeCell ref="V1:V2"/>
    <mergeCell ref="Q1:Q2"/>
    <mergeCell ref="R1:R2"/>
    <mergeCell ref="S1:S2"/>
    <mergeCell ref="T1:T2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lab4</vt:lpstr>
      <vt:lpstr>lab2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2023-03-10T21:39:04Z</dcterms:modified>
</cp:coreProperties>
</file>