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07d93d172baba/Professional Career/Research/CAPM-SHARPE-CAL y EFF/"/>
    </mc:Choice>
  </mc:AlternateContent>
  <xr:revisionPtr revIDLastSave="73174" documentId="8_{97122BFD-4145-4723-8E0C-E6F55FFC92E7}" xr6:coauthVersionLast="47" xr6:coauthVersionMax="47" xr10:uidLastSave="{E4876528-C685-4358-9AB2-3F38776096AA}"/>
  <bookViews>
    <workbookView xWindow="-110" yWindow="-110" windowWidth="19420" windowHeight="10300" xr2:uid="{2AC2462E-B6E8-4EBB-B23D-7A37E1569B7B}"/>
  </bookViews>
  <sheets>
    <sheet name="DRIVERS OIL&amp;GAS" sheetId="2" r:id="rId1"/>
    <sheet name="COV" sheetId="6" r:id="rId2"/>
    <sheet name="CORR" sheetId="7" r:id="rId3"/>
  </sheets>
  <definedNames>
    <definedName name="_xlnm._FilterDatabase" localSheetId="0" hidden="1">'DRIVERS OIL&amp;GAS'!$AS$5:$AW$5</definedName>
    <definedName name="_xlcn.WorksheetConnection_DriversOILGAS.xlsxTable51" hidden="1">Table5</definedName>
    <definedName name="solver_adj" localSheetId="0" hidden="1">'DRIVERS OIL&amp;GAS'!$Z$6:$AI$6,'DRIVERS OIL&amp;GAS'!$AB$32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0" localSheetId="0" hidden="1">'DRIVERS OIL&amp;GAS'!$Z$6</definedName>
    <definedName name="solver_lhs1" localSheetId="0" hidden="1">'DRIVERS OIL&amp;GAS'!$AJ$6</definedName>
    <definedName name="solver_lhs10" localSheetId="0" hidden="1">'DRIVERS OIL&amp;GAS'!$Z$6:$AI$6</definedName>
    <definedName name="solver_lhs11" localSheetId="0" hidden="1">'DRIVERS OIL&amp;GAS'!$Z$6:$AI$6</definedName>
    <definedName name="solver_lhs12" localSheetId="0" hidden="1">'DRIVERS OIL&amp;GAS'!$Z$6:$AI$6</definedName>
    <definedName name="solver_lhs13" localSheetId="0" hidden="1">'DRIVERS OIL&amp;GAS'!$Z$6</definedName>
    <definedName name="solver_lhs2" localSheetId="0" hidden="1">'DRIVERS OIL&amp;GAS'!$AM$6</definedName>
    <definedName name="solver_lhs3" localSheetId="0" hidden="1">'DRIVERS OIL&amp;GAS'!$AB$33</definedName>
    <definedName name="solver_lhs4" localSheetId="0" hidden="1">'DRIVERS OIL&amp;GAS'!$Z$6:$AI$6</definedName>
    <definedName name="solver_lhs5" localSheetId="0" hidden="1">'DRIVERS OIL&amp;GAS'!$Z$6:$AI$6</definedName>
    <definedName name="solver_lhs6" localSheetId="0" hidden="1">'DRIVERS OIL&amp;GAS'!$Z$6:$AI$6</definedName>
    <definedName name="solver_lhs7" localSheetId="0" hidden="1">'DRIVERS OIL&amp;GAS'!$Z$6:$AI$6</definedName>
    <definedName name="solver_lhs8" localSheetId="0" hidden="1">'DRIVERS OIL&amp;GAS'!$Z$6:$AI$6</definedName>
    <definedName name="solver_lhs9" localSheetId="0" hidden="1">'DRIVERS OIL&amp;GAS'!$Z$6:$AI$6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'DRIVERS OIL&amp;GAS'!$AB$32</definedName>
    <definedName name="solver_pre" localSheetId="0" hidden="1">0.000001</definedName>
    <definedName name="solver_rbv" localSheetId="0" hidden="1">2</definedName>
    <definedName name="solver_rel0" localSheetId="0" hidden="1">3</definedName>
    <definedName name="solver_rel1" localSheetId="0" hidden="1">2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0" localSheetId="0" hidden="1">-0.02</definedName>
    <definedName name="solver_rhs1" localSheetId="0" hidden="1">1</definedName>
    <definedName name="solver_rhs10" localSheetId="0" hidden="1">0.05</definedName>
    <definedName name="solver_rhs11" localSheetId="0" hidden="1">0.05</definedName>
    <definedName name="solver_rhs12" localSheetId="0" hidden="1">0.05</definedName>
    <definedName name="solver_rhs13" localSheetId="0" hidden="1">0</definedName>
    <definedName name="solver_rhs2" localSheetId="0" hidden="1">5.68%</definedName>
    <definedName name="solver_rhs3" localSheetId="0" hidden="1">'DRIVERS OIL&amp;GAS'!$AB$34</definedName>
    <definedName name="solver_rhs4" localSheetId="0" hidden="1">'DRIVERS OIL&amp;GAS'!$AB$39</definedName>
    <definedName name="solver_rhs5" localSheetId="0" hidden="1">'DRIVERS OIL&amp;GAS'!$AB$38</definedName>
    <definedName name="solver_rhs6" localSheetId="0" hidden="1">0.05</definedName>
    <definedName name="solver_rhs7" localSheetId="0" hidden="1">0.05</definedName>
    <definedName name="solver_rhs8" localSheetId="0" hidden="1">0.05</definedName>
    <definedName name="solver_rhs9" localSheetId="0" hidden="1">0.05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5" name="Table5" connection="WorksheetConnection_Drivers OILGAS.xlsx!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6" i="2" l="1"/>
  <c r="AW6" i="2"/>
  <c r="AL6" i="2" l="1" a="1"/>
  <c r="AL6" i="2" s="1"/>
  <c r="AK6" i="2"/>
  <c r="AJ6" i="2"/>
  <c r="AV6" i="2"/>
  <c r="C34" i="2" l="1"/>
  <c r="C33" i="2" a="1"/>
  <c r="C33" i="2" s="1"/>
  <c r="C32" i="2"/>
  <c r="I45" i="2" a="1"/>
  <c r="I45" i="2" s="1"/>
  <c r="C37" i="2"/>
  <c r="C36" i="2"/>
  <c r="AK19" i="2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36" i="2" s="1"/>
  <c r="AK18" i="2"/>
  <c r="AW7" i="2"/>
  <c r="AW8" i="2"/>
  <c r="C35" i="2" l="1"/>
  <c r="E35" i="2"/>
  <c r="I35" i="2"/>
  <c r="F35" i="2"/>
  <c r="J35" i="2"/>
  <c r="G35" i="2"/>
  <c r="K35" i="2"/>
  <c r="D35" i="2"/>
  <c r="H35" i="2"/>
  <c r="L35" i="2"/>
  <c r="BC7" i="2" l="1"/>
  <c r="BC8" i="2"/>
  <c r="BC9" i="2"/>
  <c r="BC10" i="2"/>
  <c r="BC11" i="2"/>
  <c r="BC6" i="2"/>
  <c r="BA9" i="2"/>
  <c r="BB9" i="2" s="1"/>
  <c r="BA10" i="2"/>
  <c r="BB10" i="2" s="1"/>
  <c r="BA11" i="2"/>
  <c r="BB11" i="2" s="1"/>
  <c r="BA8" i="2"/>
  <c r="BB8" i="2" s="1"/>
  <c r="BA7" i="2"/>
  <c r="BB7" i="2" s="1"/>
  <c r="BA6" i="2"/>
  <c r="C39" i="2"/>
  <c r="D48" i="2" l="1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47" i="2"/>
  <c r="AU6" i="2"/>
  <c r="AU7" i="2"/>
  <c r="AV7" i="2" s="1"/>
  <c r="AU8" i="2"/>
  <c r="AV8" i="2" s="1"/>
  <c r="U7" i="2" l="1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U6" i="2"/>
  <c r="V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6" i="2"/>
  <c r="N6" i="2"/>
  <c r="C3" i="6" l="1"/>
  <c r="D34" i="2"/>
  <c r="D32" i="2"/>
  <c r="D4" i="6"/>
  <c r="E34" i="2"/>
  <c r="E32" i="2"/>
  <c r="F34" i="2"/>
  <c r="E5" i="6"/>
  <c r="F32" i="2"/>
  <c r="G34" i="2"/>
  <c r="F6" i="6"/>
  <c r="G32" i="2"/>
  <c r="G7" i="6"/>
  <c r="H34" i="2"/>
  <c r="H32" i="2"/>
  <c r="H8" i="6"/>
  <c r="I34" i="2"/>
  <c r="I32" i="2"/>
  <c r="J34" i="2"/>
  <c r="I9" i="6"/>
  <c r="J32" i="2"/>
  <c r="K11" i="6"/>
  <c r="L34" i="2"/>
  <c r="L32" i="2"/>
  <c r="B2" i="6"/>
  <c r="K34" i="2"/>
  <c r="J10" i="6"/>
  <c r="K32" i="2"/>
  <c r="K37" i="2"/>
  <c r="K36" i="2"/>
  <c r="D33" i="2" a="1"/>
  <c r="D33" i="2" s="1"/>
  <c r="D36" i="2"/>
  <c r="D37" i="2"/>
  <c r="E33" i="2" a="1"/>
  <c r="E33" i="2" s="1"/>
  <c r="E36" i="2"/>
  <c r="E37" i="2"/>
  <c r="F33" i="2" a="1"/>
  <c r="F33" i="2" s="1"/>
  <c r="F37" i="2"/>
  <c r="F36" i="2"/>
  <c r="G33" i="2" a="1"/>
  <c r="G33" i="2" s="1"/>
  <c r="G37" i="2"/>
  <c r="G36" i="2"/>
  <c r="H33" i="2" a="1"/>
  <c r="H33" i="2" s="1"/>
  <c r="H36" i="2"/>
  <c r="H37" i="2"/>
  <c r="I33" i="2" a="1"/>
  <c r="I33" i="2" s="1"/>
  <c r="I36" i="2"/>
  <c r="I37" i="2"/>
  <c r="J33" i="2" a="1"/>
  <c r="J33" i="2" s="1"/>
  <c r="J37" i="2"/>
  <c r="J36" i="2"/>
  <c r="L33" i="2" a="1"/>
  <c r="L33" i="2" s="1"/>
  <c r="L36" i="2"/>
  <c r="L37" i="2"/>
  <c r="K33" i="2" a="1"/>
  <c r="K33" i="2" s="1"/>
  <c r="AM6" i="2" l="1"/>
  <c r="C38" i="2"/>
  <c r="AN6" i="2" l="1"/>
  <c r="AQ6" i="2"/>
  <c r="AO6" i="2"/>
  <c r="AB34" i="2"/>
  <c r="AB33" i="2"/>
  <c r="AL17" i="2" l="1"/>
  <c r="AL18" i="2" l="1"/>
  <c r="AM18" i="2" s="1"/>
  <c r="AL19" i="2" l="1"/>
  <c r="AM19" i="2" s="1"/>
  <c r="AL20" i="2" l="1"/>
  <c r="AL21" i="2" l="1"/>
  <c r="AL22" i="2" l="1"/>
  <c r="AM22" i="2" s="1"/>
  <c r="AL23" i="2" l="1"/>
  <c r="AM23" i="2" s="1"/>
  <c r="AL24" i="2" l="1"/>
  <c r="AL25" i="2" l="1"/>
  <c r="AM25" i="2" s="1"/>
  <c r="AL26" i="2" l="1"/>
  <c r="AM26" i="2" s="1"/>
  <c r="AL27" i="2" l="1"/>
  <c r="AM27" i="2" s="1"/>
  <c r="AL28" i="2" l="1"/>
  <c r="AM28" i="2" s="1"/>
  <c r="AL29" i="2" l="1"/>
  <c r="AM29" i="2" s="1"/>
  <c r="AL30" i="2" l="1"/>
  <c r="AM30" i="2" s="1"/>
  <c r="AL31" i="2" l="1"/>
  <c r="AM31" i="2" s="1"/>
  <c r="AL32" i="2" l="1"/>
  <c r="AM32" i="2" s="1"/>
  <c r="AL33" i="2" l="1"/>
  <c r="AM33" i="2" s="1"/>
  <c r="AL34" i="2" l="1"/>
  <c r="AM34" i="2" s="1"/>
  <c r="AL36" i="2" l="1"/>
  <c r="AL35" i="2"/>
  <c r="AM35" i="2" s="1"/>
  <c r="AM3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81014-6789-4025-9662-16FCF8F43FC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605FB9B-FBFF-48EF-A23E-135A1D45A250}" name="WorksheetConnection_Drivers OILGAS.xlsx!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DriversOILGAS.xlsxTable5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<sst xmlns="http://schemas.openxmlformats.org/spreadsheetml/2006/main" count="168" uniqueCount="111">
  <si>
    <t>Date</t>
  </si>
  <si>
    <t>Stock Price (XOM)</t>
  </si>
  <si>
    <t>Stock Price (CVX)</t>
  </si>
  <si>
    <t>Stock Price (SHEL)</t>
  </si>
  <si>
    <t>Stock Price (TTE)</t>
  </si>
  <si>
    <t>Stock Price (COP)</t>
  </si>
  <si>
    <t>Stock Price (BP)</t>
  </si>
  <si>
    <t>Stock Price (EQNR)</t>
  </si>
  <si>
    <t>Stock Price (ENB)</t>
  </si>
  <si>
    <t>Stock Price (PBR.A)</t>
  </si>
  <si>
    <t>Stock Price (PBR)</t>
  </si>
  <si>
    <t>Holding Period Return (XOM)</t>
  </si>
  <si>
    <t>Holding Period Return (CVX)</t>
  </si>
  <si>
    <t>Holding Period Return (SHEL)</t>
  </si>
  <si>
    <t>Holding Period Return (TTE)</t>
  </si>
  <si>
    <t>Holding Period Return (COP)</t>
  </si>
  <si>
    <t>Holding Period Return (BP)</t>
  </si>
  <si>
    <t>Holding Period Return (EQNR)</t>
  </si>
  <si>
    <t>Holding Period Return (ENB)</t>
  </si>
  <si>
    <t>Holding Period Return (PBR.A)</t>
  </si>
  <si>
    <t>Holding Period Return (PBR)</t>
  </si>
  <si>
    <t>Efficient Frontier Portfolios</t>
  </si>
  <si>
    <t>XOM</t>
  </si>
  <si>
    <t>CVX</t>
  </si>
  <si>
    <t>SHEL</t>
  </si>
  <si>
    <t>TTE</t>
  </si>
  <si>
    <t>COP</t>
  </si>
  <si>
    <t>BP</t>
  </si>
  <si>
    <t>EQNR</t>
  </si>
  <si>
    <t>ENB</t>
  </si>
  <si>
    <t>PBR.A</t>
  </si>
  <si>
    <t>PBR</t>
  </si>
  <si>
    <t>Variance</t>
  </si>
  <si>
    <t xml:space="preserve">Standard Deviation </t>
  </si>
  <si>
    <t xml:space="preserve">Optimal Risky Portfolio </t>
  </si>
  <si>
    <t>Risk-free Asset</t>
  </si>
  <si>
    <t>Portfolio Return</t>
  </si>
  <si>
    <t>Standard Deviation</t>
  </si>
  <si>
    <t>Portfolio 1</t>
  </si>
  <si>
    <t>Portfolio 2</t>
  </si>
  <si>
    <t>Portfolio 3</t>
  </si>
  <si>
    <t>Portfolio 4</t>
  </si>
  <si>
    <t>Portfolio 5</t>
  </si>
  <si>
    <t>Portfolio 6</t>
  </si>
  <si>
    <t>Portfolio 7</t>
  </si>
  <si>
    <t>Assumptions</t>
  </si>
  <si>
    <t>Benchmark</t>
  </si>
  <si>
    <t>Results</t>
  </si>
  <si>
    <t>Annualized Mean Return</t>
  </si>
  <si>
    <t>Annualized Variance</t>
  </si>
  <si>
    <t xml:space="preserve">Annualized Standard Deviation </t>
  </si>
  <si>
    <t xml:space="preserve">  </t>
  </si>
  <si>
    <t>Portfolios</t>
  </si>
  <si>
    <t>%</t>
  </si>
  <si>
    <t>Sharpe Ratio</t>
  </si>
  <si>
    <t>Portfolio</t>
  </si>
  <si>
    <t>Why (- is shorting)</t>
  </si>
  <si>
    <t>Theta</t>
  </si>
  <si>
    <t>Utility</t>
  </si>
  <si>
    <t>Weight diversifying</t>
  </si>
  <si>
    <t>Beta</t>
  </si>
  <si>
    <t>E(Return)</t>
  </si>
  <si>
    <t>Return/Risk</t>
  </si>
  <si>
    <t>2/3.5/5</t>
  </si>
  <si>
    <t>S&amp;P500</t>
  </si>
  <si>
    <t>HPR (S&amp;P500)</t>
  </si>
  <si>
    <t>Weekly</t>
  </si>
  <si>
    <t>Average Mean Return</t>
  </si>
  <si>
    <t>10YR T-BILL</t>
  </si>
  <si>
    <t>(keeping in mind ETF 7.49%)</t>
  </si>
  <si>
    <t>Diversifying using E(Return)</t>
  </si>
  <si>
    <t xml:space="preserve">Total Covariance </t>
  </si>
  <si>
    <t>Total Correlation</t>
  </si>
  <si>
    <t>3.5 Theta, moderate risk-aversion</t>
  </si>
  <si>
    <t>Max E(Return) allowing shorting, keeping P1 std or lower</t>
  </si>
  <si>
    <t>Max E(Return), no shorting, keeping P1 std or lower</t>
  </si>
  <si>
    <t>Min std allowing shorting, keeping P1 E(Return) or higher</t>
  </si>
  <si>
    <t>Min std, no shorting, keeping P1 E(Return) or higher</t>
  </si>
  <si>
    <t xml:space="preserve">Max E(Return), no shorting </t>
  </si>
  <si>
    <t>(E)Return</t>
  </si>
  <si>
    <t>Slope</t>
  </si>
  <si>
    <t>Tangency Return (CML)</t>
  </si>
  <si>
    <t>Max allocation</t>
  </si>
  <si>
    <t>Min allocation</t>
  </si>
  <si>
    <t>Capital Allocation Portfolios (CAL)</t>
  </si>
  <si>
    <t xml:space="preserve">Market Portfolio </t>
  </si>
  <si>
    <t>Annualized Historical YoY Return</t>
  </si>
  <si>
    <t>Annualized Historical YoY std</t>
  </si>
  <si>
    <t xml:space="preserve"> </t>
  </si>
  <si>
    <t>Capital Market Portfolios (CML)</t>
  </si>
  <si>
    <t>Tangency Return = Rf + Slope*std (diversified portfolio)</t>
  </si>
  <si>
    <t>Portfolio 8</t>
  </si>
  <si>
    <t>More ways of using Solver and portfolio optimization:</t>
  </si>
  <si>
    <t>Using below's method. Allowing shorting and 0/100 min/max allocations. Also playing with the slope and CML</t>
  </si>
  <si>
    <t>Max utility allowing shorting, but limiting std to highest 5.68% in P2 -&gt; MAX UTILITY (utility loses importance the more risk-tolerant you are)</t>
  </si>
  <si>
    <t>Tangency Return</t>
  </si>
  <si>
    <t>These two close</t>
  </si>
  <si>
    <t>must &gt; upper one</t>
  </si>
  <si>
    <t>std</t>
  </si>
  <si>
    <t>Indifference Curve</t>
  </si>
  <si>
    <t>U=(E)R-(0.5)*A*std^2</t>
  </si>
  <si>
    <t>U=(E)R-2*std^2</t>
  </si>
  <si>
    <t>(E)R=0.025+2*std^2</t>
  </si>
  <si>
    <t>A=</t>
  </si>
  <si>
    <t>U=UO=</t>
  </si>
  <si>
    <t>(E)R=0.025+(0.5)*A*std^2</t>
  </si>
  <si>
    <t>MRS</t>
  </si>
  <si>
    <t>ETF</t>
  </si>
  <si>
    <t>Annualized Mean Return till June 18th, 2023</t>
  </si>
  <si>
    <t>CAPM</t>
  </si>
  <si>
    <t>Less than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</si>
</sst>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0.0000"/>
    <numFmt numFmtId="165" formatCode="0.000"/>
    <numFmt numFmtId="166" formatCode="#,##0.0000"/>
    <numFmt numFmtId="167" formatCode="0.000000"/>
    <numFmt numFmtId="168" formatCode="&quot;$&quot;#,##0.00"/>
    <numFmt numFmtId="169" formatCode="0.00_);[Red]\(0.00\)"/>
    <numFmt numFmtId="170" formatCode="0.00000000"/>
    <numFmt numFmtId="171" formatCode="0.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i/>
      <sz val="11"/>
      <color theme="1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7"/>
      <color rgb="FF232A31"/>
      <name val="Arial"/>
      <family val="2"/>
    </font>
    <font>
      <sz val="9"/>
      <name val="Arial"/>
      <family val="2"/>
    </font>
    <font>
      <u/>
      <sz val="8"/>
      <color rgb="FF000000"/>
      <name val="Arial"/>
      <family val="2"/>
    </font>
    <font>
      <i/>
      <sz val="10"/>
      <color theme="1"/>
      <name val="Arial"/>
      <family val="2"/>
    </font>
    <font>
      <b/>
      <u/>
      <sz val="9"/>
      <color theme="1"/>
      <name val="Arial"/>
      <family val="2"/>
    </font>
    <font>
      <u/>
      <sz val="8"/>
      <color theme="1"/>
      <name val="Arial"/>
      <family val="2"/>
    </font>
    <font>
      <u/>
      <sz val="9"/>
      <color theme="1"/>
      <name val="Arial"/>
      <family val="2"/>
    </font>
    <font>
      <i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0073B0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41">
    <xf numFmtId="0" fontId="0" fillId="0" borderId="0" xfId="0"/>
    <xf numFmtId="10" fontId="2" fillId="2" borderId="0" xfId="2" applyNumberFormat="1" applyFont="1" applyFill="1" applyAlignment="1">
      <alignment horizontal="center" vertical="center"/>
    </xf>
    <xf numFmtId="0" fontId="0" fillId="2" borderId="0" xfId="0" applyFill="1"/>
    <xf numFmtId="0" fontId="2" fillId="2" borderId="0" xfId="2" applyFont="1" applyFill="1"/>
    <xf numFmtId="0" fontId="2" fillId="2" borderId="0" xfId="2" applyFont="1" applyFill="1" applyAlignment="1">
      <alignment horizontal="center" vertical="center"/>
    </xf>
    <xf numFmtId="0" fontId="4" fillId="3" borderId="0" xfId="2" applyFont="1" applyFill="1" applyAlignment="1">
      <alignment horizontal="left" vertical="top"/>
    </xf>
    <xf numFmtId="9" fontId="3" fillId="3" borderId="0" xfId="2" applyNumberFormat="1" applyFont="1" applyFill="1" applyAlignment="1">
      <alignment horizontal="center" vertical="center"/>
    </xf>
    <xf numFmtId="0" fontId="2" fillId="2" borderId="0" xfId="0" applyFont="1" applyFill="1"/>
    <xf numFmtId="2" fontId="2" fillId="2" borderId="0" xfId="0" applyNumberFormat="1" applyFont="1" applyFill="1"/>
    <xf numFmtId="14" fontId="2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0" fontId="8" fillId="2" borderId="0" xfId="0" applyFont="1" applyFill="1"/>
    <xf numFmtId="0" fontId="6" fillId="2" borderId="0" xfId="0" applyFont="1" applyFill="1"/>
    <xf numFmtId="10" fontId="3" fillId="3" borderId="0" xfId="1" applyNumberFormat="1" applyFont="1" applyFill="1" applyAlignment="1">
      <alignment horizontal="center" vertical="center"/>
    </xf>
    <xf numFmtId="10" fontId="3" fillId="2" borderId="0" xfId="2" applyNumberFormat="1" applyFont="1" applyFill="1" applyAlignment="1">
      <alignment horizontal="center" vertical="center"/>
    </xf>
    <xf numFmtId="164" fontId="3" fillId="3" borderId="0" xfId="2" applyNumberFormat="1" applyFont="1" applyFill="1" applyAlignment="1">
      <alignment horizontal="center" vertical="center"/>
    </xf>
    <xf numFmtId="166" fontId="3" fillId="2" borderId="0" xfId="2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165" fontId="12" fillId="2" borderId="0" xfId="0" applyNumberFormat="1" applyFont="1" applyFill="1" applyAlignment="1">
      <alignment horizontal="center" vertical="center" wrapText="1"/>
    </xf>
    <xf numFmtId="0" fontId="4" fillId="3" borderId="0" xfId="2" applyFont="1" applyFill="1" applyAlignment="1">
      <alignment horizontal="center" vertical="center"/>
    </xf>
    <xf numFmtId="165" fontId="3" fillId="2" borderId="0" xfId="2" applyNumberFormat="1" applyFont="1" applyFill="1" applyAlignment="1">
      <alignment horizontal="center" vertical="center"/>
    </xf>
    <xf numFmtId="2" fontId="3" fillId="2" borderId="0" xfId="2" applyNumberFormat="1" applyFont="1" applyFill="1" applyAlignment="1">
      <alignment horizontal="center" vertical="center"/>
    </xf>
    <xf numFmtId="167" fontId="3" fillId="2" borderId="0" xfId="2" applyNumberFormat="1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right"/>
    </xf>
    <xf numFmtId="0" fontId="10" fillId="2" borderId="0" xfId="0" applyFont="1" applyFill="1"/>
    <xf numFmtId="10" fontId="2" fillId="2" borderId="0" xfId="2" applyNumberFormat="1" applyFont="1" applyFill="1" applyAlignment="1">
      <alignment horizontal="right"/>
    </xf>
    <xf numFmtId="0" fontId="5" fillId="2" borderId="0" xfId="2" applyFont="1" applyFill="1" applyAlignment="1">
      <alignment horizontal="center" vertical="center"/>
    </xf>
    <xf numFmtId="9" fontId="2" fillId="2" borderId="0" xfId="2" applyNumberFormat="1" applyFont="1" applyFill="1" applyAlignment="1">
      <alignment horizontal="center" vertical="center"/>
    </xf>
    <xf numFmtId="0" fontId="2" fillId="2" borderId="0" xfId="3" applyFont="1" applyFill="1" applyAlignment="1">
      <alignment horizontal="center" vertical="center" wrapText="1"/>
    </xf>
    <xf numFmtId="9" fontId="2" fillId="2" borderId="7" xfId="2" applyNumberFormat="1" applyFont="1" applyFill="1" applyBorder="1" applyAlignment="1">
      <alignment horizontal="center" vertical="center"/>
    </xf>
    <xf numFmtId="10" fontId="2" fillId="2" borderId="7" xfId="2" applyNumberFormat="1" applyFont="1" applyFill="1" applyBorder="1" applyAlignment="1">
      <alignment horizontal="center" vertical="center"/>
    </xf>
    <xf numFmtId="10" fontId="2" fillId="2" borderId="8" xfId="2" applyNumberFormat="1" applyFont="1" applyFill="1" applyBorder="1" applyAlignment="1">
      <alignment horizontal="center" vertical="center"/>
    </xf>
    <xf numFmtId="39" fontId="2" fillId="2" borderId="0" xfId="4" applyNumberFormat="1" applyFont="1" applyFill="1" applyAlignment="1">
      <alignment horizontal="center" vertical="center"/>
    </xf>
    <xf numFmtId="169" fontId="3" fillId="3" borderId="0" xfId="2" applyNumberFormat="1" applyFont="1" applyFill="1" applyAlignment="1">
      <alignment horizontal="center" vertical="center"/>
    </xf>
    <xf numFmtId="9" fontId="2" fillId="2" borderId="0" xfId="1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70" fontId="2" fillId="2" borderId="0" xfId="2" applyNumberFormat="1" applyFont="1" applyFill="1" applyAlignment="1">
      <alignment horizontal="center" vertical="center"/>
    </xf>
    <xf numFmtId="9" fontId="2" fillId="2" borderId="0" xfId="1" applyFont="1" applyFill="1" applyAlignment="1">
      <alignment horizontal="center" vertical="center"/>
    </xf>
    <xf numFmtId="0" fontId="16" fillId="2" borderId="0" xfId="0" applyFont="1" applyFill="1"/>
    <xf numFmtId="10" fontId="13" fillId="2" borderId="0" xfId="2" applyNumberFormat="1" applyFont="1" applyFill="1" applyAlignment="1">
      <alignment horizontal="center" vertical="center"/>
    </xf>
    <xf numFmtId="2" fontId="2" fillId="2" borderId="0" xfId="2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1" fontId="15" fillId="2" borderId="0" xfId="2" applyNumberFormat="1" applyFont="1" applyFill="1" applyAlignment="1">
      <alignment horizontal="center" vertical="center"/>
    </xf>
    <xf numFmtId="9" fontId="2" fillId="2" borderId="0" xfId="2" applyNumberFormat="1" applyFont="1" applyFill="1" applyAlignment="1">
      <alignment horizontal="left"/>
    </xf>
    <xf numFmtId="9" fontId="16" fillId="2" borderId="0" xfId="1" applyFont="1" applyFill="1" applyAlignment="1">
      <alignment horizontal="center" vertical="center"/>
    </xf>
    <xf numFmtId="0" fontId="5" fillId="2" borderId="0" xfId="2" applyFont="1" applyFill="1" applyAlignment="1">
      <alignment horizontal="left" vertical="center"/>
    </xf>
    <xf numFmtId="0" fontId="2" fillId="2" borderId="0" xfId="2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10" fontId="5" fillId="2" borderId="0" xfId="2" applyNumberFormat="1" applyFont="1" applyFill="1" applyAlignment="1">
      <alignment horizontal="center" vertical="center"/>
    </xf>
    <xf numFmtId="0" fontId="5" fillId="2" borderId="0" xfId="2" applyFont="1" applyFill="1" applyAlignment="1">
      <alignment horizontal="left"/>
    </xf>
    <xf numFmtId="0" fontId="0" fillId="2" borderId="0" xfId="0" applyFill="1" applyAlignment="1">
      <alignment horizontal="center"/>
    </xf>
    <xf numFmtId="0" fontId="11" fillId="2" borderId="0" xfId="0" applyFont="1" applyFill="1"/>
    <xf numFmtId="9" fontId="2" fillId="2" borderId="0" xfId="1" applyFont="1" applyFill="1"/>
    <xf numFmtId="9" fontId="2" fillId="2" borderId="0" xfId="0" applyNumberFormat="1" applyFont="1" applyFill="1"/>
    <xf numFmtId="10" fontId="2" fillId="2" borderId="0" xfId="0" applyNumberFormat="1" applyFont="1" applyFill="1"/>
    <xf numFmtId="165" fontId="0" fillId="2" borderId="0" xfId="0" applyNumberFormat="1" applyFill="1"/>
    <xf numFmtId="171" fontId="2" fillId="2" borderId="0" xfId="0" applyNumberFormat="1" applyFont="1" applyFill="1"/>
    <xf numFmtId="10" fontId="2" fillId="2" borderId="0" xfId="1" applyNumberFormat="1" applyFont="1" applyFill="1"/>
    <xf numFmtId="10" fontId="0" fillId="2" borderId="0" xfId="0" applyNumberFormat="1" applyFill="1"/>
    <xf numFmtId="0" fontId="2" fillId="2" borderId="0" xfId="2" applyFont="1" applyFill="1" applyAlignment="1">
      <alignment horizontal="center" vertical="center" wrapText="1"/>
    </xf>
    <xf numFmtId="0" fontId="14" fillId="2" borderId="0" xfId="2" applyFont="1" applyFill="1" applyAlignment="1">
      <alignment horizontal="center" vertical="center"/>
    </xf>
    <xf numFmtId="0" fontId="14" fillId="2" borderId="0" xfId="2" applyFont="1" applyFill="1" applyAlignment="1">
      <alignment horizontal="center" vertical="center" wrapText="1"/>
    </xf>
    <xf numFmtId="0" fontId="2" fillId="0" borderId="2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14" fillId="0" borderId="10" xfId="2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39" fontId="2" fillId="2" borderId="0" xfId="4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14" fillId="5" borderId="0" xfId="2" applyFont="1" applyFill="1" applyAlignment="1">
      <alignment horizontal="center" vertical="center"/>
    </xf>
    <xf numFmtId="0" fontId="14" fillId="5" borderId="0" xfId="2" applyFont="1" applyFill="1" applyAlignment="1">
      <alignment horizontal="center" vertical="center" wrapText="1"/>
    </xf>
    <xf numFmtId="9" fontId="2" fillId="2" borderId="0" xfId="1" applyFont="1" applyFill="1" applyBorder="1"/>
    <xf numFmtId="10" fontId="2" fillId="2" borderId="0" xfId="1" applyNumberFormat="1" applyFont="1" applyFill="1" applyBorder="1"/>
    <xf numFmtId="2" fontId="2" fillId="2" borderId="0" xfId="1" applyNumberFormat="1" applyFont="1" applyFill="1" applyAlignment="1">
      <alignment horizontal="center" vertical="center"/>
    </xf>
    <xf numFmtId="0" fontId="14" fillId="4" borderId="2" xfId="3" applyFont="1" applyFill="1" applyBorder="1" applyAlignment="1">
      <alignment horizontal="center" vertical="center"/>
    </xf>
    <xf numFmtId="0" fontId="14" fillId="4" borderId="2" xfId="3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15" fontId="17" fillId="6" borderId="0" xfId="0" applyNumberFormat="1" applyFont="1" applyFill="1" applyAlignment="1">
      <alignment horizontal="left" vertical="center"/>
    </xf>
    <xf numFmtId="4" fontId="17" fillId="6" borderId="0" xfId="0" applyNumberFormat="1" applyFont="1" applyFill="1" applyAlignment="1">
      <alignment horizontal="right" vertical="center"/>
    </xf>
    <xf numFmtId="3" fontId="17" fillId="6" borderId="0" xfId="0" applyNumberFormat="1" applyFont="1" applyFill="1" applyAlignment="1">
      <alignment horizontal="right" vertical="center"/>
    </xf>
    <xf numFmtId="0" fontId="14" fillId="4" borderId="0" xfId="3" applyFont="1" applyFill="1" applyAlignment="1">
      <alignment horizontal="center" vertical="center" wrapText="1"/>
    </xf>
    <xf numFmtId="14" fontId="18" fillId="2" borderId="12" xfId="0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horizontal="left" vertical="center"/>
    </xf>
    <xf numFmtId="10" fontId="3" fillId="3" borderId="0" xfId="2" applyNumberFormat="1" applyFont="1" applyFill="1" applyAlignment="1">
      <alignment horizontal="center" vertical="center"/>
    </xf>
    <xf numFmtId="0" fontId="0" fillId="0" borderId="4" xfId="0" applyBorder="1"/>
    <xf numFmtId="0" fontId="6" fillId="0" borderId="5" xfId="0" applyFont="1" applyBorder="1" applyAlignment="1">
      <alignment horizontal="center"/>
    </xf>
    <xf numFmtId="165" fontId="7" fillId="2" borderId="0" xfId="0" applyNumberFormat="1" applyFont="1" applyFill="1" applyAlignment="1">
      <alignment horizontal="center" vertical="center"/>
    </xf>
    <xf numFmtId="0" fontId="20" fillId="2" borderId="0" xfId="2" applyFont="1" applyFill="1"/>
    <xf numFmtId="10" fontId="7" fillId="2" borderId="0" xfId="0" applyNumberFormat="1" applyFont="1" applyFill="1" applyAlignment="1">
      <alignment horizontal="center" vertical="center"/>
    </xf>
    <xf numFmtId="0" fontId="4" fillId="3" borderId="0" xfId="2" applyFont="1" applyFill="1" applyAlignment="1">
      <alignment horizontal="left" vertical="center"/>
    </xf>
    <xf numFmtId="0" fontId="14" fillId="0" borderId="0" xfId="2" applyFont="1"/>
    <xf numFmtId="0" fontId="21" fillId="2" borderId="0" xfId="2" applyFont="1" applyFill="1"/>
    <xf numFmtId="0" fontId="10" fillId="2" borderId="0" xfId="2" applyFont="1" applyFill="1"/>
    <xf numFmtId="168" fontId="2" fillId="2" borderId="0" xfId="0" applyNumberFormat="1" applyFont="1" applyFill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3" fillId="2" borderId="0" xfId="3" applyFont="1" applyFill="1" applyAlignment="1">
      <alignment horizontal="center" wrapText="1"/>
    </xf>
    <xf numFmtId="4" fontId="18" fillId="6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10" fontId="18" fillId="2" borderId="0" xfId="1" applyNumberFormat="1" applyFont="1" applyFill="1" applyAlignment="1">
      <alignment horizontal="center" vertical="center"/>
    </xf>
    <xf numFmtId="10" fontId="5" fillId="2" borderId="0" xfId="1" applyNumberFormat="1" applyFont="1" applyFill="1" applyAlignment="1">
      <alignment horizontal="center" vertical="center"/>
    </xf>
    <xf numFmtId="0" fontId="19" fillId="3" borderId="0" xfId="2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0" borderId="0" xfId="3" applyFont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22" fillId="2" borderId="0" xfId="0" applyFont="1" applyFill="1"/>
    <xf numFmtId="10" fontId="5" fillId="0" borderId="0" xfId="0" applyNumberFormat="1" applyFont="1" applyAlignment="1">
      <alignment horizontal="center" vertical="center"/>
    </xf>
    <xf numFmtId="10" fontId="5" fillId="2" borderId="0" xfId="1" applyNumberFormat="1" applyFont="1" applyFill="1"/>
    <xf numFmtId="10" fontId="2" fillId="2" borderId="0" xfId="1" applyNumberFormat="1" applyFont="1" applyFill="1" applyAlignment="1">
      <alignment horizontal="center" vertical="center"/>
    </xf>
    <xf numFmtId="9" fontId="2" fillId="2" borderId="0" xfId="2" applyNumberFormat="1" applyFont="1" applyFill="1" applyAlignment="1">
      <alignment horizontal="center"/>
    </xf>
    <xf numFmtId="9" fontId="23" fillId="2" borderId="0" xfId="1" applyFont="1" applyFill="1" applyAlignment="1">
      <alignment horizontal="left" vertical="center"/>
    </xf>
    <xf numFmtId="10" fontId="5" fillId="2" borderId="0" xfId="1" applyNumberFormat="1" applyFont="1" applyFill="1" applyBorder="1" applyAlignment="1">
      <alignment horizontal="center" vertical="center"/>
    </xf>
    <xf numFmtId="170" fontId="5" fillId="2" borderId="0" xfId="2" applyNumberFormat="1" applyFont="1" applyFill="1" applyAlignment="1">
      <alignment horizontal="center" vertical="center"/>
    </xf>
    <xf numFmtId="2" fontId="5" fillId="2" borderId="0" xfId="1" applyNumberFormat="1" applyFont="1" applyFill="1" applyAlignment="1">
      <alignment horizontal="center" vertical="center"/>
    </xf>
    <xf numFmtId="2" fontId="5" fillId="2" borderId="0" xfId="2" applyNumberFormat="1" applyFont="1" applyFill="1" applyAlignment="1">
      <alignment horizontal="center" vertical="center"/>
    </xf>
    <xf numFmtId="1" fontId="16" fillId="2" borderId="0" xfId="2" applyNumberFormat="1" applyFont="1" applyFill="1" applyAlignment="1">
      <alignment horizontal="center" vertical="center"/>
    </xf>
    <xf numFmtId="9" fontId="5" fillId="2" borderId="0" xfId="2" applyNumberFormat="1" applyFont="1" applyFill="1" applyAlignment="1">
      <alignment horizontal="left"/>
    </xf>
    <xf numFmtId="0" fontId="24" fillId="2" borderId="0" xfId="0" applyFont="1" applyFill="1" applyAlignment="1">
      <alignment horizontal="left" vertical="center"/>
    </xf>
    <xf numFmtId="9" fontId="24" fillId="2" borderId="0" xfId="1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left" indent="3"/>
    </xf>
    <xf numFmtId="0" fontId="2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164" fontId="2" fillId="2" borderId="0" xfId="0" applyNumberFormat="1" applyFont="1" applyFill="1"/>
    <xf numFmtId="0" fontId="2" fillId="2" borderId="0" xfId="0" applyFont="1" applyFill="1" applyAlignment="1">
      <alignment horizontal="center"/>
    </xf>
    <xf numFmtId="10" fontId="0" fillId="0" borderId="0" xfId="1" applyNumberFormat="1" applyFont="1"/>
    <xf numFmtId="0" fontId="16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5" fillId="2" borderId="2" xfId="2" applyFont="1" applyFill="1" applyBorder="1" applyAlignment="1">
      <alignment horizontal="center" vertical="center"/>
    </xf>
    <xf numFmtId="165" fontId="3" fillId="2" borderId="0" xfId="2" applyNumberFormat="1" applyFont="1" applyFill="1" applyAlignment="1">
      <alignment horizontal="center" vertical="center"/>
    </xf>
    <xf numFmtId="2" fontId="3" fillId="2" borderId="0" xfId="2" applyNumberFormat="1" applyFont="1" applyFill="1" applyAlignment="1">
      <alignment horizontal="center" vertical="center"/>
    </xf>
    <xf numFmtId="164" fontId="3" fillId="2" borderId="0" xfId="2" applyNumberFormat="1" applyFont="1" applyFill="1" applyAlignment="1">
      <alignment horizontal="center" vertical="center"/>
    </xf>
  </cellXfs>
  <cellStyles count="5">
    <cellStyle name="Currency" xfId="4" builtinId="4"/>
    <cellStyle name="Normal" xfId="0" builtinId="0"/>
    <cellStyle name="Normal 10" xfId="2" xr:uid="{1D481256-5C76-4EDA-B68A-301405D2E154}"/>
    <cellStyle name="Normal 7" xfId="3" xr:uid="{9A63152F-38D4-4EF8-9322-7887952174B7}"/>
    <cellStyle name="Percent" xfId="1" builtinId="5"/>
  </cellStyles>
  <dxfs count="76"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0.000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]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73B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73B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D9D9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D9D9"/>
          <bgColor theme="0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Portfolio Optimization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'DRIVERS OIL&amp;GAS'!$AM$6:$AM$14</c:f>
              <c:numCache>
                <c:formatCode>0.00%</c:formatCode>
                <c:ptCount val="9"/>
                <c:pt idx="0">
                  <c:v>3.2586491922385462E-2</c:v>
                </c:pt>
                <c:pt idx="1">
                  <c:v>4.7723068425873413E-2</c:v>
                </c:pt>
                <c:pt idx="2">
                  <c:v>2.4425353819506463E-2</c:v>
                </c:pt>
                <c:pt idx="3">
                  <c:v>2.0060504609630464E-2</c:v>
                </c:pt>
                <c:pt idx="4">
                  <c:v>3.2600003569900303E-2</c:v>
                </c:pt>
                <c:pt idx="5">
                  <c:v>3.260099963114884E-2</c:v>
                </c:pt>
                <c:pt idx="6">
                  <c:v>5.6825328279713781E-2</c:v>
                </c:pt>
                <c:pt idx="7">
                  <c:v>5.6800999735020397E-2</c:v>
                </c:pt>
              </c:numCache>
            </c:numRef>
          </c:xVal>
          <c:yVal>
            <c:numRef>
              <c:f>'DRIVERS OIL&amp;GAS'!$AK$6:$AK$14</c:f>
              <c:numCache>
                <c:formatCode>0.00%</c:formatCode>
                <c:ptCount val="9"/>
                <c:pt idx="0">
                  <c:v>8.5342151508651695E-2</c:v>
                </c:pt>
                <c:pt idx="1">
                  <c:v>7.0356091731659576E-2</c:v>
                </c:pt>
                <c:pt idx="2">
                  <c:v>8.5299999550646433E-2</c:v>
                </c:pt>
                <c:pt idx="3">
                  <c:v>0.10185320540385581</c:v>
                </c:pt>
                <c:pt idx="4">
                  <c:v>0.18609640989794018</c:v>
                </c:pt>
                <c:pt idx="5">
                  <c:v>0.28671734312027441</c:v>
                </c:pt>
                <c:pt idx="6">
                  <c:v>0.31024806064089394</c:v>
                </c:pt>
                <c:pt idx="7">
                  <c:v>0.48416884536890281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CE-4D2F-B6F0-A528691A1395}"/>
            </c:ext>
          </c:extLst>
        </c:ser>
        <c:ser>
          <c:idx val="1"/>
          <c:order val="1"/>
          <c:tx>
            <c:v>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'DRIVERS OIL&amp;GAS'!$AW$6:$AW$8</c:f>
              <c:numCache>
                <c:formatCode>0.00%</c:formatCode>
                <c:ptCount val="3"/>
                <c:pt idx="0">
                  <c:v>0</c:v>
                </c:pt>
                <c:pt idx="1">
                  <c:v>5.6800999735020397E-2</c:v>
                </c:pt>
                <c:pt idx="2">
                  <c:v>0.11360199947004079</c:v>
                </c:pt>
              </c:numCache>
            </c:numRef>
          </c:xVal>
          <c:yVal>
            <c:numRef>
              <c:f>'DRIVERS OIL&amp;GAS'!$AV$6:$AV$8</c:f>
              <c:numCache>
                <c:formatCode>0.00%</c:formatCode>
                <c:ptCount val="3"/>
                <c:pt idx="0">
                  <c:v>3.7499999999999999E-2</c:v>
                </c:pt>
                <c:pt idx="1">
                  <c:v>0.48416884536890281</c:v>
                </c:pt>
                <c:pt idx="2">
                  <c:v>0.93083769073780565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CE-4D2F-B6F0-A528691A1395}"/>
            </c:ext>
          </c:extLst>
        </c:ser>
        <c:ser>
          <c:idx val="2"/>
          <c:order val="2"/>
          <c:tx>
            <c:v>CML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'DRIVERS OIL&amp;GAS'!$BC$6:$BC$11</c:f>
              <c:numCache>
                <c:formatCode>0.00%</c:formatCode>
                <c:ptCount val="6"/>
                <c:pt idx="0">
                  <c:v>0</c:v>
                </c:pt>
                <c:pt idx="1">
                  <c:v>2.9980000000000003E-2</c:v>
                </c:pt>
                <c:pt idx="2">
                  <c:v>5.9960000000000006E-2</c:v>
                </c:pt>
                <c:pt idx="3">
                  <c:v>8.9940000000000006E-2</c:v>
                </c:pt>
                <c:pt idx="4">
                  <c:v>0.11992000000000001</c:v>
                </c:pt>
                <c:pt idx="5">
                  <c:v>0.14990000000000001</c:v>
                </c:pt>
              </c:numCache>
            </c:numRef>
          </c:xVal>
          <c:yVal>
            <c:numRef>
              <c:f>'DRIVERS OIL&amp;GAS'!$BB$6:$BB$11</c:f>
              <c:numCache>
                <c:formatCode>0.00%</c:formatCode>
                <c:ptCount val="6"/>
                <c:pt idx="0">
                  <c:v>3.7499999999999999E-2</c:v>
                </c:pt>
                <c:pt idx="1">
                  <c:v>4.9860000000000002E-2</c:v>
                </c:pt>
                <c:pt idx="2">
                  <c:v>6.2220000000000004E-2</c:v>
                </c:pt>
                <c:pt idx="3">
                  <c:v>7.4579999999999994E-2</c:v>
                </c:pt>
                <c:pt idx="4">
                  <c:v>8.6940000000000003E-2</c:v>
                </c:pt>
                <c:pt idx="5">
                  <c:v>9.9299999999999999E-2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03-4CDF-AF11-A4B24332D531}"/>
            </c:ext>
          </c:extLst>
        </c:ser>
        <c:ser>
          <c:idx val="3"/>
          <c:order val="3"/>
          <c:tx>
            <c:v>Indifference Curve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'DRIVERS OIL&amp;GAS'!$AK$17:$AK$36</c:f>
              <c:numCache>
                <c:formatCode>0.00%</c:formatCode>
                <c:ptCount val="20"/>
                <c:pt idx="0">
                  <c:v>2.0060504609630464E-2</c:v>
                </c:pt>
                <c:pt idx="1">
                  <c:v>2.4060504609630464E-2</c:v>
                </c:pt>
                <c:pt idx="2">
                  <c:v>2.8060504609630464E-2</c:v>
                </c:pt>
                <c:pt idx="3">
                  <c:v>3.2060504609630461E-2</c:v>
                </c:pt>
                <c:pt idx="4">
                  <c:v>3.6060504609630464E-2</c:v>
                </c:pt>
                <c:pt idx="5">
                  <c:v>4.0060504609630468E-2</c:v>
                </c:pt>
                <c:pt idx="6">
                  <c:v>4.4060504609630471E-2</c:v>
                </c:pt>
                <c:pt idx="7">
                  <c:v>4.8060504609630475E-2</c:v>
                </c:pt>
                <c:pt idx="8">
                  <c:v>5.2060504609630479E-2</c:v>
                </c:pt>
                <c:pt idx="9">
                  <c:v>5.6060504609630482E-2</c:v>
                </c:pt>
                <c:pt idx="10">
                  <c:v>6.0060504609630486E-2</c:v>
                </c:pt>
                <c:pt idx="11">
                  <c:v>6.4060504609630489E-2</c:v>
                </c:pt>
                <c:pt idx="12">
                  <c:v>6.8060504609630493E-2</c:v>
                </c:pt>
                <c:pt idx="13">
                  <c:v>7.2060504609630496E-2</c:v>
                </c:pt>
                <c:pt idx="14">
                  <c:v>7.60605046096305E-2</c:v>
                </c:pt>
                <c:pt idx="15">
                  <c:v>8.0060504609630503E-2</c:v>
                </c:pt>
                <c:pt idx="16">
                  <c:v>8.4060504609630507E-2</c:v>
                </c:pt>
                <c:pt idx="17">
                  <c:v>8.8060504609630511E-2</c:v>
                </c:pt>
                <c:pt idx="18">
                  <c:v>9.2060504609630514E-2</c:v>
                </c:pt>
                <c:pt idx="19">
                  <c:v>9.6060504609630518E-2</c:v>
                </c:pt>
              </c:numCache>
            </c:numRef>
          </c:xVal>
          <c:yVal>
            <c:numRef>
              <c:f>'DRIVERS OIL&amp;GAS'!$AL$17:$AL$36</c:f>
              <c:numCache>
                <c:formatCode>0.0000</c:formatCode>
                <c:ptCount val="20"/>
                <c:pt idx="0">
                  <c:v>7.5604241729087751E-2</c:v>
                </c:pt>
                <c:pt idx="1">
                  <c:v>7.5913088793622574E-2</c:v>
                </c:pt>
                <c:pt idx="2">
                  <c:v>7.6277935858157411E-2</c:v>
                </c:pt>
                <c:pt idx="3">
                  <c:v>7.6698782922692235E-2</c:v>
                </c:pt>
                <c:pt idx="4">
                  <c:v>7.717562998722706E-2</c:v>
                </c:pt>
                <c:pt idx="5">
                  <c:v>7.7708477051761884E-2</c:v>
                </c:pt>
                <c:pt idx="6">
                  <c:v>7.829732411629671E-2</c:v>
                </c:pt>
                <c:pt idx="7">
                  <c:v>7.8942171180831536E-2</c:v>
                </c:pt>
                <c:pt idx="8">
                  <c:v>7.9643018245366362E-2</c:v>
                </c:pt>
                <c:pt idx="9">
                  <c:v>8.0399865309901203E-2</c:v>
                </c:pt>
                <c:pt idx="10">
                  <c:v>8.121271237443603E-2</c:v>
                </c:pt>
                <c:pt idx="11">
                  <c:v>8.2081559438970844E-2</c:v>
                </c:pt>
                <c:pt idx="12">
                  <c:v>8.3006406503505686E-2</c:v>
                </c:pt>
                <c:pt idx="13">
                  <c:v>8.3987253568040501E-2</c:v>
                </c:pt>
                <c:pt idx="14">
                  <c:v>8.5024100632575331E-2</c:v>
                </c:pt>
                <c:pt idx="15">
                  <c:v>8.6116947697110161E-2</c:v>
                </c:pt>
                <c:pt idx="16">
                  <c:v>8.7265794761644991E-2</c:v>
                </c:pt>
                <c:pt idx="17">
                  <c:v>8.8470641826179822E-2</c:v>
                </c:pt>
                <c:pt idx="18">
                  <c:v>8.9731488890714639E-2</c:v>
                </c:pt>
                <c:pt idx="19">
                  <c:v>9.1048335955249471E-2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F0-4D5C-8461-4779E7F7E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182943"/>
        <c:axId val="286183423"/>
      </c:scatterChart>
      <c:valAx>
        <c:axId val="28618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83423"/>
        <c:crosses val="autoZero"/>
        <c:crossBetween val="midCat"/>
      </c:valAx>
      <c:valAx>
        <c:axId val="2861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82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190503</xdr:colOff>
      <xdr:row>13</xdr:row>
      <xdr:rowOff>76201</xdr:rowOff>
    </xdr:from>
    <xdr:to>
      <xdr:col>55</xdr:col>
      <xdr:colOff>254000</xdr:colOff>
      <xdr:row>42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931F0-283D-4685-BF0C-0380856FD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0C371-3D2D-4C4A-B063-DF9FEE3527FC}" name="Table1" displayName="Table1" ref="B31:B39" totalsRowShown="0" headerRowDxfId="75" dataDxfId="74" headerRowCellStyle="Normal 10" dataCellStyle="Normal 10">
  <autoFilter ref="B31:B39" xr:uid="{17C0C371-3D2D-4C4A-B063-DF9FEE3527FC}"/>
  <tableColumns count="1">
    <tableColumn id="1" xr3:uid="{B4096698-28F7-46DF-A8EE-3A63B8D3E506}" name="Results" dataDxfId="73" dataCellStyle="Normal 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8AFDC1-7BF9-4200-8575-2FE968605AFE}" name="Table6" displayName="Table6" ref="Y5:AQ13" totalsRowShown="0" headerRowDxfId="72" dataDxfId="71" tableBorderDxfId="70" headerRowCellStyle="Normal 10" dataCellStyle="Normal 10">
  <autoFilter ref="Y5:AQ13" xr:uid="{478AFDC1-7BF9-4200-8575-2FE968605AFE}"/>
  <sortState xmlns:xlrd2="http://schemas.microsoft.com/office/spreadsheetml/2017/richdata2" ref="Y6:AQ13">
    <sortCondition ref="AK5:AK13"/>
  </sortState>
  <tableColumns count="19">
    <tableColumn id="1" xr3:uid="{3505254B-355F-48A0-9811-8181036565C8}" name="Portfolios" dataDxfId="69" dataCellStyle="Normal 10"/>
    <tableColumn id="2" xr3:uid="{85F0BAB3-6928-4D2B-A03D-5F3F98A143DB}" name="XOM" dataDxfId="68" dataCellStyle="Normal 10"/>
    <tableColumn id="3" xr3:uid="{BA3C9ACC-294C-4609-AF51-49A5574C87AC}" name="CVX" dataDxfId="67" dataCellStyle="Normal 10"/>
    <tableColumn id="4" xr3:uid="{BB5DEEDF-D388-439C-9028-56E25D7E9975}" name="SHEL" dataDxfId="66" dataCellStyle="Normal 10"/>
    <tableColumn id="5" xr3:uid="{5BD8C2CF-CF12-4BE2-A53E-9231EAFBF18F}" name="TTE" dataDxfId="65" dataCellStyle="Normal 10"/>
    <tableColumn id="6" xr3:uid="{53806986-9A30-45AC-BF3E-6E16869DE00B}" name="COP" dataDxfId="64" dataCellStyle="Normal 10"/>
    <tableColumn id="7" xr3:uid="{6E6AC91C-8923-4B2C-8000-FB53A9E7907E}" name="BP" dataDxfId="63" dataCellStyle="Percent"/>
    <tableColumn id="8" xr3:uid="{58DEB43D-4F5B-4168-A462-D08168C1876E}" name="EQNR" dataDxfId="62" dataCellStyle="Normal 10"/>
    <tableColumn id="9" xr3:uid="{D136AD68-8C78-4C2C-AF14-338893E99FA0}" name="ENB" dataDxfId="61" dataCellStyle="Normal 10"/>
    <tableColumn id="10" xr3:uid="{2A823F70-1BE2-4938-A71A-495038C74FE6}" name="PBR.A" dataDxfId="60" dataCellStyle="Percent"/>
    <tableColumn id="11" xr3:uid="{4B51CD2A-390C-44EE-8D8D-06494408AD35}" name="PBR" dataDxfId="59" dataCellStyle="Percent"/>
    <tableColumn id="17" xr3:uid="{D2F2771B-B875-4C64-9C44-546284463021}" name="%" dataDxfId="58" dataCellStyle="Percent">
      <calculatedColumnFormula>SUM(Table6[[#This Row],[XOM]:[PBR]])</calculatedColumnFormula>
    </tableColumn>
    <tableColumn id="12" xr3:uid="{C9E2B1D6-C7C9-4611-B4E2-DD54D822DD74}" name="(E)Return" dataDxfId="57" dataCellStyle="Normal 10">
      <calculatedColumnFormula>SUMPRODUCT(C42:L42,Table6[[#This Row],[XOM]:[PBR]])</calculatedColumnFormula>
    </tableColumn>
    <tableColumn id="13" xr3:uid="{FB427511-FB69-4854-AF9C-10158C5A7DF2}" name="Variance" dataDxfId="56" dataCellStyle="Normal 10">
      <calculatedColumnFormula array="1">MMULT(Table6[[#This Row],[XOM]:[PBR]],#REF!)</calculatedColumnFormula>
    </tableColumn>
    <tableColumn id="14" xr3:uid="{02FD55B4-A455-4F51-8AB8-057755DBB1C3}" name="Standard Deviation " dataDxfId="55" dataCellStyle="Normal 10">
      <calculatedColumnFormula>SQRT(AL6)</calculatedColumnFormula>
    </tableColumn>
    <tableColumn id="19" xr3:uid="{9067EA4A-CBF9-4746-B07B-41C5272E3DF9}" name="Return/Risk" dataDxfId="54" dataCellStyle="Normal 10">
      <calculatedColumnFormula>Table6[[#This Row],[(E)Return]]/Table6[[#This Row],[Standard Deviation ]]</calculatedColumnFormula>
    </tableColumn>
    <tableColumn id="15" xr3:uid="{8B50C985-264D-468E-A17C-4205D3C93BEF}" name="Sharpe Ratio" dataDxfId="53" dataCellStyle="Normal 10">
      <calculatedColumnFormula>(AK6-$C$43)/AM6</calculatedColumnFormula>
    </tableColumn>
    <tableColumn id="16" xr3:uid="{CDA5B57F-E47A-4233-8B3A-54CE5375B102}" name="Theta" dataDxfId="52" dataCellStyle="Normal 10"/>
    <tableColumn id="18" xr3:uid="{27BB7B12-2D74-4839-94C7-041485C5CD84}" name="Utility" dataDxfId="51" dataCellStyle="Normal 10">
      <calculatedColumnFormula>Table6[[#This Row],[(E)Return]]-Table6[[#This Row],[Theta]]/2*Table6[[#This Row],[Standard Deviation ]]^2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E64D0B-A044-4F6A-9ABC-BA21D0F8C804}" name="Table7" displayName="Table7" ref="B4:V29" totalsRowShown="0" headerRowDxfId="50" dataDxfId="49" headerRowCellStyle="Normal 7" dataCellStyle="Normal 10">
  <autoFilter ref="B4:V29" xr:uid="{DEE64D0B-A044-4F6A-9ABC-BA21D0F8C804}"/>
  <tableColumns count="21">
    <tableColumn id="1" xr3:uid="{55799581-20B6-42A1-8F44-FC44919A841A}" name="Date" dataDxfId="48"/>
    <tableColumn id="2" xr3:uid="{A82D58C0-862E-4C47-A5D3-DE190959D72A}" name="Stock Price (XOM)" dataDxfId="47"/>
    <tableColumn id="3" xr3:uid="{E4F29CBA-94D7-4AA4-883B-915A05BA57FA}" name="Stock Price (CVX)" dataDxfId="46"/>
    <tableColumn id="4" xr3:uid="{8B6C1F4F-520A-4417-A1B4-57DD157880A2}" name="Stock Price (SHEL)" dataDxfId="45"/>
    <tableColumn id="5" xr3:uid="{50A63A25-B092-42CA-AA85-E3BC0E2D7436}" name="Stock Price (TTE)" dataDxfId="44"/>
    <tableColumn id="6" xr3:uid="{F6F58AA0-5522-4629-BBDB-9460B97D3CD1}" name="Stock Price (COP)" dataDxfId="43"/>
    <tableColumn id="7" xr3:uid="{E0ACD851-B99B-48C5-9FEE-075D6467583A}" name="Stock Price (BP)" dataDxfId="42"/>
    <tableColumn id="8" xr3:uid="{18F964B7-5B36-4D75-8574-B0D79686D936}" name="Stock Price (EQNR)" dataDxfId="41"/>
    <tableColumn id="9" xr3:uid="{1D99C812-9D29-4BF9-8124-5B328B7BC5EA}" name="Stock Price (ENB)" dataDxfId="40"/>
    <tableColumn id="10" xr3:uid="{11BF11E7-6C55-4D4C-948D-046A1DF05E07}" name="Stock Price (PBR.A)" dataDxfId="39"/>
    <tableColumn id="11" xr3:uid="{82A8CBAA-EEA5-459A-85EB-601530E35236}" name="Stock Price (PBR)" dataDxfId="38"/>
    <tableColumn id="12" xr3:uid="{4F4529F5-9215-45E5-B3DE-8111C5D402E8}" name="Holding Period Return (XOM)" dataDxfId="37" dataCellStyle="Normal 10">
      <calculatedColumnFormula>(C5-C4)/C4</calculatedColumnFormula>
    </tableColumn>
    <tableColumn id="13" xr3:uid="{F08A637C-324A-4183-A565-AD50CF24F830}" name="Holding Period Return (CVX)" dataDxfId="36" dataCellStyle="Normal 10">
      <calculatedColumnFormula>(D5-D4)/D4</calculatedColumnFormula>
    </tableColumn>
    <tableColumn id="14" xr3:uid="{6E5FBC7B-2072-4C92-B157-056E8C13D016}" name="Holding Period Return (SHEL)" dataDxfId="35" dataCellStyle="Normal 10">
      <calculatedColumnFormula>(E5-E4)/E4</calculatedColumnFormula>
    </tableColumn>
    <tableColumn id="15" xr3:uid="{A00677A4-6C8E-49E6-B2D3-3642CA4A8804}" name="Holding Period Return (TTE)" dataDxfId="34" dataCellStyle="Normal 10">
      <calculatedColumnFormula>(F5-F4)/F4</calculatedColumnFormula>
    </tableColumn>
    <tableColumn id="16" xr3:uid="{169B77F8-7B8A-4274-8170-B448794D44F3}" name="Holding Period Return (COP)" dataDxfId="33" dataCellStyle="Normal 10">
      <calculatedColumnFormula>(G5-G4)/G4</calculatedColumnFormula>
    </tableColumn>
    <tableColumn id="17" xr3:uid="{5377CB53-36EB-4590-BB64-0CD6C41DD8EB}" name="Holding Period Return (BP)" dataDxfId="32" dataCellStyle="Normal 10">
      <calculatedColumnFormula>(H5-H4)/H4</calculatedColumnFormula>
    </tableColumn>
    <tableColumn id="18" xr3:uid="{95FCE426-57B4-4B5F-B375-A5A4A456CD7A}" name="Holding Period Return (EQNR)" dataDxfId="31" dataCellStyle="Normal 10">
      <calculatedColumnFormula>(I5-I4)/I4</calculatedColumnFormula>
    </tableColumn>
    <tableColumn id="19" xr3:uid="{ECD8DD58-C449-47B7-A696-2B79EC830403}" name="Holding Period Return (ENB)" dataDxfId="30" dataCellStyle="Normal 10">
      <calculatedColumnFormula>(J5-J4)/J4</calculatedColumnFormula>
    </tableColumn>
    <tableColumn id="20" xr3:uid="{520B15BE-17F2-4443-AC80-0AD710132E2D}" name="Holding Period Return (PBR.A)" dataDxfId="29" dataCellStyle="Normal 10">
      <calculatedColumnFormula>(K5-K4)/K4</calculatedColumnFormula>
    </tableColumn>
    <tableColumn id="21" xr3:uid="{13A173CB-1218-4076-84F7-EAB74841B882}" name="Holding Period Return (PBR)" dataDxfId="28" dataCellStyle="Normal 10">
      <calculatedColumnFormula>(L5-L4)/L4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830212-ABD5-4754-8E35-E88FFBEEABA8}" name="Table13" displayName="Table13" ref="AS5:AW8" totalsRowShown="0" headerRowDxfId="27" dataDxfId="25" headerRowBorderDxfId="26" tableBorderDxfId="24" headerRowCellStyle="Normal 10" dataCellStyle="Normal 10">
  <autoFilter ref="AS5:AW8" xr:uid="{12830212-ABD5-4754-8E35-E88FFBEEABA8}"/>
  <tableColumns count="5">
    <tableColumn id="1" xr3:uid="{76386CDB-E464-4559-9E20-ADF2F9C75BE3}" name="Portfolios" dataDxfId="23" dataCellStyle="Normal 10"/>
    <tableColumn id="2" xr3:uid="{A9030D2A-F429-4950-809D-27AFFB7E8152}" name="Optimal Risky Portfolio " dataDxfId="22" dataCellStyle="Normal 10"/>
    <tableColumn id="3" xr3:uid="{73F0CFD1-6F6B-4BBA-85AB-94F6F3168AF1}" name="Risk-free Asset" dataDxfId="21" dataCellStyle="Normal 10">
      <calculatedColumnFormula>1-AT6</calculatedColumnFormula>
    </tableColumn>
    <tableColumn id="4" xr3:uid="{BB353DDC-EBA3-4311-91CD-3BD5DBCAA634}" name="Portfolio Return" dataDxfId="20" dataCellStyle="Normal 10">
      <calculatedColumnFormula>AU6*$C$43+AT6*$AK$13</calculatedColumnFormula>
    </tableColumn>
    <tableColumn id="5" xr3:uid="{20843984-2B4D-48A6-80BE-2B831E501488}" name="Standard Deviation" dataDxfId="19" dataCellStyle="Normal 10">
      <calculatedColumnFormula>Table13[[#This Row],[Optimal Risky Portfolio ]]*$AM$13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6AEAEC-7EF4-40B6-9017-67F8B006CE98}" name="Table8" displayName="Table8" ref="B45:D70" totalsRowShown="0" dataDxfId="17" headerRowBorderDxfId="18" tableBorderDxfId="16">
  <autoFilter ref="B45:D70" xr:uid="{9F6AEAEC-7EF4-40B6-9017-67F8B006CE98}"/>
  <tableColumns count="3">
    <tableColumn id="1" xr3:uid="{51AFE0C4-D6ED-49CE-B7BC-863CA79B5013}" name="Date" dataDxfId="15"/>
    <tableColumn id="2" xr3:uid="{DD24D870-0510-4606-B781-4522342E4201}" name="S&amp;P500" dataDxfId="14"/>
    <tableColumn id="3" xr3:uid="{B14CB592-9003-4E12-B8DA-934A33C8FD21}" name="HPR (S&amp;P500)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1927F9-251A-425E-B512-0F4303445742}" name="Table133" displayName="Table133" ref="AY5:BC11" totalsRowShown="0" headerRowDxfId="12" dataDxfId="10" headerRowBorderDxfId="11" tableBorderDxfId="9" headerRowCellStyle="Normal 10" dataCellStyle="Normal 10">
  <autoFilter ref="AY5:BC11" xr:uid="{311927F9-251A-425E-B512-0F4303445742}"/>
  <tableColumns count="5">
    <tableColumn id="1" xr3:uid="{24BAE9B5-ACC3-4264-B742-22BB714F9BC0}" name="Portfolios" dataDxfId="8" dataCellStyle="Normal 10"/>
    <tableColumn id="2" xr3:uid="{424E8DF5-4A51-4AAD-88FA-594D38A5A0B6}" name="Market Portfolio " dataDxfId="7" dataCellStyle="Normal 10"/>
    <tableColumn id="3" xr3:uid="{1DF1DE29-373B-4833-9E07-8BCB29C823EB}" name="Risk-free Asset" dataDxfId="6" dataCellStyle="Normal 10">
      <calculatedColumnFormula>1-AZ6</calculatedColumnFormula>
    </tableColumn>
    <tableColumn id="4" xr3:uid="{F88F36A9-2CCE-4827-85AE-347291B06A67}" name="Portfolio Return" dataDxfId="5" dataCellStyle="Normal 10">
      <calculatedColumnFormula>BA6*$C$43+AZ6*$I$46</calculatedColumnFormula>
    </tableColumn>
    <tableColumn id="5" xr3:uid="{74A6ECFB-1837-4C7D-8F9D-DE7326D501A7}" name="Standard Deviation" dataDxfId="4" dataCellStyle="Normal 10">
      <calculatedColumnFormula>Table133[[#This Row],[Market Portfolio ]]*$I$47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BEC3FD-B71C-4A7B-80C7-3C2A934C6F9A}" name="Table3" displayName="Table3" ref="AK16:AM36" totalsRowShown="0" headerRowDxfId="3">
  <autoFilter ref="AK16:AM36" xr:uid="{95BEC3FD-B71C-4A7B-80C7-3C2A934C6F9A}"/>
  <tableColumns count="3">
    <tableColumn id="1" xr3:uid="{F74816C7-EF37-4284-B155-64E5777BA61D}" name="std" dataDxfId="2"/>
    <tableColumn id="2" xr3:uid="{53928E77-F34F-4936-A3B1-CF7DB838778D}" name="(E)Return" dataDxfId="1"/>
    <tableColumn id="3" xr3:uid="{8838923F-F018-4041-AF78-D5BFA98B1FC5}" name="M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28332C6-16F8-40BA-B8E9-92FA02CE50CF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760CC14B-E947-43D5-B246-7A137A5CACD9}"/>
    <we:binding id="Input" type="matrix" appref="{665F3C3D-1038-495D-BA83-1D99D079BA84}"/>
    <we:binding id="Output" type="matrix" appref="{020AA52C-968C-406C-8549-6F64BE113C77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5393-AB38-43ED-BB4C-4CC6DED72BC7}">
  <dimension ref="A1:BJ127"/>
  <sheetViews>
    <sheetView tabSelected="1" topLeftCell="AC1" zoomScaleNormal="100" workbookViewId="0">
      <selection activeCell="BE25" sqref="BE25"/>
    </sheetView>
  </sheetViews>
  <sheetFormatPr defaultRowHeight="14.5" x14ac:dyDescent="0.35"/>
  <cols>
    <col min="1" max="1" width="11.81640625" customWidth="1"/>
    <col min="2" max="2" width="27" customWidth="1"/>
    <col min="3" max="3" width="18.54296875" customWidth="1"/>
    <col min="4" max="4" width="14.1796875" customWidth="1"/>
    <col min="5" max="13" width="9.6328125" customWidth="1"/>
    <col min="14" max="14" width="9.7265625" customWidth="1"/>
    <col min="15" max="22" width="9.6328125" customWidth="1"/>
    <col min="25" max="25" width="13.1796875" customWidth="1"/>
    <col min="26" max="30" width="9.7265625" customWidth="1"/>
    <col min="31" max="36" width="9.6328125" customWidth="1"/>
    <col min="37" max="37" width="12.08984375" customWidth="1"/>
    <col min="38" max="38" width="15.6328125" customWidth="1"/>
    <col min="39" max="39" width="9.6328125" customWidth="1"/>
    <col min="40" max="40" width="11.08984375" customWidth="1"/>
    <col min="45" max="45" width="20" bestFit="1" customWidth="1"/>
    <col min="46" max="46" width="9.7265625" bestFit="1" customWidth="1"/>
    <col min="47" max="48" width="7.6328125" bestFit="1" customWidth="1"/>
    <col min="49" max="49" width="15.453125" bestFit="1" customWidth="1"/>
    <col min="50" max="50" width="12.36328125" bestFit="1" customWidth="1"/>
    <col min="51" max="51" width="13" bestFit="1" customWidth="1"/>
    <col min="52" max="52" width="16.453125" bestFit="1" customWidth="1"/>
    <col min="53" max="53" width="12.54296875" bestFit="1" customWidth="1"/>
    <col min="54" max="54" width="12.08984375" bestFit="1" customWidth="1"/>
    <col min="55" max="55" width="12.90625" bestFit="1" customWidth="1"/>
  </cols>
  <sheetData>
    <row r="1" spans="1:58" x14ac:dyDescent="0.35">
      <c r="A1" s="2"/>
      <c r="B1" s="1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35">
      <c r="A2" s="2"/>
      <c r="B2" s="12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12"/>
      <c r="AY3" s="2"/>
      <c r="AZ3" s="2"/>
      <c r="BA3" s="2"/>
      <c r="BB3" s="2"/>
      <c r="BC3" s="2"/>
      <c r="BD3" s="2"/>
      <c r="BE3" s="2"/>
      <c r="BF3" s="2"/>
    </row>
    <row r="4" spans="1:58" ht="60.5" customHeight="1" x14ac:dyDescent="0.35">
      <c r="A4" s="2"/>
      <c r="B4" s="62" t="s">
        <v>0</v>
      </c>
      <c r="C4" s="63" t="s">
        <v>1</v>
      </c>
      <c r="D4" s="64" t="s">
        <v>2</v>
      </c>
      <c r="E4" s="64" t="s">
        <v>3</v>
      </c>
      <c r="F4" s="64" t="s">
        <v>4</v>
      </c>
      <c r="G4" s="64" t="s">
        <v>5</v>
      </c>
      <c r="H4" s="64" t="s">
        <v>6</v>
      </c>
      <c r="I4" s="64" t="s">
        <v>7</v>
      </c>
      <c r="J4" s="64" t="s">
        <v>8</v>
      </c>
      <c r="K4" s="64" t="s">
        <v>9</v>
      </c>
      <c r="L4" s="64" t="s">
        <v>10</v>
      </c>
      <c r="M4" s="64" t="s">
        <v>11</v>
      </c>
      <c r="N4" s="64" t="s">
        <v>12</v>
      </c>
      <c r="O4" s="64" t="s">
        <v>13</v>
      </c>
      <c r="P4" s="110" t="s">
        <v>14</v>
      </c>
      <c r="Q4" s="64" t="s">
        <v>15</v>
      </c>
      <c r="R4" s="64" t="s">
        <v>16</v>
      </c>
      <c r="S4" s="64" t="s">
        <v>17</v>
      </c>
      <c r="T4" s="64" t="s">
        <v>18</v>
      </c>
      <c r="U4" s="64" t="s">
        <v>19</v>
      </c>
      <c r="V4" s="64" t="s">
        <v>20</v>
      </c>
      <c r="W4" s="28"/>
      <c r="X4" s="28"/>
      <c r="Y4" s="137" t="s">
        <v>21</v>
      </c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26"/>
      <c r="AO4" s="28"/>
      <c r="AP4" s="102" t="s">
        <v>63</v>
      </c>
      <c r="AQ4" s="28"/>
      <c r="AR4" s="28"/>
      <c r="AS4" s="2"/>
      <c r="AT4" s="101"/>
      <c r="AU4" s="26" t="s">
        <v>84</v>
      </c>
      <c r="AV4" s="45"/>
      <c r="AW4" s="2"/>
      <c r="AY4" s="2"/>
      <c r="AZ4" s="101"/>
      <c r="BA4" s="26" t="s">
        <v>89</v>
      </c>
      <c r="BB4" s="45"/>
      <c r="BC4" s="2"/>
      <c r="BD4" s="2"/>
      <c r="BE4" s="2"/>
      <c r="BF4" s="2"/>
    </row>
    <row r="5" spans="1:58" ht="35.5" customHeight="1" thickBot="1" x14ac:dyDescent="0.4">
      <c r="A5" s="2"/>
      <c r="B5" s="9">
        <v>44927</v>
      </c>
      <c r="C5" s="99">
        <v>110.529999</v>
      </c>
      <c r="D5" s="99">
        <v>176.55999800000001</v>
      </c>
      <c r="E5" s="99">
        <v>57.25</v>
      </c>
      <c r="F5" s="99">
        <v>61.830002</v>
      </c>
      <c r="G5" s="99">
        <v>118.230003</v>
      </c>
      <c r="H5" s="99">
        <v>34.459999000000003</v>
      </c>
      <c r="I5" s="99">
        <v>31.860001</v>
      </c>
      <c r="J5" s="99">
        <v>40.520000000000003</v>
      </c>
      <c r="K5" s="99">
        <v>9.09</v>
      </c>
      <c r="L5" s="99">
        <v>10.28</v>
      </c>
      <c r="M5" s="108"/>
      <c r="N5" s="109"/>
      <c r="O5" s="109"/>
      <c r="P5" s="111"/>
      <c r="Q5" s="109"/>
      <c r="R5" s="109"/>
      <c r="S5" s="109"/>
      <c r="T5" s="108"/>
      <c r="U5" s="109"/>
      <c r="V5" s="108"/>
      <c r="W5" s="4"/>
      <c r="X5" s="4"/>
      <c r="Y5" s="65" t="s">
        <v>52</v>
      </c>
      <c r="Z5" s="66" t="s">
        <v>22</v>
      </c>
      <c r="AA5" s="67" t="s">
        <v>23</v>
      </c>
      <c r="AB5" s="67" t="s">
        <v>24</v>
      </c>
      <c r="AC5" s="67" t="s">
        <v>25</v>
      </c>
      <c r="AD5" s="67" t="s">
        <v>26</v>
      </c>
      <c r="AE5" s="67" t="s">
        <v>27</v>
      </c>
      <c r="AF5" s="67" t="s">
        <v>28</v>
      </c>
      <c r="AG5" s="67" t="s">
        <v>29</v>
      </c>
      <c r="AH5" s="67" t="s">
        <v>30</v>
      </c>
      <c r="AI5" s="67" t="s">
        <v>31</v>
      </c>
      <c r="AJ5" s="67" t="s">
        <v>53</v>
      </c>
      <c r="AK5" s="67" t="s">
        <v>79</v>
      </c>
      <c r="AL5" s="67" t="s">
        <v>32</v>
      </c>
      <c r="AM5" s="67" t="s">
        <v>33</v>
      </c>
      <c r="AN5" s="67" t="s">
        <v>62</v>
      </c>
      <c r="AO5" s="67" t="s">
        <v>54</v>
      </c>
      <c r="AP5" s="67" t="s">
        <v>57</v>
      </c>
      <c r="AQ5" s="67" t="s">
        <v>58</v>
      </c>
      <c r="AR5" s="59"/>
      <c r="AS5" s="68" t="s">
        <v>52</v>
      </c>
      <c r="AT5" s="69" t="s">
        <v>34</v>
      </c>
      <c r="AU5" s="69" t="s">
        <v>35</v>
      </c>
      <c r="AV5" s="69" t="s">
        <v>36</v>
      </c>
      <c r="AW5" s="70" t="s">
        <v>37</v>
      </c>
      <c r="AX5" s="2"/>
      <c r="AY5" s="68" t="s">
        <v>52</v>
      </c>
      <c r="AZ5" s="69" t="s">
        <v>85</v>
      </c>
      <c r="BA5" s="69" t="s">
        <v>35</v>
      </c>
      <c r="BB5" s="69" t="s">
        <v>36</v>
      </c>
      <c r="BC5" s="70" t="s">
        <v>37</v>
      </c>
      <c r="BD5" s="2"/>
      <c r="BE5" s="2"/>
      <c r="BF5" s="2"/>
    </row>
    <row r="6" spans="1:58" ht="14" customHeight="1" thickTop="1" x14ac:dyDescent="0.35">
      <c r="A6" s="2"/>
      <c r="B6" s="9">
        <v>44934</v>
      </c>
      <c r="C6" s="99">
        <v>113.150002</v>
      </c>
      <c r="D6" s="99">
        <v>177.55999800000001</v>
      </c>
      <c r="E6" s="99">
        <v>59.610000999999997</v>
      </c>
      <c r="F6" s="99">
        <v>64.629997000000003</v>
      </c>
      <c r="G6" s="99">
        <v>121.470001</v>
      </c>
      <c r="H6" s="99">
        <v>35.560001</v>
      </c>
      <c r="I6" s="99">
        <v>31.42</v>
      </c>
      <c r="J6" s="99">
        <v>41.759998000000003</v>
      </c>
      <c r="K6" s="99">
        <v>9.6300000000000008</v>
      </c>
      <c r="L6" s="99">
        <v>10.84</v>
      </c>
      <c r="M6" s="30">
        <f t="shared" ref="M6:T6" si="0">(C6-C5)/C5</f>
        <v>2.370399912877948E-2</v>
      </c>
      <c r="N6" s="1">
        <f t="shared" si="0"/>
        <v>5.6637970736723728E-3</v>
      </c>
      <c r="O6" s="1">
        <f t="shared" si="0"/>
        <v>4.1222724890829641E-2</v>
      </c>
      <c r="P6" s="1">
        <f t="shared" si="0"/>
        <v>4.5285377800893534E-2</v>
      </c>
      <c r="Q6" s="1">
        <f t="shared" si="0"/>
        <v>2.7404194517359523E-2</v>
      </c>
      <c r="R6" s="1">
        <f t="shared" si="0"/>
        <v>3.1921126869446405E-2</v>
      </c>
      <c r="S6" s="30">
        <f t="shared" si="0"/>
        <v>-1.3810451543928036E-2</v>
      </c>
      <c r="T6" s="30">
        <f t="shared" si="0"/>
        <v>3.0602122408687066E-2</v>
      </c>
      <c r="U6" s="30">
        <f t="shared" ref="U6:V21" si="1">(K6-K5)/K5</f>
        <v>5.9405940594059507E-2</v>
      </c>
      <c r="V6" s="30">
        <f t="shared" si="1"/>
        <v>5.4474708171206275E-2</v>
      </c>
      <c r="W6" s="1"/>
      <c r="X6" s="1"/>
      <c r="Y6" s="4" t="s">
        <v>38</v>
      </c>
      <c r="Z6" s="35">
        <v>0.1</v>
      </c>
      <c r="AA6" s="35">
        <v>0.1</v>
      </c>
      <c r="AB6" s="35">
        <v>0.1</v>
      </c>
      <c r="AC6" s="35">
        <v>0.1</v>
      </c>
      <c r="AD6" s="35">
        <v>0.1</v>
      </c>
      <c r="AE6" s="35">
        <v>0.1</v>
      </c>
      <c r="AF6" s="35">
        <v>0.1</v>
      </c>
      <c r="AG6" s="35">
        <v>0.1</v>
      </c>
      <c r="AH6" s="35">
        <v>0.1</v>
      </c>
      <c r="AI6" s="35">
        <v>0.1</v>
      </c>
      <c r="AJ6" s="35">
        <f>SUM(Table6[[#This Row],[XOM]:[PBR]])</f>
        <v>0.99999999999999989</v>
      </c>
      <c r="AK6" s="1">
        <f>SUMPRODUCT(C35:L35,Table6[[#This Row],[XOM]:[PBR]])</f>
        <v>8.5342151508651695E-2</v>
      </c>
      <c r="AL6" s="36" cm="1">
        <f t="array" ref="AL6">MMULT(Table6[[#This Row],[XOM]:[PBR]],MMULT(COV!B2:K11,TRANSPOSE(Table6[[#This Row],[XOM]:[PBR]])))</f>
        <v>1.0618794558076928E-3</v>
      </c>
      <c r="AM6" s="1">
        <f>SQRT(AL6)</f>
        <v>3.2586491922385462E-2</v>
      </c>
      <c r="AN6" s="77">
        <f>Table6[[#This Row],[(E)Return]]/Table6[[#This Row],[Standard Deviation ]]</f>
        <v>2.6189425886014277</v>
      </c>
      <c r="AO6" s="40">
        <f>(AK6-$C$43)/AM6</f>
        <v>1.4681590035098648</v>
      </c>
      <c r="AP6" s="4">
        <v>3.5</v>
      </c>
      <c r="AQ6" s="1">
        <f>Table6[[#This Row],[(E)Return]]-Table6[[#This Row],[Theta]]/2*Table6[[#This Row],[Standard Deviation ]]^2</f>
        <v>8.3483862460988226E-2</v>
      </c>
      <c r="AR6" s="32"/>
      <c r="AS6" s="100" t="s">
        <v>38</v>
      </c>
      <c r="AT6" s="29">
        <v>0</v>
      </c>
      <c r="AU6" s="29">
        <f t="shared" ref="AU6:AU8" si="2">1-AT6</f>
        <v>1</v>
      </c>
      <c r="AV6" s="30">
        <f>AU6*$C$43+AT6*$AK$13</f>
        <v>3.7499999999999999E-2</v>
      </c>
      <c r="AW6" s="31">
        <f>Table13[[#This Row],[Optimal Risky Portfolio ]]*$AM$13</f>
        <v>0</v>
      </c>
      <c r="AX6" s="2"/>
      <c r="AY6" s="100" t="s">
        <v>38</v>
      </c>
      <c r="AZ6" s="29">
        <v>0</v>
      </c>
      <c r="BA6" s="29">
        <f t="shared" ref="BA6:BA8" si="3">1-AZ6</f>
        <v>1</v>
      </c>
      <c r="BB6" s="30">
        <f>BA6*$C$43+AZ6*$I$46</f>
        <v>3.7499999999999999E-2</v>
      </c>
      <c r="BC6" s="31">
        <f>Table133[[#This Row],[Market Portfolio ]]*$I$47</f>
        <v>0</v>
      </c>
      <c r="BD6" s="2"/>
      <c r="BE6" s="2"/>
      <c r="BF6" s="2"/>
    </row>
    <row r="7" spans="1:58" ht="14.5" customHeight="1" x14ac:dyDescent="0.35">
      <c r="A7" s="2"/>
      <c r="B7" s="9">
        <v>44941</v>
      </c>
      <c r="C7" s="99">
        <v>113.349998</v>
      </c>
      <c r="D7" s="99">
        <v>180.89999399999999</v>
      </c>
      <c r="E7" s="99">
        <v>58.900002000000001</v>
      </c>
      <c r="F7" s="99">
        <v>63.799999</v>
      </c>
      <c r="G7" s="99">
        <v>121.800003</v>
      </c>
      <c r="H7" s="99">
        <v>35.5</v>
      </c>
      <c r="I7" s="99">
        <v>31.309999000000001</v>
      </c>
      <c r="J7" s="99">
        <v>41.860000999999997</v>
      </c>
      <c r="K7" s="99">
        <v>10.15</v>
      </c>
      <c r="L7" s="99">
        <v>11.46</v>
      </c>
      <c r="M7" s="1">
        <f t="shared" ref="M7:M29" si="4">(C7-C6)/C6</f>
        <v>1.7675297964201426E-3</v>
      </c>
      <c r="N7" s="1">
        <f t="shared" ref="N7:N29" si="5">(D7-D6)/D6</f>
        <v>1.8810520599352478E-2</v>
      </c>
      <c r="O7" s="1">
        <f t="shared" ref="O7:O29" si="6">(E7-E6)/E6</f>
        <v>-1.1910736253804061E-2</v>
      </c>
      <c r="P7" s="1">
        <f t="shared" ref="P7:P29" si="7">(F7-F6)/F6</f>
        <v>-1.2842302932491291E-2</v>
      </c>
      <c r="Q7" s="1">
        <f t="shared" ref="Q7:Q29" si="8">(G7-G6)/G6</f>
        <v>2.7167366204270261E-3</v>
      </c>
      <c r="R7" s="1">
        <f t="shared" ref="R7:R29" si="9">(H7-H6)/H6</f>
        <v>-1.6873171628988353E-3</v>
      </c>
      <c r="S7" s="1">
        <f t="shared" ref="S7:S29" si="10">(I7-I6)/I6</f>
        <v>-3.5009866327180283E-3</v>
      </c>
      <c r="T7" s="1">
        <f t="shared" ref="T7:U29" si="11">(J7-J6)/J6</f>
        <v>2.3947079690950618E-3</v>
      </c>
      <c r="U7" s="1">
        <f t="shared" si="1"/>
        <v>5.399792315680161E-2</v>
      </c>
      <c r="V7" s="1">
        <f t="shared" si="1"/>
        <v>5.719557195571965E-2</v>
      </c>
      <c r="W7" s="1"/>
      <c r="X7" s="1"/>
      <c r="Y7" s="4" t="s">
        <v>91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15">
        <v>0</v>
      </c>
      <c r="AF7" s="1">
        <v>0</v>
      </c>
      <c r="AG7" s="1">
        <v>0.19242370434077771</v>
      </c>
      <c r="AH7" s="115">
        <v>0.8075762956592224</v>
      </c>
      <c r="AI7" s="115">
        <v>0</v>
      </c>
      <c r="AJ7" s="115">
        <v>1</v>
      </c>
      <c r="AK7" s="1">
        <v>7.0356091731659576E-2</v>
      </c>
      <c r="AL7" s="4">
        <v>2.2774912599805961E-3</v>
      </c>
      <c r="AM7" s="1">
        <v>4.7723068425873413E-2</v>
      </c>
      <c r="AN7" s="40">
        <v>1.4742575038095309</v>
      </c>
      <c r="AO7" s="40">
        <v>0.68847399832837242</v>
      </c>
      <c r="AP7" s="4">
        <v>3.5</v>
      </c>
      <c r="AQ7" s="115">
        <v>6.6370482026693531E-2</v>
      </c>
      <c r="AR7" s="32"/>
      <c r="AS7" s="100" t="s">
        <v>39</v>
      </c>
      <c r="AT7" s="29">
        <v>1</v>
      </c>
      <c r="AU7" s="29">
        <f t="shared" si="2"/>
        <v>0</v>
      </c>
      <c r="AV7" s="30">
        <f t="shared" ref="AV7:AV8" si="12">AU7*$C$43+AT7*$AK$13</f>
        <v>0.48416884536890281</v>
      </c>
      <c r="AW7" s="31">
        <f>Table13[[#This Row],[Optimal Risky Portfolio ]]*$AM$13</f>
        <v>5.6800999735020397E-2</v>
      </c>
      <c r="AX7" s="2"/>
      <c r="AY7" s="100" t="s">
        <v>39</v>
      </c>
      <c r="AZ7" s="29">
        <v>0.2</v>
      </c>
      <c r="BA7" s="29">
        <f t="shared" si="3"/>
        <v>0.8</v>
      </c>
      <c r="BB7" s="30">
        <f t="shared" ref="BB7:BB11" si="13">BA7*$C$43+AZ7*$I$46</f>
        <v>4.9860000000000002E-2</v>
      </c>
      <c r="BC7" s="31">
        <f>Table133[[#This Row],[Market Portfolio ]]*$I$47</f>
        <v>2.9980000000000003E-2</v>
      </c>
      <c r="BD7" s="2"/>
      <c r="BE7" s="2"/>
      <c r="BF7" s="2"/>
    </row>
    <row r="8" spans="1:58" x14ac:dyDescent="0.35">
      <c r="A8" s="2"/>
      <c r="B8" s="9">
        <v>44948</v>
      </c>
      <c r="C8" s="99">
        <v>115.610001</v>
      </c>
      <c r="D8" s="99">
        <v>179.449997</v>
      </c>
      <c r="E8" s="99">
        <v>58.509998000000003</v>
      </c>
      <c r="F8" s="99">
        <v>63.25</v>
      </c>
      <c r="G8" s="99">
        <v>123.610001</v>
      </c>
      <c r="H8" s="99">
        <v>36.32</v>
      </c>
      <c r="I8" s="99">
        <v>30.379999000000002</v>
      </c>
      <c r="J8" s="99">
        <v>40.840000000000003</v>
      </c>
      <c r="K8" s="99">
        <v>10.029999999999999</v>
      </c>
      <c r="L8" s="99">
        <v>11.29</v>
      </c>
      <c r="M8" s="1">
        <f t="shared" si="4"/>
        <v>1.9938271194323245E-2</v>
      </c>
      <c r="N8" s="1">
        <f t="shared" si="5"/>
        <v>-8.0154618468367463E-3</v>
      </c>
      <c r="O8" s="1">
        <f t="shared" si="6"/>
        <v>-6.6214598770301834E-3</v>
      </c>
      <c r="P8" s="1">
        <f t="shared" si="7"/>
        <v>-8.6206741163115021E-3</v>
      </c>
      <c r="Q8" s="1">
        <f t="shared" si="8"/>
        <v>1.4860410143011187E-2</v>
      </c>
      <c r="R8" s="1">
        <f t="shared" si="9"/>
        <v>2.3098591549295784E-2</v>
      </c>
      <c r="S8" s="1">
        <f t="shared" si="10"/>
        <v>-2.970297124570332E-2</v>
      </c>
      <c r="T8" s="1">
        <f t="shared" si="11"/>
        <v>-2.4366960717463755E-2</v>
      </c>
      <c r="U8" s="1">
        <f t="shared" si="1"/>
        <v>-1.1822660098522265E-2</v>
      </c>
      <c r="V8" s="1">
        <f t="shared" si="1"/>
        <v>-1.4834205933682522E-2</v>
      </c>
      <c r="W8" s="1"/>
      <c r="X8" s="1"/>
      <c r="Y8" s="4" t="s">
        <v>43</v>
      </c>
      <c r="Z8" s="35">
        <v>0</v>
      </c>
      <c r="AA8" s="35">
        <v>0.26294072312425887</v>
      </c>
      <c r="AB8" s="35">
        <v>2.7518965703422157E-2</v>
      </c>
      <c r="AC8" s="35">
        <v>1.4474158849147866E-2</v>
      </c>
      <c r="AD8" s="35">
        <v>0</v>
      </c>
      <c r="AE8" s="35">
        <v>0</v>
      </c>
      <c r="AF8" s="35">
        <v>0</v>
      </c>
      <c r="AG8" s="35">
        <v>0.64005120716962749</v>
      </c>
      <c r="AH8" s="35">
        <v>5.5014945153543597E-2</v>
      </c>
      <c r="AI8" s="35">
        <v>0</v>
      </c>
      <c r="AJ8" s="35">
        <v>1</v>
      </c>
      <c r="AK8" s="1">
        <v>8.5299999550646433E-2</v>
      </c>
      <c r="AL8" s="36">
        <v>5.9659790920807898E-4</v>
      </c>
      <c r="AM8" s="1">
        <v>2.4425353819506463E-2</v>
      </c>
      <c r="AN8" s="77">
        <v>3.4922728317869662</v>
      </c>
      <c r="AO8" s="40">
        <v>1.9569828917881475</v>
      </c>
      <c r="AP8" s="4">
        <v>3.5</v>
      </c>
      <c r="AQ8" s="1">
        <v>8.4255953209532289E-2</v>
      </c>
      <c r="AR8" s="32"/>
      <c r="AS8" s="100" t="s">
        <v>40</v>
      </c>
      <c r="AT8" s="29">
        <v>2</v>
      </c>
      <c r="AU8" s="29">
        <f t="shared" si="2"/>
        <v>-1</v>
      </c>
      <c r="AV8" s="30">
        <f t="shared" si="12"/>
        <v>0.93083769073780565</v>
      </c>
      <c r="AW8" s="31">
        <f>Table13[[#This Row],[Optimal Risky Portfolio ]]*$AM$13</f>
        <v>0.11360199947004079</v>
      </c>
      <c r="AX8" s="2"/>
      <c r="AY8" s="100" t="s">
        <v>40</v>
      </c>
      <c r="AZ8" s="29">
        <v>0.4</v>
      </c>
      <c r="BA8" s="29">
        <f t="shared" si="3"/>
        <v>0.6</v>
      </c>
      <c r="BB8" s="30">
        <f t="shared" si="13"/>
        <v>6.2220000000000004E-2</v>
      </c>
      <c r="BC8" s="31">
        <f>Table133[[#This Row],[Market Portfolio ]]*$I$47</f>
        <v>5.9960000000000006E-2</v>
      </c>
      <c r="BD8" s="2"/>
      <c r="BE8" s="2"/>
      <c r="BF8" s="2"/>
    </row>
    <row r="9" spans="1:58" x14ac:dyDescent="0.35">
      <c r="A9" s="2"/>
      <c r="B9" s="9">
        <v>44955</v>
      </c>
      <c r="C9" s="99">
        <v>111.91999800000001</v>
      </c>
      <c r="D9" s="99">
        <v>169.449997</v>
      </c>
      <c r="E9" s="99">
        <v>58.299999</v>
      </c>
      <c r="F9" s="99">
        <v>60.599997999999999</v>
      </c>
      <c r="G9" s="99">
        <v>108.110001</v>
      </c>
      <c r="H9" s="99">
        <v>35.150002000000001</v>
      </c>
      <c r="I9" s="99">
        <v>29.110001</v>
      </c>
      <c r="J9" s="99">
        <v>40.57</v>
      </c>
      <c r="K9" s="99">
        <v>9.7100000000000009</v>
      </c>
      <c r="L9" s="99">
        <v>10.84</v>
      </c>
      <c r="M9" s="1">
        <f t="shared" si="4"/>
        <v>-3.1917679855395814E-2</v>
      </c>
      <c r="N9" s="1">
        <f t="shared" si="5"/>
        <v>-5.5725829853315631E-2</v>
      </c>
      <c r="O9" s="1">
        <f t="shared" si="6"/>
        <v>-3.5891130948253213E-3</v>
      </c>
      <c r="P9" s="1">
        <f t="shared" si="7"/>
        <v>-4.1897264822134399E-2</v>
      </c>
      <c r="Q9" s="1">
        <f t="shared" si="8"/>
        <v>-0.12539438455307511</v>
      </c>
      <c r="R9" s="1">
        <f t="shared" si="9"/>
        <v>-3.2213601321585891E-2</v>
      </c>
      <c r="S9" s="1">
        <f t="shared" si="10"/>
        <v>-4.1803753844758221E-2</v>
      </c>
      <c r="T9" s="1">
        <f t="shared" si="11"/>
        <v>-6.6111655239961585E-3</v>
      </c>
      <c r="U9" s="1">
        <f t="shared" si="1"/>
        <v>-3.1904287138584099E-2</v>
      </c>
      <c r="V9" s="1">
        <f t="shared" si="1"/>
        <v>-3.9858281665190377E-2</v>
      </c>
      <c r="W9" s="1"/>
      <c r="X9" s="1"/>
      <c r="Y9" s="26" t="s">
        <v>42</v>
      </c>
      <c r="Z9" s="118">
        <v>-0.8784805725429663</v>
      </c>
      <c r="AA9" s="118">
        <v>1.4997785449105601</v>
      </c>
      <c r="AB9" s="118">
        <v>0.38835756386903297</v>
      </c>
      <c r="AC9" s="118">
        <v>0.33384433980582295</v>
      </c>
      <c r="AD9" s="118">
        <v>-0.37032685948712984</v>
      </c>
      <c r="AE9" s="118">
        <v>0.13128967020826762</v>
      </c>
      <c r="AF9" s="118">
        <v>-1.2990922964633424E-2</v>
      </c>
      <c r="AG9" s="118">
        <v>4.5410555346944076E-2</v>
      </c>
      <c r="AH9" s="118">
        <v>0.74133474512399866</v>
      </c>
      <c r="AI9" s="118">
        <v>-0.87821706426989687</v>
      </c>
      <c r="AJ9" s="118">
        <v>0.99999999999999989</v>
      </c>
      <c r="AK9" s="48">
        <v>0.10185320540385581</v>
      </c>
      <c r="AL9" s="119">
        <v>4.0242384519300505E-4</v>
      </c>
      <c r="AM9" s="48">
        <v>2.0060504609630464E-2</v>
      </c>
      <c r="AN9" s="120">
        <v>5.0773002666622382</v>
      </c>
      <c r="AO9" s="121">
        <v>3.2079554655350848</v>
      </c>
      <c r="AP9" s="26">
        <v>3.5</v>
      </c>
      <c r="AQ9" s="48">
        <v>0.10114896367476806</v>
      </c>
      <c r="AR9" s="32"/>
      <c r="AS9" s="3"/>
      <c r="AT9" s="2"/>
      <c r="AU9" s="2"/>
      <c r="AV9" s="2"/>
      <c r="AW9" s="2"/>
      <c r="AX9" s="2"/>
      <c r="AY9" s="100" t="s">
        <v>41</v>
      </c>
      <c r="AZ9" s="29">
        <v>0.6</v>
      </c>
      <c r="BA9" s="29">
        <f t="shared" ref="BA9:BA11" si="14">1-AZ9</f>
        <v>0.4</v>
      </c>
      <c r="BB9" s="30">
        <f t="shared" si="13"/>
        <v>7.4579999999999994E-2</v>
      </c>
      <c r="BC9" s="31">
        <f>Table133[[#This Row],[Market Portfolio ]]*$I$47</f>
        <v>8.9940000000000006E-2</v>
      </c>
      <c r="BD9" s="2"/>
      <c r="BE9" s="2"/>
      <c r="BF9" s="2"/>
    </row>
    <row r="10" spans="1:58" x14ac:dyDescent="0.35">
      <c r="A10" s="2"/>
      <c r="B10" s="9">
        <v>44962</v>
      </c>
      <c r="C10" s="99">
        <v>119.16999800000001</v>
      </c>
      <c r="D10" s="99">
        <v>171.970001</v>
      </c>
      <c r="E10" s="99">
        <v>61.759998000000003</v>
      </c>
      <c r="F10" s="99">
        <v>63.73</v>
      </c>
      <c r="G10" s="99">
        <v>115.05999799999999</v>
      </c>
      <c r="H10" s="99">
        <v>40.650002000000001</v>
      </c>
      <c r="I10" s="99">
        <v>33.029998999999997</v>
      </c>
      <c r="J10" s="99">
        <v>40.590000000000003</v>
      </c>
      <c r="K10" s="99">
        <v>10.27</v>
      </c>
      <c r="L10" s="99">
        <v>11.53</v>
      </c>
      <c r="M10" s="1">
        <f t="shared" si="4"/>
        <v>6.4778414309835844E-2</v>
      </c>
      <c r="N10" s="1">
        <f t="shared" si="5"/>
        <v>1.4871667421746842E-2</v>
      </c>
      <c r="O10" s="1">
        <f t="shared" si="6"/>
        <v>5.9348182836161001E-2</v>
      </c>
      <c r="P10" s="1">
        <f t="shared" si="7"/>
        <v>5.165019972442899E-2</v>
      </c>
      <c r="Q10" s="1">
        <f t="shared" si="8"/>
        <v>6.4286346644284981E-2</v>
      </c>
      <c r="R10" s="1">
        <f t="shared" si="9"/>
        <v>0.15647225283230426</v>
      </c>
      <c r="S10" s="1">
        <f t="shared" si="10"/>
        <v>0.13466155497555621</v>
      </c>
      <c r="T10" s="1">
        <f t="shared" si="11"/>
        <v>4.9297510475728682E-4</v>
      </c>
      <c r="U10" s="1">
        <f t="shared" si="1"/>
        <v>5.7672502574665156E-2</v>
      </c>
      <c r="V10" s="1">
        <f t="shared" si="1"/>
        <v>6.365313653136527E-2</v>
      </c>
      <c r="W10" s="1"/>
      <c r="X10" s="1"/>
      <c r="Y10" s="26" t="s">
        <v>41</v>
      </c>
      <c r="Z10" s="118">
        <v>0</v>
      </c>
      <c r="AA10" s="118">
        <v>0</v>
      </c>
      <c r="AB10" s="118">
        <v>0</v>
      </c>
      <c r="AC10" s="118">
        <v>0</v>
      </c>
      <c r="AD10" s="118">
        <v>0</v>
      </c>
      <c r="AE10" s="118">
        <v>0</v>
      </c>
      <c r="AF10" s="118">
        <v>0</v>
      </c>
      <c r="AG10" s="118">
        <v>0.5611343344097468</v>
      </c>
      <c r="AH10" s="118">
        <v>0.43886566559025314</v>
      </c>
      <c r="AI10" s="118">
        <v>0</v>
      </c>
      <c r="AJ10" s="118">
        <v>1</v>
      </c>
      <c r="AK10" s="48">
        <v>0.18609640989794018</v>
      </c>
      <c r="AL10" s="119">
        <v>1.0627602327575125E-3</v>
      </c>
      <c r="AM10" s="48">
        <v>3.2600003569900303E-2</v>
      </c>
      <c r="AN10" s="120">
        <v>5.708478206111721</v>
      </c>
      <c r="AO10" s="121">
        <v>4.5581715836111059</v>
      </c>
      <c r="AP10" s="26">
        <v>3.5</v>
      </c>
      <c r="AQ10" s="48">
        <v>0.18423657949061453</v>
      </c>
      <c r="AR10" s="71"/>
      <c r="AS10" s="3"/>
      <c r="AT10" s="2"/>
      <c r="AU10" s="2"/>
      <c r="AV10" s="2"/>
      <c r="AW10" s="2"/>
      <c r="AX10" s="2"/>
      <c r="AY10" s="100" t="s">
        <v>42</v>
      </c>
      <c r="AZ10" s="29">
        <v>0.8</v>
      </c>
      <c r="BA10" s="29">
        <f t="shared" si="14"/>
        <v>0.19999999999999996</v>
      </c>
      <c r="BB10" s="30">
        <f t="shared" si="13"/>
        <v>8.6940000000000003E-2</v>
      </c>
      <c r="BC10" s="31">
        <f>Table133[[#This Row],[Market Portfolio ]]*$I$47</f>
        <v>0.11992000000000001</v>
      </c>
      <c r="BD10" s="2"/>
      <c r="BE10" s="2"/>
      <c r="BF10" s="2"/>
    </row>
    <row r="11" spans="1:58" x14ac:dyDescent="0.35">
      <c r="A11" s="2"/>
      <c r="B11" s="9">
        <v>44969</v>
      </c>
      <c r="C11" s="99">
        <v>111.279999</v>
      </c>
      <c r="D11" s="99">
        <v>162.85000600000001</v>
      </c>
      <c r="E11" s="99">
        <v>60.66</v>
      </c>
      <c r="F11" s="99">
        <v>62.259998000000003</v>
      </c>
      <c r="G11" s="99">
        <v>104.120003</v>
      </c>
      <c r="H11" s="99">
        <v>40.020000000000003</v>
      </c>
      <c r="I11" s="99">
        <v>30.65</v>
      </c>
      <c r="J11" s="99">
        <v>38.900002000000001</v>
      </c>
      <c r="K11" s="99">
        <v>10.25</v>
      </c>
      <c r="L11" s="99">
        <v>11.55</v>
      </c>
      <c r="M11" s="1">
        <f t="shared" si="4"/>
        <v>-6.6207930959267136E-2</v>
      </c>
      <c r="N11" s="1">
        <f t="shared" si="5"/>
        <v>-5.3032476286372698E-2</v>
      </c>
      <c r="O11" s="1">
        <f t="shared" si="6"/>
        <v>-1.7810849022372156E-2</v>
      </c>
      <c r="P11" s="1">
        <f t="shared" si="7"/>
        <v>-2.306609132276783E-2</v>
      </c>
      <c r="Q11" s="1">
        <f t="shared" si="8"/>
        <v>-9.5080785591531103E-2</v>
      </c>
      <c r="R11" s="1">
        <f t="shared" si="9"/>
        <v>-1.5498203419522525E-2</v>
      </c>
      <c r="S11" s="1">
        <f t="shared" si="10"/>
        <v>-7.2055678839106171E-2</v>
      </c>
      <c r="T11" s="1">
        <f t="shared" si="11"/>
        <v>-4.1635821630943648E-2</v>
      </c>
      <c r="U11" s="1">
        <f t="shared" si="1"/>
        <v>-1.9474196689386149E-3</v>
      </c>
      <c r="V11" s="1">
        <f t="shared" si="1"/>
        <v>1.7346053772767868E-3</v>
      </c>
      <c r="W11" s="1"/>
      <c r="X11" s="1"/>
      <c r="Y11" s="26" t="s">
        <v>40</v>
      </c>
      <c r="Z11" s="118">
        <v>-1.3283333648405606</v>
      </c>
      <c r="AA11" s="118">
        <v>1.6806699466826713</v>
      </c>
      <c r="AB11" s="118">
        <v>0.29522404649081591</v>
      </c>
      <c r="AC11" s="118">
        <v>0.59289829018967333</v>
      </c>
      <c r="AD11" s="118">
        <v>-0.74554383556744308</v>
      </c>
      <c r="AE11" s="118">
        <v>0.25944524777591166</v>
      </c>
      <c r="AF11" s="118">
        <v>0.22380780697010194</v>
      </c>
      <c r="AG11" s="118">
        <v>-3.4557035161425165E-2</v>
      </c>
      <c r="AH11" s="118">
        <v>2.8330162586998195</v>
      </c>
      <c r="AI11" s="118">
        <v>-2.7766273612395658</v>
      </c>
      <c r="AJ11" s="118">
        <v>0.99999999999999911</v>
      </c>
      <c r="AK11" s="48">
        <v>0.28671734312027441</v>
      </c>
      <c r="AL11" s="119">
        <v>1.0628251769501666E-3</v>
      </c>
      <c r="AM11" s="48">
        <v>3.260099963114884E-2</v>
      </c>
      <c r="AN11" s="120">
        <v>8.7947408473428652</v>
      </c>
      <c r="AO11" s="121">
        <v>7.6444693702630531</v>
      </c>
      <c r="AP11" s="26">
        <v>3.5</v>
      </c>
      <c r="AQ11" s="48">
        <v>0.28485739906061164</v>
      </c>
      <c r="AR11" s="71"/>
      <c r="AS11" s="2"/>
      <c r="AT11" s="2"/>
      <c r="AU11" s="2"/>
      <c r="AV11" s="72"/>
      <c r="AW11" s="2"/>
      <c r="AX11" s="2"/>
      <c r="AY11" s="100" t="s">
        <v>43</v>
      </c>
      <c r="AZ11" s="29">
        <v>1</v>
      </c>
      <c r="BA11" s="29">
        <f t="shared" si="14"/>
        <v>0</v>
      </c>
      <c r="BB11" s="30">
        <f t="shared" si="13"/>
        <v>9.9299999999999999E-2</v>
      </c>
      <c r="BC11" s="31">
        <f>Table133[[#This Row],[Market Portfolio ]]*$I$47</f>
        <v>0.14990000000000001</v>
      </c>
      <c r="BD11" s="2"/>
      <c r="BE11" s="2"/>
      <c r="BF11" s="2"/>
    </row>
    <row r="12" spans="1:58" ht="14" customHeight="1" x14ac:dyDescent="0.35">
      <c r="A12" s="2"/>
      <c r="B12" s="9">
        <v>44976</v>
      </c>
      <c r="C12" s="99">
        <v>110.75</v>
      </c>
      <c r="D12" s="99">
        <v>162.41000399999999</v>
      </c>
      <c r="E12" s="99">
        <v>60.630001</v>
      </c>
      <c r="F12" s="99">
        <v>62.599997999999999</v>
      </c>
      <c r="G12" s="99">
        <v>105.25</v>
      </c>
      <c r="H12" s="99">
        <v>39.700001</v>
      </c>
      <c r="I12" s="99">
        <v>31.42</v>
      </c>
      <c r="J12" s="99">
        <v>37.82</v>
      </c>
      <c r="K12" s="99">
        <v>10.07</v>
      </c>
      <c r="L12" s="99">
        <v>11.38</v>
      </c>
      <c r="M12" s="1">
        <f t="shared" si="4"/>
        <v>-4.7627516603410795E-3</v>
      </c>
      <c r="N12" s="1">
        <f t="shared" si="5"/>
        <v>-2.7018850708548396E-3</v>
      </c>
      <c r="O12" s="1">
        <f t="shared" si="6"/>
        <v>-4.9454335641273587E-4</v>
      </c>
      <c r="P12" s="1">
        <f t="shared" si="7"/>
        <v>5.4609703007056998E-3</v>
      </c>
      <c r="Q12" s="1">
        <f t="shared" si="8"/>
        <v>1.0852832956602998E-2</v>
      </c>
      <c r="R12" s="1">
        <f t="shared" si="9"/>
        <v>-7.9959770114943225E-3</v>
      </c>
      <c r="S12" s="1">
        <f t="shared" si="10"/>
        <v>2.5122349102773351E-2</v>
      </c>
      <c r="T12" s="1">
        <f t="shared" si="11"/>
        <v>-2.7763546130408948E-2</v>
      </c>
      <c r="U12" s="1">
        <f t="shared" si="1"/>
        <v>-1.7560975609756072E-2</v>
      </c>
      <c r="V12" s="1">
        <f t="shared" si="1"/>
        <v>-1.4718614718614711E-2</v>
      </c>
      <c r="W12" s="1"/>
      <c r="X12" s="1"/>
      <c r="Y12" s="26" t="s">
        <v>39</v>
      </c>
      <c r="Z12" s="118">
        <v>0</v>
      </c>
      <c r="AA12" s="118">
        <v>0</v>
      </c>
      <c r="AB12" s="118">
        <v>0</v>
      </c>
      <c r="AC12" s="118">
        <v>0</v>
      </c>
      <c r="AD12" s="118">
        <v>0</v>
      </c>
      <c r="AE12" s="118">
        <v>0</v>
      </c>
      <c r="AF12" s="118">
        <v>0</v>
      </c>
      <c r="AG12" s="118">
        <v>0</v>
      </c>
      <c r="AH12" s="118">
        <v>1</v>
      </c>
      <c r="AI12" s="118">
        <v>0</v>
      </c>
      <c r="AJ12" s="118">
        <v>1</v>
      </c>
      <c r="AK12" s="48">
        <v>0.31024806064089394</v>
      </c>
      <c r="AL12" s="119">
        <v>3.2291179340972389E-3</v>
      </c>
      <c r="AM12" s="48">
        <v>5.6825328279713781E-2</v>
      </c>
      <c r="AN12" s="120">
        <v>5.459679161266723</v>
      </c>
      <c r="AO12" s="121">
        <v>4.7997621641239681</v>
      </c>
      <c r="AP12" s="26">
        <v>3.5</v>
      </c>
      <c r="AQ12" s="48">
        <v>0.30459710425622377</v>
      </c>
      <c r="AR12" s="71"/>
      <c r="AS12" s="73"/>
      <c r="AT12" s="74"/>
      <c r="AU12" s="74"/>
      <c r="AV12" s="74"/>
      <c r="AW12" s="74"/>
      <c r="AX12" s="74"/>
      <c r="AY12" s="74"/>
      <c r="AZ12" s="74"/>
      <c r="BA12" s="2"/>
      <c r="BB12" s="2"/>
      <c r="BC12" s="2"/>
      <c r="BD12" s="2"/>
      <c r="BE12" s="2"/>
      <c r="BF12" s="2"/>
    </row>
    <row r="13" spans="1:58" ht="12" customHeight="1" x14ac:dyDescent="0.35">
      <c r="A13" s="2"/>
      <c r="B13" s="9">
        <v>44983</v>
      </c>
      <c r="C13" s="99">
        <v>112.80999799999999</v>
      </c>
      <c r="D13" s="99">
        <v>164.96000699999999</v>
      </c>
      <c r="E13" s="99">
        <v>62.299999</v>
      </c>
      <c r="F13" s="99">
        <v>62.759998000000003</v>
      </c>
      <c r="G13" s="99">
        <v>108.639999</v>
      </c>
      <c r="H13" s="99">
        <v>40.220001000000003</v>
      </c>
      <c r="I13" s="99">
        <v>31.219999000000001</v>
      </c>
      <c r="J13" s="99">
        <v>38.860000999999997</v>
      </c>
      <c r="K13" s="99">
        <v>9.84</v>
      </c>
      <c r="L13" s="99">
        <v>11.16</v>
      </c>
      <c r="M13" s="1">
        <f t="shared" si="4"/>
        <v>1.8600433408577817E-2</v>
      </c>
      <c r="N13" s="1">
        <f t="shared" si="5"/>
        <v>1.5701021717849376E-2</v>
      </c>
      <c r="O13" s="1">
        <f t="shared" si="6"/>
        <v>2.75440866313032E-2</v>
      </c>
      <c r="P13" s="1">
        <f t="shared" si="7"/>
        <v>2.5559106247895359E-3</v>
      </c>
      <c r="Q13" s="1">
        <f t="shared" si="8"/>
        <v>3.2209016627078417E-2</v>
      </c>
      <c r="R13" s="1">
        <f t="shared" si="9"/>
        <v>1.3098236445888329E-2</v>
      </c>
      <c r="S13" s="1">
        <f t="shared" si="10"/>
        <v>-6.365404201145777E-3</v>
      </c>
      <c r="T13" s="1">
        <f t="shared" si="11"/>
        <v>2.7498704389211967E-2</v>
      </c>
      <c r="U13" s="1">
        <f t="shared" si="1"/>
        <v>-2.2840119165839168E-2</v>
      </c>
      <c r="V13" s="1">
        <f t="shared" si="1"/>
        <v>-1.9332161687170529E-2</v>
      </c>
      <c r="W13" s="1"/>
      <c r="X13" s="1"/>
      <c r="Y13" s="4" t="s">
        <v>44</v>
      </c>
      <c r="Z13" s="35">
        <v>-1.7798411755252641</v>
      </c>
      <c r="AA13" s="35">
        <v>1.8158086692223625</v>
      </c>
      <c r="AB13" s="35">
        <v>0.17398268166635217</v>
      </c>
      <c r="AC13" s="35">
        <v>0.90813524170247828</v>
      </c>
      <c r="AD13" s="35">
        <v>-1.1341019432082116</v>
      </c>
      <c r="AE13" s="35">
        <v>0.38101819015494831</v>
      </c>
      <c r="AF13" s="35">
        <v>0.47786718919106458</v>
      </c>
      <c r="AG13" s="35">
        <v>-0.10693169294444348</v>
      </c>
      <c r="AH13" s="35">
        <v>5.086718515146659</v>
      </c>
      <c r="AI13" s="35">
        <v>-4.8226556754059455</v>
      </c>
      <c r="AJ13" s="35">
        <v>1</v>
      </c>
      <c r="AK13" s="1">
        <v>0.48416884536890281</v>
      </c>
      <c r="AL13" s="36">
        <v>3.2263535708977869E-3</v>
      </c>
      <c r="AM13" s="1">
        <v>5.6800999735020397E-2</v>
      </c>
      <c r="AN13" s="77">
        <v>8.5239493605319545</v>
      </c>
      <c r="AO13" s="40">
        <v>7.8637497130796312</v>
      </c>
      <c r="AP13" s="4">
        <v>3.5</v>
      </c>
      <c r="AQ13" s="1">
        <v>0.4785227266198317</v>
      </c>
      <c r="AR13" s="71"/>
      <c r="AS13" s="7"/>
      <c r="AT13" s="75"/>
      <c r="AU13" s="75"/>
      <c r="AV13" s="53"/>
      <c r="AW13" s="54"/>
      <c r="AX13" s="56"/>
      <c r="AY13" s="76"/>
      <c r="AZ13" s="8"/>
      <c r="BA13" s="2"/>
      <c r="BB13" s="2"/>
      <c r="BC13" s="2"/>
      <c r="BD13" s="2"/>
      <c r="BE13" s="2"/>
      <c r="BF13" s="2"/>
    </row>
    <row r="14" spans="1:58" x14ac:dyDescent="0.35">
      <c r="A14" s="2"/>
      <c r="B14" s="9">
        <v>44990</v>
      </c>
      <c r="C14" s="99">
        <v>107.779999</v>
      </c>
      <c r="D14" s="99">
        <v>159.66999799999999</v>
      </c>
      <c r="E14" s="99">
        <v>60.360000999999997</v>
      </c>
      <c r="F14" s="99">
        <v>61.009998000000003</v>
      </c>
      <c r="G14" s="99">
        <v>104.220001</v>
      </c>
      <c r="H14" s="99">
        <v>39.009998000000003</v>
      </c>
      <c r="I14" s="99">
        <v>29.790001</v>
      </c>
      <c r="J14" s="99">
        <v>37.840000000000003</v>
      </c>
      <c r="K14" s="99">
        <v>9.64</v>
      </c>
      <c r="L14" s="99">
        <v>10.88</v>
      </c>
      <c r="M14" s="1">
        <f t="shared" si="4"/>
        <v>-4.4588237648935956E-2</v>
      </c>
      <c r="N14" s="1">
        <f t="shared" si="5"/>
        <v>-3.2068433411257057E-2</v>
      </c>
      <c r="O14" s="1">
        <f t="shared" si="6"/>
        <v>-3.1139615267088572E-2</v>
      </c>
      <c r="P14" s="1">
        <f t="shared" si="7"/>
        <v>-2.7884003437986086E-2</v>
      </c>
      <c r="Q14" s="1">
        <f t="shared" si="8"/>
        <v>-4.0684812598350689E-2</v>
      </c>
      <c r="R14" s="1">
        <f t="shared" si="9"/>
        <v>-3.0084608898940612E-2</v>
      </c>
      <c r="S14" s="1">
        <f t="shared" si="10"/>
        <v>-4.5803909218574961E-2</v>
      </c>
      <c r="T14" s="1">
        <f t="shared" si="11"/>
        <v>-2.6248095052802331E-2</v>
      </c>
      <c r="U14" s="1">
        <f t="shared" si="1"/>
        <v>-2.0325203252032447E-2</v>
      </c>
      <c r="V14" s="1">
        <f t="shared" si="1"/>
        <v>-2.5089605734766967E-2</v>
      </c>
      <c r="W14" s="1"/>
      <c r="X14" s="1"/>
      <c r="Y14" s="3"/>
      <c r="Z14" s="27"/>
      <c r="AA14" s="27"/>
      <c r="AB14" s="1"/>
      <c r="AC14" s="1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2"/>
      <c r="AP14" s="32"/>
      <c r="AQ14" s="32"/>
      <c r="AR14" s="71"/>
      <c r="AS14" s="7"/>
      <c r="AT14" s="75"/>
      <c r="AU14" s="75"/>
      <c r="AV14" s="53"/>
      <c r="AW14" s="54"/>
      <c r="AX14" s="56"/>
      <c r="AY14" s="76"/>
      <c r="AZ14" s="8"/>
      <c r="BA14" s="2"/>
      <c r="BB14" s="2"/>
      <c r="BC14" s="2"/>
      <c r="BD14" s="2"/>
      <c r="BE14" s="2"/>
      <c r="BF14" s="2"/>
    </row>
    <row r="15" spans="1:58" x14ac:dyDescent="0.35">
      <c r="A15" s="2"/>
      <c r="B15" s="9">
        <v>44997</v>
      </c>
      <c r="C15" s="99">
        <v>99.839995999999999</v>
      </c>
      <c r="D15" s="99">
        <v>152.33999600000001</v>
      </c>
      <c r="E15" s="99">
        <v>53.950001</v>
      </c>
      <c r="F15" s="99">
        <v>56.759998000000003</v>
      </c>
      <c r="G15" s="99">
        <v>94.389999000000003</v>
      </c>
      <c r="H15" s="99">
        <v>35.169998</v>
      </c>
      <c r="I15" s="99">
        <v>27.08</v>
      </c>
      <c r="J15" s="99">
        <v>36.560001</v>
      </c>
      <c r="K15" s="99">
        <v>8.83</v>
      </c>
      <c r="L15" s="99">
        <v>9.99</v>
      </c>
      <c r="M15" s="1">
        <f t="shared" si="4"/>
        <v>-7.3668612670890865E-2</v>
      </c>
      <c r="N15" s="1">
        <f t="shared" si="5"/>
        <v>-4.5907196666965445E-2</v>
      </c>
      <c r="O15" s="1">
        <f t="shared" si="6"/>
        <v>-0.10619615463558386</v>
      </c>
      <c r="P15" s="1">
        <f t="shared" si="7"/>
        <v>-6.9660713642377109E-2</v>
      </c>
      <c r="Q15" s="1">
        <f t="shared" si="8"/>
        <v>-9.4319726594514167E-2</v>
      </c>
      <c r="R15" s="1">
        <f t="shared" si="9"/>
        <v>-9.8436303431751082E-2</v>
      </c>
      <c r="S15" s="1">
        <f t="shared" si="10"/>
        <v>-9.0970154717349691E-2</v>
      </c>
      <c r="T15" s="1">
        <f t="shared" si="11"/>
        <v>-3.382661205074005E-2</v>
      </c>
      <c r="U15" s="1">
        <f t="shared" si="1"/>
        <v>-8.4024896265560214E-2</v>
      </c>
      <c r="V15" s="1">
        <f t="shared" si="1"/>
        <v>-8.1801470588235337E-2</v>
      </c>
      <c r="W15" s="1"/>
      <c r="X15" s="1"/>
      <c r="Y15" s="3"/>
      <c r="Z15" s="46"/>
      <c r="AA15" s="27"/>
      <c r="AB15" s="27"/>
      <c r="AC15" s="1"/>
      <c r="AD15" s="1"/>
      <c r="AE15" s="50"/>
      <c r="AF15" s="50"/>
      <c r="AG15" s="50"/>
      <c r="AH15" s="50"/>
      <c r="AI15" s="133" t="s">
        <v>100</v>
      </c>
      <c r="AJ15" s="50"/>
      <c r="AK15" s="127" t="s">
        <v>99</v>
      </c>
      <c r="AL15" s="50"/>
      <c r="AM15" s="50"/>
      <c r="AN15" s="50"/>
      <c r="AO15" s="50"/>
      <c r="AP15" s="50"/>
      <c r="AQ15" s="50"/>
      <c r="AR15" s="71"/>
      <c r="AS15" s="7"/>
      <c r="AT15" s="75"/>
      <c r="AU15" s="75"/>
      <c r="AV15" s="53"/>
      <c r="AW15" s="54"/>
      <c r="AX15" s="56"/>
      <c r="AY15" s="76"/>
      <c r="AZ15" s="8"/>
      <c r="BA15" s="2"/>
      <c r="BB15" s="2"/>
      <c r="BC15" s="2"/>
      <c r="BD15" s="2"/>
      <c r="BE15" s="2"/>
      <c r="BF15" s="2"/>
    </row>
    <row r="16" spans="1:58" x14ac:dyDescent="0.35">
      <c r="A16" s="2"/>
      <c r="B16" s="9">
        <v>45004</v>
      </c>
      <c r="C16" s="99">
        <v>103.529999</v>
      </c>
      <c r="D16" s="99">
        <v>156.05999800000001</v>
      </c>
      <c r="E16" s="99">
        <v>54.57</v>
      </c>
      <c r="F16" s="99">
        <v>55.700001</v>
      </c>
      <c r="G16" s="99">
        <v>95.43</v>
      </c>
      <c r="H16" s="99">
        <v>35.880001</v>
      </c>
      <c r="I16" s="99">
        <v>27.059999000000001</v>
      </c>
      <c r="J16" s="99">
        <v>36.729999999999997</v>
      </c>
      <c r="K16" s="99">
        <v>8.6999999999999993</v>
      </c>
      <c r="L16" s="99">
        <v>9.6999999999999993</v>
      </c>
      <c r="M16" s="1">
        <f t="shared" si="4"/>
        <v>3.6959166144197406E-2</v>
      </c>
      <c r="N16" s="1">
        <f t="shared" si="5"/>
        <v>2.4419076392781274E-2</v>
      </c>
      <c r="O16" s="1">
        <f t="shared" si="6"/>
        <v>1.1492103586800674E-2</v>
      </c>
      <c r="P16" s="1">
        <f t="shared" si="7"/>
        <v>-1.8675071130199877E-2</v>
      </c>
      <c r="Q16" s="1">
        <f t="shared" si="8"/>
        <v>1.1018127036954452E-2</v>
      </c>
      <c r="R16" s="1">
        <f t="shared" si="9"/>
        <v>2.0187746385427727E-2</v>
      </c>
      <c r="S16" s="1">
        <f t="shared" si="10"/>
        <v>-7.3858936484479511E-4</v>
      </c>
      <c r="T16" s="1">
        <f t="shared" si="11"/>
        <v>4.6498631113275164E-3</v>
      </c>
      <c r="U16" s="1">
        <f t="shared" si="1"/>
        <v>-1.4722536806342104E-2</v>
      </c>
      <c r="V16" s="1">
        <f t="shared" si="1"/>
        <v>-2.9029029029029121E-2</v>
      </c>
      <c r="W16" s="1"/>
      <c r="X16" s="2"/>
      <c r="Y16" s="1"/>
      <c r="Z16" s="98" t="s">
        <v>73</v>
      </c>
      <c r="AA16" s="27"/>
      <c r="AB16" s="1"/>
      <c r="AC16" s="1"/>
      <c r="AD16" s="2"/>
      <c r="AE16" s="2"/>
      <c r="AF16" s="2"/>
      <c r="AG16" s="2"/>
      <c r="AH16" s="2"/>
      <c r="AI16" s="133" t="s">
        <v>105</v>
      </c>
      <c r="AJ16" s="7"/>
      <c r="AK16" s="126" t="s">
        <v>98</v>
      </c>
      <c r="AL16" s="126" t="s">
        <v>79</v>
      </c>
      <c r="AM16" s="126" t="s">
        <v>106</v>
      </c>
      <c r="AN16" s="2"/>
      <c r="AO16" s="32"/>
      <c r="AP16" s="32"/>
      <c r="AQ16" s="32"/>
      <c r="AR16" s="32"/>
      <c r="AS16" s="7"/>
      <c r="AT16" s="52"/>
      <c r="AU16" s="52"/>
      <c r="AV16" s="53"/>
      <c r="AW16" s="54"/>
      <c r="AX16" s="56"/>
      <c r="AY16" s="57"/>
      <c r="AZ16" s="8"/>
      <c r="BA16" s="2"/>
      <c r="BB16" s="2"/>
      <c r="BC16" s="2"/>
      <c r="BD16" s="2"/>
      <c r="BE16" s="2"/>
      <c r="BF16" s="2"/>
    </row>
    <row r="17" spans="1:62" x14ac:dyDescent="0.35">
      <c r="A17" s="2"/>
      <c r="B17" s="9">
        <v>45011</v>
      </c>
      <c r="C17" s="99">
        <v>109.660004</v>
      </c>
      <c r="D17" s="99">
        <v>163.16000399999999</v>
      </c>
      <c r="E17" s="99">
        <v>57.540000999999997</v>
      </c>
      <c r="F17" s="99">
        <v>59.049999</v>
      </c>
      <c r="G17" s="99">
        <v>99.209998999999996</v>
      </c>
      <c r="H17" s="99">
        <v>37.939999</v>
      </c>
      <c r="I17" s="99">
        <v>28.43</v>
      </c>
      <c r="J17" s="99">
        <v>38.150002000000001</v>
      </c>
      <c r="K17" s="99">
        <v>9.2799999999999994</v>
      </c>
      <c r="L17" s="99">
        <v>10.43</v>
      </c>
      <c r="M17" s="1">
        <f t="shared" si="4"/>
        <v>5.920993971998393E-2</v>
      </c>
      <c r="N17" s="1">
        <f t="shared" si="5"/>
        <v>4.5495361341732037E-2</v>
      </c>
      <c r="O17" s="1">
        <f t="shared" si="6"/>
        <v>5.4425526846252452E-2</v>
      </c>
      <c r="P17" s="1">
        <f t="shared" si="7"/>
        <v>6.0143589584495685E-2</v>
      </c>
      <c r="Q17" s="1">
        <f t="shared" si="8"/>
        <v>3.9610174997380163E-2</v>
      </c>
      <c r="R17" s="1">
        <f t="shared" si="9"/>
        <v>5.7413543550347175E-2</v>
      </c>
      <c r="S17" s="1">
        <f t="shared" si="10"/>
        <v>5.0628272380941274E-2</v>
      </c>
      <c r="T17" s="1">
        <f t="shared" si="11"/>
        <v>3.8660549959161551E-2</v>
      </c>
      <c r="U17" s="1">
        <f t="shared" si="1"/>
        <v>6.666666666666668E-2</v>
      </c>
      <c r="V17" s="1">
        <f t="shared" si="1"/>
        <v>7.5257731958762938E-2</v>
      </c>
      <c r="W17" s="1"/>
      <c r="X17" s="2"/>
      <c r="Y17" s="48" t="s">
        <v>55</v>
      </c>
      <c r="Z17" s="49" t="s">
        <v>56</v>
      </c>
      <c r="AA17" s="27"/>
      <c r="AB17" s="39"/>
      <c r="AC17" s="1"/>
      <c r="AD17" s="2"/>
      <c r="AE17" s="2"/>
      <c r="AF17" s="2"/>
      <c r="AG17" s="1"/>
      <c r="AH17" s="131" t="s">
        <v>103</v>
      </c>
      <c r="AI17" s="72">
        <v>3.5</v>
      </c>
      <c r="AJ17" s="129" t="s">
        <v>57</v>
      </c>
      <c r="AK17" s="1">
        <v>2.0060504609630464E-2</v>
      </c>
      <c r="AL17" s="132">
        <f>AI19+(0.5)*AI17*Table3[[#This Row],[std]]^2</f>
        <v>7.5604241729087751E-2</v>
      </c>
      <c r="AM17" s="7"/>
      <c r="AN17" s="2"/>
      <c r="AO17" s="32"/>
      <c r="AP17" s="32"/>
      <c r="AQ17" s="32"/>
      <c r="AR17" s="32"/>
      <c r="AS17" s="7"/>
      <c r="AT17" s="52"/>
      <c r="AU17" s="52"/>
      <c r="AV17" s="53"/>
      <c r="AW17" s="54"/>
      <c r="AX17" s="2"/>
      <c r="AY17" s="2"/>
      <c r="AZ17" s="2"/>
      <c r="BA17" s="2"/>
      <c r="BB17" s="2"/>
      <c r="BC17" s="2"/>
      <c r="BD17" s="2"/>
      <c r="BE17" s="2"/>
      <c r="BF17" s="2"/>
    </row>
    <row r="18" spans="1:62" x14ac:dyDescent="0.35">
      <c r="A18" s="2"/>
      <c r="B18" s="9">
        <v>45018</v>
      </c>
      <c r="C18" s="99">
        <v>115.050003</v>
      </c>
      <c r="D18" s="99">
        <v>167.64999399999999</v>
      </c>
      <c r="E18" s="99">
        <v>60.57</v>
      </c>
      <c r="F18" s="99">
        <v>62.799999</v>
      </c>
      <c r="G18" s="99">
        <v>106.260002</v>
      </c>
      <c r="H18" s="99">
        <v>39.509998000000003</v>
      </c>
      <c r="I18" s="99">
        <v>28.719999000000001</v>
      </c>
      <c r="J18" s="99">
        <v>38.979999999999997</v>
      </c>
      <c r="K18" s="99">
        <v>9.51</v>
      </c>
      <c r="L18" s="99">
        <v>10.69</v>
      </c>
      <c r="M18" s="1">
        <f t="shared" si="4"/>
        <v>4.915191321714709E-2</v>
      </c>
      <c r="N18" s="1">
        <f t="shared" si="5"/>
        <v>2.751893779066104E-2</v>
      </c>
      <c r="O18" s="1">
        <f t="shared" si="6"/>
        <v>5.2659001517918011E-2</v>
      </c>
      <c r="P18" s="1">
        <f t="shared" si="7"/>
        <v>6.3505504885783312E-2</v>
      </c>
      <c r="Q18" s="1">
        <f t="shared" si="8"/>
        <v>7.1061415896194136E-2</v>
      </c>
      <c r="R18" s="1">
        <f t="shared" si="9"/>
        <v>4.1381102830287446E-2</v>
      </c>
      <c r="S18" s="1">
        <f t="shared" si="10"/>
        <v>1.0200457263454157E-2</v>
      </c>
      <c r="T18" s="1">
        <f t="shared" si="11"/>
        <v>2.1756171860751048E-2</v>
      </c>
      <c r="U18" s="1">
        <f t="shared" si="1"/>
        <v>2.4784482758620736E-2</v>
      </c>
      <c r="V18" s="1">
        <f t="shared" si="1"/>
        <v>2.4928092042185983E-2</v>
      </c>
      <c r="W18" s="1"/>
      <c r="X18" s="2"/>
      <c r="Y18" s="47">
        <v>1</v>
      </c>
      <c r="Z18" s="43" t="s">
        <v>70</v>
      </c>
      <c r="AA18" s="26"/>
      <c r="AB18" s="38"/>
      <c r="AC18" s="2"/>
      <c r="AD18" s="2"/>
      <c r="AE18" s="2"/>
      <c r="AF18" s="2"/>
      <c r="AG18" s="2"/>
      <c r="AH18" s="7"/>
      <c r="AI18" s="128" t="s">
        <v>101</v>
      </c>
      <c r="AJ18" s="7"/>
      <c r="AK18" s="1">
        <f>AK17+0.004</f>
        <v>2.4060504609630464E-2</v>
      </c>
      <c r="AL18" s="132">
        <f>AI19+(0.5)*AI17*Table3[[#This Row],[std]]^2</f>
        <v>7.5913088793622574E-2</v>
      </c>
      <c r="AM18" s="8">
        <f>(Table3[[#This Row],[(E)Return]]-AL17)/(Table3[[#This Row],[std]]-AK17)</f>
        <v>7.7211766133705728E-2</v>
      </c>
      <c r="AN18" s="2"/>
      <c r="AO18" s="32"/>
      <c r="AP18" s="32"/>
      <c r="AQ18" s="32"/>
      <c r="AR18" s="32"/>
      <c r="AS18" s="7"/>
      <c r="AT18" s="52"/>
      <c r="AU18" s="52"/>
      <c r="AV18" s="53"/>
      <c r="AW18" s="54"/>
      <c r="AX18" s="2"/>
      <c r="AY18" s="2"/>
      <c r="AZ18" s="2"/>
      <c r="BA18" s="2"/>
      <c r="BB18" s="2"/>
      <c r="BC18" s="2"/>
      <c r="BD18" s="2"/>
      <c r="BE18" s="2"/>
      <c r="BF18" s="2"/>
      <c r="BJ18" s="10"/>
    </row>
    <row r="19" spans="1:62" x14ac:dyDescent="0.35">
      <c r="A19" s="2"/>
      <c r="B19" s="9">
        <v>45025</v>
      </c>
      <c r="C19" s="99">
        <v>116.050003</v>
      </c>
      <c r="D19" s="99">
        <v>172.44000199999999</v>
      </c>
      <c r="E19" s="99">
        <v>62.060001</v>
      </c>
      <c r="F19" s="99">
        <v>64.949996999999996</v>
      </c>
      <c r="G19" s="99">
        <v>108.5</v>
      </c>
      <c r="H19" s="99">
        <v>40.580002</v>
      </c>
      <c r="I19" s="99">
        <v>29.540001</v>
      </c>
      <c r="J19" s="99">
        <v>40.040000999999997</v>
      </c>
      <c r="K19" s="99">
        <v>10.72</v>
      </c>
      <c r="L19" s="99">
        <v>12.06</v>
      </c>
      <c r="M19" s="1">
        <f t="shared" si="4"/>
        <v>8.6918728720067912E-3</v>
      </c>
      <c r="N19" s="1">
        <f t="shared" si="5"/>
        <v>2.8571477312429851E-2</v>
      </c>
      <c r="O19" s="1">
        <f t="shared" si="6"/>
        <v>2.459965329370975E-2</v>
      </c>
      <c r="P19" s="1">
        <f t="shared" si="7"/>
        <v>3.4235637487828569E-2</v>
      </c>
      <c r="Q19" s="1">
        <f t="shared" si="8"/>
        <v>2.1080349687928671E-2</v>
      </c>
      <c r="R19" s="1">
        <f t="shared" si="9"/>
        <v>2.7081854066406109E-2</v>
      </c>
      <c r="S19" s="1">
        <f t="shared" si="10"/>
        <v>2.8551602665445732E-2</v>
      </c>
      <c r="T19" s="1">
        <f t="shared" si="11"/>
        <v>2.7193458183683936E-2</v>
      </c>
      <c r="U19" s="1">
        <f t="shared" si="1"/>
        <v>0.12723449001051534</v>
      </c>
      <c r="V19" s="1">
        <f t="shared" si="1"/>
        <v>0.12815715622076718</v>
      </c>
      <c r="W19" s="1"/>
      <c r="X19" s="2"/>
      <c r="Y19" s="135">
        <v>2</v>
      </c>
      <c r="Z19" s="123" t="s">
        <v>78</v>
      </c>
      <c r="AA19" s="2"/>
      <c r="AB19" s="38"/>
      <c r="AC19" s="2"/>
      <c r="AD19" s="2"/>
      <c r="AE19" s="2"/>
      <c r="AF19" s="2"/>
      <c r="AG19" s="2"/>
      <c r="AH19" s="131" t="s">
        <v>104</v>
      </c>
      <c r="AI19" s="72">
        <v>7.4899999999999994E-2</v>
      </c>
      <c r="AJ19" s="24" t="s">
        <v>107</v>
      </c>
      <c r="AK19" s="1">
        <f t="shared" ref="AK19:AK36" si="15">AK18+0.004</f>
        <v>2.8060504609630464E-2</v>
      </c>
      <c r="AL19" s="132">
        <f>AI19+(0.5)*AI17*Table3[[#This Row],[std]]^2</f>
        <v>7.6277935858157411E-2</v>
      </c>
      <c r="AM19" s="8">
        <f>(Table3[[#This Row],[(E)Return]]-AL18)/(Table3[[#This Row],[std]]-AK18)</f>
        <v>9.1211766133709321E-2</v>
      </c>
      <c r="AN19" s="2"/>
      <c r="AO19" s="32"/>
      <c r="AP19" s="32"/>
      <c r="AQ19" s="32"/>
      <c r="AR19" s="32"/>
      <c r="AS19" s="7"/>
      <c r="AT19" s="52"/>
      <c r="AU19" s="52"/>
      <c r="AV19" s="53"/>
      <c r="AW19" s="54"/>
      <c r="AX19" s="2"/>
      <c r="AY19" s="2"/>
      <c r="AZ19" s="2"/>
      <c r="BA19" s="2"/>
      <c r="BB19" s="2"/>
      <c r="BC19" s="2"/>
      <c r="BD19" s="2"/>
      <c r="BE19" s="2"/>
      <c r="BF19" s="2"/>
      <c r="BJ19" s="10"/>
    </row>
    <row r="20" spans="1:62" x14ac:dyDescent="0.35">
      <c r="A20" s="2"/>
      <c r="B20" s="9">
        <v>45032</v>
      </c>
      <c r="C20" s="99">
        <v>116.010002</v>
      </c>
      <c r="D20" s="99">
        <v>169.11999499999999</v>
      </c>
      <c r="E20" s="99">
        <v>61.459999000000003</v>
      </c>
      <c r="F20" s="99">
        <v>63.450001</v>
      </c>
      <c r="G20" s="99">
        <v>102.260002</v>
      </c>
      <c r="H20" s="99">
        <v>39.639999000000003</v>
      </c>
      <c r="I20" s="99">
        <v>28.440000999999999</v>
      </c>
      <c r="J20" s="99">
        <v>39.310001</v>
      </c>
      <c r="K20" s="99">
        <v>10.42</v>
      </c>
      <c r="L20" s="99">
        <v>11.6</v>
      </c>
      <c r="M20" s="1">
        <f t="shared" si="4"/>
        <v>-3.4468762572977896E-4</v>
      </c>
      <c r="N20" s="1">
        <f t="shared" si="5"/>
        <v>-1.9253113903350594E-2</v>
      </c>
      <c r="O20" s="1">
        <f t="shared" si="6"/>
        <v>-9.66809523577024E-3</v>
      </c>
      <c r="P20" s="1">
        <f t="shared" si="7"/>
        <v>-2.3094627702600141E-2</v>
      </c>
      <c r="Q20" s="1">
        <f t="shared" si="8"/>
        <v>-5.7511502304147463E-2</v>
      </c>
      <c r="R20" s="1">
        <f t="shared" si="9"/>
        <v>-2.3164193042671543E-2</v>
      </c>
      <c r="S20" s="1">
        <f t="shared" si="10"/>
        <v>-3.7237642612131305E-2</v>
      </c>
      <c r="T20" s="1">
        <f t="shared" si="11"/>
        <v>-1.8231767776429299E-2</v>
      </c>
      <c r="U20" s="1">
        <f t="shared" si="1"/>
        <v>-2.7985074626865735E-2</v>
      </c>
      <c r="V20" s="1">
        <f t="shared" si="1"/>
        <v>-3.814262023217254E-2</v>
      </c>
      <c r="W20" s="1"/>
      <c r="X20" s="2"/>
      <c r="Y20" s="122">
        <v>3</v>
      </c>
      <c r="Z20" s="123" t="s">
        <v>74</v>
      </c>
      <c r="AA20" s="37"/>
      <c r="AB20" s="44"/>
      <c r="AC20" s="37"/>
      <c r="AD20" s="1"/>
      <c r="AE20" s="37"/>
      <c r="AF20" s="37"/>
      <c r="AG20" s="37"/>
      <c r="AH20" s="37"/>
      <c r="AI20" s="128" t="s">
        <v>102</v>
      </c>
      <c r="AJ20" s="37"/>
      <c r="AK20" s="1">
        <f t="shared" si="15"/>
        <v>3.2060504609630461E-2</v>
      </c>
      <c r="AL20" s="132">
        <f>AI19+(0.5)*AI17*Table3[[#This Row],[std]]^2</f>
        <v>7.6698782922692235E-2</v>
      </c>
      <c r="AM20" s="8">
        <v>0</v>
      </c>
      <c r="AN20" s="2"/>
      <c r="AO20" s="32"/>
      <c r="AP20" s="32"/>
      <c r="AQ20" s="32"/>
      <c r="AR20" s="32"/>
      <c r="AS20" s="7"/>
      <c r="AT20" s="52"/>
      <c r="AU20" s="52"/>
      <c r="AV20" s="53"/>
      <c r="AW20" s="54"/>
      <c r="AX20" s="2"/>
      <c r="AY20" s="2"/>
      <c r="AZ20" s="2"/>
      <c r="BA20" s="2"/>
      <c r="BB20" s="2"/>
      <c r="BC20" s="2"/>
      <c r="BD20" s="2"/>
      <c r="BE20" s="2"/>
      <c r="BF20" s="2"/>
      <c r="BJ20" s="10"/>
    </row>
    <row r="21" spans="1:62" x14ac:dyDescent="0.35">
      <c r="A21" s="2"/>
      <c r="B21" s="9">
        <v>45039</v>
      </c>
      <c r="C21" s="99">
        <v>118.339996</v>
      </c>
      <c r="D21" s="99">
        <v>168.58000200000001</v>
      </c>
      <c r="E21" s="99">
        <v>61.98</v>
      </c>
      <c r="F21" s="99">
        <v>63.93</v>
      </c>
      <c r="G21" s="99">
        <v>102.889999</v>
      </c>
      <c r="H21" s="99">
        <v>40.279998999999997</v>
      </c>
      <c r="I21" s="99">
        <v>28.74</v>
      </c>
      <c r="J21" s="99">
        <v>39.759998000000003</v>
      </c>
      <c r="K21" s="99">
        <v>9.49</v>
      </c>
      <c r="L21" s="99">
        <v>10.62</v>
      </c>
      <c r="M21" s="1">
        <f t="shared" si="4"/>
        <v>2.008442341031939E-2</v>
      </c>
      <c r="N21" s="1">
        <f t="shared" si="5"/>
        <v>-3.1929577575967958E-3</v>
      </c>
      <c r="O21" s="1">
        <f t="shared" si="6"/>
        <v>8.4608039124763647E-3</v>
      </c>
      <c r="P21" s="1">
        <f t="shared" si="7"/>
        <v>7.5649959406619933E-3</v>
      </c>
      <c r="Q21" s="1">
        <f t="shared" si="8"/>
        <v>6.1607372157102347E-3</v>
      </c>
      <c r="R21" s="1">
        <f t="shared" si="9"/>
        <v>1.6145308177227587E-2</v>
      </c>
      <c r="S21" s="1">
        <f t="shared" si="10"/>
        <v>1.0548487674103798E-2</v>
      </c>
      <c r="T21" s="1">
        <f t="shared" si="11"/>
        <v>1.1447392229778964E-2</v>
      </c>
      <c r="U21" s="1">
        <f t="shared" si="1"/>
        <v>-8.9251439539347388E-2</v>
      </c>
      <c r="V21" s="1">
        <f t="shared" si="1"/>
        <v>-8.4482758620689699E-2</v>
      </c>
      <c r="W21" s="1"/>
      <c r="X21" s="2"/>
      <c r="Y21" s="122">
        <v>4</v>
      </c>
      <c r="Z21" s="123" t="s">
        <v>75</v>
      </c>
      <c r="AA21" s="37"/>
      <c r="AB21" s="44"/>
      <c r="AC21" s="37"/>
      <c r="AD21" s="4"/>
      <c r="AE21" s="37"/>
      <c r="AF21" s="37"/>
      <c r="AG21" s="37"/>
      <c r="AH21" s="37"/>
      <c r="AJ21" s="37"/>
      <c r="AK21" s="1">
        <f t="shared" si="15"/>
        <v>3.6060504609630464E-2</v>
      </c>
      <c r="AL21" s="132">
        <f>AI19+(0.5)*AI17*Table3[[#This Row],[std]]^2</f>
        <v>7.717562998722706E-2</v>
      </c>
      <c r="AM21" s="8">
        <v>0</v>
      </c>
      <c r="AN21" s="2"/>
      <c r="AO21" s="32"/>
      <c r="AP21" s="32"/>
      <c r="AQ21" s="32"/>
      <c r="AR21" s="32"/>
      <c r="AS21" s="7"/>
      <c r="AT21" s="52"/>
      <c r="AU21" s="52"/>
      <c r="AV21" s="53"/>
      <c r="AW21" s="54"/>
      <c r="AX21" s="2"/>
      <c r="AY21" s="2"/>
      <c r="AZ21" s="2"/>
      <c r="BA21" s="2"/>
      <c r="BB21" s="2"/>
      <c r="BC21" s="2"/>
      <c r="BD21" s="2"/>
      <c r="BE21" s="2"/>
      <c r="BF21" s="2"/>
      <c r="BJ21" s="10"/>
    </row>
    <row r="22" spans="1:62" x14ac:dyDescent="0.35">
      <c r="A22" s="2"/>
      <c r="B22" s="9">
        <v>45046</v>
      </c>
      <c r="C22" s="99">
        <v>108.68</v>
      </c>
      <c r="D22" s="99">
        <v>160.21000699999999</v>
      </c>
      <c r="E22" s="99">
        <v>61.130001</v>
      </c>
      <c r="F22" s="99">
        <v>61.919998</v>
      </c>
      <c r="G22" s="99">
        <v>100.370003</v>
      </c>
      <c r="H22" s="99">
        <v>37.130001</v>
      </c>
      <c r="I22" s="99">
        <v>29.540001</v>
      </c>
      <c r="J22" s="99">
        <v>39.909999999999997</v>
      </c>
      <c r="K22" s="99">
        <v>9.7200000000000006</v>
      </c>
      <c r="L22" s="99">
        <v>10.82</v>
      </c>
      <c r="M22" s="1">
        <f t="shared" si="4"/>
        <v>-8.1629172946735551E-2</v>
      </c>
      <c r="N22" s="1">
        <f t="shared" si="5"/>
        <v>-4.9649987547158866E-2</v>
      </c>
      <c r="O22" s="1">
        <f t="shared" si="6"/>
        <v>-1.3714085188770521E-2</v>
      </c>
      <c r="P22" s="1">
        <f t="shared" si="7"/>
        <v>-3.1440669482246206E-2</v>
      </c>
      <c r="Q22" s="1">
        <f t="shared" si="8"/>
        <v>-2.449213747198118E-2</v>
      </c>
      <c r="R22" s="1">
        <f t="shared" si="9"/>
        <v>-7.8202534215554398E-2</v>
      </c>
      <c r="S22" s="1">
        <f t="shared" si="10"/>
        <v>2.7835803757828872E-2</v>
      </c>
      <c r="T22" s="1">
        <f t="shared" si="11"/>
        <v>3.772686306472991E-3</v>
      </c>
      <c r="U22" s="1">
        <f t="shared" si="11"/>
        <v>2.4236037934668116E-2</v>
      </c>
      <c r="V22" s="1">
        <f t="shared" ref="V22:V29" si="16">(L22-L21)/L21</f>
        <v>1.8832391713747749E-2</v>
      </c>
      <c r="W22" s="1"/>
      <c r="X22" s="2"/>
      <c r="Y22" s="122">
        <v>5</v>
      </c>
      <c r="Z22" s="130" t="s">
        <v>76</v>
      </c>
      <c r="AA22" s="37"/>
      <c r="AB22" s="44"/>
      <c r="AC22" s="37"/>
      <c r="AD22" s="1"/>
      <c r="AE22" s="37"/>
      <c r="AF22" s="37"/>
      <c r="AG22" s="37"/>
      <c r="AH22" s="37"/>
      <c r="AI22" s="37"/>
      <c r="AJ22" s="37"/>
      <c r="AK22" s="1">
        <f t="shared" si="15"/>
        <v>4.0060504609630468E-2</v>
      </c>
      <c r="AL22" s="132">
        <f>AI19+(0.5)*AI17*Table3[[#This Row],[std]]^2</f>
        <v>7.7708477051761884E-2</v>
      </c>
      <c r="AM22" s="8">
        <f>(Table3[[#This Row],[(E)Return]]-AL21)/(Table3[[#This Row],[std]]-AK21)</f>
        <v>0.13321176613370611</v>
      </c>
      <c r="AN22" s="2"/>
      <c r="AO22" s="32"/>
      <c r="AP22" s="32"/>
      <c r="AQ22" s="32"/>
      <c r="AR22" s="32"/>
      <c r="AS22" s="7"/>
      <c r="AT22" s="52"/>
      <c r="AU22" s="52"/>
      <c r="AV22" s="53"/>
      <c r="AW22" s="54"/>
      <c r="AX22" s="2"/>
      <c r="AY22" s="2"/>
      <c r="AZ22" s="2"/>
      <c r="BA22" s="2"/>
      <c r="BB22" s="2"/>
      <c r="BC22" s="2"/>
      <c r="BD22" s="2"/>
      <c r="BE22" s="2"/>
      <c r="BF22" s="2"/>
      <c r="BJ22" s="10"/>
    </row>
    <row r="23" spans="1:62" x14ac:dyDescent="0.35">
      <c r="A23" s="2"/>
      <c r="B23" s="9">
        <v>45053</v>
      </c>
      <c r="C23" s="99">
        <v>105.779999</v>
      </c>
      <c r="D23" s="99">
        <v>156.61999499999999</v>
      </c>
      <c r="E23" s="99">
        <v>60.360000999999997</v>
      </c>
      <c r="F23" s="99">
        <v>60.27</v>
      </c>
      <c r="G23" s="99">
        <v>99.43</v>
      </c>
      <c r="H23" s="99">
        <v>35.810001</v>
      </c>
      <c r="I23" s="99">
        <v>27.889999</v>
      </c>
      <c r="J23" s="99">
        <v>38.439999</v>
      </c>
      <c r="K23" s="99">
        <v>10.67</v>
      </c>
      <c r="L23" s="99">
        <v>11.86</v>
      </c>
      <c r="M23" s="1">
        <f t="shared" si="4"/>
        <v>-2.6683851674641174E-2</v>
      </c>
      <c r="N23" s="1">
        <f t="shared" si="5"/>
        <v>-2.2408163305304655E-2</v>
      </c>
      <c r="O23" s="1">
        <f t="shared" si="6"/>
        <v>-1.2596106451887726E-2</v>
      </c>
      <c r="P23" s="1">
        <f t="shared" si="7"/>
        <v>-2.6647255382663233E-2</v>
      </c>
      <c r="Q23" s="1">
        <f t="shared" si="8"/>
        <v>-9.365377821100496E-3</v>
      </c>
      <c r="R23" s="1">
        <f t="shared" si="9"/>
        <v>-3.5550766615923345E-2</v>
      </c>
      <c r="S23" s="1">
        <f t="shared" si="10"/>
        <v>-5.5856531623001658E-2</v>
      </c>
      <c r="T23" s="1">
        <f t="shared" si="11"/>
        <v>-3.6832899022801215E-2</v>
      </c>
      <c r="U23" s="1">
        <f t="shared" si="11"/>
        <v>9.7736625514403208E-2</v>
      </c>
      <c r="V23" s="1">
        <f t="shared" si="16"/>
        <v>9.6118299445471261E-2</v>
      </c>
      <c r="W23" s="1"/>
      <c r="X23" s="2"/>
      <c r="Y23" s="42">
        <v>6</v>
      </c>
      <c r="Z23" s="7" t="s">
        <v>77</v>
      </c>
      <c r="AA23" s="37"/>
      <c r="AB23" s="44"/>
      <c r="AC23" s="37"/>
      <c r="AD23" s="1"/>
      <c r="AE23" s="37"/>
      <c r="AF23" s="37"/>
      <c r="AG23" s="37"/>
      <c r="AH23" s="37" t="s">
        <v>88</v>
      </c>
      <c r="AI23" s="37"/>
      <c r="AJ23" s="37"/>
      <c r="AK23" s="1">
        <f t="shared" si="15"/>
        <v>4.4060504609630471E-2</v>
      </c>
      <c r="AL23" s="132">
        <f>AI19+(0.5)*AI17*Table3[[#This Row],[std]]^2</f>
        <v>7.829732411629671E-2</v>
      </c>
      <c r="AM23" s="8">
        <f>(Table3[[#This Row],[(E)Return]]-AL22)/(Table3[[#This Row],[std]]-AK22)</f>
        <v>0.14721176613370621</v>
      </c>
      <c r="AN23" s="2"/>
      <c r="AO23" s="32"/>
      <c r="AP23" s="32"/>
      <c r="AQ23" s="32"/>
      <c r="AR23" s="32"/>
      <c r="AS23" s="7"/>
      <c r="AT23" s="52"/>
      <c r="AU23" s="52"/>
      <c r="AV23" s="53"/>
      <c r="AW23" s="54"/>
      <c r="AX23" s="2"/>
      <c r="AY23" s="2"/>
      <c r="AZ23" s="2"/>
      <c r="BA23" s="2"/>
      <c r="BB23" s="2"/>
      <c r="BC23" s="2"/>
      <c r="BD23" s="2"/>
      <c r="BE23" s="2"/>
      <c r="BF23" s="2"/>
      <c r="BJ23" s="10"/>
    </row>
    <row r="24" spans="1:62" x14ac:dyDescent="0.35">
      <c r="A24" s="2"/>
      <c r="B24" s="9">
        <v>45060</v>
      </c>
      <c r="C24" s="99">
        <v>106.260002</v>
      </c>
      <c r="D24" s="99">
        <v>155.229996</v>
      </c>
      <c r="E24" s="99">
        <v>60.419998</v>
      </c>
      <c r="F24" s="99">
        <v>60.43</v>
      </c>
      <c r="G24" s="99">
        <v>102.599998</v>
      </c>
      <c r="H24" s="99">
        <v>36.029998999999997</v>
      </c>
      <c r="I24" s="99">
        <v>27.620000999999998</v>
      </c>
      <c r="J24" s="99">
        <v>37.090000000000003</v>
      </c>
      <c r="K24" s="99">
        <v>10.38</v>
      </c>
      <c r="L24" s="99">
        <v>11.71</v>
      </c>
      <c r="M24" s="1">
        <f t="shared" si="4"/>
        <v>4.5377481994492777E-3</v>
      </c>
      <c r="N24" s="1">
        <f t="shared" si="5"/>
        <v>-8.8749779362461926E-3</v>
      </c>
      <c r="O24" s="1">
        <f t="shared" si="6"/>
        <v>9.9398606703142282E-4</v>
      </c>
      <c r="P24" s="1">
        <f t="shared" si="7"/>
        <v>2.6547204247552112E-3</v>
      </c>
      <c r="Q24" s="1">
        <f t="shared" si="8"/>
        <v>3.188170572261885E-2</v>
      </c>
      <c r="R24" s="1">
        <f t="shared" si="9"/>
        <v>6.1434793034492461E-3</v>
      </c>
      <c r="S24" s="1">
        <f t="shared" si="10"/>
        <v>-9.6808178444180316E-3</v>
      </c>
      <c r="T24" s="1">
        <f t="shared" si="11"/>
        <v>-3.5119641912581656E-2</v>
      </c>
      <c r="U24" s="1">
        <f t="shared" si="11"/>
        <v>-2.7179006560449779E-2</v>
      </c>
      <c r="V24" s="1">
        <f t="shared" si="16"/>
        <v>-1.2647554806070707E-2</v>
      </c>
      <c r="W24" s="1"/>
      <c r="X24" s="2"/>
      <c r="Y24" s="42">
        <v>7</v>
      </c>
      <c r="Z24" s="7" t="s">
        <v>94</v>
      </c>
      <c r="AA24" s="37"/>
      <c r="AB24" s="44"/>
      <c r="AC24" s="37"/>
      <c r="AD24" s="1"/>
      <c r="AE24" s="37"/>
      <c r="AF24" s="37"/>
      <c r="AG24" s="37"/>
      <c r="AH24" s="37"/>
      <c r="AI24" s="37"/>
      <c r="AJ24" s="37"/>
      <c r="AK24" s="1">
        <f t="shared" si="15"/>
        <v>4.8060504609630475E-2</v>
      </c>
      <c r="AL24" s="132">
        <f>AI19+(0.5)*AI17*Table3[[#This Row],[std]]^2</f>
        <v>7.8942171180831536E-2</v>
      </c>
      <c r="AM24" s="8">
        <v>0</v>
      </c>
      <c r="AN24" s="2"/>
      <c r="AO24" s="32"/>
      <c r="AP24" s="32"/>
      <c r="AQ24" s="32"/>
      <c r="AR24" s="32"/>
      <c r="AS24" s="7"/>
      <c r="AT24" s="52"/>
      <c r="AU24" s="52"/>
      <c r="AV24" s="53"/>
      <c r="AW24" s="54"/>
      <c r="AX24" s="2"/>
      <c r="AY24" s="2"/>
      <c r="AZ24" s="2"/>
      <c r="BA24" s="2"/>
      <c r="BB24" s="2"/>
      <c r="BC24" s="2"/>
      <c r="BD24" s="2"/>
      <c r="BE24" s="2"/>
      <c r="BF24" s="2"/>
      <c r="BJ24" s="10"/>
    </row>
    <row r="25" spans="1:62" x14ac:dyDescent="0.35">
      <c r="A25" s="2"/>
      <c r="B25" s="9">
        <v>45067</v>
      </c>
      <c r="C25" s="99">
        <v>104.970001</v>
      </c>
      <c r="D25" s="99">
        <v>154.08000200000001</v>
      </c>
      <c r="E25" s="99">
        <v>58.779998999999997</v>
      </c>
      <c r="F25" s="99">
        <v>59.669998</v>
      </c>
      <c r="G25" s="99">
        <v>101.849998</v>
      </c>
      <c r="H25" s="99">
        <v>35.549999</v>
      </c>
      <c r="I25" s="99">
        <v>26.530000999999999</v>
      </c>
      <c r="J25" s="99">
        <v>35.880001</v>
      </c>
      <c r="K25" s="99">
        <v>10.7</v>
      </c>
      <c r="L25" s="99">
        <v>11.97</v>
      </c>
      <c r="M25" s="1">
        <f t="shared" si="4"/>
        <v>-1.2140043061546374E-2</v>
      </c>
      <c r="N25" s="1">
        <f t="shared" si="5"/>
        <v>-7.4083233243141516E-3</v>
      </c>
      <c r="O25" s="1">
        <f t="shared" si="6"/>
        <v>-2.7143314370847927E-2</v>
      </c>
      <c r="P25" s="1">
        <f t="shared" si="7"/>
        <v>-1.2576567929836175E-2</v>
      </c>
      <c r="Q25" s="1">
        <f t="shared" si="8"/>
        <v>-7.3099416629618255E-3</v>
      </c>
      <c r="R25" s="1">
        <f t="shared" si="9"/>
        <v>-1.3322231843525639E-2</v>
      </c>
      <c r="S25" s="1">
        <f t="shared" si="10"/>
        <v>-3.9464154979574402E-2</v>
      </c>
      <c r="T25" s="1">
        <f t="shared" si="11"/>
        <v>-3.2623321650040532E-2</v>
      </c>
      <c r="U25" s="1">
        <f t="shared" si="11"/>
        <v>3.082851637764918E-2</v>
      </c>
      <c r="V25" s="1">
        <f t="shared" si="16"/>
        <v>2.220324508966693E-2</v>
      </c>
      <c r="W25" s="1"/>
      <c r="X25" s="136" t="s">
        <v>110</v>
      </c>
      <c r="Y25" s="42">
        <v>8</v>
      </c>
      <c r="Z25" s="7" t="s">
        <v>93</v>
      </c>
      <c r="AA25" s="37"/>
      <c r="AB25" s="44"/>
      <c r="AC25" s="37"/>
      <c r="AD25" s="1"/>
      <c r="AE25" s="37"/>
      <c r="AF25" s="37"/>
      <c r="AG25" s="37"/>
      <c r="AH25" s="37"/>
      <c r="AI25" s="37"/>
      <c r="AJ25" s="37"/>
      <c r="AK25" s="1">
        <f t="shared" si="15"/>
        <v>5.2060504609630479E-2</v>
      </c>
      <c r="AL25" s="132">
        <f>AI19+(0.5)*AI17*Table3[[#This Row],[std]]^2</f>
        <v>7.9643018245366362E-2</v>
      </c>
      <c r="AM25" s="8">
        <f>(Table3[[#This Row],[(E)Return]]-AL24)/(Table3[[#This Row],[std]]-AK24)</f>
        <v>0.17521176613370643</v>
      </c>
      <c r="AN25" s="2"/>
      <c r="AO25" s="32"/>
      <c r="AP25" s="32"/>
      <c r="AQ25" s="32"/>
      <c r="AR25" s="32"/>
      <c r="AS25" s="7"/>
      <c r="AT25" s="52"/>
      <c r="AU25" s="52"/>
      <c r="AV25" s="53"/>
      <c r="AW25" s="54"/>
      <c r="AX25" s="2"/>
      <c r="AY25" s="2"/>
      <c r="AZ25" s="2"/>
      <c r="BA25" s="2"/>
      <c r="BB25" s="2"/>
      <c r="BC25" s="2"/>
      <c r="BD25" s="2"/>
      <c r="BE25" s="2"/>
      <c r="BF25" s="2"/>
      <c r="BJ25" s="10"/>
    </row>
    <row r="26" spans="1:62" x14ac:dyDescent="0.35">
      <c r="A26" s="2"/>
      <c r="B26" s="9">
        <v>45074</v>
      </c>
      <c r="C26" s="99">
        <v>105.760002</v>
      </c>
      <c r="D26" s="99">
        <v>156.259995</v>
      </c>
      <c r="E26" s="99">
        <v>58.259998000000003</v>
      </c>
      <c r="F26" s="99">
        <v>59.200001</v>
      </c>
      <c r="G26" s="99">
        <v>102.349998</v>
      </c>
      <c r="H26" s="99">
        <v>35.650002000000001</v>
      </c>
      <c r="I26" s="99">
        <v>26.889999</v>
      </c>
      <c r="J26" s="99">
        <v>37.43</v>
      </c>
      <c r="K26" s="99">
        <v>10.95</v>
      </c>
      <c r="L26" s="99">
        <v>12.24</v>
      </c>
      <c r="M26" s="1">
        <f t="shared" si="4"/>
        <v>7.5259692528725783E-3</v>
      </c>
      <c r="N26" s="1">
        <f t="shared" si="5"/>
        <v>1.4148448674085531E-2</v>
      </c>
      <c r="O26" s="1">
        <f t="shared" si="6"/>
        <v>-8.846563607460993E-3</v>
      </c>
      <c r="P26" s="1">
        <f t="shared" si="7"/>
        <v>-7.8766049229631162E-3</v>
      </c>
      <c r="Q26" s="1">
        <f t="shared" si="8"/>
        <v>4.9091802633123276E-3</v>
      </c>
      <c r="R26" s="1">
        <f t="shared" si="9"/>
        <v>2.8130239891146257E-3</v>
      </c>
      <c r="S26" s="1">
        <f t="shared" si="10"/>
        <v>1.3569468014720427E-2</v>
      </c>
      <c r="T26" s="1">
        <f t="shared" si="11"/>
        <v>4.3199524994439097E-2</v>
      </c>
      <c r="U26" s="1">
        <f t="shared" si="11"/>
        <v>2.3364485981308414E-2</v>
      </c>
      <c r="V26" s="1">
        <f t="shared" si="16"/>
        <v>2.2556390977443573E-2</v>
      </c>
      <c r="W26" s="1"/>
      <c r="X26" s="2"/>
      <c r="Y26" s="7"/>
      <c r="Z26" s="37"/>
      <c r="AA26" s="37"/>
      <c r="AB26" s="44"/>
      <c r="AC26" s="37"/>
      <c r="AD26" s="1"/>
      <c r="AE26" s="37"/>
      <c r="AF26" s="37"/>
      <c r="AG26" s="37"/>
      <c r="AH26" s="37"/>
      <c r="AI26" s="37"/>
      <c r="AJ26" s="37"/>
      <c r="AK26" s="1">
        <f t="shared" si="15"/>
        <v>5.6060504609630482E-2</v>
      </c>
      <c r="AL26" s="132">
        <f>AI19+(0.5)*AI17*Table3[[#This Row],[std]]^2</f>
        <v>8.0399865309901203E-2</v>
      </c>
      <c r="AM26" s="8">
        <f>(Table3[[#This Row],[(E)Return]]-AL25)/(Table3[[#This Row],[std]]-AK25)</f>
        <v>0.18921176613371002</v>
      </c>
      <c r="AN26" s="2"/>
      <c r="AO26" s="32"/>
      <c r="AP26" s="32"/>
      <c r="AQ26" s="32"/>
      <c r="AR26" s="32"/>
      <c r="AS26" s="7"/>
      <c r="AT26" s="52"/>
      <c r="AU26" s="52"/>
      <c r="AV26" s="53"/>
      <c r="AW26" s="54"/>
      <c r="AX26" s="2"/>
      <c r="AY26" s="2"/>
      <c r="AZ26" s="2"/>
      <c r="BA26" s="2"/>
      <c r="BB26" s="2"/>
      <c r="BC26" s="2"/>
      <c r="BD26" s="2"/>
      <c r="BE26" s="2"/>
      <c r="BF26" s="2"/>
      <c r="BJ26" s="10"/>
    </row>
    <row r="27" spans="1:62" x14ac:dyDescent="0.35">
      <c r="A27" s="2"/>
      <c r="B27" s="9">
        <v>45081</v>
      </c>
      <c r="C27" s="99">
        <v>107.389999</v>
      </c>
      <c r="D27" s="99">
        <v>158.86000100000001</v>
      </c>
      <c r="E27" s="99">
        <v>58.43</v>
      </c>
      <c r="F27" s="99">
        <v>59.080002</v>
      </c>
      <c r="G27" s="99">
        <v>103.889999</v>
      </c>
      <c r="H27" s="99">
        <v>35.470001000000003</v>
      </c>
      <c r="I27" s="99">
        <v>29.209999</v>
      </c>
      <c r="J27" s="99">
        <v>37.939999</v>
      </c>
      <c r="K27" s="99">
        <v>12.44</v>
      </c>
      <c r="L27" s="99">
        <v>13.76</v>
      </c>
      <c r="M27" s="1">
        <f t="shared" si="4"/>
        <v>1.5412225502794554E-2</v>
      </c>
      <c r="N27" s="1">
        <f t="shared" si="5"/>
        <v>1.6638974038108777E-2</v>
      </c>
      <c r="O27" s="1">
        <f t="shared" si="6"/>
        <v>2.9179884283551923E-3</v>
      </c>
      <c r="P27" s="1">
        <f t="shared" si="7"/>
        <v>-2.0270101008950992E-3</v>
      </c>
      <c r="Q27" s="1">
        <f t="shared" si="8"/>
        <v>1.5046419443994555E-2</v>
      </c>
      <c r="R27" s="1">
        <f t="shared" si="9"/>
        <v>-5.0491161262767167E-3</v>
      </c>
      <c r="S27" s="1">
        <f t="shared" si="10"/>
        <v>8.6277429761153962E-2</v>
      </c>
      <c r="T27" s="1">
        <f t="shared" si="11"/>
        <v>1.362540742719745E-2</v>
      </c>
      <c r="U27" s="1">
        <f t="shared" si="11"/>
        <v>0.13607305936073061</v>
      </c>
      <c r="V27" s="1">
        <f t="shared" si="16"/>
        <v>0.12418300653594767</v>
      </c>
      <c r="W27" s="1"/>
      <c r="X27" s="2"/>
      <c r="Y27" s="7"/>
      <c r="Z27" s="37"/>
      <c r="AA27" s="37"/>
      <c r="AB27" s="44"/>
      <c r="AC27" s="37"/>
      <c r="AD27" s="1"/>
      <c r="AE27" s="37"/>
      <c r="AF27" s="37"/>
      <c r="AG27" s="37"/>
      <c r="AH27" s="37"/>
      <c r="AI27" s="37"/>
      <c r="AJ27" s="37"/>
      <c r="AK27" s="1">
        <f t="shared" si="15"/>
        <v>6.0060504609630486E-2</v>
      </c>
      <c r="AL27" s="132">
        <f>AI19+(0.5)*AI17*Table3[[#This Row],[std]]^2</f>
        <v>8.121271237443603E-2</v>
      </c>
      <c r="AM27" s="8">
        <f>(Table3[[#This Row],[(E)Return]]-AL26)/(Table3[[#This Row],[std]]-AK26)</f>
        <v>0.20321176613370664</v>
      </c>
      <c r="AN27" s="2"/>
      <c r="AO27" s="32"/>
      <c r="AP27" s="32"/>
      <c r="AQ27" s="32"/>
      <c r="AR27" s="32"/>
      <c r="AS27" s="7"/>
      <c r="AT27" s="52"/>
      <c r="AU27" s="52"/>
      <c r="AV27" s="53"/>
      <c r="AW27" s="54"/>
      <c r="AX27" s="56"/>
      <c r="AY27" s="57"/>
      <c r="AZ27" s="8"/>
      <c r="BA27" s="2"/>
      <c r="BB27" s="2"/>
      <c r="BC27" s="2"/>
      <c r="BD27" s="2"/>
      <c r="BE27" s="2"/>
      <c r="BF27" s="2"/>
      <c r="BJ27" s="10"/>
    </row>
    <row r="28" spans="1:62" x14ac:dyDescent="0.35">
      <c r="A28" s="2"/>
      <c r="B28" s="9">
        <v>45088</v>
      </c>
      <c r="C28" s="99">
        <v>105.129997</v>
      </c>
      <c r="D28" s="99">
        <v>157.259995</v>
      </c>
      <c r="E28" s="99">
        <v>60.349997999999999</v>
      </c>
      <c r="F28" s="99">
        <v>58.040000999999997</v>
      </c>
      <c r="G28" s="99">
        <v>104.91999800000001</v>
      </c>
      <c r="H28" s="99">
        <v>35.349997999999999</v>
      </c>
      <c r="I28" s="99">
        <v>30.129999000000002</v>
      </c>
      <c r="J28" s="99">
        <v>37.479999999999997</v>
      </c>
      <c r="K28" s="99">
        <v>12.37</v>
      </c>
      <c r="L28" s="99">
        <v>13.9</v>
      </c>
      <c r="M28" s="1">
        <f t="shared" si="4"/>
        <v>-2.1044808837366692E-2</v>
      </c>
      <c r="N28" s="1">
        <f t="shared" si="5"/>
        <v>-1.0071799004961655E-2</v>
      </c>
      <c r="O28" s="1">
        <f t="shared" si="6"/>
        <v>3.2859798048947453E-2</v>
      </c>
      <c r="P28" s="1">
        <f t="shared" si="7"/>
        <v>-1.7603266161026938E-2</v>
      </c>
      <c r="Q28" s="1">
        <f t="shared" si="8"/>
        <v>9.9143229368979357E-3</v>
      </c>
      <c r="R28" s="1">
        <f t="shared" si="9"/>
        <v>-3.383225165401153E-3</v>
      </c>
      <c r="S28" s="1">
        <f t="shared" si="10"/>
        <v>3.1496064070389108E-2</v>
      </c>
      <c r="T28" s="1">
        <f t="shared" si="11"/>
        <v>-1.2124380920516192E-2</v>
      </c>
      <c r="U28" s="1">
        <f t="shared" si="11"/>
        <v>-5.6270096463022735E-3</v>
      </c>
      <c r="V28" s="1">
        <f t="shared" si="16"/>
        <v>1.0174418604651203E-2</v>
      </c>
      <c r="W28" s="1"/>
      <c r="X28" s="2"/>
      <c r="Y28" s="7"/>
      <c r="Z28" s="37"/>
      <c r="AA28" s="37"/>
      <c r="AB28" s="44"/>
      <c r="AC28" s="37"/>
      <c r="AD28" s="1"/>
      <c r="AE28" s="37"/>
      <c r="AF28" s="37"/>
      <c r="AG28" s="37"/>
      <c r="AH28" s="37"/>
      <c r="AI28" s="37"/>
      <c r="AJ28" s="37"/>
      <c r="AK28" s="1">
        <f t="shared" si="15"/>
        <v>6.4060504609630489E-2</v>
      </c>
      <c r="AL28" s="132">
        <f>AI19+(0.5)*AI17*Table3[[#This Row],[std]]^2</f>
        <v>8.2081559438970844E-2</v>
      </c>
      <c r="AM28" s="8">
        <f>(Table3[[#This Row],[(E)Return]]-AL27)/(Table3[[#This Row],[std]]-AK27)</f>
        <v>0.2172117661337033</v>
      </c>
      <c r="AN28" s="2"/>
      <c r="AO28" s="32"/>
      <c r="AP28" s="32"/>
      <c r="AQ28" s="32"/>
      <c r="AR28" s="32"/>
      <c r="AS28" s="7"/>
      <c r="AT28" s="52"/>
      <c r="AU28" s="52"/>
      <c r="AV28" s="53"/>
      <c r="AW28" s="54"/>
      <c r="AX28" s="56"/>
      <c r="AY28" s="57"/>
      <c r="AZ28" s="8"/>
      <c r="BA28" s="2"/>
      <c r="BB28" s="2"/>
      <c r="BC28" s="2"/>
      <c r="BD28" s="2"/>
      <c r="BE28" s="2"/>
      <c r="BF28" s="2"/>
      <c r="BJ28" s="10"/>
    </row>
    <row r="29" spans="1:62" x14ac:dyDescent="0.35">
      <c r="A29" s="2"/>
      <c r="B29" s="9">
        <v>45095</v>
      </c>
      <c r="C29" s="99">
        <v>103.300003</v>
      </c>
      <c r="D29" s="99">
        <v>152.63999899999999</v>
      </c>
      <c r="E29" s="99">
        <v>60.09</v>
      </c>
      <c r="F29" s="99">
        <v>57.419998</v>
      </c>
      <c r="G29" s="99">
        <v>101.43</v>
      </c>
      <c r="H29" s="99">
        <v>35.240001999999997</v>
      </c>
      <c r="I29" s="99">
        <v>29.299999</v>
      </c>
      <c r="J29" s="99">
        <v>36.689999</v>
      </c>
      <c r="K29" s="99">
        <v>13.17</v>
      </c>
      <c r="L29" s="99">
        <v>14.68</v>
      </c>
      <c r="M29" s="1">
        <f t="shared" si="4"/>
        <v>-1.7406963304678866E-2</v>
      </c>
      <c r="N29" s="1">
        <f t="shared" si="5"/>
        <v>-2.9378075460322981E-2</v>
      </c>
      <c r="O29" s="1">
        <f t="shared" si="6"/>
        <v>-4.308169156857237E-3</v>
      </c>
      <c r="P29" s="1">
        <f t="shared" si="7"/>
        <v>-1.0682339581627454E-2</v>
      </c>
      <c r="Q29" s="1">
        <f t="shared" si="8"/>
        <v>-3.326342038245178E-2</v>
      </c>
      <c r="R29" s="1">
        <f t="shared" si="9"/>
        <v>-3.1116267672773963E-3</v>
      </c>
      <c r="S29" s="1">
        <f t="shared" si="10"/>
        <v>-2.7547295969044067E-2</v>
      </c>
      <c r="T29" s="1">
        <f t="shared" si="11"/>
        <v>-2.1077934898612503E-2</v>
      </c>
      <c r="U29" s="1">
        <f t="shared" si="11"/>
        <v>6.4672594987873949E-2</v>
      </c>
      <c r="V29" s="1">
        <f t="shared" si="16"/>
        <v>5.611510791366902E-2</v>
      </c>
      <c r="W29" s="1"/>
      <c r="X29" s="2"/>
      <c r="Y29" s="43"/>
      <c r="Z29" s="37"/>
      <c r="AA29" s="37"/>
      <c r="AB29" s="44"/>
      <c r="AC29" s="37"/>
      <c r="AD29" s="1"/>
      <c r="AE29" s="37"/>
      <c r="AF29" s="37"/>
      <c r="AG29" s="37"/>
      <c r="AH29" s="37"/>
      <c r="AI29" s="37"/>
      <c r="AJ29" s="37"/>
      <c r="AK29" s="1">
        <f t="shared" si="15"/>
        <v>6.8060504609630493E-2</v>
      </c>
      <c r="AL29" s="132">
        <f>AI19+(0.5)*AI17*Table3[[#This Row],[std]]^2</f>
        <v>8.3006406503505686E-2</v>
      </c>
      <c r="AM29" s="8">
        <f>(Table3[[#This Row],[(E)Return]]-AL28)/(Table3[[#This Row],[std]]-AK28)</f>
        <v>0.23121176613371036</v>
      </c>
      <c r="AN29" s="2"/>
      <c r="AO29" s="32"/>
      <c r="AP29" s="32"/>
      <c r="AQ29" s="32"/>
      <c r="AR29" s="32"/>
      <c r="AS29" s="7"/>
      <c r="AT29" s="52"/>
      <c r="AU29" s="52"/>
      <c r="AV29" s="53"/>
      <c r="AW29" s="54"/>
      <c r="AX29" s="56"/>
      <c r="AY29" s="57"/>
      <c r="AZ29" s="8"/>
      <c r="BA29" s="2"/>
      <c r="BB29" s="2"/>
      <c r="BC29" s="2"/>
      <c r="BD29" s="2"/>
      <c r="BE29" s="2"/>
      <c r="BF29" s="2"/>
      <c r="BJ29" s="10"/>
    </row>
    <row r="30" spans="1:62" x14ac:dyDescent="0.35">
      <c r="A30" s="2"/>
      <c r="B30" s="9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1"/>
      <c r="X30" s="2"/>
      <c r="Y30" s="116"/>
      <c r="Z30" s="117" t="s">
        <v>92</v>
      </c>
      <c r="AA30" s="37"/>
      <c r="AB30" s="44"/>
      <c r="AC30" s="37"/>
      <c r="AD30" s="1"/>
      <c r="AE30" s="37"/>
      <c r="AF30" s="37"/>
      <c r="AG30" s="37"/>
      <c r="AH30" s="37"/>
      <c r="AI30" s="37"/>
      <c r="AJ30" s="37"/>
      <c r="AK30" s="1">
        <f t="shared" si="15"/>
        <v>7.2060504609630496E-2</v>
      </c>
      <c r="AL30" s="132">
        <f>AI19+(0.5)*AI17*Table3[[#This Row],[std]]^2</f>
        <v>8.3987253568040501E-2</v>
      </c>
      <c r="AM30" s="8">
        <f>(Table3[[#This Row],[(E)Return]]-AL29)/(Table3[[#This Row],[std]]-AK29)</f>
        <v>0.24521176613370352</v>
      </c>
      <c r="AN30" s="2"/>
      <c r="AO30" s="32"/>
      <c r="AP30" s="32"/>
      <c r="AQ30" s="32"/>
      <c r="AR30" s="32"/>
      <c r="AS30" s="7"/>
      <c r="AT30" s="52"/>
      <c r="AU30" s="52"/>
      <c r="AV30" s="53"/>
      <c r="AW30" s="54"/>
      <c r="AX30" s="56"/>
      <c r="AY30" s="57"/>
      <c r="AZ30" s="8"/>
      <c r="BA30" s="2"/>
      <c r="BB30" s="2"/>
      <c r="BC30" s="2"/>
      <c r="BD30" s="2"/>
      <c r="BE30" s="2"/>
      <c r="BF30" s="2"/>
      <c r="BJ30" s="10"/>
    </row>
    <row r="31" spans="1:62" ht="15.5" customHeight="1" x14ac:dyDescent="0.35">
      <c r="A31" s="2"/>
      <c r="B31" s="96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/>
      <c r="O31" s="3"/>
      <c r="P31" s="3"/>
      <c r="Q31" s="3"/>
      <c r="R31" s="3"/>
      <c r="S31" s="3"/>
      <c r="T31" s="3"/>
      <c r="U31" s="3"/>
      <c r="V31" s="1"/>
      <c r="W31" s="1"/>
      <c r="X31" s="2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1">
        <f t="shared" si="15"/>
        <v>7.60605046096305E-2</v>
      </c>
      <c r="AL31" s="132">
        <f>AI19+(0.5)*AI17*Table3[[#This Row],[std]]^2</f>
        <v>8.5024100632575331E-2</v>
      </c>
      <c r="AM31" s="8">
        <f>(Table3[[#This Row],[(E)Return]]-AL30)/(Table3[[#This Row],[std]]-AK30)</f>
        <v>0.25921176613370711</v>
      </c>
      <c r="AN31" s="2"/>
      <c r="AO31" s="3"/>
      <c r="AP31" s="3"/>
      <c r="AQ31" s="3"/>
      <c r="AR31" s="32"/>
      <c r="AS31" s="3"/>
      <c r="AT31" s="27"/>
      <c r="AU31" s="27"/>
      <c r="AV31" s="1"/>
      <c r="AW31" s="1"/>
      <c r="AX31" s="2"/>
      <c r="AY31" s="2"/>
      <c r="AZ31" s="2"/>
      <c r="BA31" s="2"/>
      <c r="BB31" s="2"/>
      <c r="BC31" s="2"/>
      <c r="BD31" s="2"/>
      <c r="BE31" s="2"/>
      <c r="BF31" s="2"/>
      <c r="BI31" s="10"/>
    </row>
    <row r="32" spans="1:62" ht="15.5" customHeight="1" x14ac:dyDescent="0.35">
      <c r="A32" s="2"/>
      <c r="B32" s="88" t="s">
        <v>67</v>
      </c>
      <c r="C32" s="89">
        <f>AVERAGE(M6:M29)</f>
        <v>-2.0847014203675732E-3</v>
      </c>
      <c r="D32" s="89">
        <f t="shared" ref="D32:L32" si="17">AVERAGE(N6:N29)</f>
        <v>-5.6603916255182803E-3</v>
      </c>
      <c r="E32" s="89">
        <f t="shared" si="17"/>
        <v>2.6035437725447346E-3</v>
      </c>
      <c r="F32" s="89">
        <f t="shared" si="17"/>
        <v>-2.5640648289076643E-3</v>
      </c>
      <c r="G32" s="89">
        <f t="shared" si="17"/>
        <v>-5.1837549279315984E-3</v>
      </c>
      <c r="H32" s="89">
        <f t="shared" si="17"/>
        <v>2.0023567073488035E-3</v>
      </c>
      <c r="I32" s="89">
        <f t="shared" si="17"/>
        <v>-2.3186188737471486E-3</v>
      </c>
      <c r="J32" s="89">
        <f t="shared" si="17"/>
        <v>-3.7986909726155141E-3</v>
      </c>
      <c r="K32" s="89">
        <f t="shared" si="17"/>
        <v>1.7145112397475935E-2</v>
      </c>
      <c r="L32" s="89">
        <f t="shared" si="17"/>
        <v>1.6485314980094121E-2</v>
      </c>
      <c r="M32" s="5"/>
      <c r="N32" s="3"/>
      <c r="O32" s="3"/>
      <c r="P32" s="3"/>
      <c r="Q32" s="3"/>
      <c r="R32" s="3"/>
      <c r="S32" s="3"/>
      <c r="T32" s="3"/>
      <c r="U32" s="3"/>
      <c r="V32" s="1"/>
      <c r="W32" s="1"/>
      <c r="X32" s="2"/>
      <c r="Y32" s="2"/>
      <c r="Z32" s="56" t="s">
        <v>80</v>
      </c>
      <c r="AA32" s="57"/>
      <c r="AB32" s="8">
        <v>0.68849396788007333</v>
      </c>
      <c r="AC32" s="2"/>
      <c r="AD32" s="2"/>
      <c r="AE32" s="2"/>
      <c r="AF32" s="2"/>
      <c r="AG32" s="2"/>
      <c r="AH32" s="2"/>
      <c r="AI32" s="2"/>
      <c r="AJ32" s="2"/>
      <c r="AK32" s="1">
        <f t="shared" si="15"/>
        <v>8.0060504609630503E-2</v>
      </c>
      <c r="AL32" s="132">
        <f>AI19+(0.5)*AI17*Table3[[#This Row],[std]]^2</f>
        <v>8.6116947697110161E-2</v>
      </c>
      <c r="AM32" s="8">
        <f>(Table3[[#This Row],[(E)Return]]-AL31)/(Table3[[#This Row],[std]]-AK31)</f>
        <v>0.27321176613370723</v>
      </c>
      <c r="AN32" s="2"/>
      <c r="AO32" s="2"/>
      <c r="AP32" s="2"/>
      <c r="AQ32" s="2"/>
      <c r="AR32" s="32"/>
      <c r="AS32" s="3"/>
      <c r="AT32" s="27"/>
      <c r="AU32" s="27"/>
      <c r="AV32" s="1"/>
      <c r="AW32" s="1"/>
      <c r="AX32" s="2"/>
      <c r="AY32" s="2"/>
      <c r="AZ32" s="2"/>
      <c r="BA32" s="2"/>
      <c r="BB32" s="2"/>
      <c r="BC32" s="2"/>
      <c r="BD32" s="2"/>
      <c r="BE32" s="2"/>
      <c r="BF32" s="2"/>
      <c r="BI32" s="10"/>
    </row>
    <row r="33" spans="1:62" x14ac:dyDescent="0.35">
      <c r="A33" s="2"/>
      <c r="B33" s="5" t="s">
        <v>48</v>
      </c>
      <c r="C33" s="13" cm="1">
        <f t="array" ref="C33">PRODUCT(1+M6:M29)^(52/COUNT(M6:M29))-1</f>
        <v>-0.13633822712533561</v>
      </c>
      <c r="D33" s="13" cm="1">
        <f t="array" ref="D33">PRODUCT(1+N6:N29)^(52/COUNT(N6:N29))-1</f>
        <v>-0.27051771168312455</v>
      </c>
      <c r="E33" s="13" cm="1">
        <f t="array" ref="E33">PRODUCT(1+O6:O29)^(52/COUNT(O6:O29))-1</f>
        <v>0.11060053454988683</v>
      </c>
      <c r="F33" s="13" cm="1">
        <f t="array" ref="F33">PRODUCT(1+P6:P29)^(52/COUNT(P6:P29))-1</f>
        <v>-0.14813296918690033</v>
      </c>
      <c r="G33" s="13" cm="1">
        <f t="array" ref="G33">PRODUCT(1+Q6:Q29)^(52/COUNT(Q6:Q29))-1</f>
        <v>-0.2825627797120287</v>
      </c>
      <c r="H33" s="13" cm="1">
        <f t="array" ref="H33">PRODUCT(1+R6:R29)^(52/COUNT(R6:R29))-1</f>
        <v>4.969091493406208E-2</v>
      </c>
      <c r="I33" s="13" cm="1">
        <f t="array" ref="I33">PRODUCT(1+S6:S29)^(52/COUNT(S6:S29))-1</f>
        <v>-0.16597203856181164</v>
      </c>
      <c r="J33" s="13" cm="1">
        <f t="array" ref="J33">PRODUCT(1+T6:T29)^(52/COUNT(T6:T29))-1</f>
        <v>-0.19356462480845027</v>
      </c>
      <c r="K33" s="13" cm="1">
        <f t="array" ref="K33">PRODUCT(1+U6:U29)^(52/COUNT(U6:U29))-1</f>
        <v>1.2329590848208332</v>
      </c>
      <c r="L33" s="13" cm="1">
        <f t="array" ref="L33">PRODUCT(1+V6:V29)^(52/COUNT(V6:V29))-1</f>
        <v>1.1639872884005915</v>
      </c>
      <c r="M33" s="14"/>
      <c r="N33" s="14"/>
      <c r="O33" s="14"/>
      <c r="P33" s="14"/>
      <c r="Q33" s="14"/>
      <c r="R33" s="14"/>
      <c r="S33" s="14"/>
      <c r="T33" s="14"/>
      <c r="U33" s="14"/>
      <c r="V33" s="1"/>
      <c r="W33" s="1"/>
      <c r="X33" s="2"/>
      <c r="Y33" s="124" t="s">
        <v>96</v>
      </c>
      <c r="Z33" s="56" t="s">
        <v>95</v>
      </c>
      <c r="AA33" s="57"/>
      <c r="AB33" s="57">
        <f>AK6</f>
        <v>8.5342151508651695E-2</v>
      </c>
      <c r="AC33" s="2"/>
      <c r="AD33" s="2"/>
      <c r="AE33" s="2"/>
      <c r="AF33" s="2"/>
      <c r="AG33" s="2"/>
      <c r="AH33" s="2"/>
      <c r="AI33" s="2"/>
      <c r="AJ33" s="2"/>
      <c r="AK33" s="1">
        <f t="shared" si="15"/>
        <v>8.4060504609630507E-2</v>
      </c>
      <c r="AL33" s="132">
        <f>AI19+(0.5)*AI17*Table3[[#This Row],[std]]^2</f>
        <v>8.7265794761644991E-2</v>
      </c>
      <c r="AM33" s="8">
        <f>(Table3[[#This Row],[(E)Return]]-AL32)/(Table3[[#This Row],[std]]-AK32)</f>
        <v>0.2872117661337073</v>
      </c>
      <c r="AN33" s="2"/>
      <c r="AO33" s="2"/>
      <c r="AP33" s="2"/>
      <c r="AQ33" s="2"/>
      <c r="AR33" s="32"/>
      <c r="AS33" s="3"/>
      <c r="AT33" s="27"/>
      <c r="AU33" s="27"/>
      <c r="AV33" s="1"/>
      <c r="AW33" s="1"/>
      <c r="AX33" s="2"/>
      <c r="AY33" s="2"/>
      <c r="AZ33" s="2"/>
      <c r="BA33" s="2"/>
      <c r="BB33" s="2"/>
      <c r="BC33" s="2"/>
      <c r="BD33" s="2"/>
      <c r="BE33" s="2"/>
      <c r="BF33" s="2"/>
      <c r="BI33" s="10"/>
    </row>
    <row r="34" spans="1:62" x14ac:dyDescent="0.35">
      <c r="A34" s="2"/>
      <c r="B34" s="5" t="s">
        <v>60</v>
      </c>
      <c r="C34" s="33">
        <f>SLOPE(M6:M29,$D$47:$D$70)</f>
        <v>0.14943110233032383</v>
      </c>
      <c r="D34" s="33">
        <f t="shared" ref="D34:L34" si="18">SLOPE(N6:N29,$D$47:$D$70)</f>
        <v>5.7232497407238856E-3</v>
      </c>
      <c r="E34" s="33">
        <f t="shared" si="18"/>
        <v>-2.2250913735898742E-2</v>
      </c>
      <c r="F34" s="33">
        <f t="shared" si="18"/>
        <v>-1.8051171746270928E-2</v>
      </c>
      <c r="G34" s="33">
        <f t="shared" si="18"/>
        <v>0.35390850886037933</v>
      </c>
      <c r="H34" s="33">
        <f t="shared" si="18"/>
        <v>8.9485636793502715E-2</v>
      </c>
      <c r="I34" s="33">
        <f t="shared" si="18"/>
        <v>-0.24893802557894487</v>
      </c>
      <c r="J34" s="33">
        <f t="shared" si="18"/>
        <v>-0.19602383367614326</v>
      </c>
      <c r="K34" s="33">
        <f t="shared" si="18"/>
        <v>-1.0382211791866995</v>
      </c>
      <c r="L34" s="33">
        <f t="shared" si="18"/>
        <v>-0.89618484529472098</v>
      </c>
      <c r="M34" s="140"/>
      <c r="N34" s="140"/>
      <c r="O34" s="22"/>
      <c r="P34" s="22"/>
      <c r="Q34" s="2"/>
      <c r="R34" s="2"/>
      <c r="S34" s="2"/>
      <c r="T34" s="2"/>
      <c r="U34" s="2"/>
      <c r="V34" s="2"/>
      <c r="W34" s="2"/>
      <c r="X34" s="2"/>
      <c r="Y34" s="125" t="s">
        <v>97</v>
      </c>
      <c r="Z34" s="56" t="s">
        <v>81</v>
      </c>
      <c r="AA34" s="57"/>
      <c r="AB34" s="57">
        <f>$C$43+AB32*AM6</f>
        <v>5.9935603122935124E-2</v>
      </c>
      <c r="AC34" s="2"/>
      <c r="AD34" s="24" t="s">
        <v>90</v>
      </c>
      <c r="AE34" s="2"/>
      <c r="AF34" s="2"/>
      <c r="AG34" s="2"/>
      <c r="AH34" s="2"/>
      <c r="AI34" s="37"/>
      <c r="AJ34" s="37"/>
      <c r="AK34" s="1">
        <f t="shared" si="15"/>
        <v>8.8060504609630511E-2</v>
      </c>
      <c r="AL34" s="132">
        <f>AI19+(0.5)*AI17*Table3[[#This Row],[std]]^2</f>
        <v>8.8470641826179822E-2</v>
      </c>
      <c r="AM34" s="8">
        <f>(Table3[[#This Row],[(E)Return]]-AL33)/(Table3[[#This Row],[std]]-AK33)</f>
        <v>0.30121176613370743</v>
      </c>
      <c r="AN34" s="2"/>
      <c r="AO34" s="3"/>
      <c r="AP34" s="3"/>
      <c r="AQ34" s="3"/>
      <c r="AR34" s="3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I34" s="10"/>
    </row>
    <row r="35" spans="1:62" x14ac:dyDescent="0.35">
      <c r="A35" s="12" t="s">
        <v>109</v>
      </c>
      <c r="B35" s="5" t="s">
        <v>61</v>
      </c>
      <c r="C35" s="94">
        <f>$C$43+(C34*($I$45-$C$43))</f>
        <v>-1.7566094557560641E-3</v>
      </c>
      <c r="D35" s="94">
        <f t="shared" ref="D35:L35" si="19">$C$43+(D34*($I$45-$C$43))</f>
        <v>3.5996461737980753E-2</v>
      </c>
      <c r="E35" s="94">
        <f t="shared" si="19"/>
        <v>4.3345472709108414E-2</v>
      </c>
      <c r="F35" s="94">
        <f t="shared" si="19"/>
        <v>4.2242170728926859E-2</v>
      </c>
      <c r="G35" s="94">
        <f t="shared" si="19"/>
        <v>-5.5474273084657279E-2</v>
      </c>
      <c r="H35" s="94">
        <f t="shared" si="19"/>
        <v>1.3991489116256736E-2</v>
      </c>
      <c r="I35" s="94">
        <f t="shared" si="19"/>
        <v>0.10289778330241589</v>
      </c>
      <c r="J35" s="94">
        <f t="shared" si="19"/>
        <v>8.8996850137890327E-2</v>
      </c>
      <c r="K35" s="94">
        <f t="shared" si="19"/>
        <v>0.31024806064089394</v>
      </c>
      <c r="L35" s="94">
        <f t="shared" si="19"/>
        <v>0.27293410925345735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7"/>
      <c r="Z35" s="56"/>
      <c r="AA35" s="57"/>
      <c r="AB35" s="8"/>
      <c r="AC35" s="2"/>
      <c r="AD35" s="2"/>
      <c r="AE35" s="2"/>
      <c r="AF35" s="2"/>
      <c r="AG35" s="2"/>
      <c r="AH35" s="2"/>
      <c r="AI35" s="37"/>
      <c r="AJ35" s="37"/>
      <c r="AK35" s="1">
        <f t="shared" si="15"/>
        <v>9.2060504609630514E-2</v>
      </c>
      <c r="AL35" s="132">
        <f>AI19+(0.5)*AI17*Table3[[#This Row],[std]]^2</f>
        <v>8.9731488890714639E-2</v>
      </c>
      <c r="AM35" s="8">
        <f>(Table3[[#This Row],[(E)Return]]-AL34)/(Table3[[#This Row],[std]]-AK34)</f>
        <v>0.31521176613370405</v>
      </c>
      <c r="AN35" s="2"/>
      <c r="AO35" s="2"/>
      <c r="AP35" s="2"/>
      <c r="AQ35" s="2"/>
      <c r="AR35" s="3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I35" s="10"/>
    </row>
    <row r="36" spans="1:62" x14ac:dyDescent="0.35">
      <c r="A36" s="2"/>
      <c r="B36" s="5" t="s">
        <v>49</v>
      </c>
      <c r="C36" s="15">
        <f>_xlfn.VAR.S(M6:M29)*(52/COUNT(M6:M29))</f>
        <v>3.258542837220939E-3</v>
      </c>
      <c r="D36" s="15">
        <f t="shared" ref="D36:L36" si="20">_xlfn.VAR.S(N6:N29)*(52/COUNT(N6:N29))</f>
        <v>1.7307819906514645E-3</v>
      </c>
      <c r="E36" s="15">
        <f t="shared" si="20"/>
        <v>2.5894342527810733E-3</v>
      </c>
      <c r="F36" s="15">
        <f t="shared" si="20"/>
        <v>2.342774387876946E-3</v>
      </c>
      <c r="G36" s="15">
        <f t="shared" si="20"/>
        <v>5.1510614055909291E-3</v>
      </c>
      <c r="H36" s="15">
        <f t="shared" si="20"/>
        <v>4.959507093587205E-3</v>
      </c>
      <c r="I36" s="15">
        <f t="shared" si="20"/>
        <v>5.3677170858075929E-3</v>
      </c>
      <c r="J36" s="15">
        <f t="shared" si="20"/>
        <v>1.4913779838516507E-3</v>
      </c>
      <c r="K36" s="15">
        <f t="shared" si="20"/>
        <v>7.3006144596981046E-3</v>
      </c>
      <c r="L36" s="15">
        <f t="shared" si="20"/>
        <v>7.0712931938719343E-3</v>
      </c>
      <c r="M36" s="16"/>
      <c r="N36" s="16"/>
      <c r="O36" s="17"/>
      <c r="P36" s="17"/>
      <c r="Q36" s="2"/>
      <c r="R36" s="2"/>
      <c r="S36" s="2"/>
      <c r="T36" s="2"/>
      <c r="U36" s="2"/>
      <c r="V36" s="1"/>
      <c r="W36" s="1"/>
      <c r="X36" s="2"/>
      <c r="Y36" s="37"/>
      <c r="Z36" s="2"/>
      <c r="AA36" s="2"/>
      <c r="AB36" s="2"/>
      <c r="AC36" s="2"/>
      <c r="AD36" s="2"/>
      <c r="AE36" s="2"/>
      <c r="AF36" s="2"/>
      <c r="AG36" s="2"/>
      <c r="AH36" s="2"/>
      <c r="AI36" s="37"/>
      <c r="AJ36" s="37"/>
      <c r="AK36" s="1">
        <f t="shared" si="15"/>
        <v>9.6060504609630518E-2</v>
      </c>
      <c r="AL36" s="132">
        <f>AI19+(0.5)*AI17*Table3[[#This Row],[std]]^2</f>
        <v>9.1048335955249471E-2</v>
      </c>
      <c r="AM36" s="8">
        <f>(Table3[[#This Row],[(E)Return]]-AL35)/(Table3[[#This Row],[std]]-AK35)</f>
        <v>0.32921176613370767</v>
      </c>
      <c r="AN36" s="2"/>
      <c r="AO36" s="2"/>
      <c r="AP36" s="2"/>
      <c r="AQ36" s="2"/>
      <c r="AR36" s="3"/>
      <c r="AS36" s="3"/>
      <c r="AT36" s="27"/>
      <c r="AU36" s="27"/>
      <c r="AV36" s="1"/>
      <c r="AW36" s="1"/>
      <c r="AX36" s="2"/>
      <c r="AY36" s="2"/>
      <c r="AZ36" s="2"/>
      <c r="BA36" s="2"/>
      <c r="BB36" s="2"/>
      <c r="BC36" s="2"/>
      <c r="BD36" s="2"/>
      <c r="BE36" s="2"/>
      <c r="BF36" s="2"/>
      <c r="BI36" s="10"/>
    </row>
    <row r="37" spans="1:62" x14ac:dyDescent="0.35">
      <c r="A37" s="2"/>
      <c r="B37" s="5" t="s">
        <v>50</v>
      </c>
      <c r="C37" s="13">
        <f>_xlfn.STDEV.S(M6:M29)*SQRT(52/COUNT(M6:M29))</f>
        <v>5.7083647721750744E-2</v>
      </c>
      <c r="D37" s="13">
        <f t="shared" ref="D37:L37" si="21">_xlfn.STDEV.S(N6:N29)*SQRT(52/COUNT(N6:N29))</f>
        <v>4.1602668071308413E-2</v>
      </c>
      <c r="E37" s="13">
        <f t="shared" si="21"/>
        <v>5.0886483989180005E-2</v>
      </c>
      <c r="F37" s="13">
        <f t="shared" si="21"/>
        <v>4.8402214700124478E-2</v>
      </c>
      <c r="G37" s="13">
        <f t="shared" si="21"/>
        <v>7.1770895254211015E-2</v>
      </c>
      <c r="H37" s="13">
        <f t="shared" si="21"/>
        <v>7.0423767959313321E-2</v>
      </c>
      <c r="I37" s="13">
        <f t="shared" si="21"/>
        <v>7.3264705594219062E-2</v>
      </c>
      <c r="J37" s="13">
        <f t="shared" si="21"/>
        <v>3.8618363298457518E-2</v>
      </c>
      <c r="K37" s="13">
        <f t="shared" si="21"/>
        <v>8.5443633230909047E-2</v>
      </c>
      <c r="L37" s="13">
        <f t="shared" si="21"/>
        <v>8.4090981644121238E-2</v>
      </c>
      <c r="M37" s="14"/>
      <c r="N37" s="14"/>
      <c r="O37" s="2"/>
      <c r="P37" s="2"/>
      <c r="Q37" s="2"/>
      <c r="R37" s="2"/>
      <c r="S37" s="2"/>
      <c r="T37" s="2"/>
      <c r="U37" s="2"/>
      <c r="V37" s="1"/>
      <c r="W37" s="1"/>
      <c r="X37" s="2"/>
      <c r="Y37" s="37"/>
      <c r="Z37" s="2"/>
      <c r="AA37" s="2"/>
      <c r="AB37" s="2"/>
      <c r="AC37" s="2"/>
      <c r="AD37" s="2"/>
      <c r="AE37" s="2"/>
      <c r="AF37" s="2"/>
      <c r="AG37" s="2"/>
      <c r="AH37" s="2"/>
      <c r="AI37" s="37"/>
      <c r="AJ37" s="37"/>
      <c r="AK37" s="2"/>
      <c r="AL37" s="2"/>
      <c r="AM37" s="2"/>
      <c r="AN37" s="2"/>
      <c r="AO37" s="2"/>
      <c r="AP37" s="2"/>
      <c r="AQ37" s="2"/>
      <c r="AR37" s="3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I37" s="10"/>
    </row>
    <row r="38" spans="1:62" x14ac:dyDescent="0.35">
      <c r="A38" s="2"/>
      <c r="B38" s="95" t="s">
        <v>71</v>
      </c>
      <c r="C38" s="18">
        <f>SUM(COV!B2:K11)</f>
        <v>0.10618794558076919</v>
      </c>
      <c r="D38" s="19"/>
      <c r="E38" s="19"/>
      <c r="F38" s="19"/>
      <c r="G38" s="19"/>
      <c r="H38" s="19"/>
      <c r="I38" s="19"/>
      <c r="J38" s="19"/>
      <c r="K38" s="19"/>
      <c r="L38" s="19"/>
      <c r="M38" s="138"/>
      <c r="N38" s="138"/>
      <c r="O38" s="20"/>
      <c r="P38" s="20"/>
      <c r="Q38" s="2"/>
      <c r="R38" s="2"/>
      <c r="S38" s="2"/>
      <c r="T38" s="2"/>
      <c r="U38" s="2"/>
      <c r="V38" s="1"/>
      <c r="W38" s="1"/>
      <c r="X38" s="2"/>
      <c r="Y38" s="34"/>
      <c r="Z38" s="56" t="s">
        <v>82</v>
      </c>
      <c r="AA38" s="57"/>
      <c r="AB38" s="57">
        <v>1</v>
      </c>
      <c r="AC38" s="2"/>
      <c r="AD38" s="2"/>
      <c r="AE38" s="2"/>
      <c r="AF38" s="2"/>
      <c r="AG38" s="2"/>
      <c r="AH38" s="2"/>
      <c r="AI38" s="34"/>
      <c r="AJ38" s="34"/>
      <c r="AK38" s="2"/>
      <c r="AL38" s="2"/>
      <c r="AM38" s="2"/>
      <c r="AN38" s="2"/>
      <c r="AO38" s="2"/>
      <c r="AP38" s="2"/>
      <c r="AQ38" s="2"/>
      <c r="AR38" s="3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I38" s="10"/>
    </row>
    <row r="39" spans="1:62" x14ac:dyDescent="0.35">
      <c r="A39" s="2"/>
      <c r="B39" s="95" t="s">
        <v>72</v>
      </c>
      <c r="C39" s="92">
        <f>AVERAGE(CORR!B2:K11)</f>
        <v>0.63547515854229286</v>
      </c>
      <c r="D39" s="19"/>
      <c r="E39" s="19"/>
      <c r="F39" s="19"/>
      <c r="G39" s="19"/>
      <c r="H39" s="19"/>
      <c r="I39" s="19"/>
      <c r="J39" s="19"/>
      <c r="K39" s="19"/>
      <c r="L39" s="19"/>
      <c r="M39" s="139"/>
      <c r="N39" s="139"/>
      <c r="O39" s="21"/>
      <c r="P39" s="22"/>
      <c r="Q39" s="2"/>
      <c r="R39" s="2"/>
      <c r="S39" s="2"/>
      <c r="T39" s="2"/>
      <c r="U39" s="2"/>
      <c r="V39" s="2"/>
      <c r="W39" s="2"/>
      <c r="X39" s="2"/>
      <c r="Y39" s="34"/>
      <c r="Z39" s="56" t="s">
        <v>83</v>
      </c>
      <c r="AA39" s="57"/>
      <c r="AB39" s="57">
        <v>0</v>
      </c>
      <c r="AC39" s="2"/>
      <c r="AD39" s="2"/>
      <c r="AE39" s="2"/>
      <c r="AF39" s="2"/>
      <c r="AG39" s="2"/>
      <c r="AH39" s="2"/>
      <c r="AI39" s="34"/>
      <c r="AJ39" s="34"/>
      <c r="AK39" s="2"/>
      <c r="AL39" s="2"/>
      <c r="AM39" s="2"/>
      <c r="AN39" s="2"/>
      <c r="AO39" s="2"/>
      <c r="AP39" s="2"/>
      <c r="AQ39" s="2"/>
      <c r="AR39" s="3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I39" s="10"/>
    </row>
    <row r="40" spans="1:62" x14ac:dyDescent="0.35">
      <c r="A40" s="2"/>
      <c r="B40" s="95"/>
      <c r="C40" s="92"/>
      <c r="D40" s="19"/>
      <c r="E40" s="19"/>
      <c r="F40" s="19"/>
      <c r="G40" s="19"/>
      <c r="H40" s="19"/>
      <c r="I40" s="19"/>
      <c r="J40" s="19"/>
      <c r="K40" s="19"/>
      <c r="L40" s="19"/>
      <c r="M40" s="21"/>
      <c r="N40" s="21"/>
      <c r="O40" s="21"/>
      <c r="P40" s="22"/>
      <c r="Q40" s="2"/>
      <c r="R40" s="2"/>
      <c r="S40" s="2"/>
      <c r="T40" s="2"/>
      <c r="U40" s="2"/>
      <c r="V40" s="2"/>
      <c r="W40" s="2"/>
      <c r="X40" s="2"/>
      <c r="Y40" s="34"/>
      <c r="Z40" s="56"/>
      <c r="AA40" s="57"/>
      <c r="AB40" s="8"/>
      <c r="AC40" s="2"/>
      <c r="AD40" s="2"/>
      <c r="AE40" s="2"/>
      <c r="AF40" s="2"/>
      <c r="AG40" s="2"/>
      <c r="AH40" s="2"/>
      <c r="AI40" s="34"/>
      <c r="AJ40" s="34"/>
      <c r="AK40" s="2"/>
      <c r="AL40" s="2"/>
      <c r="AM40" s="2"/>
      <c r="AN40" s="2"/>
      <c r="AO40" s="2"/>
      <c r="AP40" s="2"/>
      <c r="AQ40" s="2"/>
      <c r="AR40" s="3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I40" s="10"/>
    </row>
    <row r="41" spans="1:62" x14ac:dyDescent="0.35">
      <c r="A41" s="2"/>
      <c r="B41" s="97" t="s">
        <v>45</v>
      </c>
      <c r="C41" s="6"/>
      <c r="D41" s="3"/>
      <c r="E41" s="3"/>
      <c r="F41" s="3"/>
      <c r="G41" s="3"/>
      <c r="H41" s="3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43"/>
      <c r="Z41" s="56"/>
      <c r="AA41" s="57"/>
      <c r="AB41" s="8"/>
      <c r="AC41" s="2"/>
      <c r="AD41" s="2"/>
      <c r="AE41" s="2"/>
      <c r="AF41" s="2"/>
      <c r="AG41" s="2"/>
      <c r="AH41" s="2"/>
      <c r="AI41" s="37"/>
      <c r="AJ41" s="37"/>
      <c r="AK41" s="2"/>
      <c r="AL41" s="2"/>
      <c r="AM41" s="2"/>
      <c r="AN41" s="2"/>
      <c r="AO41" s="32"/>
      <c r="AP41" s="32"/>
      <c r="AQ41" s="32"/>
      <c r="AR41" s="3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J41" s="10"/>
    </row>
    <row r="42" spans="1:62" x14ac:dyDescent="0.35">
      <c r="A42" s="2"/>
      <c r="B42" s="3" t="s">
        <v>59</v>
      </c>
      <c r="C42" s="6">
        <v>0.1</v>
      </c>
      <c r="D42" s="6">
        <v>0.1</v>
      </c>
      <c r="E42" s="6">
        <v>0.1</v>
      </c>
      <c r="F42" s="6">
        <v>0.1</v>
      </c>
      <c r="G42" s="6">
        <v>0.1</v>
      </c>
      <c r="H42" s="6">
        <v>0.1</v>
      </c>
      <c r="I42" s="6">
        <v>0.1</v>
      </c>
      <c r="J42" s="6">
        <v>0.1</v>
      </c>
      <c r="K42" s="6">
        <v>0.1</v>
      </c>
      <c r="L42" s="6">
        <v>0.1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43"/>
      <c r="Z42" s="2"/>
      <c r="AA42" s="2"/>
      <c r="AB42" s="2"/>
      <c r="AC42" s="2"/>
      <c r="AD42" s="2"/>
      <c r="AE42" s="2"/>
      <c r="AF42" s="2"/>
      <c r="AG42" s="2"/>
      <c r="AH42" s="2"/>
      <c r="AI42" s="37"/>
      <c r="AJ42" s="37"/>
      <c r="AK42" s="2"/>
      <c r="AL42" s="2"/>
      <c r="AM42" s="2"/>
      <c r="AN42" s="2"/>
      <c r="AO42" s="32"/>
      <c r="AP42" s="32"/>
      <c r="AQ42" s="32"/>
      <c r="AR42" s="3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J42" s="10"/>
    </row>
    <row r="43" spans="1:62" x14ac:dyDescent="0.35">
      <c r="A43" s="93" t="s">
        <v>68</v>
      </c>
      <c r="B43" s="24" t="s">
        <v>46</v>
      </c>
      <c r="C43" s="106">
        <v>3.7499999999999999E-2</v>
      </c>
      <c r="D43" s="93" t="s">
        <v>69</v>
      </c>
      <c r="E43" s="3"/>
      <c r="F43" s="3"/>
      <c r="G43" s="3"/>
      <c r="H43" s="3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42"/>
      <c r="Y43" s="2"/>
      <c r="Z43" s="2"/>
      <c r="AA43" s="2"/>
      <c r="AB43" s="44"/>
      <c r="AC43" s="37"/>
      <c r="AD43" s="1"/>
      <c r="AE43" s="37"/>
      <c r="AF43" s="37"/>
      <c r="AG43" s="37"/>
      <c r="AH43" s="37"/>
      <c r="AI43" s="37"/>
      <c r="AJ43" s="37"/>
      <c r="AK43" s="2"/>
      <c r="AL43" s="2"/>
      <c r="AM43" s="2"/>
      <c r="AN43" s="2"/>
      <c r="AO43" s="32"/>
      <c r="AP43" s="32"/>
      <c r="AQ43" s="32"/>
      <c r="AR43" s="3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J43" s="10"/>
    </row>
    <row r="44" spans="1:62" x14ac:dyDescent="0.3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42"/>
      <c r="Y44" s="2"/>
      <c r="Z44" s="2"/>
      <c r="AA44" s="2"/>
      <c r="AB44" s="44"/>
      <c r="AC44" s="37"/>
      <c r="AD44" s="1"/>
      <c r="AE44" s="37"/>
      <c r="AF44" s="37"/>
      <c r="AG44" s="37"/>
      <c r="AH44" s="37"/>
      <c r="AI44" s="37"/>
      <c r="AJ44" s="37"/>
      <c r="AK44" s="2"/>
      <c r="AL44" s="2"/>
      <c r="AM44" s="2"/>
      <c r="AN44" s="2"/>
      <c r="AO44" s="32"/>
      <c r="AP44" s="32"/>
      <c r="AQ44" s="32"/>
      <c r="AR44" s="3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J44" s="10"/>
    </row>
    <row r="45" spans="1:62" ht="13.5" customHeight="1" x14ac:dyDescent="0.35">
      <c r="A45" s="2"/>
      <c r="B45" s="78" t="s">
        <v>0</v>
      </c>
      <c r="C45" s="86" t="s">
        <v>64</v>
      </c>
      <c r="D45" s="79" t="s">
        <v>65</v>
      </c>
      <c r="E45" s="7"/>
      <c r="F45" s="107" t="s">
        <v>108</v>
      </c>
      <c r="G45" s="7"/>
      <c r="H45" s="106"/>
      <c r="I45" s="114" cm="1">
        <f t="array" ref="I45">PRODUCT(1+D47:D70)^(52/COUNT(D47:D70))-1</f>
        <v>-0.22520708603204742</v>
      </c>
      <c r="J45" s="7"/>
      <c r="K45" s="7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42"/>
      <c r="Y45" s="7"/>
      <c r="Z45" s="37"/>
      <c r="AA45" s="37"/>
      <c r="AB45" s="44"/>
      <c r="AC45" s="37"/>
      <c r="AD45" s="1"/>
      <c r="AE45" s="37"/>
      <c r="AF45" s="37"/>
      <c r="AG45" s="37"/>
      <c r="AH45" s="37"/>
      <c r="AI45" s="37"/>
      <c r="AJ45" s="37"/>
      <c r="AK45" s="2"/>
      <c r="AL45" s="2"/>
      <c r="AM45" s="2"/>
      <c r="AN45" s="2"/>
      <c r="AO45" s="32"/>
      <c r="AP45" s="32"/>
      <c r="AQ45" s="32"/>
      <c r="AR45" s="3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J45" s="10"/>
    </row>
    <row r="46" spans="1:62" x14ac:dyDescent="0.35">
      <c r="A46" s="2"/>
      <c r="B46" s="87">
        <v>44927</v>
      </c>
      <c r="C46" s="103">
        <v>4381.8900000000003</v>
      </c>
      <c r="D46" s="104"/>
      <c r="E46" s="7"/>
      <c r="F46" s="112" t="s">
        <v>86</v>
      </c>
      <c r="G46" s="7"/>
      <c r="H46" s="113"/>
      <c r="I46" s="114">
        <v>9.9299999999999999E-2</v>
      </c>
      <c r="J46" s="7"/>
      <c r="K46" s="7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42"/>
      <c r="Y46" s="7"/>
      <c r="Z46" s="37"/>
      <c r="AA46" s="37"/>
      <c r="AB46" s="44"/>
      <c r="AC46" s="37"/>
      <c r="AD46" s="1"/>
      <c r="AE46" s="37"/>
      <c r="AF46" s="37"/>
      <c r="AG46" s="37"/>
      <c r="AH46" s="37"/>
      <c r="AI46" s="37"/>
      <c r="AJ46" s="37"/>
      <c r="AK46" s="2"/>
      <c r="AL46" s="2"/>
      <c r="AM46" s="2"/>
      <c r="AN46" s="2"/>
      <c r="AO46" s="32"/>
      <c r="AP46" s="32"/>
      <c r="AQ46" s="32"/>
      <c r="AR46" s="3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J46" s="10"/>
    </row>
    <row r="47" spans="1:62" x14ac:dyDescent="0.35">
      <c r="A47" s="2"/>
      <c r="B47" s="87">
        <v>44934</v>
      </c>
      <c r="C47" s="103">
        <v>4409.59</v>
      </c>
      <c r="D47" s="105">
        <f>(Table8[[#This Row],[S&amp;P500]]-C46)/C46</f>
        <v>6.3214731542781347E-3</v>
      </c>
      <c r="E47" s="7"/>
      <c r="F47" s="112" t="s">
        <v>87</v>
      </c>
      <c r="G47" s="7"/>
      <c r="H47" s="7"/>
      <c r="I47" s="114">
        <v>0.14990000000000001</v>
      </c>
      <c r="J47" s="7"/>
      <c r="K47" s="7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42"/>
      <c r="Y47" s="7"/>
      <c r="Z47" s="37"/>
      <c r="AA47" s="37"/>
      <c r="AB47" s="44"/>
      <c r="AC47" s="37"/>
      <c r="AD47" s="1"/>
      <c r="AE47" s="37"/>
      <c r="AF47" s="37"/>
      <c r="AG47" s="37"/>
      <c r="AH47" s="37"/>
      <c r="AI47" s="37"/>
      <c r="AJ47" s="37"/>
      <c r="AK47" s="2"/>
      <c r="AL47" s="2"/>
      <c r="AM47" s="2"/>
      <c r="AN47" s="2"/>
      <c r="AO47" s="32"/>
      <c r="AP47" s="32"/>
      <c r="AQ47" s="32"/>
      <c r="AR47" s="3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J47" s="10"/>
    </row>
    <row r="48" spans="1:62" x14ac:dyDescent="0.35">
      <c r="A48" s="2"/>
      <c r="B48" s="87">
        <v>44941</v>
      </c>
      <c r="C48" s="103">
        <v>4298.8599999999997</v>
      </c>
      <c r="D48" s="105">
        <f>(Table8[[#This Row],[S&amp;P500]]-C47)/C47</f>
        <v>-2.5111178136742979E-2</v>
      </c>
      <c r="E48" s="7"/>
      <c r="F48" s="7"/>
      <c r="G48" s="7"/>
      <c r="H48" s="7"/>
      <c r="I48" s="7"/>
      <c r="J48" s="7"/>
      <c r="K48" s="7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42"/>
      <c r="Y48" s="7"/>
      <c r="Z48" s="37"/>
      <c r="AA48" s="37"/>
      <c r="AB48" s="44"/>
      <c r="AC48" s="37"/>
      <c r="AD48" s="1"/>
      <c r="AE48" s="37"/>
      <c r="AF48" s="37"/>
      <c r="AG48" s="37"/>
      <c r="AH48" s="37"/>
      <c r="AI48" s="37"/>
      <c r="AJ48" s="37"/>
      <c r="AK48" s="2"/>
      <c r="AL48" s="2"/>
      <c r="AM48" s="2"/>
      <c r="AN48" s="2"/>
      <c r="AO48" s="32"/>
      <c r="AP48" s="32"/>
      <c r="AQ48" s="32"/>
      <c r="AR48" s="3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J48" s="10"/>
    </row>
    <row r="49" spans="1:62" x14ac:dyDescent="0.35">
      <c r="A49" s="2"/>
      <c r="B49" s="87">
        <v>44948</v>
      </c>
      <c r="C49" s="103">
        <v>4282.37</v>
      </c>
      <c r="D49" s="105">
        <f>(Table8[[#This Row],[S&amp;P500]]-C48)/C48</f>
        <v>-3.8359006806455158E-3</v>
      </c>
      <c r="E49" s="7"/>
      <c r="F49" s="7"/>
      <c r="G49" s="7"/>
      <c r="H49" s="7"/>
      <c r="I49" s="7"/>
      <c r="J49" s="7"/>
      <c r="K49" s="7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42"/>
      <c r="Y49" s="7"/>
      <c r="Z49" s="37"/>
      <c r="AA49" s="37"/>
      <c r="AB49" s="44"/>
      <c r="AC49" s="37"/>
      <c r="AD49" s="1"/>
      <c r="AE49" s="37"/>
      <c r="AF49" s="37"/>
      <c r="AG49" s="37"/>
      <c r="AH49" s="37"/>
      <c r="AI49" s="37"/>
      <c r="AJ49" s="37"/>
      <c r="AK49" s="2"/>
      <c r="AL49" s="2"/>
      <c r="AM49" s="2"/>
      <c r="AN49" s="2"/>
      <c r="AO49" s="32"/>
      <c r="AP49" s="32"/>
      <c r="AQ49" s="32"/>
      <c r="AR49" s="3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J49" s="10"/>
    </row>
    <row r="50" spans="1:62" x14ac:dyDescent="0.35">
      <c r="A50" s="2"/>
      <c r="B50" s="87">
        <v>44955</v>
      </c>
      <c r="C50" s="103">
        <v>4205.45</v>
      </c>
      <c r="D50" s="105">
        <f>(Table8[[#This Row],[S&amp;P500]]-C49)/C49</f>
        <v>-1.7962016360099683E-2</v>
      </c>
      <c r="E50" s="7"/>
      <c r="F50" s="7"/>
      <c r="G50" s="7"/>
      <c r="H50" s="7"/>
      <c r="I50" s="7"/>
      <c r="J50" s="7"/>
      <c r="K50" s="7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42"/>
      <c r="Y50" s="7"/>
      <c r="Z50" s="37"/>
      <c r="AA50" s="37"/>
      <c r="AB50" s="44"/>
      <c r="AC50" s="37"/>
      <c r="AD50" s="1"/>
      <c r="AE50" s="37"/>
      <c r="AF50" s="37"/>
      <c r="AG50" s="37"/>
      <c r="AH50" s="37"/>
      <c r="AI50" s="37"/>
      <c r="AJ50" s="37"/>
      <c r="AK50" s="2"/>
      <c r="AL50" s="2"/>
      <c r="AM50" s="2"/>
      <c r="AN50" s="2"/>
      <c r="AO50" s="32"/>
      <c r="AP50" s="32"/>
      <c r="AQ50" s="32"/>
      <c r="AR50" s="3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J50" s="10"/>
    </row>
    <row r="51" spans="1:62" x14ac:dyDescent="0.35">
      <c r="A51" s="2"/>
      <c r="B51" s="87">
        <v>44962</v>
      </c>
      <c r="C51" s="103">
        <v>4191.9799999999996</v>
      </c>
      <c r="D51" s="105">
        <f>(Table8[[#This Row],[S&amp;P500]]-C50)/C50</f>
        <v>-3.2029866007205541E-3</v>
      </c>
      <c r="E51" s="7"/>
      <c r="F51" s="7"/>
      <c r="G51" s="7"/>
      <c r="H51" s="7"/>
      <c r="I51" s="7"/>
      <c r="J51" s="7"/>
      <c r="K51" s="7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7"/>
      <c r="Z51" s="37"/>
      <c r="AA51" s="37"/>
      <c r="AB51" s="44"/>
      <c r="AC51" s="37"/>
      <c r="AD51" s="1"/>
      <c r="AE51" s="37"/>
      <c r="AF51" s="37"/>
      <c r="AG51" s="37"/>
      <c r="AH51" s="37"/>
      <c r="AI51" s="37"/>
      <c r="AJ51" s="37"/>
      <c r="AK51" s="2"/>
      <c r="AL51" s="2"/>
      <c r="AM51" s="2"/>
      <c r="AN51" s="2"/>
      <c r="AO51" s="32"/>
      <c r="AP51" s="32"/>
      <c r="AQ51" s="32"/>
      <c r="AR51" s="3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J51" s="10"/>
    </row>
    <row r="52" spans="1:62" x14ac:dyDescent="0.35">
      <c r="A52" s="2"/>
      <c r="B52" s="87">
        <v>44969</v>
      </c>
      <c r="C52" s="103">
        <v>4124.08</v>
      </c>
      <c r="D52" s="105">
        <f>(Table8[[#This Row],[S&amp;P500]]-C51)/C51</f>
        <v>-1.619759636257798E-2</v>
      </c>
      <c r="E52" s="7"/>
      <c r="F52" s="7"/>
      <c r="G52" s="7"/>
      <c r="H52" s="7"/>
      <c r="I52" s="7"/>
      <c r="J52" s="7"/>
      <c r="K52" s="7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7"/>
      <c r="Z52" s="37"/>
      <c r="AA52" s="37"/>
      <c r="AB52" s="44"/>
      <c r="AC52" s="37"/>
      <c r="AD52" s="1"/>
      <c r="AE52" s="37"/>
      <c r="AF52" s="37"/>
      <c r="AG52" s="37"/>
      <c r="AH52" s="37"/>
      <c r="AI52" s="37"/>
      <c r="AJ52" s="37"/>
      <c r="AK52" s="2"/>
      <c r="AL52" s="2"/>
      <c r="AM52" s="2"/>
      <c r="AN52" s="2"/>
      <c r="AO52" s="32"/>
      <c r="AP52" s="32"/>
      <c r="AQ52" s="32"/>
      <c r="AR52" s="3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J52" s="10"/>
    </row>
    <row r="53" spans="1:62" x14ac:dyDescent="0.35">
      <c r="A53" s="2"/>
      <c r="B53" s="87">
        <v>44976</v>
      </c>
      <c r="C53" s="103">
        <v>4136.25</v>
      </c>
      <c r="D53" s="105">
        <f>(Table8[[#This Row],[S&amp;P500]]-C52)/C52</f>
        <v>2.9509611840701617E-3</v>
      </c>
      <c r="E53" s="7"/>
      <c r="F53" s="7"/>
      <c r="G53" s="7"/>
      <c r="H53" s="7"/>
      <c r="I53" s="7"/>
      <c r="J53" s="7"/>
      <c r="K53" s="7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42"/>
      <c r="Y53" s="7"/>
      <c r="Z53" s="37"/>
      <c r="AA53" s="37"/>
      <c r="AB53" s="44"/>
      <c r="AC53" s="37"/>
      <c r="AD53" s="1"/>
      <c r="AE53" s="37"/>
      <c r="AF53" s="37"/>
      <c r="AG53" s="37"/>
      <c r="AH53" s="37"/>
      <c r="AI53" s="37"/>
      <c r="AJ53" s="37"/>
      <c r="AK53" s="2"/>
      <c r="AL53" s="2"/>
      <c r="AM53" s="2"/>
      <c r="AN53" s="2"/>
      <c r="AO53" s="32"/>
      <c r="AP53" s="32"/>
      <c r="AQ53" s="32"/>
      <c r="AR53" s="3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J53" s="10"/>
    </row>
    <row r="54" spans="1:62" x14ac:dyDescent="0.35">
      <c r="A54" s="2"/>
      <c r="B54" s="87">
        <v>44983</v>
      </c>
      <c r="C54" s="103">
        <v>4169.4799999999996</v>
      </c>
      <c r="D54" s="105">
        <f>(Table8[[#This Row],[S&amp;P500]]-C53)/C53</f>
        <v>8.0338470837109863E-3</v>
      </c>
      <c r="E54" s="7"/>
      <c r="F54" s="7"/>
      <c r="G54" s="7"/>
      <c r="H54" s="7"/>
      <c r="I54" s="7"/>
      <c r="J54" s="7"/>
      <c r="K54" s="7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42"/>
      <c r="Y54" s="7"/>
      <c r="Z54" s="37"/>
      <c r="AA54" s="37"/>
      <c r="AB54" s="44"/>
      <c r="AC54" s="37"/>
      <c r="AD54" s="1"/>
      <c r="AE54" s="37"/>
      <c r="AF54" s="37"/>
      <c r="AG54" s="37"/>
      <c r="AH54" s="37"/>
      <c r="AI54" s="37"/>
      <c r="AJ54" s="37"/>
      <c r="AK54" s="2"/>
      <c r="AL54" s="2"/>
      <c r="AM54" s="2"/>
      <c r="AN54" s="2"/>
      <c r="AO54" s="32"/>
      <c r="AP54" s="32"/>
      <c r="AQ54" s="32"/>
      <c r="AR54" s="3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J54" s="10"/>
    </row>
    <row r="55" spans="1:62" x14ac:dyDescent="0.35">
      <c r="A55" s="2"/>
      <c r="B55" s="87">
        <v>44990</v>
      </c>
      <c r="C55" s="103">
        <v>4133.5200000000004</v>
      </c>
      <c r="D55" s="105">
        <f>(Table8[[#This Row],[S&amp;P500]]-C54)/C54</f>
        <v>-8.6245766858215247E-3</v>
      </c>
      <c r="E55" s="7"/>
      <c r="F55" s="7"/>
      <c r="G55" s="7"/>
      <c r="H55" s="7"/>
      <c r="I55" s="7"/>
      <c r="J55" s="7"/>
      <c r="K55" s="7"/>
      <c r="L55" s="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42"/>
      <c r="Y55" s="7"/>
      <c r="Z55" s="37"/>
      <c r="AA55" s="37"/>
      <c r="AB55" s="44"/>
      <c r="AC55" s="37"/>
      <c r="AD55" s="1"/>
      <c r="AE55" s="37"/>
      <c r="AF55" s="37"/>
      <c r="AG55" s="37"/>
      <c r="AH55" s="37"/>
      <c r="AI55" s="37"/>
      <c r="AJ55" s="37"/>
      <c r="AK55" s="2"/>
      <c r="AL55" s="2"/>
      <c r="AM55" s="2"/>
      <c r="AN55" s="2"/>
      <c r="AO55" s="32"/>
      <c r="AP55" s="32"/>
      <c r="AQ55" s="32"/>
      <c r="AR55" s="3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J55" s="10"/>
    </row>
    <row r="56" spans="1:62" x14ac:dyDescent="0.35">
      <c r="A56" s="2"/>
      <c r="B56" s="87">
        <v>44997</v>
      </c>
      <c r="C56" s="103">
        <v>4137.6400000000003</v>
      </c>
      <c r="D56" s="105">
        <f>(Table8[[#This Row],[S&amp;P500]]-C55)/C55</f>
        <v>9.9672917997249092E-4</v>
      </c>
      <c r="E56" s="7"/>
      <c r="F56" s="7"/>
      <c r="G56" s="7"/>
      <c r="H56" s="7"/>
      <c r="I56" s="7"/>
      <c r="J56" s="7"/>
      <c r="K56" s="7"/>
      <c r="L56" s="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42"/>
      <c r="Y56" s="7"/>
      <c r="Z56" s="37"/>
      <c r="AA56" s="37"/>
      <c r="AB56" s="44"/>
      <c r="AC56" s="37"/>
      <c r="AD56" s="1"/>
      <c r="AE56" s="37"/>
      <c r="AF56" s="37"/>
      <c r="AG56" s="37"/>
      <c r="AH56" s="37"/>
      <c r="AI56" s="37"/>
      <c r="AJ56" s="37"/>
      <c r="AK56" s="2"/>
      <c r="AL56" s="2"/>
      <c r="AM56" s="2"/>
      <c r="AN56" s="2"/>
      <c r="AO56" s="32"/>
      <c r="AP56" s="32"/>
      <c r="AQ56" s="32"/>
      <c r="AR56" s="3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J56" s="10"/>
    </row>
    <row r="57" spans="1:62" x14ac:dyDescent="0.35">
      <c r="A57" s="2"/>
      <c r="B57" s="87">
        <v>45004</v>
      </c>
      <c r="C57" s="103">
        <v>4105.0200000000004</v>
      </c>
      <c r="D57" s="105">
        <f>(Table8[[#This Row],[S&amp;P500]]-C56)/C56</f>
        <v>-7.8837211550545454E-3</v>
      </c>
      <c r="E57" s="7"/>
      <c r="F57" s="7"/>
      <c r="G57" s="7"/>
      <c r="H57" s="7"/>
      <c r="I57" s="7"/>
      <c r="J57" s="7"/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42"/>
      <c r="Y57" s="7"/>
      <c r="Z57" s="37"/>
      <c r="AA57" s="37"/>
      <c r="AB57" s="44"/>
      <c r="AC57" s="37"/>
      <c r="AD57" s="1"/>
      <c r="AE57" s="37"/>
      <c r="AF57" s="37"/>
      <c r="AG57" s="37"/>
      <c r="AH57" s="37"/>
      <c r="AI57" s="37"/>
      <c r="AJ57" s="37"/>
      <c r="AK57" s="2"/>
      <c r="AL57" s="2"/>
      <c r="AM57" s="2"/>
      <c r="AN57" s="2"/>
      <c r="AO57" s="32"/>
      <c r="AP57" s="32"/>
      <c r="AQ57" s="32"/>
      <c r="AR57" s="3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J57" s="10"/>
    </row>
    <row r="58" spans="1:62" x14ac:dyDescent="0.35">
      <c r="A58" s="2"/>
      <c r="B58" s="87">
        <v>45011</v>
      </c>
      <c r="C58" s="103">
        <v>4109.3100000000004</v>
      </c>
      <c r="D58" s="105">
        <f>(Table8[[#This Row],[S&amp;P500]]-C57)/C57</f>
        <v>1.0450618998202111E-3</v>
      </c>
      <c r="E58" s="7"/>
      <c r="F58" s="7"/>
      <c r="G58" s="7"/>
      <c r="H58" s="7"/>
      <c r="I58" s="7"/>
      <c r="J58" s="7"/>
      <c r="K58" s="7"/>
      <c r="L58" s="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42"/>
      <c r="Y58" s="7"/>
      <c r="Z58" s="37"/>
      <c r="AA58" s="37"/>
      <c r="AB58" s="44"/>
      <c r="AC58" s="37"/>
      <c r="AD58" s="1"/>
      <c r="AE58" s="37"/>
      <c r="AF58" s="37"/>
      <c r="AG58" s="37"/>
      <c r="AH58" s="37"/>
      <c r="AI58" s="37"/>
      <c r="AJ58" s="37"/>
      <c r="AK58" s="2"/>
      <c r="AL58" s="2"/>
      <c r="AM58" s="2"/>
      <c r="AN58" s="2"/>
      <c r="AO58" s="32"/>
      <c r="AP58" s="32"/>
      <c r="AQ58" s="32"/>
      <c r="AR58" s="3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J58" s="10"/>
    </row>
    <row r="59" spans="1:62" x14ac:dyDescent="0.35">
      <c r="A59" s="2"/>
      <c r="B59" s="87">
        <v>45018</v>
      </c>
      <c r="C59" s="103">
        <v>3970.99</v>
      </c>
      <c r="D59" s="105">
        <f>(Table8[[#This Row],[S&amp;P500]]-C58)/C58</f>
        <v>-3.3660152191000582E-2</v>
      </c>
      <c r="E59" s="7"/>
      <c r="F59" s="7"/>
      <c r="G59" s="7"/>
      <c r="H59" s="7"/>
      <c r="I59" s="7"/>
      <c r="J59" s="7"/>
      <c r="K59" s="7"/>
      <c r="L59" s="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42"/>
      <c r="Y59" s="7"/>
      <c r="Z59" s="37"/>
      <c r="AA59" s="37"/>
      <c r="AB59" s="44"/>
      <c r="AC59" s="37"/>
      <c r="AD59" s="1"/>
      <c r="AE59" s="37"/>
      <c r="AF59" s="37"/>
      <c r="AG59" s="37"/>
      <c r="AH59" s="37"/>
      <c r="AI59" s="37"/>
      <c r="AJ59" s="37"/>
      <c r="AK59" s="2"/>
      <c r="AL59" s="2"/>
      <c r="AM59" s="2"/>
      <c r="AN59" s="2"/>
      <c r="AO59" s="32"/>
      <c r="AP59" s="32"/>
      <c r="AQ59" s="32"/>
      <c r="AR59" s="3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J59" s="10"/>
    </row>
    <row r="60" spans="1:62" x14ac:dyDescent="0.35">
      <c r="A60" s="2"/>
      <c r="B60" s="87">
        <v>45025</v>
      </c>
      <c r="C60" s="103">
        <v>3916.64</v>
      </c>
      <c r="D60" s="105">
        <f>(Table8[[#This Row],[S&amp;P500]]-C59)/C59</f>
        <v>-1.368676325047404E-2</v>
      </c>
      <c r="E60" s="7"/>
      <c r="F60" s="7"/>
      <c r="G60" s="7"/>
      <c r="H60" s="7"/>
      <c r="I60" s="7"/>
      <c r="J60" s="7"/>
      <c r="K60" s="7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42"/>
      <c r="Y60" s="7"/>
      <c r="Z60" s="37"/>
      <c r="AA60" s="37"/>
      <c r="AB60" s="44"/>
      <c r="AC60" s="37"/>
      <c r="AD60" s="1"/>
      <c r="AE60" s="37"/>
      <c r="AF60" s="37"/>
      <c r="AG60" s="37"/>
      <c r="AH60" s="37"/>
      <c r="AI60" s="37"/>
      <c r="AJ60" s="37"/>
      <c r="AK60" s="2"/>
      <c r="AL60" s="2"/>
      <c r="AM60" s="2"/>
      <c r="AN60" s="2"/>
      <c r="AO60" s="32"/>
      <c r="AP60" s="32"/>
      <c r="AQ60" s="32"/>
      <c r="AR60" s="3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J60" s="10"/>
    </row>
    <row r="61" spans="1:62" x14ac:dyDescent="0.35">
      <c r="A61" s="2"/>
      <c r="B61" s="87">
        <v>45032</v>
      </c>
      <c r="C61" s="103">
        <v>3861.59</v>
      </c>
      <c r="D61" s="105">
        <f>(Table8[[#This Row],[S&amp;P500]]-C60)/C60</f>
        <v>-1.4055414845377602E-2</v>
      </c>
      <c r="E61" s="7"/>
      <c r="F61" s="7"/>
      <c r="G61" s="7"/>
      <c r="H61" s="7"/>
      <c r="I61" s="7"/>
      <c r="J61" s="7"/>
      <c r="K61" s="7"/>
      <c r="L61" s="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42"/>
      <c r="Y61" s="7"/>
      <c r="Z61" s="37"/>
      <c r="AA61" s="37"/>
      <c r="AB61" s="44"/>
      <c r="AC61" s="37"/>
      <c r="AD61" s="1"/>
      <c r="AE61" s="37"/>
      <c r="AF61" s="37"/>
      <c r="AG61" s="37"/>
      <c r="AH61" s="37"/>
      <c r="AI61" s="37"/>
      <c r="AJ61" s="37"/>
      <c r="AK61" s="2"/>
      <c r="AL61" s="2"/>
      <c r="AM61" s="2"/>
      <c r="AN61" s="2"/>
      <c r="AO61" s="32"/>
      <c r="AP61" s="32"/>
      <c r="AQ61" s="32"/>
      <c r="AR61" s="3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J61" s="10"/>
    </row>
    <row r="62" spans="1:62" x14ac:dyDescent="0.35">
      <c r="A62" s="2"/>
      <c r="B62" s="87">
        <v>45039</v>
      </c>
      <c r="C62" s="103">
        <v>4045.64</v>
      </c>
      <c r="D62" s="105">
        <f>(Table8[[#This Row],[S&amp;P500]]-C61)/C61</f>
        <v>4.7661714475125461E-2</v>
      </c>
      <c r="E62" s="7"/>
      <c r="F62" s="7"/>
      <c r="G62" s="7"/>
      <c r="H62" s="7"/>
      <c r="I62" s="7"/>
      <c r="J62" s="7"/>
      <c r="K62" s="7"/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42"/>
      <c r="Y62" s="7"/>
      <c r="Z62" s="37"/>
      <c r="AA62" s="37"/>
      <c r="AB62" s="44"/>
      <c r="AC62" s="37"/>
      <c r="AD62" s="1"/>
      <c r="AE62" s="37"/>
      <c r="AF62" s="37"/>
      <c r="AG62" s="37"/>
      <c r="AH62" s="37"/>
      <c r="AI62" s="37"/>
      <c r="AJ62" s="37"/>
      <c r="AK62" s="2"/>
      <c r="AL62" s="2"/>
      <c r="AM62" s="2"/>
      <c r="AN62" s="2"/>
      <c r="AO62" s="32"/>
      <c r="AP62" s="32"/>
      <c r="AQ62" s="32"/>
      <c r="AR62" s="3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J62" s="10"/>
    </row>
    <row r="63" spans="1:62" x14ac:dyDescent="0.35">
      <c r="A63" s="2"/>
      <c r="B63" s="87">
        <v>45046</v>
      </c>
      <c r="C63" s="103">
        <v>3970.04</v>
      </c>
      <c r="D63" s="105">
        <f>(Table8[[#This Row],[S&amp;P500]]-C62)/C62</f>
        <v>-1.8686783796877604E-2</v>
      </c>
      <c r="E63" s="7"/>
      <c r="F63" s="7"/>
      <c r="G63" s="7"/>
      <c r="H63" s="7"/>
      <c r="I63" s="7"/>
      <c r="J63" s="7"/>
      <c r="K63" s="7"/>
      <c r="L63" s="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42"/>
      <c r="Y63" s="2"/>
      <c r="Z63" s="2"/>
      <c r="AA63" s="2"/>
      <c r="AB63" s="44"/>
      <c r="AC63" s="37"/>
      <c r="AD63" s="37"/>
      <c r="AE63" s="37"/>
      <c r="AF63" s="37"/>
      <c r="AG63" s="37"/>
      <c r="AH63" s="37"/>
      <c r="AI63" s="37"/>
      <c r="AJ63" s="37"/>
      <c r="AK63" s="2"/>
      <c r="AL63" s="2"/>
      <c r="AM63" s="2"/>
      <c r="AN63" s="2"/>
      <c r="AO63" s="32"/>
      <c r="AP63" s="32"/>
      <c r="AQ63" s="32"/>
      <c r="AR63" s="3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J63" s="10"/>
    </row>
    <row r="64" spans="1:62" x14ac:dyDescent="0.35">
      <c r="A64" s="2"/>
      <c r="B64" s="87">
        <v>45053</v>
      </c>
      <c r="C64" s="103">
        <v>4079.09</v>
      </c>
      <c r="D64" s="105">
        <f>(Table8[[#This Row],[S&amp;P500]]-C63)/C63</f>
        <v>2.7468237095847947E-2</v>
      </c>
      <c r="E64" s="7"/>
      <c r="F64" s="7"/>
      <c r="G64" s="7"/>
      <c r="H64" s="7"/>
      <c r="I64" s="7"/>
      <c r="J64" s="7"/>
      <c r="K64" s="7"/>
      <c r="L64" s="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42"/>
      <c r="Y64" s="2"/>
      <c r="Z64" s="2"/>
      <c r="AA64" s="2"/>
      <c r="AB64" s="37"/>
      <c r="AC64" s="37"/>
      <c r="AD64" s="37"/>
      <c r="AE64" s="37"/>
      <c r="AF64" s="37"/>
      <c r="AG64" s="37"/>
      <c r="AH64" s="37"/>
      <c r="AI64" s="37"/>
      <c r="AJ64" s="37"/>
      <c r="AK64" s="2"/>
      <c r="AL64" s="2"/>
      <c r="AM64" s="2"/>
      <c r="AN64" s="2"/>
      <c r="AO64" s="32"/>
      <c r="AP64" s="32"/>
      <c r="AQ64" s="32"/>
      <c r="AR64" s="3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J64" s="10"/>
    </row>
    <row r="65" spans="1:62" x14ac:dyDescent="0.35">
      <c r="A65" s="2"/>
      <c r="B65" s="87">
        <v>45060</v>
      </c>
      <c r="C65" s="103">
        <v>4090.46</v>
      </c>
      <c r="D65" s="105">
        <f>(Table8[[#This Row],[S&amp;P500]]-C64)/C64</f>
        <v>2.7873864023593227E-3</v>
      </c>
      <c r="E65" s="7"/>
      <c r="F65" s="7"/>
      <c r="G65" s="7"/>
      <c r="H65" s="7"/>
      <c r="I65" s="7"/>
      <c r="J65" s="7"/>
      <c r="K65" s="7"/>
      <c r="L65" s="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42"/>
      <c r="Y65" s="2"/>
      <c r="Z65" s="2"/>
      <c r="AA65" s="2"/>
      <c r="AB65" s="37"/>
      <c r="AC65" s="37"/>
      <c r="AD65" s="37"/>
      <c r="AE65" s="37"/>
      <c r="AF65" s="37"/>
      <c r="AG65" s="37"/>
      <c r="AH65" s="37"/>
      <c r="AI65" s="37"/>
      <c r="AJ65" s="37"/>
      <c r="AK65" s="2"/>
      <c r="AL65" s="2"/>
      <c r="AM65" s="2"/>
      <c r="AN65" s="2"/>
      <c r="AO65" s="32"/>
      <c r="AP65" s="32"/>
      <c r="AQ65" s="32"/>
      <c r="AR65" s="3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J65" s="10"/>
    </row>
    <row r="66" spans="1:62" x14ac:dyDescent="0.35">
      <c r="A66" s="2"/>
      <c r="B66" s="87">
        <v>45067</v>
      </c>
      <c r="C66" s="103">
        <v>4136.4799999999996</v>
      </c>
      <c r="D66" s="105">
        <f>(Table8[[#This Row],[S&amp;P500]]-C65)/C65</f>
        <v>1.1250568395730437E-2</v>
      </c>
      <c r="E66" s="7"/>
      <c r="F66" s="7"/>
      <c r="G66" s="7"/>
      <c r="H66" s="7"/>
      <c r="I66" s="7"/>
      <c r="J66" s="7"/>
      <c r="K66" s="7"/>
      <c r="L66" s="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42"/>
      <c r="Y66" s="2"/>
      <c r="Z66" s="2"/>
      <c r="AA66" s="2"/>
      <c r="AB66" s="37"/>
      <c r="AC66" s="37"/>
      <c r="AD66" s="37"/>
      <c r="AE66" s="37"/>
      <c r="AF66" s="37"/>
      <c r="AG66" s="37"/>
      <c r="AH66" s="37"/>
      <c r="AI66" s="37"/>
      <c r="AJ66" s="37"/>
      <c r="AK66" s="2"/>
      <c r="AL66" s="2"/>
      <c r="AM66" s="2"/>
      <c r="AN66" s="2"/>
      <c r="AO66" s="32"/>
      <c r="AP66" s="32"/>
      <c r="AQ66" s="32"/>
      <c r="AR66" s="3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J66" s="10"/>
    </row>
    <row r="67" spans="1:62" x14ac:dyDescent="0.35">
      <c r="A67" s="2"/>
      <c r="B67" s="87">
        <v>45074</v>
      </c>
      <c r="C67" s="103">
        <v>4070.56</v>
      </c>
      <c r="D67" s="105">
        <f>(Table8[[#This Row],[S&amp;P500]]-C66)/C66</f>
        <v>-1.5936254980079591E-2</v>
      </c>
      <c r="E67" s="7"/>
      <c r="F67" s="7"/>
      <c r="G67" s="7"/>
      <c r="H67" s="7"/>
      <c r="I67" s="7"/>
      <c r="J67" s="7"/>
      <c r="K67" s="7"/>
      <c r="L67" s="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42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2"/>
      <c r="AL67" s="2"/>
      <c r="AM67" s="2"/>
      <c r="AN67" s="2"/>
      <c r="AO67" s="3"/>
      <c r="AP67" s="3"/>
      <c r="AQ67" s="3"/>
      <c r="AR67" s="3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J67" s="10"/>
    </row>
    <row r="68" spans="1:62" x14ac:dyDescent="0.35">
      <c r="A68" s="2"/>
      <c r="B68" s="87">
        <v>45081</v>
      </c>
      <c r="C68" s="103">
        <v>3972.61</v>
      </c>
      <c r="D68" s="105">
        <f>(Table8[[#This Row],[S&amp;P500]]-C67)/C67</f>
        <v>-2.4063028182854402E-2</v>
      </c>
      <c r="E68" s="7"/>
      <c r="F68" s="7"/>
      <c r="G68" s="7"/>
      <c r="H68" s="7"/>
      <c r="I68" s="7"/>
      <c r="J68" s="7"/>
      <c r="K68" s="7"/>
      <c r="L68" s="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42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2"/>
      <c r="AL68" s="2"/>
      <c r="AM68" s="2"/>
      <c r="AN68" s="2"/>
      <c r="AO68" s="3"/>
      <c r="AP68" s="3"/>
      <c r="AQ68" s="3"/>
      <c r="AR68" s="3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J68" s="10"/>
    </row>
    <row r="69" spans="1:62" x14ac:dyDescent="0.35">
      <c r="A69" s="2"/>
      <c r="B69" s="87">
        <v>45088</v>
      </c>
      <c r="C69" s="103">
        <v>3999.09</v>
      </c>
      <c r="D69" s="105">
        <f>(Table8[[#This Row],[S&amp;P500]]-C68)/C68</f>
        <v>6.6656429903766082E-3</v>
      </c>
      <c r="E69" s="7"/>
      <c r="F69" s="7"/>
      <c r="G69" s="7"/>
      <c r="H69" s="7"/>
      <c r="I69" s="7"/>
      <c r="J69" s="7"/>
      <c r="K69" s="7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42"/>
      <c r="Y69" s="2"/>
      <c r="Z69" s="2"/>
      <c r="AA69" s="2"/>
      <c r="AB69" s="37"/>
      <c r="AC69" s="37"/>
      <c r="AD69" s="37"/>
      <c r="AE69" s="37"/>
      <c r="AF69" s="37"/>
      <c r="AG69" s="37"/>
      <c r="AH69" s="37"/>
      <c r="AI69" s="37"/>
      <c r="AJ69" s="37"/>
      <c r="AK69" s="2"/>
      <c r="AL69" s="2"/>
      <c r="AM69" s="2"/>
      <c r="AN69" s="2"/>
      <c r="AO69" s="3"/>
      <c r="AP69" s="3"/>
      <c r="AQ69" s="3"/>
      <c r="AR69" s="3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J69" s="10"/>
    </row>
    <row r="70" spans="1:62" x14ac:dyDescent="0.35">
      <c r="A70" s="2"/>
      <c r="B70" s="87">
        <v>45095</v>
      </c>
      <c r="C70" s="103">
        <v>3895.08</v>
      </c>
      <c r="D70" s="105">
        <f>(Table8[[#This Row],[S&amp;P500]]-C69)/C69</f>
        <v>-2.6008416914848183E-2</v>
      </c>
      <c r="E70" s="7"/>
      <c r="F70" s="7"/>
      <c r="G70" s="7"/>
      <c r="H70" s="7"/>
      <c r="I70" s="7"/>
      <c r="J70" s="7"/>
      <c r="K70" s="7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42"/>
      <c r="Y70" s="2"/>
      <c r="Z70" s="2"/>
      <c r="AA70" s="2"/>
      <c r="AB70" s="37"/>
      <c r="AC70" s="37"/>
      <c r="AD70" s="37"/>
      <c r="AE70" s="37"/>
      <c r="AF70" s="37"/>
      <c r="AG70" s="37"/>
      <c r="AH70" s="37"/>
      <c r="AI70" s="37"/>
      <c r="AJ70" s="37"/>
      <c r="AK70" s="2"/>
      <c r="AL70" s="2"/>
      <c r="AM70" s="2"/>
      <c r="AN70" s="2"/>
      <c r="AO70" s="3"/>
      <c r="AP70" s="3"/>
      <c r="AQ70" s="3"/>
      <c r="AR70" s="3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J70" s="10"/>
    </row>
    <row r="71" spans="1:62" x14ac:dyDescent="0.35">
      <c r="A71" s="2"/>
      <c r="B71" s="9"/>
      <c r="C71" s="8"/>
      <c r="D71" s="7"/>
      <c r="E71" s="7"/>
      <c r="F71" s="7"/>
      <c r="G71" s="7"/>
      <c r="H71" s="7"/>
      <c r="I71" s="7"/>
      <c r="J71" s="7"/>
      <c r="K71" s="7"/>
      <c r="L71" s="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  <c r="AA71" s="2"/>
      <c r="AB71" s="37"/>
      <c r="AC71" s="37"/>
      <c r="AD71" s="37"/>
      <c r="AE71" s="37"/>
      <c r="AF71" s="37"/>
      <c r="AG71" s="37"/>
      <c r="AH71" s="37"/>
      <c r="AI71" s="37"/>
      <c r="AJ71" s="37"/>
      <c r="AK71" s="2"/>
      <c r="AL71" s="2"/>
      <c r="AM71" s="2"/>
      <c r="AN71" s="2"/>
      <c r="AO71" s="3"/>
      <c r="AP71" s="3"/>
      <c r="AQ71" s="3"/>
      <c r="AR71" s="32"/>
      <c r="AS71" s="51"/>
      <c r="AT71" s="55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I71" s="10"/>
    </row>
    <row r="72" spans="1:6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spans="1:6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1:6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spans="1:6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spans="1:6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1:6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1:6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  <row r="79" spans="1:6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</row>
    <row r="80" spans="1:6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r="81" spans="1:6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8"/>
      <c r="AN81" s="28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r="82" spans="1:6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4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</row>
    <row r="83" spans="1:61" x14ac:dyDescent="0.35">
      <c r="A83" s="2"/>
      <c r="B83" s="2"/>
      <c r="C83" s="5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1"/>
      <c r="AK83" s="36"/>
      <c r="AL83" s="1"/>
      <c r="AM83" s="40"/>
      <c r="AN83" s="40"/>
      <c r="AO83" s="2"/>
      <c r="AP83" s="2"/>
      <c r="AQ83" s="2"/>
      <c r="AR83" s="3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I83" s="10"/>
    </row>
    <row r="84" spans="1:6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1"/>
      <c r="AK84" s="36"/>
      <c r="AL84" s="1"/>
      <c r="AM84" s="40"/>
      <c r="AN84" s="40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I84" s="10"/>
    </row>
    <row r="85" spans="1:6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1"/>
      <c r="AK85" s="36"/>
      <c r="AL85" s="1"/>
      <c r="AM85" s="40"/>
      <c r="AN85" s="40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I85" s="10"/>
    </row>
    <row r="86" spans="1:6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1"/>
      <c r="AK86" s="36"/>
      <c r="AL86" s="1"/>
      <c r="AM86" s="40"/>
      <c r="AN86" s="40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I86" s="10"/>
    </row>
    <row r="87" spans="1:6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1"/>
      <c r="AK87" s="36"/>
      <c r="AL87" s="1"/>
      <c r="AM87" s="40"/>
      <c r="AN87" s="40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spans="1:61" x14ac:dyDescent="0.35">
      <c r="A88" s="2" t="s">
        <v>51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1"/>
      <c r="AK88" s="36"/>
      <c r="AL88" s="1"/>
      <c r="AM88" s="40"/>
      <c r="AN88" s="40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r="89" spans="1:6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6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1"/>
      <c r="AK89" s="36"/>
      <c r="AL89" s="1"/>
      <c r="AM89" s="40"/>
      <c r="AN89" s="40"/>
      <c r="AO89" s="2"/>
      <c r="AP89" s="2"/>
      <c r="AQ89" s="2"/>
      <c r="AR89" s="2"/>
      <c r="AS89" s="2"/>
      <c r="AT89" s="26"/>
      <c r="AU89" s="45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</row>
    <row r="90" spans="1:6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6"/>
      <c r="Y90" s="35"/>
      <c r="Z90" s="35"/>
      <c r="AA90" s="1"/>
      <c r="AB90" s="35"/>
      <c r="AC90" s="35"/>
      <c r="AD90" s="35"/>
      <c r="AE90" s="35"/>
      <c r="AF90" s="35"/>
      <c r="AG90" s="35"/>
      <c r="AH90" s="35"/>
      <c r="AI90" s="35"/>
      <c r="AJ90" s="1"/>
      <c r="AK90" s="36"/>
      <c r="AL90" s="1"/>
      <c r="AM90" s="40"/>
      <c r="AN90" s="40"/>
      <c r="AO90" s="2"/>
      <c r="AP90" s="2"/>
      <c r="AQ90" s="2"/>
      <c r="AR90" s="60"/>
      <c r="AS90" s="61"/>
      <c r="AT90" s="61"/>
      <c r="AU90" s="61"/>
      <c r="AV90" s="61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r="91" spans="1:6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5"/>
      <c r="Z91" s="35"/>
      <c r="AA91" s="1"/>
      <c r="AB91" s="35"/>
      <c r="AC91" s="35"/>
      <c r="AD91" s="35"/>
      <c r="AE91" s="35"/>
      <c r="AF91" s="35"/>
      <c r="AG91" s="35"/>
      <c r="AH91" s="35"/>
      <c r="AI91" s="35"/>
      <c r="AJ91" s="1"/>
      <c r="AK91" s="36"/>
      <c r="AL91" s="1"/>
      <c r="AM91" s="40"/>
      <c r="AN91" s="40"/>
      <c r="AO91" s="2"/>
      <c r="AP91" s="2"/>
      <c r="AQ91" s="2"/>
      <c r="AR91" s="3"/>
      <c r="AS91" s="27"/>
      <c r="AT91" s="27"/>
      <c r="AU91" s="1"/>
      <c r="AV91" s="1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 spans="1:6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5"/>
      <c r="Z92" s="35"/>
      <c r="AA92" s="1"/>
      <c r="AB92" s="35"/>
      <c r="AC92" s="35"/>
      <c r="AD92" s="35"/>
      <c r="AE92" s="35"/>
      <c r="AF92" s="35"/>
      <c r="AG92" s="35"/>
      <c r="AH92" s="35"/>
      <c r="AI92" s="35"/>
      <c r="AJ92" s="1"/>
      <c r="AK92" s="36"/>
      <c r="AL92" s="1"/>
      <c r="AM92" s="40"/>
      <c r="AN92" s="40"/>
      <c r="AO92" s="2"/>
      <c r="AP92" s="2"/>
      <c r="AQ92" s="2"/>
      <c r="AR92" s="3"/>
      <c r="AS92" s="27"/>
      <c r="AT92" s="27"/>
      <c r="AU92" s="1"/>
      <c r="AV92" s="1"/>
      <c r="AW92" s="2"/>
      <c r="AX92" s="2"/>
      <c r="AY92" s="2"/>
      <c r="AZ92" s="2"/>
      <c r="BA92" s="2"/>
      <c r="BB92" s="2"/>
      <c r="BC92" s="2"/>
      <c r="BD92" s="2"/>
      <c r="BE92" s="2"/>
      <c r="BF92" s="2"/>
    </row>
    <row r="93" spans="1:6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1"/>
      <c r="AK93" s="36"/>
      <c r="AL93" s="1"/>
      <c r="AM93" s="40"/>
      <c r="AN93" s="40"/>
      <c r="AO93" s="2"/>
      <c r="AP93" s="2"/>
      <c r="AQ93" s="2"/>
      <c r="AR93" s="3"/>
      <c r="AS93" s="27"/>
      <c r="AT93" s="27"/>
      <c r="AU93" s="1"/>
      <c r="AV93" s="1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r="94" spans="1:6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5"/>
      <c r="Z94" s="35"/>
      <c r="AA94" s="1"/>
      <c r="AB94" s="35"/>
      <c r="AC94" s="35"/>
      <c r="AD94" s="35"/>
      <c r="AE94" s="35"/>
      <c r="AF94" s="35"/>
      <c r="AG94" s="35"/>
      <c r="AH94" s="35"/>
      <c r="AI94" s="35"/>
      <c r="AJ94" s="1"/>
      <c r="AK94" s="36"/>
      <c r="AL94" s="1"/>
      <c r="AM94" s="40"/>
      <c r="AN94" s="40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</row>
    <row r="95" spans="1:6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5"/>
      <c r="Z95" s="35"/>
      <c r="AA95" s="1"/>
      <c r="AB95" s="35"/>
      <c r="AC95" s="35"/>
      <c r="AD95" s="35"/>
      <c r="AE95" s="35"/>
      <c r="AF95" s="35"/>
      <c r="AG95" s="35"/>
      <c r="AH95" s="35"/>
      <c r="AI95" s="35"/>
      <c r="AJ95" s="1"/>
      <c r="AK95" s="36"/>
      <c r="AL95" s="1"/>
      <c r="AM95" s="40"/>
      <c r="AN95" s="40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</row>
    <row r="96" spans="1:6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5"/>
      <c r="Z96" s="35"/>
      <c r="AA96" s="1"/>
      <c r="AB96" s="35"/>
      <c r="AC96" s="35"/>
      <c r="AD96" s="35"/>
      <c r="AE96" s="35"/>
      <c r="AF96" s="35"/>
      <c r="AG96" s="35"/>
      <c r="AH96" s="35"/>
      <c r="AI96" s="35"/>
      <c r="AJ96" s="1"/>
      <c r="AK96" s="36"/>
      <c r="AL96" s="1"/>
      <c r="AM96" s="40"/>
      <c r="AN96" s="40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r="97" spans="1:5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1"/>
      <c r="AK97" s="36"/>
      <c r="AL97" s="1"/>
      <c r="AM97" s="40"/>
      <c r="AN97" s="40"/>
      <c r="AO97" s="2"/>
      <c r="AP97" s="2"/>
      <c r="AQ97" s="2"/>
      <c r="AR97" s="2"/>
      <c r="AS97" s="2"/>
      <c r="AT97" s="2"/>
      <c r="AU97" s="2"/>
      <c r="AV97" s="2"/>
      <c r="AW97" s="2"/>
      <c r="AX97" s="1"/>
      <c r="AY97" s="2"/>
      <c r="AZ97" s="2"/>
      <c r="BA97" s="2"/>
      <c r="BB97" s="2"/>
      <c r="BC97" s="2"/>
      <c r="BD97" s="2"/>
      <c r="BE97" s="2"/>
      <c r="BF97" s="2"/>
    </row>
    <row r="98" spans="1:5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80"/>
      <c r="L98" s="81"/>
      <c r="M98" s="81"/>
      <c r="N98" s="81"/>
      <c r="O98" s="81"/>
      <c r="P98" s="82"/>
      <c r="Q98" s="81"/>
      <c r="R98" s="2"/>
      <c r="S98" s="2"/>
      <c r="T98" s="2"/>
      <c r="U98" s="2"/>
      <c r="V98" s="2"/>
      <c r="W98" s="2"/>
      <c r="X98" s="3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1"/>
      <c r="AY98" s="2"/>
      <c r="AZ98" s="2"/>
      <c r="BA98" s="2"/>
      <c r="BB98" s="2"/>
      <c r="BC98" s="2"/>
      <c r="BD98" s="2"/>
      <c r="BE98" s="2"/>
      <c r="BF98" s="2"/>
    </row>
    <row r="99" spans="1:5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83"/>
      <c r="L99" s="84"/>
      <c r="M99" s="84"/>
      <c r="N99" s="84"/>
      <c r="O99" s="84"/>
      <c r="P99" s="84"/>
      <c r="Q99" s="85"/>
      <c r="R99" s="2"/>
      <c r="S99" s="2"/>
      <c r="T99" s="2"/>
      <c r="U99" s="2"/>
      <c r="V99" s="2"/>
      <c r="W99" s="2"/>
      <c r="X99" s="3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1"/>
      <c r="AY99" s="2"/>
      <c r="AZ99" s="2"/>
      <c r="BA99" s="2"/>
      <c r="BB99" s="2"/>
      <c r="BC99" s="2"/>
      <c r="BD99" s="2"/>
      <c r="BE99" s="2"/>
      <c r="BF99" s="2"/>
    </row>
    <row r="100" spans="1:5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83"/>
      <c r="L100" s="84"/>
      <c r="M100" s="84"/>
      <c r="N100" s="84"/>
      <c r="O100" s="84"/>
      <c r="P100" s="84"/>
      <c r="Q100" s="85"/>
      <c r="R100" s="2"/>
      <c r="S100" s="2"/>
      <c r="T100" s="2"/>
      <c r="U100" s="2"/>
      <c r="V100" s="2"/>
      <c r="W100" s="2"/>
      <c r="X100" s="3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1"/>
      <c r="AY100" s="2"/>
      <c r="AZ100" s="2"/>
      <c r="BA100" s="2"/>
      <c r="BB100" s="2"/>
      <c r="BC100" s="2"/>
      <c r="BD100" s="2"/>
      <c r="BE100" s="2"/>
      <c r="BF100" s="2"/>
    </row>
    <row r="101" spans="1:5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83"/>
      <c r="L101" s="84"/>
      <c r="M101" s="84"/>
      <c r="N101" s="84"/>
      <c r="O101" s="84"/>
      <c r="P101" s="84"/>
      <c r="Q101" s="85"/>
      <c r="R101" s="2"/>
      <c r="S101" s="2"/>
      <c r="T101" s="2"/>
      <c r="U101" s="2"/>
      <c r="V101" s="2"/>
      <c r="W101" s="2"/>
      <c r="X101" s="3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1"/>
      <c r="AY101" s="2"/>
      <c r="AZ101" s="2"/>
      <c r="BA101" s="2"/>
      <c r="BB101" s="2"/>
      <c r="BC101" s="2"/>
      <c r="BD101" s="2"/>
      <c r="BE101" s="2"/>
      <c r="BF101" s="2"/>
    </row>
    <row r="102" spans="1:5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83"/>
      <c r="L102" s="84"/>
      <c r="M102" s="84"/>
      <c r="N102" s="84"/>
      <c r="O102" s="84"/>
      <c r="P102" s="84"/>
      <c r="Q102" s="85"/>
      <c r="R102" s="2"/>
      <c r="S102" s="2"/>
      <c r="T102" s="2"/>
      <c r="U102" s="2"/>
      <c r="V102" s="2"/>
      <c r="W102" s="2"/>
      <c r="X102" s="3"/>
      <c r="Y102" s="49"/>
      <c r="Z102" s="27"/>
      <c r="AA102" s="27"/>
      <c r="AB102" s="37"/>
      <c r="AC102" s="37"/>
      <c r="AD102" s="37"/>
      <c r="AE102" s="37"/>
      <c r="AF102" s="37"/>
      <c r="AG102" s="37"/>
      <c r="AH102" s="37"/>
      <c r="AI102" s="37"/>
      <c r="AJ102" s="37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1"/>
      <c r="AY102" s="2"/>
      <c r="AZ102" s="2"/>
      <c r="BA102" s="2"/>
      <c r="BB102" s="2"/>
      <c r="BC102" s="2"/>
      <c r="BD102" s="2"/>
      <c r="BE102" s="2"/>
      <c r="BF102" s="2"/>
    </row>
    <row r="103" spans="1:5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83"/>
      <c r="L103" s="84"/>
      <c r="M103" s="84"/>
      <c r="N103" s="84"/>
      <c r="O103" s="84"/>
      <c r="P103" s="84"/>
      <c r="Q103" s="85"/>
      <c r="R103" s="2"/>
      <c r="S103" s="2"/>
      <c r="T103" s="2"/>
      <c r="U103" s="2"/>
      <c r="V103" s="2"/>
      <c r="W103" s="2"/>
      <c r="X103" s="3"/>
      <c r="Y103" s="43"/>
      <c r="Z103" s="2"/>
      <c r="AA103" s="26"/>
      <c r="AB103" s="37"/>
      <c r="AC103" s="37"/>
      <c r="AD103" s="37"/>
      <c r="AE103" s="37"/>
      <c r="AF103" s="37"/>
      <c r="AG103" s="37"/>
      <c r="AH103" s="37"/>
      <c r="AI103" s="37"/>
      <c r="AJ103" s="37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</row>
    <row r="104" spans="1:5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83"/>
      <c r="L104" s="84"/>
      <c r="M104" s="84"/>
      <c r="N104" s="84"/>
      <c r="O104" s="84"/>
      <c r="P104" s="84"/>
      <c r="Q104" s="85"/>
      <c r="R104" s="2"/>
      <c r="S104" s="2"/>
      <c r="T104" s="2"/>
      <c r="U104" s="2"/>
      <c r="V104" s="2"/>
      <c r="W104" s="2"/>
      <c r="X104" s="3"/>
      <c r="Y104" s="43"/>
      <c r="Z104" s="43"/>
      <c r="AA104" s="2"/>
      <c r="AB104" s="37"/>
      <c r="AC104" s="37"/>
      <c r="AD104" s="37"/>
      <c r="AE104" s="37"/>
      <c r="AF104" s="37"/>
      <c r="AG104" s="37"/>
      <c r="AH104" s="37"/>
      <c r="AI104" s="37"/>
      <c r="AJ104" s="37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</row>
    <row r="105" spans="1:5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83"/>
      <c r="L105" s="84"/>
      <c r="M105" s="84"/>
      <c r="N105" s="84"/>
      <c r="O105" s="84"/>
      <c r="P105" s="84"/>
      <c r="Q105" s="85"/>
      <c r="R105" s="2"/>
      <c r="S105" s="2"/>
      <c r="T105" s="2"/>
      <c r="U105" s="2"/>
      <c r="V105" s="2"/>
      <c r="W105" s="2"/>
      <c r="X105" s="3"/>
      <c r="Y105" s="43"/>
      <c r="Z105" s="2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</row>
    <row r="106" spans="1:5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83"/>
      <c r="L106" s="84"/>
      <c r="M106" s="84"/>
      <c r="N106" s="84"/>
      <c r="O106" s="84"/>
      <c r="P106" s="84"/>
      <c r="Q106" s="85"/>
      <c r="R106" s="2"/>
      <c r="S106" s="2"/>
      <c r="T106" s="2"/>
      <c r="U106" s="2"/>
      <c r="V106" s="2"/>
      <c r="W106" s="2"/>
      <c r="X106" s="2"/>
      <c r="Y106" s="43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</row>
    <row r="107" spans="1:5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83"/>
      <c r="L107" s="84"/>
      <c r="M107" s="84"/>
      <c r="N107" s="84"/>
      <c r="O107" s="84"/>
      <c r="P107" s="84"/>
      <c r="Q107" s="85"/>
      <c r="R107" s="2"/>
      <c r="S107" s="2"/>
      <c r="T107" s="2"/>
      <c r="U107" s="2"/>
      <c r="V107" s="2"/>
      <c r="W107" s="2"/>
      <c r="X107" s="2"/>
      <c r="Y107" s="43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</row>
    <row r="108" spans="1:5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83"/>
      <c r="L108" s="84"/>
      <c r="M108" s="84"/>
      <c r="N108" s="84"/>
      <c r="O108" s="84"/>
      <c r="P108" s="84"/>
      <c r="Q108" s="85"/>
      <c r="R108" s="2"/>
      <c r="S108" s="2"/>
      <c r="T108" s="2"/>
      <c r="U108" s="2"/>
      <c r="V108" s="2"/>
      <c r="W108" s="2"/>
      <c r="X108" s="2"/>
      <c r="Y108" s="43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</row>
    <row r="109" spans="1:5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3"/>
      <c r="L109" s="84"/>
      <c r="M109" s="84"/>
      <c r="N109" s="84"/>
      <c r="O109" s="84"/>
      <c r="P109" s="84"/>
      <c r="Q109" s="85"/>
      <c r="R109" s="2"/>
      <c r="S109" s="2"/>
      <c r="T109" s="2"/>
      <c r="U109" s="2"/>
      <c r="V109" s="2"/>
      <c r="W109" s="2"/>
      <c r="X109" s="2"/>
      <c r="Y109" s="43"/>
      <c r="Z109" s="37"/>
      <c r="AA109" s="37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</row>
    <row r="110" spans="1:5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3"/>
      <c r="L110" s="84"/>
      <c r="M110" s="84"/>
      <c r="N110" s="84"/>
      <c r="O110" s="84"/>
      <c r="P110" s="84"/>
      <c r="Q110" s="85"/>
      <c r="R110" s="2"/>
      <c r="S110" s="2"/>
      <c r="T110" s="2"/>
      <c r="U110" s="2"/>
      <c r="V110" s="2"/>
      <c r="W110" s="2"/>
      <c r="X110" s="48"/>
      <c r="Y110" s="43"/>
      <c r="Z110" s="37"/>
      <c r="AA110" s="37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</row>
    <row r="111" spans="1:5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3"/>
      <c r="L111" s="84"/>
      <c r="M111" s="84"/>
      <c r="N111" s="84"/>
      <c r="O111" s="84"/>
      <c r="P111" s="84"/>
      <c r="Q111" s="85"/>
      <c r="R111" s="2"/>
      <c r="S111" s="2"/>
      <c r="T111" s="2"/>
      <c r="U111" s="2"/>
      <c r="V111" s="2"/>
      <c r="W111" s="2"/>
      <c r="X111" s="47"/>
      <c r="Y111" s="43"/>
      <c r="Z111" s="37"/>
      <c r="AA111" s="37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</row>
    <row r="112" spans="1:5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83"/>
      <c r="L112" s="84"/>
      <c r="M112" s="84"/>
      <c r="N112" s="84"/>
      <c r="O112" s="84"/>
      <c r="P112" s="84"/>
      <c r="Q112" s="85"/>
      <c r="R112" s="2"/>
      <c r="S112" s="2"/>
      <c r="T112" s="2"/>
      <c r="U112" s="2"/>
      <c r="V112" s="2"/>
      <c r="W112" s="2"/>
      <c r="X112" s="41"/>
      <c r="Y112" s="43"/>
      <c r="Z112" s="37"/>
      <c r="AA112" s="37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r="113" spans="1:5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83"/>
      <c r="L113" s="84"/>
      <c r="M113" s="84"/>
      <c r="N113" s="84"/>
      <c r="O113" s="84"/>
      <c r="P113" s="84"/>
      <c r="Q113" s="85"/>
      <c r="R113" s="2"/>
      <c r="S113" s="2"/>
      <c r="T113" s="2"/>
      <c r="U113" s="2"/>
      <c r="V113" s="2"/>
      <c r="W113" s="2"/>
      <c r="X113" s="42"/>
      <c r="Y113" s="43"/>
      <c r="Z113" s="37"/>
      <c r="AA113" s="37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r="114" spans="1:5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83"/>
      <c r="L114" s="84"/>
      <c r="M114" s="84"/>
      <c r="N114" s="84"/>
      <c r="O114" s="84"/>
      <c r="P114" s="84"/>
      <c r="Q114" s="85"/>
      <c r="R114" s="2"/>
      <c r="S114" s="2"/>
      <c r="T114" s="2"/>
      <c r="U114" s="2"/>
      <c r="V114" s="2"/>
      <c r="W114" s="2"/>
      <c r="X114" s="42"/>
      <c r="Y114" s="43"/>
      <c r="Z114" s="37"/>
      <c r="AA114" s="37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r="115" spans="1:5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83"/>
      <c r="L115" s="84"/>
      <c r="M115" s="84"/>
      <c r="N115" s="84"/>
      <c r="O115" s="84"/>
      <c r="P115" s="84"/>
      <c r="Q115" s="85"/>
      <c r="R115" s="2"/>
      <c r="S115" s="2"/>
      <c r="T115" s="2"/>
      <c r="U115" s="2"/>
      <c r="V115" s="2"/>
      <c r="W115" s="2"/>
      <c r="X115" s="42"/>
      <c r="Y115" s="43"/>
      <c r="Z115" s="37"/>
      <c r="AA115" s="37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</row>
    <row r="116" spans="1:5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83"/>
      <c r="L116" s="84"/>
      <c r="M116" s="84"/>
      <c r="N116" s="84"/>
      <c r="O116" s="84"/>
      <c r="P116" s="84"/>
      <c r="Q116" s="85"/>
      <c r="R116" s="2"/>
      <c r="S116" s="2"/>
      <c r="T116" s="2"/>
      <c r="U116" s="2"/>
      <c r="V116" s="2"/>
      <c r="W116" s="2"/>
      <c r="X116" s="42"/>
      <c r="Y116" s="43"/>
      <c r="Z116" s="37"/>
      <c r="AA116" s="37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</row>
    <row r="117" spans="1:5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83"/>
      <c r="L117" s="84"/>
      <c r="M117" s="84"/>
      <c r="N117" s="84"/>
      <c r="O117" s="84"/>
      <c r="P117" s="84"/>
      <c r="Q117" s="85"/>
      <c r="R117" s="2"/>
      <c r="S117" s="2"/>
      <c r="T117" s="2"/>
      <c r="U117" s="2"/>
      <c r="V117" s="2"/>
      <c r="W117" s="2"/>
      <c r="X117" s="42"/>
      <c r="Y117" s="43"/>
      <c r="Z117" s="37"/>
      <c r="AA117" s="37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</row>
    <row r="118" spans="1:5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83"/>
      <c r="L118" s="84"/>
      <c r="M118" s="84"/>
      <c r="N118" s="84"/>
      <c r="O118" s="84"/>
      <c r="P118" s="84"/>
      <c r="Q118" s="85"/>
      <c r="R118" s="2"/>
      <c r="S118" s="2"/>
      <c r="T118" s="2"/>
      <c r="U118" s="2"/>
      <c r="V118" s="2"/>
      <c r="W118" s="2"/>
      <c r="X118" s="4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r="119" spans="1:5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83"/>
      <c r="L119" s="84"/>
      <c r="M119" s="84"/>
      <c r="N119" s="84"/>
      <c r="O119" s="84"/>
      <c r="P119" s="84"/>
      <c r="Q119" s="85"/>
      <c r="R119" s="2"/>
      <c r="S119" s="2"/>
      <c r="T119" s="2"/>
      <c r="U119" s="2"/>
      <c r="V119" s="2"/>
      <c r="W119" s="2"/>
      <c r="X119" s="4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</row>
    <row r="120" spans="1:5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83"/>
      <c r="L120" s="84"/>
      <c r="M120" s="84"/>
      <c r="N120" s="84"/>
      <c r="O120" s="84"/>
      <c r="P120" s="84"/>
      <c r="Q120" s="85"/>
      <c r="R120" s="2"/>
      <c r="S120" s="2"/>
      <c r="T120" s="2"/>
      <c r="U120" s="2"/>
      <c r="V120" s="2"/>
      <c r="W120" s="2"/>
      <c r="X120" s="4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</row>
    <row r="121" spans="1:5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83"/>
      <c r="L121" s="84"/>
      <c r="M121" s="84"/>
      <c r="N121" s="84"/>
      <c r="O121" s="84"/>
      <c r="P121" s="84"/>
      <c r="Q121" s="85"/>
      <c r="R121" s="2"/>
      <c r="S121" s="2"/>
      <c r="T121" s="2"/>
      <c r="U121" s="2"/>
      <c r="V121" s="2"/>
      <c r="W121" s="2"/>
      <c r="X121" s="4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</row>
    <row r="122" spans="1:5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83"/>
      <c r="L122" s="84"/>
      <c r="M122" s="84"/>
      <c r="N122" s="84"/>
      <c r="O122" s="84"/>
      <c r="P122" s="84"/>
      <c r="Q122" s="85"/>
      <c r="R122" s="2"/>
      <c r="S122" s="2"/>
      <c r="T122" s="2"/>
      <c r="U122" s="2"/>
      <c r="V122" s="2"/>
      <c r="W122" s="2"/>
      <c r="X122" s="4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</row>
    <row r="123" spans="1:5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83"/>
      <c r="L123" s="84"/>
      <c r="M123" s="84"/>
      <c r="N123" s="84"/>
      <c r="O123" s="84"/>
      <c r="P123" s="84"/>
      <c r="Q123" s="85"/>
      <c r="R123" s="2"/>
      <c r="S123" s="2"/>
      <c r="T123" s="2"/>
      <c r="U123" s="2"/>
      <c r="V123" s="2"/>
      <c r="W123" s="2"/>
      <c r="X123" s="4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</row>
    <row r="124" spans="1:5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</row>
    <row r="125" spans="1:5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</row>
    <row r="126" spans="1:5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</row>
    <row r="127" spans="1:5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</row>
  </sheetData>
  <mergeCells count="4">
    <mergeCell ref="Y4:AM4"/>
    <mergeCell ref="M38:N38"/>
    <mergeCell ref="M39:N39"/>
    <mergeCell ref="M34:N34"/>
  </mergeCells>
  <phoneticPr fontId="9" type="noConversion"/>
  <pageMargins left="0.7" right="0.7" top="0.75" bottom="0.75" header="0.3" footer="0.3"/>
  <pageSetup scale="15" fitToWidth="0" fitToHeight="0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60CC14B-E947-43D5-B246-7A137A5CACD9}">
          <xm:f>'DRIVERS OIL&amp;GAS'!1:1048576</xm:f>
        </x15:webExtension>
        <x15:webExtension appRef="{665F3C3D-1038-495D-BA83-1D99D079BA84}">
          <xm:f>'DRIVERS OIL&amp;GAS'!$C$36:$L$36</xm:f>
        </x15:webExtension>
        <x15:webExtension appRef="{020AA52C-968C-406C-8549-6F64BE113C77}">
          <xm:f>'DRIVERS OIL&amp;GAS'!$O$39:$Q$82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E35B-242E-4597-862F-D5C9D42B99FA}">
  <dimension ref="A1:S24"/>
  <sheetViews>
    <sheetView workbookViewId="0">
      <selection activeCell="C11" sqref="C11"/>
    </sheetView>
  </sheetViews>
  <sheetFormatPr defaultRowHeight="14.5" x14ac:dyDescent="0.35"/>
  <sheetData>
    <row r="1" spans="1:11" x14ac:dyDescent="0.35">
      <c r="A1" s="91"/>
      <c r="B1" s="91" t="s">
        <v>22</v>
      </c>
      <c r="C1" s="91" t="s">
        <v>23</v>
      </c>
      <c r="D1" s="91" t="s">
        <v>24</v>
      </c>
      <c r="E1" s="91" t="s">
        <v>25</v>
      </c>
      <c r="F1" s="91" t="s">
        <v>26</v>
      </c>
      <c r="G1" s="91" t="s">
        <v>27</v>
      </c>
      <c r="H1" s="91" t="s">
        <v>28</v>
      </c>
      <c r="I1" s="91" t="s">
        <v>29</v>
      </c>
      <c r="J1" s="91" t="s">
        <v>30</v>
      </c>
      <c r="K1" s="91" t="s">
        <v>31</v>
      </c>
    </row>
    <row r="2" spans="1:11" x14ac:dyDescent="0.35">
      <c r="A2" t="s">
        <v>22</v>
      </c>
      <c r="B2">
        <f>VARP('DRIVERS OIL&amp;GAS'!$M$6:$M$29)</f>
        <v>1.4412785626169542E-3</v>
      </c>
      <c r="C2">
        <v>9.1753588940405955E-4</v>
      </c>
      <c r="D2">
        <v>9.8304890372041516E-4</v>
      </c>
      <c r="E2">
        <v>9.8814018391432993E-4</v>
      </c>
      <c r="F2">
        <v>1.4232043899891902E-3</v>
      </c>
      <c r="G2">
        <v>1.5298860399841196E-3</v>
      </c>
      <c r="H2">
        <v>1.1307839959415452E-3</v>
      </c>
      <c r="I2">
        <v>5.5962239528208459E-4</v>
      </c>
      <c r="J2">
        <v>5.7875318891112935E-4</v>
      </c>
      <c r="K2">
        <v>6.0666404936789695E-4</v>
      </c>
    </row>
    <row r="3" spans="1:11" x14ac:dyDescent="0.35">
      <c r="A3" t="s">
        <v>23</v>
      </c>
      <c r="B3">
        <v>9.1753588940405955E-4</v>
      </c>
      <c r="C3">
        <f>VARP('DRIVERS OIL&amp;GAS'!$N$6:$N$29)</f>
        <v>7.6553818817276314E-4</v>
      </c>
      <c r="D3">
        <v>6.1221595807609604E-4</v>
      </c>
      <c r="E3">
        <v>6.7414652542453204E-4</v>
      </c>
      <c r="F3">
        <v>1.1079582893708776E-3</v>
      </c>
      <c r="G3">
        <v>8.7948923692780301E-4</v>
      </c>
      <c r="H3">
        <v>8.2676115055202589E-4</v>
      </c>
      <c r="I3">
        <v>4.8816866498543611E-4</v>
      </c>
      <c r="J3">
        <v>6.6243196193783462E-4</v>
      </c>
      <c r="K3">
        <v>6.9478121078961179E-4</v>
      </c>
    </row>
    <row r="4" spans="1:11" x14ac:dyDescent="0.35">
      <c r="A4" t="s">
        <v>24</v>
      </c>
      <c r="B4">
        <v>9.8304890372041516E-4</v>
      </c>
      <c r="C4">
        <v>6.1221595807609604E-4</v>
      </c>
      <c r="D4">
        <f>VARP('DRIVERS OIL&amp;GAS'!$O$6:$O$29)</f>
        <v>1.1453266887300902E-3</v>
      </c>
      <c r="E4">
        <v>9.3215894696164136E-4</v>
      </c>
      <c r="F4">
        <v>1.1563093701569269E-3</v>
      </c>
      <c r="G4">
        <v>1.2835099421526759E-3</v>
      </c>
      <c r="H4">
        <v>1.135125894173E-3</v>
      </c>
      <c r="I4">
        <v>5.1937911234662922E-4</v>
      </c>
      <c r="J4">
        <v>7.512277787419657E-4</v>
      </c>
      <c r="K4">
        <v>8.1325898225781239E-4</v>
      </c>
    </row>
    <row r="5" spans="1:11" x14ac:dyDescent="0.35">
      <c r="A5" t="s">
        <v>25</v>
      </c>
      <c r="B5">
        <v>9.8814018391432993E-4</v>
      </c>
      <c r="C5">
        <v>6.7414652542453204E-4</v>
      </c>
      <c r="D5">
        <v>9.3215894696164136E-4</v>
      </c>
      <c r="E5">
        <f>VARP('DRIVERS OIL&amp;GAS'!$P$6:$P$29)</f>
        <v>1.0362271330994184E-3</v>
      </c>
      <c r="F5">
        <v>1.2277636626919313E-3</v>
      </c>
      <c r="G5">
        <v>1.2427156604093289E-3</v>
      </c>
      <c r="H5">
        <v>9.9177706805901968E-4</v>
      </c>
      <c r="I5">
        <v>4.9626766868438336E-4</v>
      </c>
      <c r="J5">
        <v>7.9531161213205971E-4</v>
      </c>
      <c r="K5">
        <v>8.6113208396596799E-4</v>
      </c>
    </row>
    <row r="6" spans="1:11" x14ac:dyDescent="0.35">
      <c r="A6" t="s">
        <v>26</v>
      </c>
      <c r="B6">
        <v>1.4232043899891902E-3</v>
      </c>
      <c r="C6">
        <v>1.1079582893708776E-3</v>
      </c>
      <c r="D6">
        <v>1.1563093701569269E-3</v>
      </c>
      <c r="E6">
        <v>1.2277636626919313E-3</v>
      </c>
      <c r="F6">
        <f>VARP('DRIVERS OIL&amp;GAS'!$Q$6:$Q$29)</f>
        <v>2.2783540832421417E-3</v>
      </c>
      <c r="G6">
        <v>1.5778020766415242E-3</v>
      </c>
      <c r="H6">
        <v>1.5870289038654244E-3</v>
      </c>
      <c r="I6">
        <v>6.1929086131440282E-4</v>
      </c>
      <c r="J6">
        <v>1.0327901008915334E-3</v>
      </c>
      <c r="K6">
        <v>1.1438150378469802E-3</v>
      </c>
    </row>
    <row r="7" spans="1:11" x14ac:dyDescent="0.35">
      <c r="A7" t="s">
        <v>27</v>
      </c>
      <c r="B7">
        <v>1.5298860399841196E-3</v>
      </c>
      <c r="C7">
        <v>8.7948923692780301E-4</v>
      </c>
      <c r="D7">
        <v>1.2835099421526759E-3</v>
      </c>
      <c r="E7">
        <v>1.2427156604093289E-3</v>
      </c>
      <c r="F7">
        <v>1.5778020766415242E-3</v>
      </c>
      <c r="G7">
        <f>VARP('DRIVERS OIL&amp;GAS'!$R$6:$R$29)</f>
        <v>2.1936281375481872E-3</v>
      </c>
      <c r="H7">
        <v>1.5645846771630226E-3</v>
      </c>
      <c r="I7">
        <v>5.0747976969590491E-4</v>
      </c>
      <c r="J7">
        <v>8.3216312789580703E-4</v>
      </c>
      <c r="K7">
        <v>9.21532195014194E-4</v>
      </c>
    </row>
    <row r="8" spans="1:11" x14ac:dyDescent="0.35">
      <c r="A8" t="s">
        <v>28</v>
      </c>
      <c r="B8">
        <v>1.1307839959415452E-3</v>
      </c>
      <c r="C8">
        <v>8.2676115055202589E-4</v>
      </c>
      <c r="D8">
        <v>1.135125894173E-3</v>
      </c>
      <c r="E8">
        <v>9.9177706805901968E-4</v>
      </c>
      <c r="F8">
        <v>1.5870289038654244E-3</v>
      </c>
      <c r="G8">
        <v>1.5645846771630226E-3</v>
      </c>
      <c r="H8">
        <f>VARP('DRIVERS OIL&amp;GAS'!$S$6:$S$29)</f>
        <v>2.3741825571841273E-3</v>
      </c>
      <c r="I8">
        <v>6.8055846806897643E-4</v>
      </c>
      <c r="J8">
        <v>1.2311457822875497E-3</v>
      </c>
      <c r="K8">
        <v>1.3055380527352875E-3</v>
      </c>
    </row>
    <row r="9" spans="1:11" x14ac:dyDescent="0.35">
      <c r="A9" t="s">
        <v>29</v>
      </c>
      <c r="B9">
        <v>5.5962239528208459E-4</v>
      </c>
      <c r="C9">
        <v>4.8816866498543611E-4</v>
      </c>
      <c r="D9">
        <v>5.1937911234662922E-4</v>
      </c>
      <c r="E9">
        <v>4.9626766868438336E-4</v>
      </c>
      <c r="F9">
        <v>6.1929086131440282E-4</v>
      </c>
      <c r="G9">
        <v>5.0747976969590491E-4</v>
      </c>
      <c r="H9">
        <v>6.8055846806897643E-4</v>
      </c>
      <c r="I9">
        <f>VARP('DRIVERS OIL&amp;GAS'!$T$6:$T$29)</f>
        <v>6.596479543959225E-4</v>
      </c>
      <c r="J9">
        <v>4.7331122115623641E-4</v>
      </c>
      <c r="K9">
        <v>4.7228431393364867E-4</v>
      </c>
    </row>
    <row r="10" spans="1:11" x14ac:dyDescent="0.35">
      <c r="A10" t="s">
        <v>30</v>
      </c>
      <c r="B10">
        <v>5.7875318891112935E-4</v>
      </c>
      <c r="C10">
        <v>6.6243196193783462E-4</v>
      </c>
      <c r="D10">
        <v>7.512277787419657E-4</v>
      </c>
      <c r="E10">
        <v>7.9531161213205971E-4</v>
      </c>
      <c r="F10">
        <v>1.0327901008915334E-3</v>
      </c>
      <c r="G10">
        <v>8.3216312789580703E-4</v>
      </c>
      <c r="H10">
        <v>1.2311457822875497E-3</v>
      </c>
      <c r="I10">
        <v>4.7331122115623641E-4</v>
      </c>
      <c r="J10">
        <f>VARP('DRIVERS OIL&amp;GAS'!$U$6:$U$29)</f>
        <v>3.2291179340972389E-3</v>
      </c>
      <c r="K10">
        <v>3.1496240779120867E-3</v>
      </c>
    </row>
    <row r="11" spans="1:11" ht="15" thickBot="1" x14ac:dyDescent="0.4">
      <c r="A11" s="90" t="s">
        <v>31</v>
      </c>
      <c r="B11" s="90">
        <v>6.0666404936789695E-4</v>
      </c>
      <c r="C11" s="90">
        <v>6.9478121078961179E-4</v>
      </c>
      <c r="D11" s="90">
        <v>8.1325898225781239E-4</v>
      </c>
      <c r="E11" s="90">
        <v>8.6113208396596799E-4</v>
      </c>
      <c r="F11" s="90">
        <v>1.1438150378469802E-3</v>
      </c>
      <c r="G11" s="90">
        <v>9.21532195014194E-4</v>
      </c>
      <c r="H11" s="90">
        <v>1.3055380527352875E-3</v>
      </c>
      <c r="I11" s="90">
        <v>4.7228431393364867E-4</v>
      </c>
      <c r="J11" s="90">
        <v>3.1496240779120867E-3</v>
      </c>
      <c r="K11" s="90">
        <f>VARP('DRIVERS OIL&amp;GAS'!$V$6:$V$29)</f>
        <v>3.1276873742125868E-3</v>
      </c>
    </row>
    <row r="24" spans="19:19" x14ac:dyDescent="0.35">
      <c r="S24" s="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8D8C-31D7-4CDE-854D-B95C1E316DBF}">
  <dimension ref="A1:K11"/>
  <sheetViews>
    <sheetView workbookViewId="0">
      <selection activeCell="O11" sqref="O11"/>
    </sheetView>
  </sheetViews>
  <sheetFormatPr defaultRowHeight="14.5" x14ac:dyDescent="0.35"/>
  <cols>
    <col min="19" max="19" width="10.81640625" bestFit="1" customWidth="1"/>
  </cols>
  <sheetData>
    <row r="1" spans="1:11" x14ac:dyDescent="0.35">
      <c r="A1" s="91"/>
      <c r="B1" s="91" t="s">
        <v>22</v>
      </c>
      <c r="C1" s="91" t="s">
        <v>23</v>
      </c>
      <c r="D1" s="91" t="s">
        <v>24</v>
      </c>
      <c r="E1" s="91" t="s">
        <v>25</v>
      </c>
      <c r="F1" s="91" t="s">
        <v>26</v>
      </c>
      <c r="G1" s="91" t="s">
        <v>27</v>
      </c>
      <c r="H1" s="91" t="s">
        <v>28</v>
      </c>
      <c r="I1" s="91" t="s">
        <v>29</v>
      </c>
      <c r="J1" s="91" t="s">
        <v>30</v>
      </c>
      <c r="K1" s="91" t="s">
        <v>31</v>
      </c>
    </row>
    <row r="2" spans="1:11" x14ac:dyDescent="0.35">
      <c r="A2" t="s">
        <v>22</v>
      </c>
      <c r="B2">
        <v>1</v>
      </c>
      <c r="C2">
        <v>0.87350554692360605</v>
      </c>
      <c r="D2">
        <v>0.76513218228811908</v>
      </c>
      <c r="E2">
        <v>0.80856905686693958</v>
      </c>
      <c r="F2">
        <v>0.78538517896385085</v>
      </c>
      <c r="G2">
        <v>0.8604063643553832</v>
      </c>
      <c r="H2">
        <v>0.61129189100556491</v>
      </c>
      <c r="I2">
        <v>0.57393804291786665</v>
      </c>
      <c r="J2">
        <v>0.26827331768842055</v>
      </c>
      <c r="K2">
        <v>0.28573446494408689</v>
      </c>
    </row>
    <row r="3" spans="1:11" x14ac:dyDescent="0.35">
      <c r="A3" t="s">
        <v>23</v>
      </c>
      <c r="B3">
        <v>0.87350554692360605</v>
      </c>
      <c r="C3">
        <v>1</v>
      </c>
      <c r="D3">
        <v>0.65381747692100378</v>
      </c>
      <c r="E3">
        <v>0.75690851433560957</v>
      </c>
      <c r="F3">
        <v>0.83893704376513389</v>
      </c>
      <c r="G3">
        <v>0.67868084974945353</v>
      </c>
      <c r="H3">
        <v>0.61325285114375305</v>
      </c>
      <c r="I3">
        <v>0.68695827461454972</v>
      </c>
      <c r="J3">
        <v>0.42132370580920991</v>
      </c>
      <c r="K3">
        <v>0.44900685009843438</v>
      </c>
    </row>
    <row r="4" spans="1:11" x14ac:dyDescent="0.35">
      <c r="A4" t="s">
        <v>24</v>
      </c>
      <c r="B4">
        <v>0.76513218228811908</v>
      </c>
      <c r="C4">
        <v>0.65381747692100378</v>
      </c>
      <c r="D4">
        <v>1</v>
      </c>
      <c r="E4">
        <v>0.85565324544926291</v>
      </c>
      <c r="F4">
        <v>0.71581162101369267</v>
      </c>
      <c r="G4">
        <v>0.80975388918955027</v>
      </c>
      <c r="H4">
        <v>0.6883705553644468</v>
      </c>
      <c r="I4">
        <v>0.59753545491514182</v>
      </c>
      <c r="J4">
        <v>0.39062946159795869</v>
      </c>
      <c r="K4">
        <v>0.42968729212057655</v>
      </c>
    </row>
    <row r="5" spans="1:11" x14ac:dyDescent="0.35">
      <c r="A5" t="s">
        <v>25</v>
      </c>
      <c r="B5">
        <v>0.80856905686693958</v>
      </c>
      <c r="C5">
        <v>0.75690851433560957</v>
      </c>
      <c r="D5">
        <v>0.85565324544926291</v>
      </c>
      <c r="E5">
        <v>1</v>
      </c>
      <c r="F5">
        <v>0.79905502320877897</v>
      </c>
      <c r="G5">
        <v>0.82425727169012697</v>
      </c>
      <c r="H5">
        <v>0.63230923870649236</v>
      </c>
      <c r="I5">
        <v>0.60025030906481014</v>
      </c>
      <c r="J5">
        <v>0.43477833018148121</v>
      </c>
      <c r="K5">
        <v>0.4783333065205434</v>
      </c>
    </row>
    <row r="6" spans="1:11" x14ac:dyDescent="0.35">
      <c r="A6" t="s">
        <v>26</v>
      </c>
      <c r="B6">
        <v>0.78538517896385085</v>
      </c>
      <c r="C6">
        <v>0.83893704376513389</v>
      </c>
      <c r="D6">
        <v>0.71581162101369267</v>
      </c>
      <c r="E6">
        <v>0.79905502320877897</v>
      </c>
      <c r="F6">
        <v>1</v>
      </c>
      <c r="G6">
        <v>0.70576547499602316</v>
      </c>
      <c r="H6">
        <v>0.68236567389294367</v>
      </c>
      <c r="I6">
        <v>0.50515883330983224</v>
      </c>
      <c r="J6">
        <v>0.38076717649235337</v>
      </c>
      <c r="K6">
        <v>0.42848292866636845</v>
      </c>
    </row>
    <row r="7" spans="1:11" x14ac:dyDescent="0.35">
      <c r="A7" t="s">
        <v>27</v>
      </c>
      <c r="B7">
        <v>0.8604063643553832</v>
      </c>
      <c r="C7">
        <v>0.67868084974945353</v>
      </c>
      <c r="D7">
        <v>0.80975388918955027</v>
      </c>
      <c r="E7">
        <v>0.82425727169012697</v>
      </c>
      <c r="F7">
        <v>0.70576547499602316</v>
      </c>
      <c r="G7">
        <v>1</v>
      </c>
      <c r="H7">
        <v>0.68558374745735906</v>
      </c>
      <c r="I7">
        <v>0.42187240621524785</v>
      </c>
      <c r="J7">
        <v>0.31266913447923222</v>
      </c>
      <c r="K7">
        <v>0.35181742040462333</v>
      </c>
    </row>
    <row r="8" spans="1:11" x14ac:dyDescent="0.35">
      <c r="A8" t="s">
        <v>28</v>
      </c>
      <c r="B8">
        <v>0.61129189100556491</v>
      </c>
      <c r="C8">
        <v>0.61325285114375305</v>
      </c>
      <c r="D8">
        <v>0.6883705553644468</v>
      </c>
      <c r="E8">
        <v>0.63230923870649236</v>
      </c>
      <c r="F8">
        <v>0.68236567389294367</v>
      </c>
      <c r="G8">
        <v>0.68558374745735906</v>
      </c>
      <c r="H8">
        <v>1</v>
      </c>
      <c r="I8">
        <v>0.54381637076658496</v>
      </c>
      <c r="J8">
        <v>0.44464199018003064</v>
      </c>
      <c r="K8">
        <v>0.47909408758514738</v>
      </c>
    </row>
    <row r="9" spans="1:11" x14ac:dyDescent="0.35">
      <c r="A9" t="s">
        <v>29</v>
      </c>
      <c r="B9">
        <v>0.57393804291786665</v>
      </c>
      <c r="C9">
        <v>0.68695827461454972</v>
      </c>
      <c r="D9">
        <v>0.59753545491514182</v>
      </c>
      <c r="E9">
        <v>0.60025030906481014</v>
      </c>
      <c r="F9">
        <v>0.50515883330983224</v>
      </c>
      <c r="G9">
        <v>0.42187240621524785</v>
      </c>
      <c r="H9">
        <v>0.54381637076658496</v>
      </c>
      <c r="I9">
        <v>1</v>
      </c>
      <c r="J9">
        <v>0.32430133571205044</v>
      </c>
      <c r="K9">
        <v>0.3288029785291493</v>
      </c>
    </row>
    <row r="10" spans="1:11" x14ac:dyDescent="0.35">
      <c r="A10" t="s">
        <v>30</v>
      </c>
      <c r="B10">
        <v>0.26827331768842055</v>
      </c>
      <c r="C10">
        <v>0.42132370580920991</v>
      </c>
      <c r="D10">
        <v>0.39062946159795869</v>
      </c>
      <c r="E10">
        <v>0.43477833018148121</v>
      </c>
      <c r="F10">
        <v>0.38076717649235337</v>
      </c>
      <c r="G10">
        <v>0.31266913447923222</v>
      </c>
      <c r="H10">
        <v>0.44464199018003064</v>
      </c>
      <c r="I10">
        <v>0.32430133571205044</v>
      </c>
      <c r="J10">
        <v>1</v>
      </c>
      <c r="K10">
        <v>0.99107175701384942</v>
      </c>
    </row>
    <row r="11" spans="1:11" ht="15" thickBot="1" x14ac:dyDescent="0.4">
      <c r="A11" s="90" t="s">
        <v>31</v>
      </c>
      <c r="B11" s="90">
        <v>0.28573446494408689</v>
      </c>
      <c r="C11" s="90">
        <v>0.44900685009843438</v>
      </c>
      <c r="D11" s="90">
        <v>0.42968729212057655</v>
      </c>
      <c r="E11" s="90">
        <v>0.4783333065205434</v>
      </c>
      <c r="F11" s="90">
        <v>0.42848292866636845</v>
      </c>
      <c r="G11" s="90">
        <v>0.35181742040462333</v>
      </c>
      <c r="H11" s="90">
        <v>0.47909408758514738</v>
      </c>
      <c r="I11" s="90">
        <v>0.3288029785291493</v>
      </c>
      <c r="J11" s="90">
        <v>0.99107175701384942</v>
      </c>
      <c r="K11" s="9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0DCA4DD-022B-4635-936B-02A166C41BD9}">
  <ds:schemaRefs/>
</ds:datastoreItem>
</file>

<file path=customXml/itemProps2.xml><?xml version="1.0" encoding="utf-8"?>
<ds:datastoreItem xmlns:ds="http://schemas.openxmlformats.org/officeDocument/2006/customXml" ds:itemID="{ED21E17C-EC74-4F49-A65E-ECE94DF399EE}">
  <ds:schemaRefs/>
</ds:datastoreItem>
</file>

<file path=customXml/itemProps3.xml><?xml version="1.0" encoding="utf-8"?>
<ds:datastoreItem xmlns:ds="http://schemas.openxmlformats.org/officeDocument/2006/customXml" ds:itemID="{580FC1EC-D5A4-4554-BDFB-D54E59D75A0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BF7637E-73F3-4070-8013-351B618B8CA4}">
  <ds:schemaRefs/>
</ds:datastoreItem>
</file>

<file path=customXml/itemProps5.xml><?xml version="1.0" encoding="utf-8"?>
<ds:datastoreItem xmlns:ds="http://schemas.openxmlformats.org/officeDocument/2006/customXml" ds:itemID="{F6181E14-170B-46DD-B094-C1C08D1FFA42}">
  <ds:schemaRefs/>
</ds:datastoreItem>
</file>

<file path=customXml/itemProps6.xml><?xml version="1.0" encoding="utf-8"?>
<ds:datastoreItem xmlns:ds="http://schemas.openxmlformats.org/officeDocument/2006/customXml" ds:itemID="{1B5C2B48-2775-4C4A-9235-0305CAE167CE}">
  <ds:schemaRefs/>
</ds:datastoreItem>
</file>

<file path=customXml/itemProps7.xml><?xml version="1.0" encoding="utf-8"?>
<ds:datastoreItem xmlns:ds="http://schemas.openxmlformats.org/officeDocument/2006/customXml" ds:itemID="{844EF55D-98E3-4595-9C5E-F339F3D0A267}">
  <ds:schemaRefs/>
</ds:datastoreItem>
</file>

<file path=customXml/itemProps8.xml><?xml version="1.0" encoding="utf-8"?>
<ds:datastoreItem xmlns:ds="http://schemas.openxmlformats.org/officeDocument/2006/customXml" ds:itemID="{51804D05-FE5B-44C5-901F-E8583B07CE2A}">
  <ds:schemaRefs/>
</ds:datastoreItem>
</file>

<file path=customXml/itemProps9.xml><?xml version="1.0" encoding="utf-8"?>
<ds:datastoreItem xmlns:ds="http://schemas.openxmlformats.org/officeDocument/2006/customXml" ds:itemID="{F8F47A45-0D96-482B-AFC8-D92B2C5FBE78}">
  <ds:schemaRefs/>
</ds:datastoreItem>
</file>

<file path=customXml/itemProps10.xml><?xml version="1.0" encoding="utf-8"?>
<ds:datastoreItem xmlns:ds="http://schemas.openxmlformats.org/officeDocument/2006/customXml" ds:itemID="{4716023A-4AD9-49EE-96A5-CA3A3C3FE83E}">
  <ds:schemaRefs/>
</ds:datastoreItem>
</file>

<file path=customXml/itemProps11.xml><?xml version="1.0" encoding="utf-8"?>
<ds:datastoreItem xmlns:ds="http://schemas.openxmlformats.org/officeDocument/2006/customXml" ds:itemID="{D29EFAE0-6C14-422E-8B85-B52777398428}">
  <ds:schemaRefs/>
</ds:datastoreItem>
</file>

<file path=customXml/itemProps12.xml><?xml version="1.0" encoding="utf-8"?>
<ds:datastoreItem xmlns:ds="http://schemas.openxmlformats.org/officeDocument/2006/customXml" ds:itemID="{CAF9379B-4FA5-4132-AA4B-93D61A641CE1}">
  <ds:schemaRefs/>
</ds:datastoreItem>
</file>

<file path=customXml/itemProps13.xml><?xml version="1.0" encoding="utf-8"?>
<ds:datastoreItem xmlns:ds="http://schemas.openxmlformats.org/officeDocument/2006/customXml" ds:itemID="{E8CCD403-602B-44DF-9DE3-222D125508C0}">
  <ds:schemaRefs/>
</ds:datastoreItem>
</file>

<file path=customXml/itemProps14.xml><?xml version="1.0" encoding="utf-8"?>
<ds:datastoreItem xmlns:ds="http://schemas.openxmlformats.org/officeDocument/2006/customXml" ds:itemID="{F4255988-51A6-4C68-BA33-5D1A7B82654F}">
  <ds:schemaRefs/>
</ds:datastoreItem>
</file>

<file path=customXml/itemProps15.xml><?xml version="1.0" encoding="utf-8"?>
<ds:datastoreItem xmlns:ds="http://schemas.openxmlformats.org/officeDocument/2006/customXml" ds:itemID="{C470E330-9D21-4BAA-BAAE-8CDE8FB563DB}">
  <ds:schemaRefs/>
</ds:datastoreItem>
</file>

<file path=customXml/itemProps16.xml><?xml version="1.0" encoding="utf-8"?>
<ds:datastoreItem xmlns:ds="http://schemas.openxmlformats.org/officeDocument/2006/customXml" ds:itemID="{9B262A70-4F4F-4B5D-BD8A-D7FDC8674B02}">
  <ds:schemaRefs/>
</ds:datastoreItem>
</file>

<file path=customXml/itemProps17.xml><?xml version="1.0" encoding="utf-8"?>
<ds:datastoreItem xmlns:ds="http://schemas.openxmlformats.org/officeDocument/2006/customXml" ds:itemID="{900B84EE-28E8-4C1C-961A-385AD3A9E1B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DRIVERS OIL&amp;GAS</vt:lpstr>
      <vt:lpstr>COV</vt:lpstr>
      <vt:lpstr>CORR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de Andrés Orea</dc:creator>
  <cp:keywords/>
  <dc:description/>
  <cp:lastModifiedBy>Fernando de Andrés Orea</cp:lastModifiedBy>
  <cp:revision/>
  <dcterms:created xsi:type="dcterms:W3CDTF">2023-06-23T21:00:20Z</dcterms:created>
  <dcterms:modified xsi:type="dcterms:W3CDTF">2024-01-30T04:08:27Z</dcterms:modified>
  <cp:category/>
  <cp:contentStatus/>
</cp:coreProperties>
</file>