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37107D93D172BABA/0 RESEARCH - GITHUB/Companies forecasts/OVV/"/>
    </mc:Choice>
  </mc:AlternateContent>
  <xr:revisionPtr revIDLastSave="1173" documentId="13_ncr:1_{84B734D1-1E72-4354-8EA2-D9DB7BD72D45}" xr6:coauthVersionLast="47" xr6:coauthVersionMax="47" xr10:uidLastSave="{907FF61A-2D87-43FA-A90B-22B34C561395}"/>
  <bookViews>
    <workbookView xWindow="28680" yWindow="-120" windowWidth="29040" windowHeight="15720" xr2:uid="{E3914888-6705-4DF4-942F-1539E14FE955}"/>
  </bookViews>
  <sheets>
    <sheet name="Modeling - Forecasting" sheetId="2" r:id="rId1"/>
    <sheet name="Schedules, dep. waterfall" sheetId="3" r:id="rId2"/>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43588.5561574074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'Modeling - Forecasting'!$C$2:$T$169</definedName>
  </definedNames>
  <calcPr calcId="191028" calcMode="autoNoTable"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9" i="2" l="1"/>
  <c r="E148" i="2"/>
  <c r="D29" i="2"/>
  <c r="F272" i="2"/>
  <c r="F271" i="2"/>
  <c r="F269" i="2"/>
  <c r="F268" i="2"/>
  <c r="F262" i="2"/>
  <c r="F265" i="2" s="1"/>
  <c r="E262" i="2"/>
  <c r="E265" i="2" s="1"/>
  <c r="F252" i="2"/>
  <c r="F251" i="2"/>
  <c r="F250" i="2"/>
  <c r="F249" i="2"/>
  <c r="F246" i="2"/>
  <c r="E246" i="2"/>
  <c r="F46" i="2"/>
  <c r="E46" i="2"/>
  <c r="F238" i="2"/>
  <c r="E238" i="2"/>
  <c r="C228" i="2"/>
  <c r="C227" i="2"/>
  <c r="G73" i="2"/>
  <c r="F266" i="2" l="1"/>
  <c r="F247" i="2"/>
  <c r="F239" i="2"/>
  <c r="D11" i="2"/>
  <c r="G210" i="2" s="1"/>
  <c r="C207" i="2"/>
  <c r="C206" i="2"/>
  <c r="G188" i="2"/>
  <c r="G46" i="2" s="1"/>
  <c r="H175" i="2"/>
  <c r="D180" i="2"/>
  <c r="D181" i="2" s="1"/>
  <c r="D182" i="2" s="1"/>
  <c r="D178" i="2"/>
  <c r="D177" i="2" s="1"/>
  <c r="D176" i="2" s="1"/>
  <c r="C173" i="2" l="1"/>
  <c r="H187" i="2"/>
  <c r="I187" i="2" s="1"/>
  <c r="J187" i="2" s="1"/>
  <c r="K187" i="2" s="1"/>
  <c r="H186" i="2"/>
  <c r="I186" i="2" s="1"/>
  <c r="J186" i="2" s="1"/>
  <c r="K186" i="2" s="1"/>
  <c r="F48" i="2"/>
  <c r="F190" i="2"/>
  <c r="F189" i="2"/>
  <c r="F188" i="2"/>
  <c r="D186" i="2"/>
  <c r="G138" i="2" l="1"/>
  <c r="D155" i="2"/>
  <c r="E129" i="2"/>
  <c r="F129" i="2"/>
  <c r="G125" i="2" s="1"/>
  <c r="F71" i="2"/>
  <c r="E71" i="2"/>
  <c r="E74" i="2" s="1"/>
  <c r="E63" i="2"/>
  <c r="F68" i="2"/>
  <c r="E68" i="2"/>
  <c r="F67" i="2"/>
  <c r="E67" i="2"/>
  <c r="E163" i="2" s="1"/>
  <c r="F63" i="2"/>
  <c r="E60" i="2"/>
  <c r="E122" i="2" s="1"/>
  <c r="F60" i="2"/>
  <c r="F58" i="2"/>
  <c r="E58" i="2"/>
  <c r="F74" i="2" l="1"/>
  <c r="F19" i="2"/>
  <c r="E19" i="2"/>
  <c r="D19" i="2"/>
  <c r="G33" i="2"/>
  <c r="H33" i="2" s="1"/>
  <c r="I33" i="2" s="1"/>
  <c r="J33" i="2" s="1"/>
  <c r="K33" i="2" s="1"/>
  <c r="G32" i="2"/>
  <c r="H32" i="2" s="1"/>
  <c r="I32" i="2" s="1"/>
  <c r="J32" i="2" s="1"/>
  <c r="K32" i="2" s="1"/>
  <c r="G31" i="2"/>
  <c r="H31" i="2" s="1"/>
  <c r="E159" i="2"/>
  <c r="E111" i="2"/>
  <c r="F116" i="2"/>
  <c r="I31" i="2" l="1"/>
  <c r="H34" i="2"/>
  <c r="G34" i="2"/>
  <c r="J31" i="2" l="1"/>
  <c r="I34" i="2"/>
  <c r="K31" i="2" l="1"/>
  <c r="K34" i="2" s="1"/>
  <c r="J34" i="2"/>
  <c r="F38" i="2" l="1"/>
  <c r="E38" i="2"/>
  <c r="D38" i="2"/>
  <c r="F34" i="2"/>
  <c r="E34" i="2"/>
  <c r="D34" i="2"/>
  <c r="F155" i="2"/>
  <c r="E155" i="2"/>
  <c r="G27" i="2"/>
  <c r="G28" i="2"/>
  <c r="F29" i="2"/>
  <c r="E29" i="2"/>
  <c r="G38" i="2" l="1"/>
  <c r="H38" i="2" s="1"/>
  <c r="H27" i="2"/>
  <c r="I27" i="2" s="1"/>
  <c r="J27" i="2" s="1"/>
  <c r="K27" i="2" s="1"/>
  <c r="D116" i="2"/>
  <c r="D114" i="2" s="1"/>
  <c r="D115" i="2" s="1"/>
  <c r="E116" i="2"/>
  <c r="D111" i="2"/>
  <c r="E109" i="2"/>
  <c r="I38" i="2" l="1"/>
  <c r="J38" i="2" s="1"/>
  <c r="K38" i="2" s="1"/>
  <c r="E114" i="2"/>
  <c r="E115" i="2" s="1"/>
  <c r="G23" i="2" l="1"/>
  <c r="H23" i="2" l="1"/>
  <c r="I23" i="2" s="1"/>
  <c r="J23" i="2" s="1"/>
  <c r="K23" i="2" l="1"/>
  <c r="D21" i="2" l="1"/>
  <c r="D24" i="2" s="1"/>
  <c r="D41" i="2" s="1"/>
  <c r="H28" i="2"/>
  <c r="I28" i="2" s="1"/>
  <c r="J28" i="2" s="1"/>
  <c r="K28" i="2" s="1"/>
  <c r="E48" i="2"/>
  <c r="D48" i="2"/>
  <c r="C152" i="2"/>
  <c r="C2" i="2"/>
  <c r="F169" i="2"/>
  <c r="E169" i="2"/>
  <c r="D169" i="2"/>
  <c r="G168" i="2"/>
  <c r="H168" i="2" s="1"/>
  <c r="I168" i="2" s="1"/>
  <c r="J168" i="2" s="1"/>
  <c r="K168" i="2" s="1"/>
  <c r="F159" i="2"/>
  <c r="E160" i="2"/>
  <c r="E165" i="2" s="1"/>
  <c r="E164" i="2" s="1"/>
  <c r="C153" i="2"/>
  <c r="F148" i="2"/>
  <c r="G145" i="2" s="1"/>
  <c r="D148" i="2"/>
  <c r="C136" i="2"/>
  <c r="C135" i="2"/>
  <c r="G128" i="2"/>
  <c r="G96" i="2" s="1"/>
  <c r="G127" i="2"/>
  <c r="G97" i="2" s="1"/>
  <c r="F122" i="2"/>
  <c r="G119" i="2" s="1"/>
  <c r="F111" i="2"/>
  <c r="G111" i="2" s="1"/>
  <c r="F109" i="2"/>
  <c r="G106" i="2" s="1"/>
  <c r="C104" i="2"/>
  <c r="C103" i="2"/>
  <c r="C80" i="2"/>
  <c r="C79" i="2"/>
  <c r="H73" i="2"/>
  <c r="I73" i="2" s="1"/>
  <c r="J73" i="2" s="1"/>
  <c r="K73" i="2" s="1"/>
  <c r="F163" i="2"/>
  <c r="F61" i="2"/>
  <c r="E61" i="2"/>
  <c r="C53" i="2"/>
  <c r="C52" i="2"/>
  <c r="F16" i="2"/>
  <c r="F15" i="2"/>
  <c r="F227" i="2" s="1"/>
  <c r="F207" i="2" l="1"/>
  <c r="F228" i="2"/>
  <c r="F103" i="2"/>
  <c r="F206" i="2"/>
  <c r="F104" i="2"/>
  <c r="G16" i="2"/>
  <c r="G228" i="2" s="1"/>
  <c r="H111" i="2"/>
  <c r="I111" i="2" s="1"/>
  <c r="D30" i="2"/>
  <c r="D35" i="2" s="1"/>
  <c r="D49" i="2" s="1"/>
  <c r="D43" i="2"/>
  <c r="D47" i="2"/>
  <c r="E21" i="2"/>
  <c r="E24" i="2" s="1"/>
  <c r="F21" i="2"/>
  <c r="F114" i="2"/>
  <c r="F115" i="2" s="1"/>
  <c r="G115" i="2" s="1"/>
  <c r="E69" i="2"/>
  <c r="E76" i="2" s="1"/>
  <c r="H127" i="2"/>
  <c r="E15" i="2"/>
  <c r="E227" i="2" s="1"/>
  <c r="E16" i="2"/>
  <c r="E228" i="2" s="1"/>
  <c r="F136" i="2"/>
  <c r="F152" i="2"/>
  <c r="F69" i="2"/>
  <c r="G15" i="2"/>
  <c r="G227" i="2" s="1"/>
  <c r="G67" i="2"/>
  <c r="G94" i="2" s="1"/>
  <c r="H128" i="2"/>
  <c r="F135" i="2"/>
  <c r="F160" i="2"/>
  <c r="F165" i="2" s="1"/>
  <c r="F164" i="2" s="1"/>
  <c r="G164" i="2" s="1"/>
  <c r="F52" i="2"/>
  <c r="F53" i="2"/>
  <c r="F153" i="2"/>
  <c r="D16" i="2" l="1"/>
  <c r="E207" i="2"/>
  <c r="H16" i="2"/>
  <c r="G207" i="2"/>
  <c r="H15" i="2"/>
  <c r="H227" i="2" s="1"/>
  <c r="G206" i="2"/>
  <c r="E135" i="2"/>
  <c r="E206" i="2"/>
  <c r="F24" i="2"/>
  <c r="F30" i="2" s="1"/>
  <c r="F47" i="2"/>
  <c r="D39" i="2"/>
  <c r="E30" i="2"/>
  <c r="E41" i="2"/>
  <c r="E43" i="2" s="1"/>
  <c r="H115" i="2"/>
  <c r="I115" i="2" s="1"/>
  <c r="E47" i="2"/>
  <c r="F76" i="2"/>
  <c r="E104" i="2"/>
  <c r="E152" i="2"/>
  <c r="D15" i="2"/>
  <c r="E53" i="2"/>
  <c r="E136" i="2"/>
  <c r="E153" i="2"/>
  <c r="E52" i="2"/>
  <c r="E103" i="2"/>
  <c r="H97" i="2"/>
  <c r="I127" i="2"/>
  <c r="H164" i="2"/>
  <c r="G103" i="2"/>
  <c r="G135" i="2"/>
  <c r="G152" i="2"/>
  <c r="G79" i="2"/>
  <c r="G52" i="2"/>
  <c r="I128" i="2"/>
  <c r="H96" i="2"/>
  <c r="J111" i="2"/>
  <c r="G153" i="2"/>
  <c r="G136" i="2"/>
  <c r="G80" i="2"/>
  <c r="G104" i="2"/>
  <c r="G53" i="2"/>
  <c r="H67" i="2"/>
  <c r="G163" i="2"/>
  <c r="G165" i="2" s="1"/>
  <c r="H207" i="2" l="1"/>
  <c r="H228" i="2"/>
  <c r="D207" i="2"/>
  <c r="D153" i="2"/>
  <c r="D209" i="2"/>
  <c r="D223" i="2"/>
  <c r="D152" i="2"/>
  <c r="D206" i="2"/>
  <c r="H152" i="2"/>
  <c r="H206" i="2"/>
  <c r="F41" i="2"/>
  <c r="F43" i="2" s="1"/>
  <c r="E35" i="2"/>
  <c r="F35" i="2"/>
  <c r="D126" i="2"/>
  <c r="D103" i="2"/>
  <c r="D135" i="2"/>
  <c r="D104" i="2"/>
  <c r="D136" i="2"/>
  <c r="J127" i="2"/>
  <c r="I97" i="2"/>
  <c r="H153" i="2"/>
  <c r="H136" i="2"/>
  <c r="H80" i="2"/>
  <c r="H104" i="2"/>
  <c r="H53" i="2"/>
  <c r="I16" i="2"/>
  <c r="K111" i="2"/>
  <c r="H94" i="2"/>
  <c r="H163" i="2"/>
  <c r="H165" i="2" s="1"/>
  <c r="I67" i="2"/>
  <c r="J115" i="2"/>
  <c r="H135" i="2"/>
  <c r="I15" i="2"/>
  <c r="H103" i="2"/>
  <c r="H79" i="2"/>
  <c r="H52" i="2"/>
  <c r="J128" i="2"/>
  <c r="I96" i="2"/>
  <c r="I164" i="2"/>
  <c r="I207" i="2" l="1"/>
  <c r="I228" i="2"/>
  <c r="I206" i="2"/>
  <c r="I227" i="2"/>
  <c r="D217" i="2"/>
  <c r="D214" i="2"/>
  <c r="D132" i="2"/>
  <c r="D131" i="2"/>
  <c r="F49" i="2"/>
  <c r="F39" i="2"/>
  <c r="E39" i="2"/>
  <c r="E49" i="2"/>
  <c r="K127" i="2"/>
  <c r="J97" i="2"/>
  <c r="J164" i="2"/>
  <c r="J96" i="2"/>
  <c r="K128" i="2"/>
  <c r="I152" i="2"/>
  <c r="I135" i="2"/>
  <c r="I79" i="2"/>
  <c r="I103" i="2"/>
  <c r="J15" i="2"/>
  <c r="I52" i="2"/>
  <c r="K115" i="2"/>
  <c r="I94" i="2"/>
  <c r="I163" i="2"/>
  <c r="I165" i="2" s="1"/>
  <c r="J67" i="2"/>
  <c r="I104" i="2"/>
  <c r="I153" i="2"/>
  <c r="I80" i="2"/>
  <c r="I53" i="2"/>
  <c r="I136" i="2"/>
  <c r="J16" i="2"/>
  <c r="J206" i="2" l="1"/>
  <c r="J227" i="2"/>
  <c r="J207" i="2"/>
  <c r="J228" i="2"/>
  <c r="K97" i="2"/>
  <c r="E126" i="2"/>
  <c r="E132" i="2" s="1"/>
  <c r="E209" i="2"/>
  <c r="E223" i="2"/>
  <c r="E224" i="2" s="1"/>
  <c r="F126" i="2"/>
  <c r="F132" i="2" s="1"/>
  <c r="F209" i="2"/>
  <c r="F223" i="2"/>
  <c r="J104" i="2"/>
  <c r="J53" i="2"/>
  <c r="J80" i="2"/>
  <c r="J136" i="2"/>
  <c r="K16" i="2"/>
  <c r="J153" i="2"/>
  <c r="J79" i="2"/>
  <c r="J103" i="2"/>
  <c r="J152" i="2"/>
  <c r="J52" i="2"/>
  <c r="K15" i="2"/>
  <c r="J135" i="2"/>
  <c r="J163" i="2"/>
  <c r="J165" i="2" s="1"/>
  <c r="J94" i="2"/>
  <c r="K67" i="2"/>
  <c r="K96" i="2"/>
  <c r="K164" i="2"/>
  <c r="F224" i="2" l="1"/>
  <c r="K206" i="2"/>
  <c r="K227" i="2"/>
  <c r="K207" i="2"/>
  <c r="K228" i="2"/>
  <c r="E131" i="2"/>
  <c r="F131" i="2"/>
  <c r="E214" i="2"/>
  <c r="E217" i="2"/>
  <c r="F217" i="2"/>
  <c r="F214" i="2"/>
  <c r="K103" i="2"/>
  <c r="K152" i="2"/>
  <c r="K52" i="2"/>
  <c r="K79" i="2"/>
  <c r="K135" i="2"/>
  <c r="K153" i="2"/>
  <c r="K136" i="2"/>
  <c r="K80" i="2"/>
  <c r="K53" i="2"/>
  <c r="K104" i="2"/>
  <c r="K163" i="2"/>
  <c r="K165" i="2" s="1"/>
  <c r="K94" i="2"/>
  <c r="I193" i="2" l="1"/>
  <c r="H195" i="2"/>
  <c r="J193" i="2"/>
  <c r="K193" i="2"/>
  <c r="I195" i="2"/>
  <c r="J195" i="2"/>
  <c r="K195" i="2"/>
  <c r="J197" i="2"/>
  <c r="G197" i="2"/>
  <c r="I199" i="2"/>
  <c r="K197" i="2"/>
  <c r="G199" i="2"/>
  <c r="G47" i="2" s="1"/>
  <c r="H199" i="2"/>
  <c r="J199" i="2"/>
  <c r="K199" i="2"/>
  <c r="K189" i="2" s="1"/>
  <c r="K47" i="2" s="1"/>
  <c r="J189" i="2" l="1"/>
  <c r="J47" i="2" s="1"/>
  <c r="H189" i="2"/>
  <c r="H47" i="2" s="1"/>
  <c r="I188" i="2"/>
  <c r="I46" i="2" s="1"/>
  <c r="I197" i="2"/>
  <c r="H193" i="2"/>
  <c r="K188" i="2"/>
  <c r="K46" i="2" s="1"/>
  <c r="H188" i="2"/>
  <c r="H46" i="2" s="1"/>
  <c r="I189" i="2"/>
  <c r="I47" i="2" s="1"/>
  <c r="J188" i="2"/>
  <c r="J46" i="2" s="1"/>
  <c r="H197" i="2"/>
  <c r="G175" i="2" l="1"/>
  <c r="F175" i="2" s="1"/>
  <c r="E175" i="2" s="1"/>
  <c r="I175" i="2"/>
  <c r="J175" i="2" s="1"/>
  <c r="K175" i="2" s="1"/>
  <c r="G18" i="2" l="1"/>
  <c r="H18" i="2" s="1"/>
  <c r="G19" i="2"/>
  <c r="H19" i="2" s="1"/>
  <c r="I19" i="2" s="1"/>
  <c r="J19" i="2" s="1"/>
  <c r="K19" i="2" s="1"/>
  <c r="G42" i="2"/>
  <c r="G71" i="2" s="1"/>
  <c r="G56" i="2"/>
  <c r="G58" i="2"/>
  <c r="G60" i="2"/>
  <c r="H60" i="2" s="1"/>
  <c r="G68" i="2"/>
  <c r="G88" i="2" s="1"/>
  <c r="G107" i="2"/>
  <c r="G193" i="2"/>
  <c r="G195" i="2"/>
  <c r="G85" i="2" l="1"/>
  <c r="H107" i="2"/>
  <c r="H108" i="2" s="1"/>
  <c r="G91" i="2"/>
  <c r="G92" i="2" s="1"/>
  <c r="H56" i="2"/>
  <c r="H42" i="2"/>
  <c r="H219" i="2" s="1"/>
  <c r="G219" i="2"/>
  <c r="G122" i="2"/>
  <c r="H119" i="2" s="1"/>
  <c r="G114" i="2"/>
  <c r="G120" i="2" s="1"/>
  <c r="H68" i="2"/>
  <c r="I68" i="2" s="1"/>
  <c r="J68" i="2" s="1"/>
  <c r="I18" i="2"/>
  <c r="I114" i="2" s="1"/>
  <c r="I120" i="2" s="1"/>
  <c r="H114" i="2"/>
  <c r="H120" i="2" s="1"/>
  <c r="H58" i="2"/>
  <c r="I58" i="2" s="1"/>
  <c r="J58" i="2" s="1"/>
  <c r="K58" i="2" s="1"/>
  <c r="I60" i="2"/>
  <c r="J60" i="2" s="1"/>
  <c r="H122" i="2"/>
  <c r="I119" i="2" s="1"/>
  <c r="G84" i="2"/>
  <c r="G63" i="2"/>
  <c r="G86" i="2" s="1"/>
  <c r="G108" i="2"/>
  <c r="I107" i="2" l="1"/>
  <c r="I91" i="2" s="1"/>
  <c r="I92" i="2" s="1"/>
  <c r="H85" i="2"/>
  <c r="I56" i="2"/>
  <c r="H91" i="2"/>
  <c r="H92" i="2" s="1"/>
  <c r="H84" i="2"/>
  <c r="I42" i="2"/>
  <c r="I84" i="2" s="1"/>
  <c r="H71" i="2"/>
  <c r="G116" i="2"/>
  <c r="G20" i="2" s="1"/>
  <c r="G83" i="2" s="1"/>
  <c r="I88" i="2"/>
  <c r="H88" i="2"/>
  <c r="I122" i="2"/>
  <c r="I121" i="2" s="1"/>
  <c r="I87" i="2" s="1"/>
  <c r="G121" i="2"/>
  <c r="G87" i="2" s="1"/>
  <c r="J18" i="2"/>
  <c r="K18" i="2" s="1"/>
  <c r="M18" i="2" s="1"/>
  <c r="H116" i="2"/>
  <c r="H20" i="2" s="1"/>
  <c r="H83" i="2" s="1"/>
  <c r="H121" i="2"/>
  <c r="H87" i="2" s="1"/>
  <c r="G109" i="2"/>
  <c r="G59" i="2" s="1"/>
  <c r="K60" i="2"/>
  <c r="K122" i="2" s="1"/>
  <c r="J122" i="2"/>
  <c r="H63" i="2"/>
  <c r="K68" i="2"/>
  <c r="K88" i="2" s="1"/>
  <c r="J88" i="2"/>
  <c r="I108" i="2" l="1"/>
  <c r="I116" i="2" s="1"/>
  <c r="I20" i="2" s="1"/>
  <c r="I83" i="2" s="1"/>
  <c r="J107" i="2"/>
  <c r="K107" i="2" s="1"/>
  <c r="J56" i="2"/>
  <c r="J85" i="2" s="1"/>
  <c r="I85" i="2"/>
  <c r="J42" i="2"/>
  <c r="K42" i="2" s="1"/>
  <c r="I71" i="2"/>
  <c r="I219" i="2"/>
  <c r="G21" i="2"/>
  <c r="J114" i="2"/>
  <c r="J120" i="2" s="1"/>
  <c r="J119" i="2"/>
  <c r="H21" i="2"/>
  <c r="H106" i="2"/>
  <c r="H109" i="2" s="1"/>
  <c r="I106" i="2" s="1"/>
  <c r="I63" i="2"/>
  <c r="H86" i="2"/>
  <c r="K119" i="2"/>
  <c r="K114" i="2"/>
  <c r="K120" i="2" s="1"/>
  <c r="J108" i="2" l="1"/>
  <c r="J91" i="2"/>
  <c r="J92" i="2" s="1"/>
  <c r="I109" i="2"/>
  <c r="J106" i="2" s="1"/>
  <c r="I21" i="2"/>
  <c r="K56" i="2"/>
  <c r="K85" i="2" s="1"/>
  <c r="J84" i="2"/>
  <c r="J219" i="2"/>
  <c r="J71" i="2"/>
  <c r="K71" i="2" s="1"/>
  <c r="J116" i="2"/>
  <c r="J20" i="2" s="1"/>
  <c r="J83" i="2" s="1"/>
  <c r="K84" i="2"/>
  <c r="K219" i="2"/>
  <c r="J121" i="2"/>
  <c r="J87" i="2" s="1"/>
  <c r="H59" i="2"/>
  <c r="K121" i="2"/>
  <c r="K87" i="2" s="1"/>
  <c r="I86" i="2"/>
  <c r="J63" i="2"/>
  <c r="K108" i="2"/>
  <c r="K116" i="2" s="1"/>
  <c r="K20" i="2" s="1"/>
  <c r="K83" i="2" s="1"/>
  <c r="K91" i="2"/>
  <c r="K92" i="2" s="1"/>
  <c r="I59" i="2" l="1"/>
  <c r="J109" i="2"/>
  <c r="K106" i="2" s="1"/>
  <c r="K109" i="2" s="1"/>
  <c r="K59" i="2" s="1"/>
  <c r="J21" i="2"/>
  <c r="J86" i="2"/>
  <c r="K63" i="2"/>
  <c r="K21" i="2"/>
  <c r="M21" i="2" l="1"/>
  <c r="J59" i="2"/>
  <c r="K86" i="2"/>
  <c r="G201" i="2"/>
  <c r="G190" i="2" s="1"/>
  <c r="G48" i="2" s="1"/>
  <c r="G22" i="2" s="1"/>
  <c r="G203" i="2"/>
  <c r="G24" i="2" l="1"/>
  <c r="G41" i="2" s="1"/>
  <c r="G43" i="2" s="1"/>
  <c r="I203" i="2"/>
  <c r="I201" i="2"/>
  <c r="I190" i="2" s="1"/>
  <c r="I48" i="2" s="1"/>
  <c r="I22" i="2" s="1"/>
  <c r="H201" i="2"/>
  <c r="H190" i="2" s="1"/>
  <c r="H48" i="2" s="1"/>
  <c r="H22" i="2" s="1"/>
  <c r="H203" i="2"/>
  <c r="I24" i="2" l="1"/>
  <c r="I41" i="2" s="1"/>
  <c r="I43" i="2" s="1"/>
  <c r="H24" i="2"/>
  <c r="H41" i="2" s="1"/>
  <c r="H43" i="2" s="1"/>
  <c r="J203" i="2"/>
  <c r="J201" i="2"/>
  <c r="J190" i="2" s="1"/>
  <c r="J48" i="2" s="1"/>
  <c r="J22" i="2" s="1"/>
  <c r="J24" i="2" l="1"/>
  <c r="J41" i="2" s="1"/>
  <c r="J43" i="2" s="1"/>
  <c r="K201" i="2"/>
  <c r="K190" i="2" s="1"/>
  <c r="K48" i="2" s="1"/>
  <c r="K22" i="2" s="1"/>
  <c r="K203" i="2"/>
  <c r="K24" i="2" l="1"/>
  <c r="M24" i="2" s="1"/>
  <c r="K41" i="2" l="1"/>
  <c r="K43" i="2" l="1"/>
  <c r="M43" i="2" s="1"/>
  <c r="M41" i="2"/>
  <c r="G26" i="2"/>
  <c r="H26" i="2"/>
  <c r="I26" i="2"/>
  <c r="J26" i="2"/>
  <c r="K26" i="2"/>
  <c r="G29" i="2"/>
  <c r="H29" i="2"/>
  <c r="I29" i="2"/>
  <c r="J29" i="2"/>
  <c r="K29" i="2"/>
  <c r="G30" i="2"/>
  <c r="H30" i="2"/>
  <c r="I30" i="2"/>
  <c r="J30" i="2"/>
  <c r="K30" i="2"/>
  <c r="M30" i="2"/>
  <c r="G35" i="2"/>
  <c r="H35" i="2"/>
  <c r="I35" i="2"/>
  <c r="J35" i="2"/>
  <c r="K35" i="2"/>
  <c r="M35" i="2"/>
  <c r="G39" i="2"/>
  <c r="H39" i="2"/>
  <c r="I39" i="2"/>
  <c r="J39" i="2"/>
  <c r="K39" i="2"/>
  <c r="M39" i="2"/>
  <c r="G49" i="2"/>
  <c r="H49" i="2"/>
  <c r="I49" i="2"/>
  <c r="J49" i="2"/>
  <c r="K49" i="2"/>
  <c r="G55" i="2"/>
  <c r="H55" i="2"/>
  <c r="I55" i="2"/>
  <c r="J55" i="2"/>
  <c r="K55" i="2"/>
  <c r="G61" i="2"/>
  <c r="H61" i="2"/>
  <c r="I61" i="2"/>
  <c r="J61" i="2"/>
  <c r="K61" i="2"/>
  <c r="G66" i="2"/>
  <c r="H66" i="2"/>
  <c r="I66" i="2"/>
  <c r="J66" i="2"/>
  <c r="K66" i="2"/>
  <c r="G69" i="2"/>
  <c r="H69" i="2"/>
  <c r="I69" i="2"/>
  <c r="J69" i="2"/>
  <c r="K69" i="2"/>
  <c r="G72" i="2"/>
  <c r="H72" i="2"/>
  <c r="I72" i="2"/>
  <c r="J72" i="2"/>
  <c r="K72" i="2"/>
  <c r="G74" i="2"/>
  <c r="H74" i="2"/>
  <c r="I74" i="2"/>
  <c r="J74" i="2"/>
  <c r="K74" i="2"/>
  <c r="G76" i="2"/>
  <c r="H76" i="2"/>
  <c r="I76" i="2"/>
  <c r="J76" i="2"/>
  <c r="K76" i="2"/>
  <c r="G82" i="2"/>
  <c r="H82" i="2"/>
  <c r="I82" i="2"/>
  <c r="J82" i="2"/>
  <c r="K82" i="2"/>
  <c r="G89" i="2"/>
  <c r="H89" i="2"/>
  <c r="I89" i="2"/>
  <c r="J89" i="2"/>
  <c r="K89" i="2"/>
  <c r="G95" i="2"/>
  <c r="H95" i="2"/>
  <c r="I95" i="2"/>
  <c r="J95" i="2"/>
  <c r="K95" i="2"/>
  <c r="G98" i="2"/>
  <c r="H98" i="2"/>
  <c r="I98" i="2"/>
  <c r="J98" i="2"/>
  <c r="K98" i="2"/>
  <c r="G100" i="2"/>
  <c r="H100" i="2"/>
  <c r="I100" i="2"/>
  <c r="J100" i="2"/>
  <c r="K100" i="2"/>
  <c r="H125" i="2"/>
  <c r="I125" i="2"/>
  <c r="J125" i="2"/>
  <c r="K125" i="2"/>
  <c r="G126" i="2"/>
  <c r="H126" i="2"/>
  <c r="I126" i="2"/>
  <c r="J126" i="2"/>
  <c r="K126" i="2"/>
  <c r="G129" i="2"/>
  <c r="H129" i="2"/>
  <c r="I129" i="2"/>
  <c r="J129" i="2"/>
  <c r="K129" i="2"/>
  <c r="G131" i="2"/>
  <c r="H131" i="2"/>
  <c r="I131" i="2"/>
  <c r="J131" i="2"/>
  <c r="K131" i="2"/>
  <c r="G132" i="2"/>
  <c r="H132" i="2"/>
  <c r="I132" i="2"/>
  <c r="J132" i="2"/>
  <c r="K132" i="2"/>
  <c r="H138" i="2"/>
  <c r="I138" i="2"/>
  <c r="J138" i="2"/>
  <c r="K138" i="2"/>
  <c r="G139" i="2"/>
  <c r="H139" i="2"/>
  <c r="I139" i="2"/>
  <c r="J139" i="2"/>
  <c r="K139" i="2"/>
  <c r="H140" i="2"/>
  <c r="I140" i="2"/>
  <c r="J140" i="2"/>
  <c r="K140" i="2"/>
  <c r="G141" i="2"/>
  <c r="H141" i="2"/>
  <c r="I141" i="2"/>
  <c r="J141" i="2"/>
  <c r="K141" i="2"/>
  <c r="H145" i="2"/>
  <c r="I145" i="2"/>
  <c r="J145" i="2"/>
  <c r="K145" i="2"/>
  <c r="G146" i="2"/>
  <c r="H146" i="2"/>
  <c r="I146" i="2"/>
  <c r="J146" i="2"/>
  <c r="K146" i="2"/>
  <c r="G148" i="2"/>
  <c r="H148" i="2"/>
  <c r="I148" i="2"/>
  <c r="J148" i="2"/>
  <c r="K148" i="2"/>
  <c r="G149" i="2"/>
  <c r="H149" i="2"/>
  <c r="I149" i="2"/>
  <c r="J149" i="2"/>
  <c r="K149" i="2"/>
  <c r="G155" i="2"/>
  <c r="H155" i="2"/>
  <c r="I155" i="2"/>
  <c r="J155" i="2"/>
  <c r="K155" i="2"/>
  <c r="G159" i="2"/>
  <c r="H159" i="2"/>
  <c r="I159" i="2"/>
  <c r="J159" i="2"/>
  <c r="K159" i="2"/>
  <c r="G160" i="2"/>
  <c r="H160" i="2"/>
  <c r="I160" i="2"/>
  <c r="J160" i="2"/>
  <c r="K160" i="2"/>
  <c r="G169" i="2"/>
  <c r="H169" i="2"/>
  <c r="I169" i="2"/>
  <c r="J169" i="2"/>
  <c r="K169" i="2"/>
  <c r="D175" i="2"/>
  <c r="G209" i="2"/>
  <c r="H209" i="2"/>
  <c r="I209" i="2"/>
  <c r="J209" i="2"/>
  <c r="K209" i="2"/>
  <c r="H210" i="2"/>
  <c r="I210" i="2"/>
  <c r="J210" i="2"/>
  <c r="K210" i="2"/>
  <c r="G211" i="2"/>
  <c r="H211" i="2"/>
  <c r="I211" i="2"/>
  <c r="J211" i="2"/>
  <c r="K211" i="2"/>
  <c r="G212" i="2"/>
  <c r="H212" i="2"/>
  <c r="I212" i="2"/>
  <c r="J212" i="2"/>
  <c r="K212" i="2"/>
  <c r="G213" i="2"/>
  <c r="H213" i="2"/>
  <c r="I213" i="2"/>
  <c r="J213" i="2"/>
  <c r="K213" i="2"/>
  <c r="G214" i="2"/>
  <c r="H214" i="2"/>
  <c r="I214" i="2"/>
  <c r="J214" i="2"/>
  <c r="K214" i="2"/>
  <c r="G216" i="2"/>
  <c r="H216" i="2"/>
  <c r="I216" i="2"/>
  <c r="J216" i="2"/>
  <c r="K216" i="2"/>
  <c r="G217" i="2"/>
  <c r="H217" i="2"/>
  <c r="I217" i="2"/>
  <c r="J217" i="2"/>
  <c r="K217" i="2"/>
  <c r="G220" i="2"/>
  <c r="H220" i="2"/>
  <c r="I220" i="2"/>
  <c r="J220" i="2"/>
  <c r="K220" i="2"/>
  <c r="G221" i="2"/>
  <c r="H221" i="2"/>
  <c r="I221" i="2"/>
  <c r="J221" i="2"/>
  <c r="K221" i="2"/>
  <c r="G223" i="2"/>
  <c r="H223" i="2"/>
  <c r="I223" i="2"/>
  <c r="J223" i="2"/>
  <c r="K223" i="2"/>
  <c r="G224" i="2"/>
  <c r="H224" i="2"/>
  <c r="I224" i="2"/>
  <c r="J224" i="2"/>
  <c r="K2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fdeandresorea</author>
    <author>Fernando de Andrés Orea</author>
    <author>Matan Feldman</author>
  </authors>
  <commentList>
    <comment ref="C19" authorId="0" shapeId="0" xr:uid="{7399B075-AD65-45BF-8AE0-C30972451BEB}">
      <text>
        <r>
          <rPr>
            <b/>
            <sz val="9"/>
            <color indexed="81"/>
            <rFont val="Tahoma"/>
            <family val="2"/>
          </rPr>
          <t xml:space="preserve">Fernando de Andres Orea:
</t>
        </r>
        <r>
          <rPr>
            <sz val="9"/>
            <color indexed="81"/>
            <rFont val="Tahoma"/>
            <family val="2"/>
          </rPr>
          <t>Production, mineral and other taxes + Transportation and processing + Operating + Purchased product</t>
        </r>
      </text>
    </comment>
    <comment ref="C23" authorId="0" shapeId="0" xr:uid="{B550BEDA-5BD6-4987-8024-4DB4836241CC}">
      <text>
        <r>
          <rPr>
            <b/>
            <sz val="9"/>
            <color indexed="81"/>
            <rFont val="Tahoma"/>
            <family val="2"/>
          </rPr>
          <t xml:space="preserve">Fernando de Andres Orea:
</t>
        </r>
        <r>
          <rPr>
            <sz val="9"/>
            <color indexed="81"/>
            <rFont val="Tahoma"/>
            <family val="2"/>
          </rPr>
          <t>Accretion of asset retirement obligation - note 17 on 10-K</t>
        </r>
      </text>
    </comment>
    <comment ref="G23" authorId="0" shapeId="0" xr:uid="{CAC4DD30-70D6-46DE-A161-66C3A681EE89}">
      <text>
        <r>
          <rPr>
            <b/>
            <sz val="9"/>
            <color indexed="81"/>
            <rFont val="Tahoma"/>
            <family val="2"/>
          </rPr>
          <t>Fernando de Andres Orea:</t>
        </r>
        <r>
          <rPr>
            <sz val="9"/>
            <color indexed="81"/>
            <rFont val="Tahoma"/>
            <family val="2"/>
          </rPr>
          <t xml:space="preserve">
Straight-line</t>
        </r>
      </text>
    </comment>
    <comment ref="G27" authorId="0" shapeId="0" xr:uid="{C34259CC-F1D8-45A3-A2E4-F0DBAE85AB03}">
      <text>
        <r>
          <rPr>
            <b/>
            <sz val="9"/>
            <color indexed="81"/>
            <rFont val="Tahoma"/>
            <family val="2"/>
          </rPr>
          <t xml:space="preserve">Fernando de Andres Orea:
</t>
        </r>
        <r>
          <rPr>
            <sz val="9"/>
            <color indexed="81"/>
            <rFont val="Tahoma"/>
            <family val="2"/>
          </rPr>
          <t xml:space="preserve">
Average on a downside trend
</t>
        </r>
      </text>
    </comment>
    <comment ref="H27" authorId="0" shapeId="0" xr:uid="{3689128A-3262-4CA4-AC0E-556948049F30}">
      <text>
        <r>
          <rPr>
            <b/>
            <sz val="9"/>
            <color indexed="81"/>
            <rFont val="Tahoma"/>
            <family val="2"/>
          </rPr>
          <t xml:space="preserve">Fernando de Andres Orea:
</t>
        </r>
        <r>
          <rPr>
            <sz val="9"/>
            <color indexed="81"/>
            <rFont val="Tahoma"/>
            <family val="2"/>
          </rPr>
          <t xml:space="preserve">
Straight-line</t>
        </r>
      </text>
    </comment>
    <comment ref="C28" authorId="0" shapeId="0" xr:uid="{6E689DB8-0DA9-4585-8EB0-7C28D73CAD1E}">
      <text>
        <r>
          <rPr>
            <b/>
            <sz val="9"/>
            <color indexed="81"/>
            <rFont val="Tahoma"/>
            <family val="2"/>
          </rPr>
          <t>Fernando de Andres Orea:</t>
        </r>
        <r>
          <rPr>
            <sz val="9"/>
            <color indexed="81"/>
            <rFont val="Tahoma"/>
            <family val="2"/>
          </rPr>
          <t xml:space="preserve">
Bloomberg Terminal data</t>
        </r>
      </text>
    </comment>
    <comment ref="G28" authorId="0" shapeId="0" xr:uid="{2A81B366-CB75-4819-A1CC-60C35166CC53}">
      <text>
        <r>
          <rPr>
            <b/>
            <sz val="9"/>
            <color indexed="81"/>
            <rFont val="Tahoma"/>
            <family val="2"/>
          </rPr>
          <t xml:space="preserve">Fernando de Andres Orea:
</t>
        </r>
        <r>
          <rPr>
            <sz val="9"/>
            <color indexed="81"/>
            <rFont val="Tahoma"/>
            <family val="2"/>
          </rPr>
          <t xml:space="preserve">
Straight-line given the  big jump in 2023
</t>
        </r>
      </text>
    </comment>
    <comment ref="D31" authorId="0" shapeId="0" xr:uid="{5D7673C4-1B56-4918-81ED-1008D634756D}">
      <text>
        <r>
          <rPr>
            <b/>
            <sz val="9"/>
            <color indexed="81"/>
            <rFont val="Tahoma"/>
            <family val="2"/>
          </rPr>
          <t xml:space="preserve">Fernando de Andres Orea:
</t>
        </r>
        <r>
          <rPr>
            <sz val="9"/>
            <color indexed="81"/>
            <rFont val="Tahoma"/>
            <family val="2"/>
          </rPr>
          <t>Bloomberg Terminal data</t>
        </r>
      </text>
    </comment>
    <comment ref="G31" authorId="0" shapeId="0" xr:uid="{91275A2C-532C-4DE4-942B-FB7390CF4B3D}">
      <text>
        <r>
          <rPr>
            <b/>
            <sz val="9"/>
            <color indexed="81"/>
            <rFont val="Tahoma"/>
            <family val="2"/>
          </rPr>
          <t>Fernando de Andres Orea:</t>
        </r>
        <r>
          <rPr>
            <sz val="9"/>
            <color indexed="81"/>
            <rFont val="Tahoma"/>
            <family val="2"/>
          </rPr>
          <t xml:space="preserve">
Straight-line</t>
        </r>
      </text>
    </comment>
    <comment ref="D32" authorId="0" shapeId="0" xr:uid="{8E1A70B1-03E6-448D-A77F-915FD37ADF09}">
      <text>
        <r>
          <rPr>
            <b/>
            <sz val="9"/>
            <color indexed="81"/>
            <rFont val="Tahoma"/>
            <family val="2"/>
          </rPr>
          <t>Fernando de Andres Orea:</t>
        </r>
        <r>
          <rPr>
            <sz val="9"/>
            <color indexed="81"/>
            <rFont val="Tahoma"/>
            <family val="2"/>
          </rPr>
          <t xml:space="preserve">
Bloomberg Terminal data</t>
        </r>
      </text>
    </comment>
    <comment ref="G32" authorId="0" shapeId="0" xr:uid="{FDECC3A6-58DF-4860-B1E6-CF2615F6BF1A}">
      <text>
        <r>
          <rPr>
            <b/>
            <sz val="9"/>
            <color indexed="81"/>
            <rFont val="Tahoma"/>
            <family val="2"/>
          </rPr>
          <t xml:space="preserve">Fernando de Andres Orea: 
</t>
        </r>
        <r>
          <rPr>
            <sz val="9"/>
            <color indexed="81"/>
            <rFont val="Tahoma"/>
            <family val="2"/>
          </rPr>
          <t xml:space="preserve">
Cannot find it on 10-K. Assuming zero</t>
        </r>
      </text>
    </comment>
    <comment ref="E33" authorId="0" shapeId="0" xr:uid="{317CDD1A-5AD1-4F1A-BCA9-0CCF1AD6A79E}">
      <text>
        <r>
          <rPr>
            <b/>
            <sz val="9"/>
            <color indexed="81"/>
            <rFont val="Tahoma"/>
            <family val="2"/>
          </rPr>
          <t xml:space="preserve">Fernando de Andres Orea:
</t>
        </r>
        <r>
          <rPr>
            <sz val="9"/>
            <color indexed="81"/>
            <rFont val="Tahoma"/>
            <family val="2"/>
          </rPr>
          <t>Bloomberg Terminal data</t>
        </r>
      </text>
    </comment>
    <comment ref="G33" authorId="0" shapeId="0" xr:uid="{8AFD925A-4A73-4DAF-80EE-E811A97EAF65}">
      <text>
        <r>
          <rPr>
            <b/>
            <sz val="9"/>
            <color indexed="81"/>
            <rFont val="Tahoma"/>
            <family val="2"/>
          </rPr>
          <t xml:space="preserve">Fernando de Andres Orea: 
</t>
        </r>
        <r>
          <rPr>
            <sz val="9"/>
            <color indexed="81"/>
            <rFont val="Tahoma"/>
            <family val="2"/>
          </rPr>
          <t xml:space="preserve">
Cannot find it on 10-K. Assuming zero</t>
        </r>
      </text>
    </comment>
    <comment ref="C38" authorId="0" shapeId="0" xr:uid="{DF1934A0-13E8-453E-B050-AA624699EC69}">
      <text>
        <r>
          <rPr>
            <b/>
            <sz val="9"/>
            <color indexed="81"/>
            <rFont val="Tahoma"/>
            <family val="2"/>
          </rPr>
          <t>Fernando de Andres Orea:</t>
        </r>
        <r>
          <rPr>
            <sz val="9"/>
            <color indexed="81"/>
            <rFont val="Tahoma"/>
            <family val="2"/>
          </rPr>
          <t xml:space="preserve">
Note 6 on 10-K
</t>
        </r>
      </text>
    </comment>
    <comment ref="G38" authorId="0" shapeId="0" xr:uid="{095B9E86-9ABD-4BA4-B81C-81FE24724654}">
      <text>
        <r>
          <rPr>
            <b/>
            <sz val="9"/>
            <color indexed="81"/>
            <rFont val="Tahoma"/>
            <family val="2"/>
          </rPr>
          <t>Fernando de Andres Orea:</t>
        </r>
        <r>
          <rPr>
            <sz val="9"/>
            <color indexed="81"/>
            <rFont val="Tahoma"/>
            <family val="2"/>
          </rPr>
          <t xml:space="preserve">
Average previous 2 years - not sure (Bloomberg Terminal disagrees, says more taxes will be incurred, but I don’t see sufficient data)</t>
        </r>
      </text>
    </comment>
    <comment ref="G41" authorId="0" shapeId="0" xr:uid="{C056B157-D8D6-48C3-8374-C9D8E2321515}">
      <text>
        <r>
          <rPr>
            <b/>
            <sz val="9"/>
            <color indexed="81"/>
            <rFont val="Tahoma"/>
            <family val="2"/>
          </rPr>
          <t>Fernando de Andres Orea:</t>
        </r>
        <r>
          <rPr>
            <sz val="9"/>
            <color indexed="81"/>
            <rFont val="Tahoma"/>
            <family val="2"/>
          </rPr>
          <t xml:space="preserve">
Bloomberg Terminal believes there will be bigger depreciation - smaller numbers moving on here than mines</t>
        </r>
      </text>
    </comment>
    <comment ref="D42" authorId="0" shapeId="0" xr:uid="{268079E0-48D4-4E4E-8EAF-0584856A758B}">
      <text>
        <r>
          <rPr>
            <b/>
            <sz val="9"/>
            <color indexed="81"/>
            <rFont val="Tahoma"/>
            <family val="2"/>
          </rPr>
          <t>Fernando de Andres Orea:</t>
        </r>
        <r>
          <rPr>
            <sz val="9"/>
            <color indexed="81"/>
            <rFont val="Tahoma"/>
            <family val="2"/>
          </rPr>
          <t xml:space="preserve">
Note 21 on 10-K</t>
        </r>
      </text>
    </comment>
    <comment ref="G42" authorId="0" shapeId="0" xr:uid="{A3225E24-DFD5-49C2-850E-6206C9855C3D}">
      <text>
        <r>
          <rPr>
            <b/>
            <sz val="9"/>
            <color indexed="81"/>
            <rFont val="Tahoma"/>
            <family val="2"/>
          </rPr>
          <t>Fernando de Andres Orea:</t>
        </r>
        <r>
          <rPr>
            <sz val="9"/>
            <color indexed="81"/>
            <rFont val="Tahoma"/>
            <family val="2"/>
          </rPr>
          <t xml:space="preserve">
Growing with revenue growth</t>
        </r>
      </text>
    </comment>
    <comment ref="F48" authorId="1" shapeId="0" xr:uid="{369C541F-E3FD-44DB-8205-9D9C90606FD9}">
      <text>
        <r>
          <rPr>
            <b/>
            <sz val="9"/>
            <color indexed="81"/>
            <rFont val="Tahoma"/>
            <family val="2"/>
          </rPr>
          <t xml:space="preserve">Fernando de Andres Orea:
</t>
        </r>
        <r>
          <rPr>
            <sz val="9"/>
            <color indexed="81"/>
            <rFont val="Tahoma"/>
            <family val="2"/>
          </rPr>
          <t xml:space="preserve">
Increases/decreases based on revenues</t>
        </r>
      </text>
    </comment>
    <comment ref="D49" authorId="0" shapeId="0" xr:uid="{8BFF827A-4564-494B-9F4F-093F9673C862}">
      <text>
        <r>
          <rPr>
            <b/>
            <sz val="9"/>
            <color indexed="81"/>
            <rFont val="Tahoma"/>
            <family val="2"/>
          </rPr>
          <t xml:space="preserve">Fernando de Andres Orea:
</t>
        </r>
        <r>
          <rPr>
            <sz val="9"/>
            <color indexed="81"/>
            <rFont val="Tahoma"/>
            <family val="2"/>
          </rPr>
          <t>Page 184 on 10-K explanation - resolution of prior years' tax items and changes in valuation allowances</t>
        </r>
      </text>
    </comment>
    <comment ref="E49" authorId="0" shapeId="0" xr:uid="{869F1F26-164D-4D70-B99B-92327EB9D059}">
      <text>
        <r>
          <rPr>
            <b/>
            <sz val="9"/>
            <color indexed="81"/>
            <rFont val="Tahoma"/>
            <family val="2"/>
          </rPr>
          <t>Fernando de Andres Orea:</t>
        </r>
        <r>
          <rPr>
            <sz val="9"/>
            <color indexed="81"/>
            <rFont val="Tahoma"/>
            <family val="2"/>
          </rPr>
          <t xml:space="preserve">
Page 184 on 10-K explanation - reductions in valuation allowances offset by certain non-taxable items</t>
        </r>
      </text>
    </comment>
    <comment ref="F49" authorId="0" shapeId="0" xr:uid="{1EC41CF6-6246-4AC6-8772-781A3A84FCBB}">
      <text>
        <r>
          <rPr>
            <b/>
            <sz val="9"/>
            <color indexed="81"/>
            <rFont val="Tahoma"/>
            <family val="2"/>
          </rPr>
          <t xml:space="preserve">Fernando de Andres Orea:
</t>
        </r>
        <r>
          <rPr>
            <sz val="9"/>
            <color indexed="81"/>
            <rFont val="Tahoma"/>
            <family val="2"/>
          </rPr>
          <t>Page 184 on 10-K explanation - recognition of research and development credits</t>
        </r>
      </text>
    </comment>
    <comment ref="C58" authorId="0" shapeId="0" xr:uid="{0A80D9C4-61D0-440E-BA18-C14093F03216}">
      <text>
        <r>
          <rPr>
            <b/>
            <sz val="9"/>
            <color indexed="81"/>
            <rFont val="Tahoma"/>
            <family val="2"/>
          </rPr>
          <t xml:space="preserve">Fernando de Andres Orea:
</t>
        </r>
        <r>
          <rPr>
            <sz val="9"/>
            <color indexed="81"/>
            <rFont val="Tahoma"/>
            <family val="2"/>
          </rPr>
          <t>Derivative &amp; hedging assets (risk mgmt.) + Taxes receivable + Misc ST assets</t>
        </r>
      </text>
    </comment>
    <comment ref="C59" authorId="0" shapeId="0" xr:uid="{D4810DCD-1546-4E1D-8BBE-914A4C0336E4}">
      <text>
        <r>
          <rPr>
            <b/>
            <sz val="9"/>
            <color indexed="81"/>
            <rFont val="Tahoma"/>
            <family val="2"/>
          </rPr>
          <t xml:space="preserve">Fernando de Andres Orea:
</t>
        </r>
        <r>
          <rPr>
            <sz val="9"/>
            <color indexed="81"/>
            <rFont val="Tahoma"/>
            <family val="2"/>
          </rPr>
          <t>10-K data</t>
        </r>
      </text>
    </comment>
    <comment ref="C60" authorId="0" shapeId="0" xr:uid="{A96CDA53-E13E-4DF1-BE8D-A00BE4CC6B11}">
      <text>
        <r>
          <rPr>
            <b/>
            <sz val="9"/>
            <color indexed="81"/>
            <rFont val="Tahoma"/>
            <family val="2"/>
          </rPr>
          <t xml:space="preserve">Fernando de Andres Orea:
</t>
        </r>
        <r>
          <rPr>
            <sz val="9"/>
            <color indexed="81"/>
            <rFont val="Tahoma"/>
            <family val="2"/>
          </rPr>
          <t>Goodwill + Deferred income taxes + Risk mgmt. risk + Misc. LT assets</t>
        </r>
        <r>
          <rPr>
            <b/>
            <sz val="9"/>
            <color indexed="81"/>
            <rFont val="Tahoma"/>
            <family val="2"/>
          </rPr>
          <t xml:space="preserve">
</t>
        </r>
      </text>
    </comment>
    <comment ref="C63" authorId="0" shapeId="0" xr:uid="{63046963-6626-47F5-AC6F-DEB7C856C453}">
      <text>
        <r>
          <rPr>
            <b/>
            <sz val="9"/>
            <color indexed="81"/>
            <rFont val="Tahoma"/>
            <family val="2"/>
          </rPr>
          <t xml:space="preserve">Fernando de Andres Orea: 
</t>
        </r>
        <r>
          <rPr>
            <sz val="9"/>
            <color indexed="81"/>
            <rFont val="Tahoma"/>
            <family val="2"/>
          </rPr>
          <t>Accounts payable and Accrued liabilities + Current portion of operating lease liabilities + income tax payable + risk management + current portion of long-term debt</t>
        </r>
      </text>
    </comment>
    <comment ref="C67" authorId="0" shapeId="0" xr:uid="{8C800C71-4524-472C-8BC5-1A515928388D}">
      <text>
        <r>
          <rPr>
            <b/>
            <sz val="9"/>
            <color indexed="81"/>
            <rFont val="Tahoma"/>
            <family val="2"/>
          </rPr>
          <t xml:space="preserve">Fernando de Andres Orea:
</t>
        </r>
        <r>
          <rPr>
            <sz val="9"/>
            <color indexed="81"/>
            <rFont val="Tahoma"/>
            <family val="2"/>
          </rPr>
          <t xml:space="preserve">
LT debt + Operating leease liabilities. I am including LT Finance leases showing on the Bloomberg Terminal</t>
        </r>
      </text>
    </comment>
    <comment ref="G67" authorId="0" shapeId="0" xr:uid="{5B74CE75-5E3D-404A-89A3-EA92A542355F}">
      <text>
        <r>
          <rPr>
            <b/>
            <sz val="9"/>
            <color indexed="81"/>
            <rFont val="Tahoma"/>
            <family val="2"/>
          </rPr>
          <t>Fernando de Andres Orea:</t>
        </r>
        <r>
          <rPr>
            <sz val="9"/>
            <color indexed="81"/>
            <rFont val="Tahoma"/>
            <family val="2"/>
          </rPr>
          <t xml:space="preserve">
Straight-line</t>
        </r>
      </text>
    </comment>
    <comment ref="C68" authorId="0" shapeId="0" xr:uid="{C2FBE22A-B60F-491A-BC7A-F719D0FA7DFB}">
      <text>
        <r>
          <rPr>
            <b/>
            <sz val="9"/>
            <color indexed="81"/>
            <rFont val="Tahoma"/>
            <family val="2"/>
          </rPr>
          <t xml:space="preserve">Fernando de Andres Orea:
</t>
        </r>
        <r>
          <rPr>
            <sz val="9"/>
            <color indexed="81"/>
            <rFont val="Tahoma"/>
            <family val="2"/>
          </rPr>
          <t>Other liabilities and provisions + Risk management + Asset retirement obligations + Deferred income taxes</t>
        </r>
      </text>
    </comment>
    <comment ref="C71" authorId="0" shapeId="0" xr:uid="{B098CE51-CE69-43EF-A607-0268AC306E37}">
      <text>
        <r>
          <rPr>
            <b/>
            <sz val="9"/>
            <color indexed="81"/>
            <rFont val="Tahoma"/>
            <family val="2"/>
          </rPr>
          <t xml:space="preserve">Fernando de Andres Orea:
</t>
        </r>
        <r>
          <rPr>
            <sz val="9"/>
            <color indexed="81"/>
            <rFont val="Tahoma"/>
            <family val="2"/>
          </rPr>
          <t>Common stock + Additional paid in capital (Paid in surplues on 10-K page 157)</t>
        </r>
      </text>
    </comment>
    <comment ref="G73" authorId="0" shapeId="0" xr:uid="{0F5AD971-5B91-432E-AA65-9A443E76583A}">
      <text>
        <r>
          <rPr>
            <b/>
            <sz val="9"/>
            <color indexed="81"/>
            <rFont val="Tahoma"/>
            <family val="2"/>
          </rPr>
          <t xml:space="preserve">Fernando de Andres Orea:
</t>
        </r>
        <r>
          <rPr>
            <sz val="9"/>
            <color indexed="81"/>
            <rFont val="Tahoma"/>
            <family val="2"/>
          </rPr>
          <t xml:space="preserve">
Straight-line
</t>
        </r>
      </text>
    </comment>
    <comment ref="C87" authorId="0" shapeId="0" xr:uid="{38D35955-2D06-43A3-9CEF-2E80C6AB411D}">
      <text>
        <r>
          <rPr>
            <b/>
            <sz val="9"/>
            <color indexed="81"/>
            <rFont val="Tahoma"/>
            <family val="2"/>
          </rPr>
          <t xml:space="preserve">Fernando de Andres Orea:
</t>
        </r>
        <r>
          <rPr>
            <sz val="9"/>
            <color indexed="81"/>
            <rFont val="Tahoma"/>
            <family val="2"/>
          </rPr>
          <t>Goodwill + Deferred income taxes + Risk mgmt. risk + Misc. LT assets</t>
        </r>
        <r>
          <rPr>
            <b/>
            <sz val="9"/>
            <color indexed="81"/>
            <rFont val="Tahoma"/>
            <family val="2"/>
          </rPr>
          <t xml:space="preserve">
</t>
        </r>
      </text>
    </comment>
    <comment ref="C88" authorId="0" shapeId="0" xr:uid="{1C514D19-7EB6-4569-ACF2-CC8B490E6BC4}">
      <text>
        <r>
          <rPr>
            <b/>
            <sz val="9"/>
            <color indexed="81"/>
            <rFont val="Tahoma"/>
            <family val="2"/>
          </rPr>
          <t xml:space="preserve">Fernando de Andres Orea:
</t>
        </r>
        <r>
          <rPr>
            <sz val="9"/>
            <color indexed="81"/>
            <rFont val="Tahoma"/>
            <family val="2"/>
          </rPr>
          <t>Other liabilities and provisions + Risk management + Asset retirement obligations + Deferred income taxes</t>
        </r>
      </text>
    </comment>
    <comment ref="C94" authorId="0" shapeId="0" xr:uid="{70C26ABB-0A06-47CF-8D5E-C8C76B00E334}">
      <text>
        <r>
          <rPr>
            <b/>
            <sz val="9"/>
            <color indexed="81"/>
            <rFont val="Tahoma"/>
            <family val="2"/>
          </rPr>
          <t xml:space="preserve">Fernando de Andres Orea:
</t>
        </r>
        <r>
          <rPr>
            <sz val="9"/>
            <color indexed="81"/>
            <rFont val="Tahoma"/>
            <family val="2"/>
          </rPr>
          <t xml:space="preserve">
LT debt + Operating leease liabilities. I am including LT Finance leases showing on the Bloomberg Terminal</t>
        </r>
      </text>
    </comment>
    <comment ref="D107" authorId="0" shapeId="0" xr:uid="{445F2A02-5EDF-4F1D-888C-89AAD0241724}">
      <text>
        <r>
          <rPr>
            <b/>
            <sz val="9"/>
            <color indexed="81"/>
            <rFont val="Tahoma"/>
            <family val="2"/>
          </rPr>
          <t>Fernando de Andres Orea:</t>
        </r>
        <r>
          <rPr>
            <sz val="9"/>
            <color indexed="81"/>
            <rFont val="Tahoma"/>
            <family val="2"/>
          </rPr>
          <t xml:space="preserve">
10-K data on page 160 - Consolidated Statement of CFs</t>
        </r>
      </text>
    </comment>
    <comment ref="G107" authorId="0" shapeId="0" xr:uid="{4DC6837B-8C2D-491F-B523-4742B85C3F1F}">
      <text>
        <r>
          <rPr>
            <b/>
            <sz val="9"/>
            <color indexed="81"/>
            <rFont val="Tahoma"/>
            <family val="2"/>
          </rPr>
          <t>Fernando de Andres Orea:</t>
        </r>
        <r>
          <rPr>
            <sz val="9"/>
            <color indexed="81"/>
            <rFont val="Tahoma"/>
            <family val="2"/>
          </rPr>
          <t xml:space="preserve">
Goes with revenue growth</t>
        </r>
      </text>
    </comment>
    <comment ref="D108" authorId="0" shapeId="0" xr:uid="{7A1F5E07-2C18-46B5-814F-2D6CF32AE6F6}">
      <text>
        <r>
          <rPr>
            <b/>
            <sz val="9"/>
            <color indexed="81"/>
            <rFont val="Tahoma"/>
            <family val="2"/>
          </rPr>
          <t xml:space="preserve">Fernando de Andres Orea:
</t>
        </r>
        <r>
          <rPr>
            <sz val="9"/>
            <color indexed="81"/>
            <rFont val="Tahoma"/>
            <family val="2"/>
          </rPr>
          <t>10-K data on page 247 - Depreciation, depletion and amortization</t>
        </r>
        <r>
          <rPr>
            <b/>
            <sz val="9"/>
            <color indexed="81"/>
            <rFont val="Tahoma"/>
            <family val="2"/>
          </rPr>
          <t xml:space="preserve">
</t>
        </r>
      </text>
    </comment>
    <comment ref="M111" authorId="2" shapeId="0" xr:uid="{F887F496-6788-4E3A-AB62-D644D016C4A9}">
      <text>
        <r>
          <rPr>
            <b/>
            <sz val="9"/>
            <color indexed="81"/>
            <rFont val="Tahoma"/>
            <family val="2"/>
          </rPr>
          <t>Fernando de Andres Orea:</t>
        </r>
        <r>
          <rPr>
            <sz val="9"/>
            <color indexed="81"/>
            <rFont val="Tahoma"/>
            <family val="2"/>
          </rPr>
          <t xml:space="preserve">
Estimate</t>
        </r>
      </text>
    </comment>
    <comment ref="G114" authorId="0" shapeId="0" xr:uid="{9E82C304-862A-4311-AD0E-BF7D7C9E34FF}">
      <text>
        <r>
          <rPr>
            <b/>
            <sz val="9"/>
            <color indexed="81"/>
            <rFont val="Tahoma"/>
            <family val="2"/>
          </rPr>
          <t xml:space="preserve">Fernando de Andres Orea:
</t>
        </r>
        <r>
          <rPr>
            <sz val="9"/>
            <color indexed="81"/>
            <rFont val="Tahoma"/>
            <family val="2"/>
          </rPr>
          <t>Goes with revenue growth</t>
        </r>
      </text>
    </comment>
    <comment ref="G115" authorId="0" shapeId="0" xr:uid="{3A3BB2A8-DE84-471C-A531-C73885E60A4A}">
      <text>
        <r>
          <rPr>
            <b/>
            <sz val="9"/>
            <color indexed="81"/>
            <rFont val="Tahoma"/>
            <family val="2"/>
          </rPr>
          <t>Fernando de Andres Orea:</t>
        </r>
        <r>
          <rPr>
            <sz val="9"/>
            <color indexed="81"/>
            <rFont val="Tahoma"/>
            <family val="2"/>
          </rPr>
          <t xml:space="preserve">
Straight-line</t>
        </r>
      </text>
    </comment>
    <comment ref="G127" authorId="0" shapeId="0" xr:uid="{F85AB860-900E-4560-8DCD-2B0AE75E02AA}">
      <text>
        <r>
          <rPr>
            <b/>
            <sz val="9"/>
            <color indexed="81"/>
            <rFont val="Tahoma"/>
            <family val="2"/>
          </rPr>
          <t xml:space="preserve">Fernando de Andres Orea:
</t>
        </r>
        <r>
          <rPr>
            <sz val="9"/>
            <color indexed="81"/>
            <rFont val="Tahoma"/>
            <family val="2"/>
          </rPr>
          <t>Straight-line</t>
        </r>
      </text>
    </comment>
    <comment ref="G128" authorId="0" shapeId="0" xr:uid="{D9D864F1-473D-4D9E-88B1-6304E4B016B0}">
      <text>
        <r>
          <rPr>
            <b/>
            <sz val="9"/>
            <color indexed="81"/>
            <rFont val="Tahoma"/>
            <family val="2"/>
          </rPr>
          <t xml:space="preserve">Fernando de Andres Orea:
</t>
        </r>
        <r>
          <rPr>
            <sz val="9"/>
            <color indexed="81"/>
            <rFont val="Tahoma"/>
            <family val="2"/>
          </rPr>
          <t xml:space="preserve">Straight-line
</t>
        </r>
      </text>
    </comment>
    <comment ref="G141" authorId="1" shapeId="0" xr:uid="{4A0707B1-8979-4B60-A152-B5BDCDCB4873}">
      <text>
        <r>
          <rPr>
            <b/>
            <sz val="9"/>
            <color theme="1"/>
            <rFont val="Tahoma"/>
            <family val="2"/>
          </rPr>
          <t>Fernando de Andres Orea:</t>
        </r>
        <r>
          <rPr>
            <sz val="9"/>
            <color theme="1"/>
            <rFont val="Tahoma"/>
            <family val="2"/>
          </rPr>
          <t xml:space="preserve">
Cash left</t>
        </r>
      </text>
    </comment>
    <comment ref="G142" authorId="1" shapeId="0" xr:uid="{44234AE3-B0E0-457B-9893-84631698F2BC}">
      <text>
        <r>
          <rPr>
            <b/>
            <sz val="9"/>
            <color theme="1"/>
            <rFont val="Tahoma"/>
            <family val="2"/>
          </rPr>
          <t>Fernando de Andres Orea:</t>
        </r>
        <r>
          <rPr>
            <sz val="9"/>
            <color theme="1"/>
            <rFont val="Tahoma"/>
            <family val="2"/>
          </rPr>
          <t xml:space="preserve">
Common number</t>
        </r>
      </text>
    </comment>
    <comment ref="G147" authorId="1" shapeId="0" xr:uid="{46E24A86-F538-4158-8D46-D9E6C5718AD8}">
      <text>
        <r>
          <rPr>
            <b/>
            <sz val="9"/>
            <color theme="1"/>
            <rFont val="Tahoma"/>
            <family val="2"/>
          </rPr>
          <t>Fernando de Andres Orea:</t>
        </r>
        <r>
          <rPr>
            <sz val="9"/>
            <color theme="1"/>
            <rFont val="Tahoma"/>
            <family val="2"/>
          </rPr>
          <t xml:space="preserve">
Assumption to stay with some debt, even though OVV can pay their current debt. The number is aligned with the previous historical data</t>
        </r>
      </text>
    </comment>
    <comment ref="F158" authorId="0" shapeId="0" xr:uid="{33112B87-EB52-416C-B5B6-3BD62A721513}">
      <text>
        <r>
          <rPr>
            <b/>
            <sz val="9"/>
            <color indexed="81"/>
            <rFont val="Tahoma"/>
            <family val="2"/>
          </rPr>
          <t>Fernando de Andres Orea:</t>
        </r>
        <r>
          <rPr>
            <sz val="9"/>
            <color indexed="81"/>
            <rFont val="Tahoma"/>
            <family val="2"/>
          </rPr>
          <t xml:space="preserve">
10-K data on page 125</t>
        </r>
      </text>
    </comment>
    <comment ref="G158" authorId="1" shapeId="0" xr:uid="{5548D79A-2533-4435-81C4-FE83B7E1773C}">
      <text>
        <r>
          <rPr>
            <b/>
            <sz val="9"/>
            <color theme="1"/>
            <rFont val="Tahoma"/>
            <family val="2"/>
          </rPr>
          <t>Fernando de Andres Orea:</t>
        </r>
        <r>
          <rPr>
            <sz val="9"/>
            <color theme="1"/>
            <rFont val="Tahoma"/>
            <family val="2"/>
          </rPr>
          <t xml:space="preserve">
Playing with Fed rate timing - assuming rate cuts start in 2024. FRED source. Applies to every year besides 2023
</t>
        </r>
      </text>
    </comment>
    <comment ref="G163" authorId="1" shapeId="0" xr:uid="{2BE95384-D5D3-4D0C-808C-5BF4A1440595}">
      <text>
        <r>
          <rPr>
            <b/>
            <sz val="9"/>
            <color theme="1"/>
            <rFont val="Tahoma"/>
            <family val="2"/>
          </rPr>
          <t>Fernando de Andres Orea:</t>
        </r>
        <r>
          <rPr>
            <sz val="9"/>
            <color theme="1"/>
            <rFont val="Tahoma"/>
            <family val="2"/>
          </rPr>
          <t xml:space="preserve">
Straight-line</t>
        </r>
      </text>
    </comment>
    <comment ref="G164" authorId="1" shapeId="0" xr:uid="{3A995CF4-F5CE-4F2D-8761-ADACE0977295}">
      <text>
        <r>
          <rPr>
            <b/>
            <sz val="9"/>
            <color theme="1"/>
            <rFont val="Tahoma"/>
            <family val="2"/>
          </rPr>
          <t>Fernando de Andres Orea:</t>
        </r>
        <r>
          <rPr>
            <sz val="9"/>
            <color theme="1"/>
            <rFont val="Tahoma"/>
            <family val="2"/>
          </rPr>
          <t xml:space="preserve">
Straight-line</t>
        </r>
      </text>
    </comment>
    <comment ref="G168" authorId="1" shapeId="0" xr:uid="{3B202C87-2230-43B0-BF92-A2FF384916A9}">
      <text>
        <r>
          <rPr>
            <b/>
            <sz val="9"/>
            <color indexed="81"/>
            <rFont val="Tahoma"/>
            <family val="2"/>
          </rPr>
          <t xml:space="preserve">Fernando de Andres Orea:
</t>
        </r>
        <r>
          <rPr>
            <sz val="9"/>
            <color indexed="81"/>
            <rFont val="Tahoma"/>
            <family val="2"/>
          </rPr>
          <t xml:space="preserve">
Straight-line
</t>
        </r>
      </text>
    </comment>
    <comment ref="C173" authorId="1" shapeId="0" xr:uid="{5EBEE32E-B369-40AA-AF54-6562914B7BD8}">
      <text>
        <r>
          <rPr>
            <b/>
            <sz val="9"/>
            <color indexed="81"/>
            <rFont val="Tahoma"/>
            <family val="2"/>
          </rPr>
          <t>Fernando de Andres Orea:</t>
        </r>
        <r>
          <rPr>
            <sz val="9"/>
            <color indexed="81"/>
            <rFont val="Tahoma"/>
            <family val="2"/>
          </rPr>
          <t xml:space="preserve">
Can be done with any other metric</t>
        </r>
      </text>
    </comment>
    <comment ref="D179" authorId="0" shapeId="0" xr:uid="{EF6EDD7C-6BF1-49D6-81BD-B22917FFBC37}">
      <text>
        <r>
          <rPr>
            <b/>
            <sz val="9"/>
            <color indexed="81"/>
            <rFont val="Tahoma"/>
            <family val="2"/>
          </rPr>
          <t>Fernando de Andres Orea:</t>
        </r>
        <r>
          <rPr>
            <sz val="9"/>
            <color indexed="81"/>
            <rFont val="Tahoma"/>
            <family val="2"/>
          </rPr>
          <t xml:space="preserve">
Green means base case year 1 actual forecast</t>
        </r>
      </text>
    </comment>
    <comment ref="C216" authorId="2" shapeId="0" xr:uid="{F4D94D53-2342-42E5-9D13-D41FDE793BAF}">
      <text>
        <r>
          <rPr>
            <b/>
            <sz val="9"/>
            <color indexed="81"/>
            <rFont val="Tahoma"/>
            <family val="2"/>
          </rPr>
          <t>Fernando de Andres Orea:</t>
        </r>
        <r>
          <rPr>
            <sz val="9"/>
            <color indexed="81"/>
            <rFont val="Tahoma"/>
            <family val="2"/>
          </rPr>
          <t xml:space="preserve">
We straight line last actual year's dilutive securities (calculated as diluted - basic shares) and add this number to the basic share count to arrive at diluted shares</t>
        </r>
      </text>
    </comment>
    <comment ref="C219" authorId="2" shapeId="0" xr:uid="{0E8EC07D-921E-49E1-BE2A-15524DE7445C}">
      <text>
        <r>
          <rPr>
            <b/>
            <sz val="9"/>
            <color indexed="81"/>
            <rFont val="Tahoma"/>
            <family val="2"/>
          </rPr>
          <t>Fernando de Andres Orea:</t>
        </r>
        <r>
          <rPr>
            <sz val="9"/>
            <color indexed="81"/>
            <rFont val="Tahoma"/>
            <family val="2"/>
          </rPr>
          <t xml:space="preserve">
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F220" authorId="2" shapeId="0" xr:uid="{19B151AE-7A95-4D65-91BB-F5980DAB805C}">
      <text>
        <r>
          <rPr>
            <b/>
            <sz val="9"/>
            <color indexed="81"/>
            <rFont val="Tahoma"/>
            <family val="2"/>
          </rPr>
          <t>Fernando de Andres Orea:</t>
        </r>
        <r>
          <rPr>
            <sz val="9"/>
            <color indexed="81"/>
            <rFont val="Tahoma"/>
            <family val="2"/>
          </rPr>
          <t xml:space="preserve">
WSP assumption</t>
        </r>
      </text>
    </comment>
    <comment ref="C233" authorId="0" shapeId="0" xr:uid="{2213F081-EB0B-44C1-A2B9-9A9AED962878}">
      <text>
        <r>
          <rPr>
            <b/>
            <sz val="9"/>
            <color indexed="81"/>
            <rFont val="Tahoma"/>
            <family val="2"/>
          </rPr>
          <t xml:space="preserve">Fernando de Andres Orea:
</t>
        </r>
        <r>
          <rPr>
            <sz val="9"/>
            <color indexed="81"/>
            <rFont val="Tahoma"/>
            <family val="2"/>
          </rPr>
          <t xml:space="preserve">
Lower oil and natural gas benchmark prices ($885 million), lower sales of third-party purchased liquids volumes primarily relating to price optimization activities in the
USA Operations ($202 million) and lower sales of third-party purchased natural gas volumes primarily relating to marketing arrangements for assets divested in prior years
($144 million)
</t>
        </r>
      </text>
    </comment>
    <comment ref="C237" authorId="0" shapeId="0" xr:uid="{FEF7362B-5EA7-414F-8ACC-E212C8308360}">
      <text>
        <r>
          <rPr>
            <b/>
            <sz val="9"/>
            <color indexed="81"/>
            <rFont val="Tahoma"/>
            <family val="2"/>
          </rPr>
          <t xml:space="preserve">Fernando de Andres Orea:
</t>
        </r>
        <r>
          <rPr>
            <sz val="9"/>
            <color indexed="81"/>
            <rFont val="Tahoma"/>
            <family val="2"/>
          </rPr>
          <t xml:space="preserve">
Sublease revenues primarily include amounts related to the sublease of office space in The Bow office building recorded in the Corporate and Other segment. Additional
information on office sublease income can be found in Note 14 to the Consolidated Financial Statements included in Item 8 of this Annual Report on Form 10-K</t>
        </r>
        <r>
          <rPr>
            <b/>
            <sz val="9"/>
            <color indexed="81"/>
            <rFont val="Tahoma"/>
            <family val="2"/>
          </rPr>
          <t xml:space="preserve">
</t>
        </r>
      </text>
    </comment>
    <comment ref="C246" authorId="0" shapeId="0" xr:uid="{BCE288DB-1284-4392-8D14-367061F48CBC}">
      <text>
        <r>
          <rPr>
            <b/>
            <sz val="9"/>
            <color indexed="81"/>
            <rFont val="Tahoma"/>
            <family val="2"/>
          </rPr>
          <t xml:space="preserve">Fernando de Andres Orea:
</t>
        </r>
        <r>
          <rPr>
            <sz val="9"/>
            <color indexed="81"/>
            <rFont val="Tahoma"/>
            <family val="2"/>
          </rPr>
          <t xml:space="preserve">Revenues for 2023 exclude certain other revenue and royalty adjustments with no associated production volumes of $1 million (2022 - $9 million)
</t>
        </r>
      </text>
    </comment>
  </commentList>
</comments>
</file>

<file path=xl/sharedStrings.xml><?xml version="1.0" encoding="utf-8"?>
<sst xmlns="http://schemas.openxmlformats.org/spreadsheetml/2006/main" count="352" uniqueCount="173">
  <si>
    <t>x</t>
  </si>
  <si>
    <t>$ in thousands except per share</t>
  </si>
  <si>
    <t>Ovintiv</t>
  </si>
  <si>
    <t>Ticker</t>
  </si>
  <si>
    <t>OVV</t>
  </si>
  <si>
    <t>Circ break 1=off, 0=on</t>
  </si>
  <si>
    <t>Latest closing share price</t>
  </si>
  <si>
    <t>Latest closing share price date</t>
  </si>
  <si>
    <t>Latest fiscal year end date</t>
  </si>
  <si>
    <t>Shares outstanding (millions)</t>
  </si>
  <si>
    <t>Select an operating scenario:</t>
  </si>
  <si>
    <t>Base case</t>
  </si>
  <si>
    <t xml:space="preserve">  </t>
  </si>
  <si>
    <t>INCOME STATEMENT</t>
  </si>
  <si>
    <t xml:space="preserve">Fiscal year  </t>
  </si>
  <si>
    <t>Fiscal year end date</t>
  </si>
  <si>
    <t>Revenue</t>
  </si>
  <si>
    <t xml:space="preserve"> </t>
  </si>
  <si>
    <t>Gross Profit</t>
  </si>
  <si>
    <t>EBIT</t>
  </si>
  <si>
    <t>Other non-op (Income) Loss</t>
  </si>
  <si>
    <t>Non-Operating Income (Loss)</t>
  </si>
  <si>
    <t>Restructuring</t>
  </si>
  <si>
    <t>Abnormal Losses (Gains)</t>
  </si>
  <si>
    <t>Income Tax Expense (Benefit)</t>
  </si>
  <si>
    <t>EBITDA</t>
  </si>
  <si>
    <t>Adjusted EBITDA</t>
  </si>
  <si>
    <t>Growth rates &amp; margins</t>
  </si>
  <si>
    <t>BALANCE SHEET</t>
  </si>
  <si>
    <t>Inventories</t>
  </si>
  <si>
    <t>CASH FLOW STATEMENT</t>
  </si>
  <si>
    <t>PROPERTY, PLANT &amp; EQUIPMENT</t>
  </si>
  <si>
    <t>Less: Depreciation</t>
  </si>
  <si>
    <t>Step</t>
  </si>
  <si>
    <t>IMPUTING TOTAL DEPRECIATION &amp; AMORTIZATION</t>
  </si>
  <si>
    <r>
      <t xml:space="preserve">D&amp;A </t>
    </r>
    <r>
      <rPr>
        <u/>
        <sz val="11"/>
        <color theme="1"/>
        <rFont val="Calibri"/>
        <family val="2"/>
      </rPr>
      <t>not</t>
    </r>
    <r>
      <rPr>
        <sz val="11"/>
        <color theme="1"/>
        <rFont val="Calibri"/>
        <family val="2"/>
      </rPr>
      <t xml:space="preserve"> related to PP&amp;E</t>
    </r>
  </si>
  <si>
    <t xml:space="preserve">Depreciation &amp; Amortization - Total </t>
  </si>
  <si>
    <t>OTHER NON-CURRENT ASSETS</t>
  </si>
  <si>
    <t xml:space="preserve">Plus: Additions </t>
  </si>
  <si>
    <t>RETAINED EARNINGS</t>
  </si>
  <si>
    <t>Less: Dividends</t>
  </si>
  <si>
    <t>Less: Repurchases</t>
  </si>
  <si>
    <t>REVOLVER PLUG</t>
  </si>
  <si>
    <t xml:space="preserve">     b</t>
  </si>
  <si>
    <t>Debt balance:</t>
  </si>
  <si>
    <t>INTEREST EXPENSE AND INTEREST INCOME</t>
  </si>
  <si>
    <t>Commercial Paper / Revolver</t>
  </si>
  <si>
    <t>SENSITIVITY ANALYSIS</t>
  </si>
  <si>
    <t> </t>
  </si>
  <si>
    <t>SCENARIO ANALYSIS</t>
  </si>
  <si>
    <t>Active case:</t>
  </si>
  <si>
    <t xml:space="preserve">Variance from </t>
  </si>
  <si>
    <t>base case</t>
  </si>
  <si>
    <t>(1.0%)</t>
  </si>
  <si>
    <t>Best case</t>
  </si>
  <si>
    <t xml:space="preserve"> 2.5%</t>
  </si>
  <si>
    <t>NM</t>
  </si>
  <si>
    <t>Weak case</t>
  </si>
  <si>
    <t>(2.5%)</t>
  </si>
  <si>
    <t xml:space="preserve"> 1.0%</t>
  </si>
  <si>
    <t xml:space="preserve">     </t>
  </si>
  <si>
    <t>Taxes:</t>
  </si>
  <si>
    <t>Pretax profit, GAAP:</t>
  </si>
  <si>
    <t>EARNINGS PER SHARE</t>
  </si>
  <si>
    <t>Basic EPS</t>
  </si>
  <si>
    <t>Diluted Shares</t>
  </si>
  <si>
    <t>Diluted EPS</t>
  </si>
  <si>
    <t>CAGR</t>
  </si>
  <si>
    <t>5 year</t>
  </si>
  <si>
    <t>REVENUE BILD</t>
  </si>
  <si>
    <t>Services</t>
  </si>
  <si>
    <t>% growth</t>
  </si>
  <si>
    <t>Revenue by product/service</t>
  </si>
  <si>
    <t>Core</t>
  </si>
  <si>
    <t>Risk Management, net</t>
  </si>
  <si>
    <t>Subleases</t>
  </si>
  <si>
    <t>Oil</t>
  </si>
  <si>
    <t>NGLs - Plant Condensate</t>
  </si>
  <si>
    <t>NGLs - Other</t>
  </si>
  <si>
    <t>Natural Gas</t>
  </si>
  <si>
    <t>Upstream Product</t>
  </si>
  <si>
    <t>Market Optimization</t>
  </si>
  <si>
    <t xml:space="preserve">Oil, Revenue Growth </t>
  </si>
  <si>
    <t xml:space="preserve">NGLs - Plant Condensate, Revenue Growth </t>
  </si>
  <si>
    <t xml:space="preserve">NGLs - Other, Revenue Growth </t>
  </si>
  <si>
    <t xml:space="preserve">Natural Gas, Revenue Growth </t>
  </si>
  <si>
    <t>Risk Management</t>
  </si>
  <si>
    <t>Oil ($/bbl)</t>
  </si>
  <si>
    <t>NGLs - Plant Condensate ($/bbl)</t>
  </si>
  <si>
    <t>NGLs - Other ($/bbl)</t>
  </si>
  <si>
    <t>Natural Gas ($/Mcf)</t>
  </si>
  <si>
    <t>Other</t>
  </si>
  <si>
    <t>Commodity Prices</t>
  </si>
  <si>
    <t>Total Revenue</t>
  </si>
  <si>
    <t>Total Revenue ($/BOE)</t>
  </si>
  <si>
    <t>Unrealized Gains (Losses) on Risk Management</t>
  </si>
  <si>
    <t>Total Gains (Losses) on Risk Management, net</t>
  </si>
  <si>
    <t xml:space="preserve">Other, Revenue Growth </t>
  </si>
  <si>
    <t>Company</t>
  </si>
  <si>
    <t>Cost of Sales</t>
  </si>
  <si>
    <t>Depreciation &amp; Amortization</t>
  </si>
  <si>
    <t>Selling, General &amp; Administrative</t>
  </si>
  <si>
    <t>Other Operating Expenses</t>
  </si>
  <si>
    <t>Interest Income</t>
  </si>
  <si>
    <t>Interest Expense</t>
  </si>
  <si>
    <t>Foreign Exchange</t>
  </si>
  <si>
    <t>Pretax Profit, Adjusted</t>
  </si>
  <si>
    <t>Abnormal Derivatives</t>
  </si>
  <si>
    <t>Other Abnormal Items</t>
  </si>
  <si>
    <t>Current Income Tax</t>
  </si>
  <si>
    <t>Deferred Income Tax</t>
  </si>
  <si>
    <t>Net Income</t>
  </si>
  <si>
    <t>Pretax Profit, GAAP</t>
  </si>
  <si>
    <t>Stock Based Compensation</t>
  </si>
  <si>
    <t>Revenue Growth</t>
  </si>
  <si>
    <t>Gross Profit Margin</t>
  </si>
  <si>
    <t>Tax Rate</t>
  </si>
  <si>
    <t>Cash &amp; Equivalents, ST and LT Marketable Securities</t>
  </si>
  <si>
    <t>Accounts Receivable, and Accrued Revenues</t>
  </si>
  <si>
    <t>Other Current Assets</t>
  </si>
  <si>
    <t>Property, Plant &amp; Equipment</t>
  </si>
  <si>
    <t>Other Non-current Assets</t>
  </si>
  <si>
    <t>Other Non-current Liabilities</t>
  </si>
  <si>
    <t>Total Assets</t>
  </si>
  <si>
    <t>Accounts Payable</t>
  </si>
  <si>
    <t>Other Current Liabilities</t>
  </si>
  <si>
    <t>Deferred Revenue (Current and Non-current)</t>
  </si>
  <si>
    <t>Long Term Debt</t>
  </si>
  <si>
    <t>Total Liabilities</t>
  </si>
  <si>
    <t>Share Capital + APIC</t>
  </si>
  <si>
    <t>Retained Earnings (Accumulated Deficit)</t>
  </si>
  <si>
    <t>Other Comprehensive Income</t>
  </si>
  <si>
    <t>Total Equity</t>
  </si>
  <si>
    <t>Balance Check</t>
  </si>
  <si>
    <t>Decreases / (Increases) in Working Capital Assets</t>
  </si>
  <si>
    <t>Increases / (Decreases) in Working Capital Liabilities</t>
  </si>
  <si>
    <t>Cash from Operating Activities</t>
  </si>
  <si>
    <t>Cash from Investing Activities</t>
  </si>
  <si>
    <t>Capital Expenditures</t>
  </si>
  <si>
    <t>Share Repurchases</t>
  </si>
  <si>
    <t>Common Dividends</t>
  </si>
  <si>
    <t>Cash from Financing Activities</t>
  </si>
  <si>
    <t>Net Change in Cash</t>
  </si>
  <si>
    <t>Beginning of Period</t>
  </si>
  <si>
    <t>End of Period</t>
  </si>
  <si>
    <t>Plus: Capital Expenditures</t>
  </si>
  <si>
    <t>D&amp;A related to PP&amp;E as a % of CAPEX</t>
  </si>
  <si>
    <t>as % of Revenue</t>
  </si>
  <si>
    <t>Less: Amortization of Intangible Assets</t>
  </si>
  <si>
    <t>Plus: Net Income</t>
  </si>
  <si>
    <t>Dividend Payout Ratio</t>
  </si>
  <si>
    <t>Repurchases as % of Net Income</t>
  </si>
  <si>
    <t>Cash at Beginning of Period (BOP)</t>
  </si>
  <si>
    <t>Less: Minimum Cash Balance</t>
  </si>
  <si>
    <t>Plus: Free Cash Flows generated during period</t>
  </si>
  <si>
    <t>Equals: Cash Available (needed) to pay down (draw from) Revolver</t>
  </si>
  <si>
    <t>*Minimum Cash as % of Revenue</t>
  </si>
  <si>
    <t>Draw / (Paydown)</t>
  </si>
  <si>
    <t>Discretionary Borrowing / (Paydown)</t>
  </si>
  <si>
    <t>Total Interest Expense (from I/S)</t>
  </si>
  <si>
    <t>Weighted Average Interest Rate</t>
  </si>
  <si>
    <t>End of Period Balance (from B/S)</t>
  </si>
  <si>
    <t>Interest Rate on Cash</t>
  </si>
  <si>
    <t>Weighted Average Interest Rate on Cash</t>
  </si>
  <si>
    <t>SG&amp;A % of Sales</t>
  </si>
  <si>
    <t>Basic Shares - BOP</t>
  </si>
  <si>
    <t>Net Change in Basic Shares</t>
  </si>
  <si>
    <t>Basic Shares - EOP</t>
  </si>
  <si>
    <t>Basic shares - Average</t>
  </si>
  <si>
    <t>$ Amount of New Shares Issued</t>
  </si>
  <si>
    <t>Average Share Price</t>
  </si>
  <si>
    <t>Share Price Increase</t>
  </si>
  <si>
    <t>YoY % growth in Net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</si>
</sst>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8" formatCode="&quot;$&quot;#,##0.00_);[Red]\(&quot;$&quot;#,##0.00\)"/>
    <numFmt numFmtId="42" formatCode="_(&quot;$&quot;* #,##0_);_(&quot;$&quot;* \(#,##0\);_(&quot;$&quot;* &quot;-&quot;_);_(@_)"/>
    <numFmt numFmtId="44" formatCode="_(&quot;$&quot;* #,##0.00_);_(&quot;$&quot;* \(#,##0.00\);_(&quot;$&quot;* &quot;-&quot;??_);_(@_)"/>
    <numFmt numFmtId="164" formatCode="_(#,##0_)_%;\(#,##0\)_%;_(&quot;–&quot;_)_%;_(@_)_%"/>
    <numFmt numFmtId="165" formatCode="m/d/yy;@"/>
    <numFmt numFmtId="166" formatCode="0\A;[Red]0\A"/>
    <numFmt numFmtId="167" formatCode="0\P_);\(0\P\)"/>
    <numFmt numFmtId="168" formatCode="0.0%"/>
    <numFmt numFmtId="169" formatCode="0.0%_);\(0.0%\);@_)"/>
    <numFmt numFmtId="170" formatCode="_(#,##0.0%_);\(#,##0.0%\);_(&quot;–&quot;_)_%;_(@_)_%"/>
    <numFmt numFmtId="171" formatCode="0.00%_);\(0.00%\);@_)"/>
    <numFmt numFmtId="172" formatCode="_(#,##0.00%_);\(#,##0.00%\);_(&quot;–&quot;_)_%;_(@_)_%"/>
    <numFmt numFmtId="173" formatCode="0_);\(0\)"/>
    <numFmt numFmtId="174" formatCode="[$$-409]#,##0"/>
    <numFmt numFmtId="175" formatCode="_(#,##0%_);\(#,##0%\);_(&quot;–&quot;_)_%;_(@_)_%"/>
    <numFmt numFmtId="176" formatCode="_(&quot;$&quot;* #,##0_);_(&quot;$&quot;* \(#,##0\);_(&quot;$&quot;* &quot;-&quot;??_);_(@_)"/>
    <numFmt numFmtId="177" formatCode="#,##0.0_);\(#,##0.0\)"/>
  </numFmts>
  <fonts count="24" x14ac:knownFonts="1">
    <font>
      <sz val="11"/>
      <color theme="1"/>
      <name val="Aptos Narrow"/>
      <family val="2"/>
      <scheme val="minor"/>
    </font>
    <font>
      <sz val="11"/>
      <color theme="1"/>
      <name val="Calibri"/>
      <family val="2"/>
    </font>
    <font>
      <b/>
      <sz val="11"/>
      <color theme="1"/>
      <name val="Calibri"/>
      <family val="2"/>
    </font>
    <font>
      <i/>
      <sz val="11"/>
      <color rgb="FF000000"/>
      <name val="Calibri"/>
      <family val="2"/>
    </font>
    <font>
      <sz val="11"/>
      <color rgb="FF000000"/>
      <name val="Calibri"/>
      <family val="2"/>
    </font>
    <font>
      <sz val="11"/>
      <color rgb="FF0000FF"/>
      <name val="Calibri"/>
      <family val="2"/>
    </font>
    <font>
      <i/>
      <sz val="11"/>
      <color theme="1"/>
      <name val="Calibri"/>
      <family val="2"/>
    </font>
    <font>
      <i/>
      <sz val="11"/>
      <color rgb="FF0000FF"/>
      <name val="Calibri"/>
      <family val="2"/>
    </font>
    <font>
      <b/>
      <sz val="11"/>
      <color rgb="FF000000"/>
      <name val="Calibri"/>
      <family val="2"/>
    </font>
    <font>
      <u/>
      <sz val="11"/>
      <color theme="1"/>
      <name val="Calibri"/>
      <family val="2"/>
    </font>
    <font>
      <b/>
      <u/>
      <sz val="11"/>
      <color theme="1"/>
      <name val="Calibri"/>
      <family val="2"/>
    </font>
    <font>
      <sz val="11"/>
      <name val="Calibri"/>
      <family val="2"/>
    </font>
    <font>
      <sz val="11"/>
      <color rgb="FF008000"/>
      <name val="Calibri"/>
      <family val="2"/>
    </font>
    <font>
      <sz val="11"/>
      <color rgb="FFFF0000"/>
      <name val="Calibri"/>
      <family val="2"/>
    </font>
    <font>
      <sz val="9"/>
      <color indexed="81"/>
      <name val="Tahoma"/>
      <family val="2"/>
    </font>
    <font>
      <b/>
      <sz val="9"/>
      <color indexed="81"/>
      <name val="Tahoma"/>
      <family val="2"/>
    </font>
    <font>
      <sz val="11"/>
      <color theme="1"/>
      <name val="Aptos Narrow"/>
      <family val="2"/>
      <scheme val="minor"/>
    </font>
    <font>
      <b/>
      <sz val="11"/>
      <name val="Calibri"/>
      <family val="2"/>
    </font>
    <font>
      <b/>
      <sz val="9"/>
      <color rgb="FF000000"/>
      <name val="Calibri"/>
      <family val="2"/>
    </font>
    <font>
      <b/>
      <sz val="12"/>
      <color theme="1"/>
      <name val="Calibri"/>
      <family val="2"/>
    </font>
    <font>
      <b/>
      <sz val="14"/>
      <color theme="1"/>
      <name val="Calibri"/>
      <family val="2"/>
    </font>
    <font>
      <b/>
      <sz val="9"/>
      <color theme="1"/>
      <name val="Tahoma"/>
      <family val="2"/>
    </font>
    <font>
      <sz val="9"/>
      <color theme="1"/>
      <name val="Tahoma"/>
      <family val="2"/>
    </font>
    <font>
      <b/>
      <sz val="12"/>
      <color rgb="FF000000"/>
      <name val="Calibri"/>
      <family val="2"/>
    </font>
  </fonts>
  <fills count="10">
    <fill>
      <patternFill patternType="none"/>
    </fill>
    <fill>
      <patternFill patternType="gray125"/>
    </fill>
    <fill>
      <patternFill patternType="solid">
        <fgColor rgb="FFFCE5CD"/>
        <bgColor indexed="64"/>
      </patternFill>
    </fill>
    <fill>
      <patternFill patternType="solid">
        <fgColor theme="3" tint="0.89999084444715716"/>
        <bgColor indexed="64"/>
      </patternFill>
    </fill>
    <fill>
      <patternFill patternType="solid">
        <fgColor theme="3" tint="0.89999084444715716"/>
        <bgColor rgb="FF000000"/>
      </patternFill>
    </fill>
    <fill>
      <patternFill patternType="solid">
        <fgColor rgb="FFFFFF00"/>
        <bgColor indexed="64"/>
      </patternFill>
    </fill>
    <fill>
      <patternFill patternType="solid">
        <fgColor rgb="FFC9DAF8"/>
        <bgColor indexed="64"/>
      </patternFill>
    </fill>
    <fill>
      <patternFill patternType="solid">
        <fgColor rgb="FF7030A0"/>
        <bgColor indexed="64"/>
      </patternFill>
    </fill>
    <fill>
      <patternFill patternType="solid">
        <fgColor rgb="FFFCE5CD"/>
        <bgColor rgb="FF000000"/>
      </patternFill>
    </fill>
    <fill>
      <patternFill patternType="solid">
        <fgColor rgb="FF92D050"/>
        <bgColor indexed="64"/>
      </patternFill>
    </fill>
  </fills>
  <borders count="27">
    <border>
      <left/>
      <right/>
      <top/>
      <bottom/>
      <diagonal/>
    </border>
    <border>
      <left/>
      <right/>
      <top style="medium">
        <color rgb="FF000000"/>
      </top>
      <bottom style="medium">
        <color rgb="FF000000"/>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right/>
      <top/>
      <bottom style="thin">
        <color rgb="FF000000"/>
      </bottom>
      <diagonal/>
    </border>
    <border>
      <left/>
      <right/>
      <top/>
      <bottom style="thin">
        <color auto="1"/>
      </bottom>
      <diagonal/>
    </border>
    <border>
      <left/>
      <right/>
      <top style="thin">
        <color rgb="FF000000"/>
      </top>
      <bottom/>
      <diagonal/>
    </border>
    <border>
      <left/>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medium">
        <color indexed="64"/>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16" fillId="0" borderId="0" applyFont="0" applyFill="0" applyBorder="0" applyAlignment="0" applyProtection="0"/>
    <xf numFmtId="44" fontId="16" fillId="0" borderId="0" applyFont="0" applyFill="0" applyBorder="0" applyAlignment="0" applyProtection="0"/>
  </cellStyleXfs>
  <cellXfs count="193">
    <xf numFmtId="0" fontId="0" fillId="0" borderId="0" xfId="0"/>
    <xf numFmtId="0" fontId="1" fillId="0" borderId="0" xfId="0" applyFont="1"/>
    <xf numFmtId="0" fontId="1" fillId="0" borderId="1" xfId="0" applyFont="1" applyBorder="1"/>
    <xf numFmtId="14" fontId="3" fillId="0" borderId="0" xfId="0" applyNumberFormat="1" applyFont="1" applyAlignment="1">
      <alignment horizontal="left"/>
    </xf>
    <xf numFmtId="0" fontId="1" fillId="0" borderId="2" xfId="0" applyFont="1" applyBorder="1"/>
    <xf numFmtId="0" fontId="4" fillId="0" borderId="0" xfId="0" applyFont="1"/>
    <xf numFmtId="0" fontId="5" fillId="0" borderId="0" xfId="0" applyFont="1" applyAlignment="1">
      <alignment horizontal="center"/>
    </xf>
    <xf numFmtId="164" fontId="5" fillId="2" borderId="3" xfId="0" applyNumberFormat="1" applyFont="1" applyFill="1" applyBorder="1" applyAlignment="1">
      <alignment horizontal="center"/>
    </xf>
    <xf numFmtId="8" fontId="5" fillId="0" borderId="0" xfId="0" applyNumberFormat="1" applyFont="1" applyAlignment="1">
      <alignment horizontal="center"/>
    </xf>
    <xf numFmtId="14" fontId="5" fillId="0" borderId="0" xfId="0" applyNumberFormat="1" applyFont="1" applyAlignment="1">
      <alignment horizontal="center"/>
    </xf>
    <xf numFmtId="165" fontId="5" fillId="0" borderId="0" xfId="0" applyNumberFormat="1" applyFont="1" applyAlignment="1">
      <alignment horizontal="center"/>
    </xf>
    <xf numFmtId="0" fontId="2" fillId="0" borderId="4" xfId="0" applyFont="1" applyBorder="1"/>
    <xf numFmtId="0" fontId="1" fillId="0" borderId="4" xfId="0" applyFont="1" applyBorder="1"/>
    <xf numFmtId="166" fontId="2" fillId="0" borderId="0" xfId="0" applyNumberFormat="1" applyFont="1"/>
    <xf numFmtId="167" fontId="2" fillId="0" borderId="0" xfId="0" applyNumberFormat="1" applyFont="1"/>
    <xf numFmtId="0" fontId="6" fillId="0" borderId="4" xfId="0" applyFont="1" applyBorder="1"/>
    <xf numFmtId="165" fontId="6" fillId="0" borderId="5" xfId="0" applyNumberFormat="1" applyFont="1" applyBorder="1"/>
    <xf numFmtId="0" fontId="6" fillId="0" borderId="0" xfId="0" applyFont="1"/>
    <xf numFmtId="165" fontId="7" fillId="0" borderId="0" xfId="0" applyNumberFormat="1" applyFont="1"/>
    <xf numFmtId="165" fontId="6" fillId="0" borderId="0" xfId="0" applyNumberFormat="1" applyFont="1"/>
    <xf numFmtId="9" fontId="6" fillId="0" borderId="0" xfId="0" applyNumberFormat="1" applyFont="1"/>
    <xf numFmtId="168" fontId="6" fillId="0" borderId="0" xfId="0" applyNumberFormat="1" applyFont="1"/>
    <xf numFmtId="37" fontId="5" fillId="0" borderId="0" xfId="0" applyNumberFormat="1" applyFont="1"/>
    <xf numFmtId="0" fontId="2" fillId="0" borderId="0" xfId="0" applyFont="1"/>
    <xf numFmtId="37" fontId="8" fillId="0" borderId="0" xfId="0" applyNumberFormat="1" applyFont="1"/>
    <xf numFmtId="0" fontId="1" fillId="0" borderId="0" xfId="0" applyFont="1" applyAlignment="1">
      <alignment horizontal="left" indent="1"/>
    </xf>
    <xf numFmtId="37" fontId="1" fillId="0" borderId="0" xfId="0" applyNumberFormat="1" applyFont="1"/>
    <xf numFmtId="0" fontId="1" fillId="0" borderId="0" xfId="0" applyFont="1" applyAlignment="1">
      <alignment horizontal="left"/>
    </xf>
    <xf numFmtId="0" fontId="2" fillId="0" borderId="0" xfId="0" applyFont="1" applyAlignment="1">
      <alignment horizontal="left"/>
    </xf>
    <xf numFmtId="4" fontId="1" fillId="0" borderId="0" xfId="0" applyNumberFormat="1" applyFont="1"/>
    <xf numFmtId="0" fontId="9" fillId="0" borderId="0" xfId="0" applyFont="1"/>
    <xf numFmtId="169" fontId="4" fillId="0" borderId="0" xfId="0" applyNumberFormat="1" applyFont="1"/>
    <xf numFmtId="169" fontId="5" fillId="0" borderId="0" xfId="0" applyNumberFormat="1" applyFont="1"/>
    <xf numFmtId="165" fontId="6" fillId="0" borderId="4" xfId="0" applyNumberFormat="1" applyFont="1" applyBorder="1"/>
    <xf numFmtId="166" fontId="8" fillId="0" borderId="0" xfId="0" applyNumberFormat="1" applyFont="1"/>
    <xf numFmtId="167" fontId="8" fillId="0" borderId="0" xfId="0" applyNumberFormat="1" applyFont="1"/>
    <xf numFmtId="165" fontId="3" fillId="0" borderId="4" xfId="0" applyNumberFormat="1" applyFont="1" applyBorder="1"/>
    <xf numFmtId="37" fontId="4" fillId="0" borderId="0" xfId="0" applyNumberFormat="1" applyFont="1"/>
    <xf numFmtId="37" fontId="2" fillId="0" borderId="0" xfId="0" applyNumberFormat="1" applyFont="1"/>
    <xf numFmtId="37" fontId="6" fillId="0" borderId="0" xfId="0" applyNumberFormat="1" applyFont="1"/>
    <xf numFmtId="3" fontId="1" fillId="0" borderId="0" xfId="0" applyNumberFormat="1" applyFont="1"/>
    <xf numFmtId="0" fontId="2" fillId="0" borderId="6" xfId="0" applyFont="1" applyBorder="1" applyAlignment="1">
      <alignment horizontal="centerContinuous"/>
    </xf>
    <xf numFmtId="0" fontId="1" fillId="0" borderId="0" xfId="0" quotePrefix="1" applyFont="1" applyAlignment="1">
      <alignment horizontal="left" indent="1"/>
    </xf>
    <xf numFmtId="0" fontId="1" fillId="0" borderId="7" xfId="0" quotePrefix="1" applyFont="1" applyBorder="1" applyAlignment="1">
      <alignment horizontal="left" indent="1"/>
    </xf>
    <xf numFmtId="37" fontId="5" fillId="0" borderId="7" xfId="0" applyNumberFormat="1" applyFont="1" applyBorder="1"/>
    <xf numFmtId="0" fontId="2" fillId="0" borderId="0" xfId="0" applyFont="1" applyAlignment="1">
      <alignment horizontal="left" indent="1"/>
    </xf>
    <xf numFmtId="169" fontId="1" fillId="0" borderId="0" xfId="0" applyNumberFormat="1" applyFont="1"/>
    <xf numFmtId="169" fontId="1" fillId="0" borderId="4" xfId="0" applyNumberFormat="1" applyFont="1" applyBorder="1"/>
    <xf numFmtId="169" fontId="4" fillId="0" borderId="4" xfId="0" applyNumberFormat="1" applyFont="1" applyBorder="1"/>
    <xf numFmtId="170" fontId="1" fillId="0" borderId="0" xfId="0" applyNumberFormat="1" applyFont="1"/>
    <xf numFmtId="37" fontId="2" fillId="0" borderId="4" xfId="0" applyNumberFormat="1" applyFont="1" applyBorder="1"/>
    <xf numFmtId="0" fontId="1" fillId="0" borderId="7" xfId="0" applyFont="1" applyBorder="1" applyAlignment="1">
      <alignment horizontal="left" indent="1"/>
    </xf>
    <xf numFmtId="0" fontId="1" fillId="0" borderId="7" xfId="0" applyFont="1" applyBorder="1"/>
    <xf numFmtId="37" fontId="1" fillId="0" borderId="7" xfId="0" applyNumberFormat="1" applyFont="1" applyBorder="1"/>
    <xf numFmtId="37" fontId="1" fillId="0" borderId="9" xfId="0" applyNumberFormat="1" applyFont="1" applyBorder="1"/>
    <xf numFmtId="0" fontId="1" fillId="0" borderId="9" xfId="0" applyFont="1" applyBorder="1"/>
    <xf numFmtId="9" fontId="5" fillId="0" borderId="4" xfId="0" applyNumberFormat="1" applyFont="1" applyBorder="1"/>
    <xf numFmtId="37" fontId="1" fillId="0" borderId="6" xfId="0" applyNumberFormat="1" applyFont="1" applyBorder="1"/>
    <xf numFmtId="0" fontId="9" fillId="0" borderId="0" xfId="0" applyFont="1" applyAlignment="1">
      <alignment horizontal="left" indent="1"/>
    </xf>
    <xf numFmtId="171" fontId="5" fillId="0" borderId="0" xfId="0" applyNumberFormat="1" applyFont="1"/>
    <xf numFmtId="0" fontId="8" fillId="0" borderId="11" xfId="0" applyFont="1" applyBorder="1" applyAlignment="1">
      <alignment horizontal="left" indent="1"/>
    </xf>
    <xf numFmtId="0" fontId="1" fillId="0" borderId="0" xfId="0" applyFont="1" applyAlignment="1">
      <alignment horizontal="left" indent="2"/>
    </xf>
    <xf numFmtId="10" fontId="5" fillId="0" borderId="0" xfId="0" applyNumberFormat="1" applyFont="1"/>
    <xf numFmtId="37" fontId="4" fillId="0" borderId="0" xfId="0" applyNumberFormat="1" applyFont="1" applyAlignment="1">
      <alignment horizontal="left" indent="1"/>
    </xf>
    <xf numFmtId="0" fontId="12" fillId="0" borderId="8" xfId="0" applyFont="1" applyBorder="1" applyAlignment="1">
      <alignment horizontal="left" indent="2"/>
    </xf>
    <xf numFmtId="37" fontId="13" fillId="0" borderId="9" xfId="0" applyNumberFormat="1" applyFont="1" applyBorder="1" applyAlignment="1">
      <alignment horizontal="right"/>
    </xf>
    <xf numFmtId="37" fontId="13" fillId="0" borderId="10" xfId="0" applyNumberFormat="1" applyFont="1" applyBorder="1" applyAlignment="1">
      <alignment horizontal="right"/>
    </xf>
    <xf numFmtId="0" fontId="12" fillId="0" borderId="0" xfId="0" applyFont="1" applyAlignment="1">
      <alignment horizontal="center"/>
    </xf>
    <xf numFmtId="37" fontId="13" fillId="0" borderId="0" xfId="0" applyNumberFormat="1" applyFont="1" applyAlignment="1">
      <alignment horizontal="right"/>
    </xf>
    <xf numFmtId="0" fontId="1" fillId="0" borderId="0" xfId="0" quotePrefix="1" applyFont="1"/>
    <xf numFmtId="164" fontId="1" fillId="0" borderId="0" xfId="0" applyNumberFormat="1" applyFont="1"/>
    <xf numFmtId="3" fontId="4" fillId="0" borderId="0" xfId="0" applyNumberFormat="1" applyFont="1"/>
    <xf numFmtId="42" fontId="5" fillId="0" borderId="0" xfId="0" applyNumberFormat="1" applyFont="1"/>
    <xf numFmtId="42" fontId="8" fillId="0" borderId="0" xfId="0" applyNumberFormat="1" applyFont="1"/>
    <xf numFmtId="42" fontId="2" fillId="0" borderId="0" xfId="0" applyNumberFormat="1" applyFont="1"/>
    <xf numFmtId="42" fontId="4" fillId="3" borderId="0" xfId="0" applyNumberFormat="1" applyFont="1" applyFill="1"/>
    <xf numFmtId="37" fontId="4" fillId="3" borderId="0" xfId="0" applyNumberFormat="1" applyFont="1" applyFill="1"/>
    <xf numFmtId="37" fontId="1" fillId="3" borderId="0" xfId="0" applyNumberFormat="1" applyFont="1" applyFill="1"/>
    <xf numFmtId="42" fontId="8" fillId="3" borderId="0" xfId="0" applyNumberFormat="1" applyFont="1" applyFill="1"/>
    <xf numFmtId="169" fontId="4" fillId="3" borderId="0" xfId="0" applyNumberFormat="1" applyFont="1" applyFill="1"/>
    <xf numFmtId="42" fontId="1" fillId="3" borderId="0" xfId="0" applyNumberFormat="1" applyFont="1" applyFill="1"/>
    <xf numFmtId="42" fontId="2" fillId="3" borderId="0" xfId="0" applyNumberFormat="1" applyFont="1" applyFill="1"/>
    <xf numFmtId="37" fontId="5" fillId="3" borderId="0" xfId="0" applyNumberFormat="1" applyFont="1" applyFill="1"/>
    <xf numFmtId="37" fontId="1" fillId="3" borderId="7" xfId="0" applyNumberFormat="1" applyFont="1" applyFill="1" applyBorder="1"/>
    <xf numFmtId="37" fontId="4" fillId="3" borderId="7" xfId="0" applyNumberFormat="1" applyFont="1" applyFill="1" applyBorder="1"/>
    <xf numFmtId="170" fontId="11" fillId="3" borderId="0" xfId="0" applyNumberFormat="1" applyFont="1" applyFill="1"/>
    <xf numFmtId="172" fontId="4" fillId="4" borderId="0" xfId="0" applyNumberFormat="1" applyFont="1" applyFill="1"/>
    <xf numFmtId="42" fontId="1" fillId="0" borderId="0" xfId="0" applyNumberFormat="1" applyFont="1"/>
    <xf numFmtId="42" fontId="4" fillId="3" borderId="6" xfId="0" applyNumberFormat="1" applyFont="1" applyFill="1" applyBorder="1"/>
    <xf numFmtId="42" fontId="2" fillId="0" borderId="7" xfId="0" applyNumberFormat="1" applyFont="1" applyBorder="1"/>
    <xf numFmtId="42" fontId="8" fillId="3" borderId="11" xfId="0" applyNumberFormat="1" applyFont="1" applyFill="1" applyBorder="1"/>
    <xf numFmtId="173" fontId="1" fillId="0" borderId="0" xfId="0" applyNumberFormat="1" applyFont="1"/>
    <xf numFmtId="44" fontId="1" fillId="0" borderId="0" xfId="0" applyNumberFormat="1" applyFont="1"/>
    <xf numFmtId="0" fontId="1" fillId="5" borderId="0" xfId="0" applyFont="1" applyFill="1"/>
    <xf numFmtId="10" fontId="4" fillId="0" borderId="0" xfId="0" applyNumberFormat="1" applyFont="1"/>
    <xf numFmtId="42" fontId="17" fillId="3" borderId="0" xfId="0" applyNumberFormat="1" applyFont="1" applyFill="1"/>
    <xf numFmtId="10" fontId="1" fillId="0" borderId="0" xfId="0" applyNumberFormat="1" applyFont="1"/>
    <xf numFmtId="37" fontId="11" fillId="3" borderId="0" xfId="0" applyNumberFormat="1" applyFont="1" applyFill="1"/>
    <xf numFmtId="37" fontId="11" fillId="0" borderId="0" xfId="0" applyNumberFormat="1" applyFont="1"/>
    <xf numFmtId="171" fontId="5" fillId="3" borderId="0" xfId="0" applyNumberFormat="1" applyFont="1" applyFill="1"/>
    <xf numFmtId="171" fontId="4" fillId="0" borderId="0" xfId="0" applyNumberFormat="1" applyFont="1"/>
    <xf numFmtId="171" fontId="4" fillId="3" borderId="0" xfId="0" applyNumberFormat="1" applyFont="1" applyFill="1"/>
    <xf numFmtId="37" fontId="8" fillId="3" borderId="0" xfId="0" applyNumberFormat="1" applyFont="1" applyFill="1"/>
    <xf numFmtId="0" fontId="10" fillId="0" borderId="0" xfId="0" applyFont="1" applyAlignment="1">
      <alignment horizontal="left"/>
    </xf>
    <xf numFmtId="9" fontId="5" fillId="0" borderId="0" xfId="0" applyNumberFormat="1" applyFont="1"/>
    <xf numFmtId="0" fontId="1" fillId="7" borderId="0" xfId="0" applyFont="1" applyFill="1" applyAlignment="1">
      <alignment horizontal="left" indent="1"/>
    </xf>
    <xf numFmtId="37" fontId="1" fillId="7" borderId="0" xfId="0" applyNumberFormat="1" applyFont="1" applyFill="1"/>
    <xf numFmtId="0" fontId="8" fillId="0" borderId="4" xfId="0" applyFont="1" applyBorder="1"/>
    <xf numFmtId="0" fontId="8" fillId="0" borderId="0" xfId="0" applyFont="1"/>
    <xf numFmtId="0" fontId="4" fillId="0" borderId="14" xfId="0" applyFont="1" applyBorder="1"/>
    <xf numFmtId="0" fontId="4" fillId="0" borderId="16" xfId="0" applyFont="1" applyBorder="1"/>
    <xf numFmtId="0" fontId="3" fillId="0" borderId="0" xfId="0" applyFont="1"/>
    <xf numFmtId="0" fontId="5" fillId="0" borderId="0" xfId="0" applyFont="1"/>
    <xf numFmtId="0" fontId="8" fillId="0" borderId="0" xfId="0" applyFont="1" applyAlignment="1">
      <alignment horizontal="right"/>
    </xf>
    <xf numFmtId="0" fontId="18" fillId="0" borderId="13" xfId="0" applyFont="1" applyBorder="1" applyAlignment="1">
      <alignment horizontal="center"/>
    </xf>
    <xf numFmtId="0" fontId="18" fillId="0" borderId="15" xfId="0" applyFont="1" applyBorder="1" applyAlignment="1">
      <alignment horizontal="center"/>
    </xf>
    <xf numFmtId="0" fontId="4" fillId="0" borderId="17" xfId="0" applyFont="1" applyBorder="1" applyAlignment="1">
      <alignment horizontal="center"/>
    </xf>
    <xf numFmtId="0" fontId="4" fillId="0" borderId="0" xfId="0" applyFont="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5" fillId="8" borderId="3" xfId="0" applyFont="1" applyFill="1" applyBorder="1" applyAlignment="1">
      <alignment horizontal="center"/>
    </xf>
    <xf numFmtId="0" fontId="8" fillId="0" borderId="12" xfId="0" applyFont="1" applyBorder="1" applyAlignment="1">
      <alignment horizontal="center"/>
    </xf>
    <xf numFmtId="174" fontId="11" fillId="0" borderId="0" xfId="0" applyNumberFormat="1" applyFont="1" applyAlignment="1">
      <alignment horizontal="center"/>
    </xf>
    <xf numFmtId="9" fontId="5" fillId="0" borderId="0" xfId="0" applyNumberFormat="1" applyFont="1" applyAlignment="1">
      <alignment horizontal="center"/>
    </xf>
    <xf numFmtId="10" fontId="11" fillId="0" borderId="0" xfId="0" applyNumberFormat="1" applyFont="1"/>
    <xf numFmtId="10" fontId="1" fillId="0" borderId="0" xfId="1" applyNumberFormat="1" applyFont="1" applyFill="1"/>
    <xf numFmtId="37" fontId="3" fillId="5" borderId="0" xfId="0" applyNumberFormat="1" applyFont="1" applyFill="1"/>
    <xf numFmtId="42" fontId="8" fillId="5" borderId="0" xfId="0" applyNumberFormat="1" applyFont="1" applyFill="1"/>
    <xf numFmtId="10" fontId="4" fillId="0" borderId="16" xfId="1" applyNumberFormat="1" applyFont="1" applyFill="1" applyBorder="1" applyAlignment="1">
      <alignment horizontal="center"/>
    </xf>
    <xf numFmtId="10" fontId="4" fillId="0" borderId="19" xfId="1" applyNumberFormat="1" applyFont="1" applyFill="1" applyBorder="1" applyAlignment="1">
      <alignment horizontal="center"/>
    </xf>
    <xf numFmtId="10" fontId="4" fillId="3" borderId="16" xfId="1" applyNumberFormat="1" applyFont="1" applyFill="1" applyBorder="1" applyAlignment="1">
      <alignment horizontal="center"/>
    </xf>
    <xf numFmtId="10" fontId="4" fillId="3" borderId="20" xfId="1" applyNumberFormat="1" applyFont="1" applyFill="1" applyBorder="1" applyAlignment="1">
      <alignment horizontal="center"/>
    </xf>
    <xf numFmtId="3" fontId="11" fillId="0" borderId="0" xfId="0" applyNumberFormat="1" applyFont="1"/>
    <xf numFmtId="14" fontId="3" fillId="0" borderId="4" xfId="0" applyNumberFormat="1" applyFont="1" applyBorder="1"/>
    <xf numFmtId="42" fontId="11" fillId="0" borderId="0" xfId="2" applyNumberFormat="1" applyFont="1" applyFill="1" applyBorder="1" applyAlignment="1" applyProtection="1">
      <protection locked="0"/>
    </xf>
    <xf numFmtId="171" fontId="11" fillId="0" borderId="0" xfId="0" applyNumberFormat="1" applyFont="1" applyProtection="1">
      <protection locked="0"/>
    </xf>
    <xf numFmtId="10" fontId="11" fillId="0" borderId="0" xfId="1" applyNumberFormat="1" applyFont="1" applyFill="1" applyBorder="1" applyAlignment="1" applyProtection="1">
      <protection locked="0"/>
    </xf>
    <xf numFmtId="10" fontId="4" fillId="3" borderId="0" xfId="0" applyNumberFormat="1" applyFont="1" applyFill="1" applyAlignment="1">
      <alignment horizontal="center"/>
    </xf>
    <xf numFmtId="10" fontId="11" fillId="3" borderId="0" xfId="0" applyNumberFormat="1" applyFont="1" applyFill="1" applyAlignment="1">
      <alignment horizontal="center"/>
    </xf>
    <xf numFmtId="3" fontId="11" fillId="3" borderId="0" xfId="0" applyNumberFormat="1" applyFont="1" applyFill="1"/>
    <xf numFmtId="3" fontId="1" fillId="3" borderId="0" xfId="0" applyNumberFormat="1" applyFont="1" applyFill="1"/>
    <xf numFmtId="0" fontId="8" fillId="0" borderId="23" xfId="0" applyFont="1" applyBorder="1"/>
    <xf numFmtId="0" fontId="4" fillId="0" borderId="23" xfId="0" applyFont="1" applyBorder="1"/>
    <xf numFmtId="0" fontId="1" fillId="0" borderId="23" xfId="0" applyFont="1" applyBorder="1"/>
    <xf numFmtId="3" fontId="11" fillId="0" borderId="22" xfId="0" applyNumberFormat="1" applyFont="1" applyBorder="1" applyProtection="1">
      <protection locked="0"/>
    </xf>
    <xf numFmtId="3" fontId="11" fillId="9" borderId="22" xfId="0" applyNumberFormat="1" applyFont="1" applyFill="1" applyBorder="1" applyProtection="1">
      <protection locked="0"/>
    </xf>
    <xf numFmtId="9" fontId="11" fillId="0" borderId="24" xfId="1" applyFont="1" applyFill="1" applyBorder="1" applyAlignment="1" applyProtection="1">
      <protection locked="0"/>
    </xf>
    <xf numFmtId="0" fontId="1" fillId="0" borderId="25" xfId="0" applyFont="1" applyBorder="1"/>
    <xf numFmtId="1" fontId="11" fillId="0" borderId="21" xfId="1" applyNumberFormat="1" applyFont="1" applyFill="1" applyBorder="1" applyAlignment="1" applyProtection="1">
      <protection locked="0"/>
    </xf>
    <xf numFmtId="1" fontId="11" fillId="9" borderId="21" xfId="1" applyNumberFormat="1" applyFont="1" applyFill="1" applyBorder="1" applyAlignment="1" applyProtection="1">
      <protection locked="0"/>
    </xf>
    <xf numFmtId="3" fontId="11" fillId="9" borderId="0" xfId="0" applyNumberFormat="1" applyFont="1" applyFill="1"/>
    <xf numFmtId="42" fontId="11" fillId="0" borderId="26" xfId="2" applyNumberFormat="1" applyFont="1" applyFill="1" applyBorder="1" applyAlignment="1" applyProtection="1">
      <protection locked="0"/>
    </xf>
    <xf numFmtId="10" fontId="11" fillId="3" borderId="0" xfId="0" applyNumberFormat="1" applyFont="1" applyFill="1"/>
    <xf numFmtId="8" fontId="1" fillId="0" borderId="0" xfId="0" applyNumberFormat="1" applyFont="1"/>
    <xf numFmtId="8" fontId="11" fillId="3" borderId="0" xfId="0" applyNumberFormat="1" applyFont="1" applyFill="1"/>
    <xf numFmtId="175" fontId="4" fillId="0" borderId="0" xfId="0" applyNumberFormat="1" applyFont="1"/>
    <xf numFmtId="175" fontId="1" fillId="0" borderId="0" xfId="0" applyNumberFormat="1" applyFont="1"/>
    <xf numFmtId="176" fontId="1" fillId="0" borderId="0" xfId="2" applyNumberFormat="1" applyFont="1" applyFill="1"/>
    <xf numFmtId="176" fontId="1" fillId="3" borderId="0" xfId="2" applyNumberFormat="1" applyFont="1" applyFill="1"/>
    <xf numFmtId="2" fontId="8" fillId="0" borderId="0" xfId="0" applyNumberFormat="1" applyFont="1"/>
    <xf numFmtId="2" fontId="17" fillId="3" borderId="0" xfId="0" applyNumberFormat="1" applyFont="1" applyFill="1"/>
    <xf numFmtId="2" fontId="8" fillId="3" borderId="0" xfId="0" applyNumberFormat="1" applyFont="1" applyFill="1"/>
    <xf numFmtId="170" fontId="5" fillId="6" borderId="0" xfId="0" applyNumberFormat="1" applyFont="1" applyFill="1"/>
    <xf numFmtId="8" fontId="5" fillId="0" borderId="0" xfId="0" applyNumberFormat="1" applyFont="1"/>
    <xf numFmtId="177" fontId="5" fillId="0" borderId="0" xfId="0" applyNumberFormat="1" applyFont="1"/>
    <xf numFmtId="177" fontId="5" fillId="0" borderId="0" xfId="0" applyNumberFormat="1" applyFont="1" applyAlignment="1">
      <alignment horizontal="center"/>
    </xf>
    <xf numFmtId="177" fontId="1" fillId="3" borderId="0" xfId="0" applyNumberFormat="1" applyFont="1" applyFill="1"/>
    <xf numFmtId="0" fontId="6" fillId="5" borderId="0" xfId="0" applyFont="1" applyFill="1"/>
    <xf numFmtId="0" fontId="6" fillId="0" borderId="0" xfId="0" applyFont="1" applyAlignment="1">
      <alignment horizontal="center"/>
    </xf>
    <xf numFmtId="0" fontId="2" fillId="0" borderId="24" xfId="0" applyFont="1" applyBorder="1" applyAlignment="1">
      <alignment horizontal="center"/>
    </xf>
    <xf numFmtId="0" fontId="1" fillId="0" borderId="24" xfId="0" applyFont="1" applyBorder="1"/>
    <xf numFmtId="10" fontId="4" fillId="3" borderId="0" xfId="1" applyNumberFormat="1" applyFont="1" applyFill="1" applyAlignment="1">
      <alignment horizontal="center"/>
    </xf>
    <xf numFmtId="0" fontId="1" fillId="0" borderId="5" xfId="0" applyFont="1" applyBorder="1"/>
    <xf numFmtId="166" fontId="8" fillId="0" borderId="24" xfId="0" applyNumberFormat="1" applyFont="1" applyBorder="1"/>
    <xf numFmtId="175" fontId="4" fillId="3" borderId="0" xfId="0" applyNumberFormat="1" applyFont="1" applyFill="1"/>
    <xf numFmtId="14" fontId="6" fillId="0" borderId="5" xfId="0" applyNumberFormat="1" applyFont="1" applyBorder="1"/>
    <xf numFmtId="10" fontId="1" fillId="3" borderId="0" xfId="0" applyNumberFormat="1" applyFont="1" applyFill="1"/>
    <xf numFmtId="0" fontId="1" fillId="3" borderId="0" xfId="0" applyFont="1" applyFill="1"/>
    <xf numFmtId="37" fontId="1" fillId="0" borderId="0" xfId="0" quotePrefix="1" applyNumberFormat="1" applyFont="1"/>
    <xf numFmtId="0" fontId="19" fillId="0" borderId="4" xfId="0" applyFont="1" applyBorder="1"/>
    <xf numFmtId="10" fontId="11" fillId="5" borderId="0" xfId="0" applyNumberFormat="1" applyFont="1" applyFill="1"/>
    <xf numFmtId="165" fontId="3" fillId="0" borderId="0" xfId="0" applyNumberFormat="1" applyFont="1"/>
    <xf numFmtId="14" fontId="1" fillId="0" borderId="0" xfId="0" applyNumberFormat="1" applyFont="1"/>
    <xf numFmtId="0" fontId="1" fillId="5" borderId="0" xfId="0" applyFont="1" applyFill="1" applyAlignment="1">
      <alignment horizontal="left"/>
    </xf>
    <xf numFmtId="0" fontId="20" fillId="0" borderId="1" xfId="0" applyFont="1" applyBorder="1"/>
    <xf numFmtId="42" fontId="2" fillId="3" borderId="0" xfId="2" applyNumberFormat="1" applyFont="1" applyFill="1"/>
    <xf numFmtId="0" fontId="19" fillId="0" borderId="4" xfId="0" applyFont="1" applyBorder="1" applyAlignment="1">
      <alignment horizontal="left"/>
    </xf>
    <xf numFmtId="37" fontId="19" fillId="0" borderId="4" xfId="0" applyNumberFormat="1" applyFont="1" applyBorder="1"/>
    <xf numFmtId="37" fontId="19" fillId="0" borderId="4" xfId="0" applyNumberFormat="1" applyFont="1" applyBorder="1" applyAlignment="1">
      <alignment horizontal="left"/>
    </xf>
    <xf numFmtId="0" fontId="23" fillId="0" borderId="4" xfId="0" applyFont="1" applyBorder="1"/>
    <xf numFmtId="42" fontId="8" fillId="4" borderId="0" xfId="0" applyNumberFormat="1" applyFont="1" applyFill="1"/>
    <xf numFmtId="0" fontId="19" fillId="0" borderId="5" xfId="0" applyFont="1" applyBorder="1"/>
    <xf numFmtId="0" fontId="8" fillId="0" borderId="0" xfId="0" applyFont="1" applyAlignment="1">
      <alignment horizontal="center"/>
    </xf>
  </cellXfs>
  <cellStyles count="3">
    <cellStyle name="Currency" xfId="2" builtinId="4"/>
    <cellStyle name="Normal" xfId="0" builtinId="0"/>
    <cellStyle name="Percent" xfId="1" builtinId="5"/>
  </cellStyles>
  <dxfs count="1">
    <dxf>
      <fill>
        <patternFill>
          <bgColor theme="8"/>
        </patternFill>
      </fill>
      <border>
        <left/>
        <right/>
        <top style="thin">
          <color rgb="FF9C0006"/>
        </top>
        <bottom style="thin">
          <color rgb="FF9C0006"/>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2368-80F1-4C59-9F07-3203534F540D}">
  <sheetPr>
    <pageSetUpPr fitToPage="1"/>
  </sheetPr>
  <dimension ref="A1:U272"/>
  <sheetViews>
    <sheetView tabSelected="1" topLeftCell="A161" zoomScaleNormal="100" workbookViewId="0">
      <selection activeCell="C271" sqref="C271"/>
    </sheetView>
  </sheetViews>
  <sheetFormatPr defaultColWidth="8.81640625" defaultRowHeight="14.5" outlineLevelRow="1" x14ac:dyDescent="0.35"/>
  <cols>
    <col min="1" max="2" width="1.7265625" style="1" customWidth="1"/>
    <col min="3" max="3" width="60.54296875" style="1" bestFit="1" customWidth="1"/>
    <col min="4" max="11" width="11.453125" style="1" customWidth="1"/>
    <col min="12" max="12" width="3.26953125" style="1" bestFit="1" customWidth="1"/>
    <col min="13" max="13" width="6.453125" style="1" bestFit="1" customWidth="1"/>
    <col min="14" max="14" width="11.81640625" style="1" customWidth="1"/>
    <col min="15" max="17" width="10.26953125" style="1" bestFit="1" customWidth="1"/>
    <col min="18" max="19" width="9.453125" style="1" bestFit="1" customWidth="1"/>
    <col min="20" max="16384" width="8.81640625" style="1"/>
  </cols>
  <sheetData>
    <row r="1" spans="1:20" ht="15" thickBot="1" x14ac:dyDescent="0.4"/>
    <row r="2" spans="1:20" ht="19" thickBot="1" x14ac:dyDescent="0.5">
      <c r="A2" s="1" t="s">
        <v>0</v>
      </c>
      <c r="C2" s="184" t="str">
        <f>"Financial Statement Model for "&amp;D5</f>
        <v>Financial Statement Model for Ovintiv</v>
      </c>
      <c r="D2" s="2"/>
      <c r="E2" s="2"/>
      <c r="F2" s="2"/>
      <c r="G2" s="2"/>
      <c r="H2" s="2"/>
      <c r="I2" s="2"/>
      <c r="J2" s="2"/>
      <c r="K2" s="2"/>
    </row>
    <row r="3" spans="1:20" x14ac:dyDescent="0.35">
      <c r="C3" s="3" t="s">
        <v>1</v>
      </c>
      <c r="D3" s="4"/>
      <c r="E3" s="4"/>
      <c r="F3" s="4"/>
      <c r="G3" s="4"/>
      <c r="H3" s="4"/>
    </row>
    <row r="5" spans="1:20" x14ac:dyDescent="0.35">
      <c r="C5" s="5" t="s">
        <v>98</v>
      </c>
      <c r="D5" s="6" t="s">
        <v>2</v>
      </c>
    </row>
    <row r="6" spans="1:20" x14ac:dyDescent="0.35">
      <c r="C6" s="5" t="s">
        <v>3</v>
      </c>
      <c r="D6" s="6" t="s">
        <v>4</v>
      </c>
    </row>
    <row r="7" spans="1:20" x14ac:dyDescent="0.35">
      <c r="C7" s="1" t="s">
        <v>5</v>
      </c>
      <c r="D7" s="7">
        <v>1</v>
      </c>
    </row>
    <row r="8" spans="1:20" x14ac:dyDescent="0.35">
      <c r="C8" s="1" t="s">
        <v>6</v>
      </c>
      <c r="D8" s="8">
        <v>51.5</v>
      </c>
    </row>
    <row r="9" spans="1:20" x14ac:dyDescent="0.35">
      <c r="C9" s="1" t="s">
        <v>7</v>
      </c>
      <c r="D9" s="9">
        <v>45372</v>
      </c>
    </row>
    <row r="10" spans="1:20" x14ac:dyDescent="0.35">
      <c r="C10" s="5" t="s">
        <v>8</v>
      </c>
      <c r="D10" s="10">
        <v>45291</v>
      </c>
    </row>
    <row r="11" spans="1:20" ht="15" customHeight="1" x14ac:dyDescent="0.35">
      <c r="C11" s="1" t="s">
        <v>9</v>
      </c>
      <c r="D11" s="165">
        <f>269515.124/1000</f>
        <v>269.51512400000001</v>
      </c>
      <c r="L11" s="91">
        <v>-1</v>
      </c>
      <c r="N11" s="5"/>
      <c r="O11" s="5"/>
      <c r="P11" s="108"/>
      <c r="Q11" s="108"/>
      <c r="R11" s="108"/>
      <c r="S11" s="108"/>
      <c r="T11" s="108"/>
    </row>
    <row r="12" spans="1:20" ht="15" customHeight="1" x14ac:dyDescent="0.35">
      <c r="A12" s="5"/>
      <c r="B12" s="5"/>
      <c r="C12" s="5" t="s">
        <v>10</v>
      </c>
      <c r="D12" s="120" t="s">
        <v>11</v>
      </c>
      <c r="E12" s="5"/>
      <c r="F12" s="5"/>
      <c r="G12" s="5" t="s">
        <v>12</v>
      </c>
      <c r="H12" s="5"/>
      <c r="I12" s="5"/>
      <c r="J12" s="5"/>
      <c r="K12" s="5"/>
      <c r="L12" s="5"/>
      <c r="M12" s="5"/>
      <c r="N12" s="5"/>
      <c r="O12" s="122"/>
      <c r="P12" s="123"/>
      <c r="Q12" s="123"/>
      <c r="R12" s="123"/>
      <c r="S12" s="123"/>
      <c r="T12" s="123"/>
    </row>
    <row r="13" spans="1:20" x14ac:dyDescent="0.35">
      <c r="N13" s="5"/>
      <c r="O13" s="123"/>
      <c r="P13" s="117"/>
      <c r="Q13" s="117"/>
      <c r="R13" s="117"/>
      <c r="S13" s="117"/>
      <c r="T13" s="117"/>
    </row>
    <row r="14" spans="1:20" ht="15.5" x14ac:dyDescent="0.35">
      <c r="A14" s="1" t="s">
        <v>0</v>
      </c>
      <c r="C14" s="179" t="s">
        <v>13</v>
      </c>
      <c r="D14" s="12"/>
      <c r="E14" s="12"/>
      <c r="F14" s="12"/>
      <c r="G14" s="12"/>
      <c r="H14" s="12"/>
      <c r="I14" s="12"/>
      <c r="J14" s="12"/>
      <c r="K14" s="12"/>
      <c r="N14" s="113"/>
      <c r="O14" s="123"/>
      <c r="P14" s="117"/>
      <c r="Q14" s="117"/>
      <c r="R14" s="117"/>
      <c r="S14" s="117"/>
      <c r="T14" s="117"/>
    </row>
    <row r="15" spans="1:20" outlineLevel="1" x14ac:dyDescent="0.35">
      <c r="C15" s="1" t="s">
        <v>14</v>
      </c>
      <c r="D15" s="13">
        <f>E15-1</f>
        <v>2021</v>
      </c>
      <c r="E15" s="13">
        <f>F15-1</f>
        <v>2022</v>
      </c>
      <c r="F15" s="13">
        <f>YEAR(D10)</f>
        <v>2023</v>
      </c>
      <c r="G15" s="14">
        <f>F15+1</f>
        <v>2024</v>
      </c>
      <c r="H15" s="14">
        <f>G15+1</f>
        <v>2025</v>
      </c>
      <c r="I15" s="14">
        <f>H15+1</f>
        <v>2026</v>
      </c>
      <c r="J15" s="14">
        <f>I15+1</f>
        <v>2027</v>
      </c>
      <c r="K15" s="14">
        <f>J15+1</f>
        <v>2028</v>
      </c>
      <c r="M15" s="169" t="s">
        <v>68</v>
      </c>
      <c r="N15" s="113"/>
      <c r="O15" s="123"/>
      <c r="P15" s="117"/>
      <c r="Q15" s="117"/>
      <c r="R15" s="117"/>
      <c r="S15" s="117"/>
      <c r="T15" s="117"/>
    </row>
    <row r="16" spans="1:20" outlineLevel="1" x14ac:dyDescent="0.35">
      <c r="C16" s="15" t="s">
        <v>15</v>
      </c>
      <c r="D16" s="16">
        <f>EOMONTH(E16,-12)</f>
        <v>44561</v>
      </c>
      <c r="E16" s="16">
        <f>EOMONTH(F16,-12)</f>
        <v>44926</v>
      </c>
      <c r="F16" s="16">
        <f>D10</f>
        <v>45291</v>
      </c>
      <c r="G16" s="16">
        <f>EOMONTH(F16,12)</f>
        <v>45657</v>
      </c>
      <c r="H16" s="16">
        <f>EOMONTH(G16,12)</f>
        <v>46022</v>
      </c>
      <c r="I16" s="16">
        <f>EOMONTH(H16,12)</f>
        <v>46387</v>
      </c>
      <c r="J16" s="16">
        <f>EOMONTH(I16,12)</f>
        <v>46752</v>
      </c>
      <c r="K16" s="16">
        <f>EOMONTH(J16,12)</f>
        <v>47118</v>
      </c>
      <c r="M16" s="168" t="s">
        <v>67</v>
      </c>
      <c r="N16" s="113"/>
      <c r="O16" s="123"/>
      <c r="P16" s="117"/>
      <c r="Q16" s="117"/>
      <c r="R16" s="117"/>
      <c r="S16" s="117"/>
      <c r="T16" s="117"/>
    </row>
    <row r="17" spans="2:20" outlineLevel="1" x14ac:dyDescent="0.35">
      <c r="C17" s="17"/>
      <c r="D17" s="18"/>
      <c r="E17" s="19"/>
      <c r="F17" s="19"/>
      <c r="G17" s="20"/>
      <c r="H17" s="21"/>
      <c r="I17" s="21"/>
      <c r="J17" s="19"/>
      <c r="K17" s="19"/>
      <c r="M17" s="170"/>
      <c r="N17" s="5"/>
      <c r="O17" s="123"/>
      <c r="P17" s="117"/>
      <c r="Q17" s="117"/>
      <c r="R17" s="117"/>
      <c r="S17" s="117"/>
      <c r="T17" s="117"/>
    </row>
    <row r="18" spans="2:20" outlineLevel="1" x14ac:dyDescent="0.35">
      <c r="B18" s="1" t="s">
        <v>0</v>
      </c>
      <c r="C18" s="1" t="s">
        <v>16</v>
      </c>
      <c r="D18" s="72">
        <v>8658</v>
      </c>
      <c r="E18" s="72">
        <v>12464</v>
      </c>
      <c r="F18" s="72">
        <v>10883</v>
      </c>
      <c r="G18" s="75">
        <f ca="1">F18*(1+G46)</f>
        <v>9630.3667000000005</v>
      </c>
      <c r="H18" s="75">
        <f ca="1">G18*(1+H46)</f>
        <v>9994.3945612600019</v>
      </c>
      <c r="I18" s="75">
        <f ca="1">H18*(1+I46)</f>
        <v>10583.064400918216</v>
      </c>
      <c r="J18" s="75">
        <f ca="1">I18*(1+J46)</f>
        <v>11206.406894132298</v>
      </c>
      <c r="K18" s="75">
        <f ca="1">J18*(1+K46)</f>
        <v>11866.46426019669</v>
      </c>
      <c r="M18" s="171">
        <f ca="1">(K18/F18)^(1/COUNT(G18:K18))-1</f>
        <v>1.7453432518896861E-2</v>
      </c>
      <c r="N18" s="5"/>
      <c r="O18" s="123"/>
      <c r="P18" s="117"/>
      <c r="Q18" s="117"/>
      <c r="R18" s="117"/>
      <c r="S18" s="117"/>
      <c r="T18" s="117"/>
    </row>
    <row r="19" spans="2:20" outlineLevel="1" x14ac:dyDescent="0.35">
      <c r="C19" s="1" t="s">
        <v>99</v>
      </c>
      <c r="D19" s="22">
        <f>-(293+1616+625+2951)</f>
        <v>-5485</v>
      </c>
      <c r="E19" s="22">
        <f>-(415+1786+802+4055)</f>
        <v>-7058</v>
      </c>
      <c r="F19" s="22">
        <f>-(342+1766+859+2815)</f>
        <v>-5782</v>
      </c>
      <c r="G19" s="76">
        <f ca="1">F19*(1+G46)</f>
        <v>-5116.4917999999998</v>
      </c>
      <c r="H19" s="76">
        <f ca="1">G19*(1+H46)</f>
        <v>-5309.8951900399998</v>
      </c>
      <c r="I19" s="76">
        <f ca="1">H19*(1+I46)</f>
        <v>-5622.6480167333557</v>
      </c>
      <c r="J19" s="76">
        <f ca="1">I19*(1+J46)</f>
        <v>-5953.82198491895</v>
      </c>
      <c r="K19" s="76">
        <f ca="1">J19*(1+K46)</f>
        <v>-6304.5020998306754</v>
      </c>
      <c r="Q19" s="1" t="s">
        <v>17</v>
      </c>
    </row>
    <row r="20" spans="2:20" outlineLevel="1" x14ac:dyDescent="0.35">
      <c r="C20" s="27" t="s">
        <v>100</v>
      </c>
      <c r="D20" s="22">
        <v>-1190</v>
      </c>
      <c r="E20" s="22">
        <v>-1113</v>
      </c>
      <c r="F20" s="22">
        <v>-1825</v>
      </c>
      <c r="G20" s="80">
        <f ca="1">G116*$L11</f>
        <v>-1663.5058120000003</v>
      </c>
      <c r="H20" s="80">
        <f ca="1">H116*$L11</f>
        <v>-1776.7853368872004</v>
      </c>
      <c r="I20" s="80">
        <f ca="1">I116*$L11</f>
        <v>-1934.8054998293592</v>
      </c>
      <c r="J20" s="80">
        <f ca="1">J116*$L11</f>
        <v>-2105.2763965075223</v>
      </c>
      <c r="K20" s="80">
        <f ca="1">K116*$L11</f>
        <v>-2289.1165182263103</v>
      </c>
      <c r="M20" s="87"/>
      <c r="O20" s="1" t="s">
        <v>17</v>
      </c>
    </row>
    <row r="21" spans="2:20" outlineLevel="1" x14ac:dyDescent="0.35">
      <c r="C21" s="23" t="s">
        <v>18</v>
      </c>
      <c r="D21" s="73">
        <f>SUM(D18:D20)</f>
        <v>1983</v>
      </c>
      <c r="E21" s="73">
        <f t="shared" ref="E21:F21" si="0">SUM(E18:E20)</f>
        <v>4293</v>
      </c>
      <c r="F21" s="73">
        <f t="shared" si="0"/>
        <v>3276</v>
      </c>
      <c r="G21" s="95">
        <f ca="1">SUM(G18:G20)</f>
        <v>2850.3690880000004</v>
      </c>
      <c r="H21" s="95">
        <f t="shared" ref="H21:K21" ca="1" si="1">SUM(H18:H20)</f>
        <v>2907.7140343328019</v>
      </c>
      <c r="I21" s="95">
        <f t="shared" ca="1" si="1"/>
        <v>3025.6108843555012</v>
      </c>
      <c r="J21" s="95">
        <f t="shared" ca="1" si="1"/>
        <v>3147.3085127058262</v>
      </c>
      <c r="K21" s="95">
        <f t="shared" ca="1" si="1"/>
        <v>3272.8456421397041</v>
      </c>
      <c r="L21" s="1" t="s">
        <v>17</v>
      </c>
      <c r="M21" s="171">
        <f ca="1">(K21/F21)^(1/COUNT(G21:K21))-1</f>
        <v>-1.926479521134894E-4</v>
      </c>
      <c r="P21" s="1" t="s">
        <v>17</v>
      </c>
    </row>
    <row r="22" spans="2:20" outlineLevel="1" x14ac:dyDescent="0.35">
      <c r="C22" s="1" t="s">
        <v>101</v>
      </c>
      <c r="D22" s="22">
        <v>-442</v>
      </c>
      <c r="E22" s="22">
        <v>-422</v>
      </c>
      <c r="F22" s="22">
        <v>-393</v>
      </c>
      <c r="G22" s="76">
        <f ca="1">-G48*G18</f>
        <v>-307.73786792999999</v>
      </c>
      <c r="H22" s="76">
        <f ca="1">-H48*H18</f>
        <v>-319.37035933775405</v>
      </c>
      <c r="I22" s="76">
        <f ca="1">-I48*I18</f>
        <v>-338.18127350274779</v>
      </c>
      <c r="J22" s="76">
        <f ca="1">-J48*J18</f>
        <v>-358.1001505120596</v>
      </c>
      <c r="K22" s="76">
        <f ca="1">-K48*K18</f>
        <v>-379.19224937721987</v>
      </c>
      <c r="M22" s="69"/>
    </row>
    <row r="23" spans="2:20" outlineLevel="1" x14ac:dyDescent="0.35">
      <c r="C23" s="1" t="s">
        <v>102</v>
      </c>
      <c r="D23" s="22">
        <v>-22</v>
      </c>
      <c r="E23" s="22">
        <v>-18</v>
      </c>
      <c r="F23" s="22">
        <v>-19</v>
      </c>
      <c r="G23" s="76">
        <f>F23</f>
        <v>-19</v>
      </c>
      <c r="H23" s="76">
        <f t="shared" ref="H23:K23" si="2">G23</f>
        <v>-19</v>
      </c>
      <c r="I23" s="76">
        <f t="shared" si="2"/>
        <v>-19</v>
      </c>
      <c r="J23" s="76">
        <f t="shared" si="2"/>
        <v>-19</v>
      </c>
      <c r="K23" s="76">
        <f t="shared" si="2"/>
        <v>-19</v>
      </c>
      <c r="M23" s="69"/>
      <c r="N23" s="1" t="s">
        <v>17</v>
      </c>
    </row>
    <row r="24" spans="2:20" outlineLevel="1" x14ac:dyDescent="0.35">
      <c r="B24" s="1" t="s">
        <v>0</v>
      </c>
      <c r="C24" s="23" t="s">
        <v>19</v>
      </c>
      <c r="D24" s="73">
        <f>D21+D22+D23</f>
        <v>1519</v>
      </c>
      <c r="E24" s="73">
        <f t="shared" ref="E24:K24" si="3">E21+E22+E23</f>
        <v>3853</v>
      </c>
      <c r="F24" s="73">
        <f t="shared" si="3"/>
        <v>2864</v>
      </c>
      <c r="G24" s="78">
        <f ca="1">G21+G22+G23</f>
        <v>2523.6312200700004</v>
      </c>
      <c r="H24" s="78">
        <f t="shared" ca="1" si="3"/>
        <v>2569.3436749950479</v>
      </c>
      <c r="I24" s="78">
        <f t="shared" ca="1" si="3"/>
        <v>2668.4296108527533</v>
      </c>
      <c r="J24" s="78">
        <f t="shared" ca="1" si="3"/>
        <v>2770.2083621937663</v>
      </c>
      <c r="K24" s="78">
        <f t="shared" ca="1" si="3"/>
        <v>2874.6533927624841</v>
      </c>
      <c r="M24" s="171">
        <f ca="1">(K24/F24)^(1/COUNT(G24:K24))-1</f>
        <v>7.428475434632098E-4</v>
      </c>
      <c r="N24" s="1" t="s">
        <v>17</v>
      </c>
    </row>
    <row r="25" spans="2:20" outlineLevel="1" x14ac:dyDescent="0.35">
      <c r="C25" s="93" t="s">
        <v>103</v>
      </c>
      <c r="D25" s="22"/>
      <c r="E25" s="22"/>
      <c r="F25" s="22"/>
      <c r="G25" s="76"/>
      <c r="H25" s="76"/>
      <c r="I25" s="76"/>
      <c r="J25" s="76"/>
      <c r="K25" s="76"/>
      <c r="O25" s="1" t="s">
        <v>17</v>
      </c>
    </row>
    <row r="26" spans="2:20" outlineLevel="1" x14ac:dyDescent="0.35">
      <c r="C26" s="1" t="s">
        <v>104</v>
      </c>
      <c r="D26" s="22">
        <v>340</v>
      </c>
      <c r="E26" s="22">
        <v>311</v>
      </c>
      <c r="F26" s="22">
        <v>355</v>
      </c>
      <c r="G26" s="77">
        <f ca="1">G155</f>
        <v>432.19264850527833</v>
      </c>
      <c r="H26" s="77">
        <f ca="1">-H155</f>
        <v>-428.88952035375439</v>
      </c>
      <c r="I26" s="77">
        <f ca="1">-I155</f>
        <v>-420.23013589918259</v>
      </c>
      <c r="J26" s="77">
        <f t="shared" ref="J26:K26" ca="1" si="4">-J155</f>
        <v>-417.23013589918259</v>
      </c>
      <c r="K26" s="77">
        <f t="shared" ca="1" si="4"/>
        <v>-417.23013589918259</v>
      </c>
    </row>
    <row r="27" spans="2:20" outlineLevel="1" x14ac:dyDescent="0.35">
      <c r="C27" s="1" t="s">
        <v>105</v>
      </c>
      <c r="D27" s="22">
        <v>-23</v>
      </c>
      <c r="E27" s="22">
        <v>15</v>
      </c>
      <c r="F27" s="22">
        <v>19</v>
      </c>
      <c r="G27" s="77">
        <f>AVERAGE(E27:F27)</f>
        <v>17</v>
      </c>
      <c r="H27" s="77">
        <f>G27</f>
        <v>17</v>
      </c>
      <c r="I27" s="77">
        <f t="shared" ref="I27:K27" si="5">H27</f>
        <v>17</v>
      </c>
      <c r="J27" s="77">
        <f t="shared" si="5"/>
        <v>17</v>
      </c>
      <c r="K27" s="77">
        <f t="shared" si="5"/>
        <v>17</v>
      </c>
      <c r="M27" s="1" t="s">
        <v>17</v>
      </c>
      <c r="N27" s="1" t="s">
        <v>17</v>
      </c>
      <c r="P27" s="1" t="s">
        <v>17</v>
      </c>
    </row>
    <row r="28" spans="2:20" outlineLevel="1" x14ac:dyDescent="0.35">
      <c r="C28" s="1" t="s">
        <v>20</v>
      </c>
      <c r="D28" s="22">
        <v>-525</v>
      </c>
      <c r="E28" s="22">
        <v>708</v>
      </c>
      <c r="F28" s="22">
        <v>174</v>
      </c>
      <c r="G28" s="77">
        <f>F28</f>
        <v>174</v>
      </c>
      <c r="H28" s="77">
        <f>G28</f>
        <v>174</v>
      </c>
      <c r="I28" s="77">
        <f>H28</f>
        <v>174</v>
      </c>
      <c r="J28" s="77">
        <f>I28</f>
        <v>174</v>
      </c>
      <c r="K28" s="77">
        <f>J28</f>
        <v>174</v>
      </c>
    </row>
    <row r="29" spans="2:20" outlineLevel="1" x14ac:dyDescent="0.35">
      <c r="C29" s="17" t="s">
        <v>21</v>
      </c>
      <c r="D29" s="98">
        <f>SUM(D25:D28)</f>
        <v>-208</v>
      </c>
      <c r="E29" s="98">
        <f t="shared" ref="E29:F29" si="6">SUM(E25:E28)</f>
        <v>1034</v>
      </c>
      <c r="F29" s="98">
        <f t="shared" si="6"/>
        <v>548</v>
      </c>
      <c r="G29" s="97">
        <f t="shared" ref="G29" ca="1" si="7">SUM(G25:G28)</f>
        <v>623.19264850527838</v>
      </c>
      <c r="H29" s="97">
        <f t="shared" ref="H29" ca="1" si="8">SUM(H25:H28)</f>
        <v>-237.88952035375439</v>
      </c>
      <c r="I29" s="97">
        <f t="shared" ref="I29" ca="1" si="9">SUM(I25:I28)</f>
        <v>-229.23013589918259</v>
      </c>
      <c r="J29" s="97">
        <f t="shared" ref="J29" ca="1" si="10">SUM(J25:J28)</f>
        <v>-226.23013589918259</v>
      </c>
      <c r="K29" s="97">
        <f t="shared" ref="K29" ca="1" si="11">SUM(K25:K28)</f>
        <v>-226.23013589918259</v>
      </c>
      <c r="M29" s="1" t="s">
        <v>17</v>
      </c>
    </row>
    <row r="30" spans="2:20" outlineLevel="1" x14ac:dyDescent="0.35">
      <c r="C30" s="23" t="s">
        <v>106</v>
      </c>
      <c r="D30" s="73">
        <f>SUM(D24+(-D29))</f>
        <v>1727</v>
      </c>
      <c r="E30" s="73">
        <f>E24-E29</f>
        <v>2819</v>
      </c>
      <c r="F30" s="73">
        <f>F24-F29</f>
        <v>2316</v>
      </c>
      <c r="G30" s="78">
        <f ca="1">G24-G29</f>
        <v>1900.438571564722</v>
      </c>
      <c r="H30" s="78">
        <f t="shared" ref="H30:K30" ca="1" si="12">H24-H29</f>
        <v>2807.2331953488024</v>
      </c>
      <c r="I30" s="78">
        <f t="shared" ca="1" si="12"/>
        <v>2897.6597467519359</v>
      </c>
      <c r="J30" s="78">
        <f t="shared" ca="1" si="12"/>
        <v>2996.438498092949</v>
      </c>
      <c r="K30" s="78">
        <f t="shared" ca="1" si="12"/>
        <v>3100.8835286616668</v>
      </c>
      <c r="M30" s="171">
        <f ca="1">(K30/F30)^(1/COUNT(G30:K30))-1</f>
        <v>6.0106213038305212E-2</v>
      </c>
      <c r="N30" s="23"/>
    </row>
    <row r="31" spans="2:20" outlineLevel="1" x14ac:dyDescent="0.35">
      <c r="C31" s="1" t="s">
        <v>107</v>
      </c>
      <c r="D31" s="22">
        <v>488</v>
      </c>
      <c r="E31" s="22">
        <v>-741</v>
      </c>
      <c r="F31" s="22">
        <v>-194</v>
      </c>
      <c r="G31" s="76">
        <f>AVERAGE(D31:F31)</f>
        <v>-149</v>
      </c>
      <c r="H31" s="76">
        <f>G31</f>
        <v>-149</v>
      </c>
      <c r="I31" s="76">
        <f t="shared" ref="I31:K31" si="13">H31</f>
        <v>-149</v>
      </c>
      <c r="J31" s="76">
        <f t="shared" si="13"/>
        <v>-149</v>
      </c>
      <c r="K31" s="76">
        <f t="shared" si="13"/>
        <v>-149</v>
      </c>
      <c r="M31" s="23"/>
      <c r="N31" s="23"/>
      <c r="O31" s="22"/>
      <c r="P31" s="22"/>
      <c r="Q31" s="22"/>
    </row>
    <row r="32" spans="2:20" outlineLevel="1" x14ac:dyDescent="0.35">
      <c r="C32" s="1" t="s">
        <v>22</v>
      </c>
      <c r="D32" s="22">
        <v>14</v>
      </c>
      <c r="E32" s="22">
        <v>0</v>
      </c>
      <c r="F32" s="22">
        <v>0</v>
      </c>
      <c r="G32" s="76">
        <f>F32</f>
        <v>0</v>
      </c>
      <c r="H32" s="76">
        <f>G32</f>
        <v>0</v>
      </c>
      <c r="I32" s="76">
        <f t="shared" ref="I32:K33" si="14">H32</f>
        <v>0</v>
      </c>
      <c r="J32" s="76">
        <f t="shared" si="14"/>
        <v>0</v>
      </c>
      <c r="K32" s="76">
        <f t="shared" si="14"/>
        <v>0</v>
      </c>
      <c r="M32" s="23"/>
      <c r="N32" s="23"/>
      <c r="O32" s="22"/>
      <c r="P32" s="22"/>
      <c r="Q32" s="22"/>
    </row>
    <row r="33" spans="2:20" outlineLevel="1" x14ac:dyDescent="0.35">
      <c r="C33" s="1" t="s">
        <v>108</v>
      </c>
      <c r="D33" s="22">
        <v>0</v>
      </c>
      <c r="E33" s="22">
        <v>1</v>
      </c>
      <c r="F33" s="22">
        <v>0</v>
      </c>
      <c r="G33" s="76">
        <f>F33</f>
        <v>0</v>
      </c>
      <c r="H33" s="76">
        <f>G33</f>
        <v>0</v>
      </c>
      <c r="I33" s="76">
        <f t="shared" si="14"/>
        <v>0</v>
      </c>
      <c r="J33" s="76">
        <f t="shared" si="14"/>
        <v>0</v>
      </c>
      <c r="K33" s="76">
        <f t="shared" si="14"/>
        <v>0</v>
      </c>
      <c r="M33" s="23"/>
      <c r="N33" s="23"/>
    </row>
    <row r="34" spans="2:20" outlineLevel="1" x14ac:dyDescent="0.35">
      <c r="C34" s="17" t="s">
        <v>23</v>
      </c>
      <c r="D34" s="98">
        <f>SUM(D31:D33)</f>
        <v>502</v>
      </c>
      <c r="E34" s="98">
        <f t="shared" ref="E34:K34" si="15">SUM(E31:E33)</f>
        <v>-740</v>
      </c>
      <c r="F34" s="98">
        <f t="shared" si="15"/>
        <v>-194</v>
      </c>
      <c r="G34" s="97">
        <f t="shared" si="15"/>
        <v>-149</v>
      </c>
      <c r="H34" s="97">
        <f t="shared" si="15"/>
        <v>-149</v>
      </c>
      <c r="I34" s="97">
        <f t="shared" si="15"/>
        <v>-149</v>
      </c>
      <c r="J34" s="97">
        <f t="shared" si="15"/>
        <v>-149</v>
      </c>
      <c r="K34" s="97">
        <f t="shared" si="15"/>
        <v>-149</v>
      </c>
      <c r="M34" s="23"/>
      <c r="N34" s="23"/>
    </row>
    <row r="35" spans="2:20" outlineLevel="1" x14ac:dyDescent="0.35">
      <c r="C35" s="23" t="s">
        <v>112</v>
      </c>
      <c r="D35" s="73">
        <f>D30-D34</f>
        <v>1225</v>
      </c>
      <c r="E35" s="73">
        <f t="shared" ref="E35:K35" si="16">E30-E34</f>
        <v>3559</v>
      </c>
      <c r="F35" s="73">
        <f t="shared" si="16"/>
        <v>2510</v>
      </c>
      <c r="G35" s="78">
        <f ca="1">G30-G34</f>
        <v>2049.4385715647222</v>
      </c>
      <c r="H35" s="78">
        <f ca="1">H30-H34</f>
        <v>2956.2331953488024</v>
      </c>
      <c r="I35" s="78">
        <f t="shared" ca="1" si="16"/>
        <v>3046.6597467519359</v>
      </c>
      <c r="J35" s="78">
        <f t="shared" ca="1" si="16"/>
        <v>3145.438498092949</v>
      </c>
      <c r="K35" s="78">
        <f t="shared" ca="1" si="16"/>
        <v>3249.8835286616668</v>
      </c>
      <c r="M35" s="171">
        <f ca="1">(K35/F35)^(1/COUNT(G35:K35))-1</f>
        <v>5.3025322735115621E-2</v>
      </c>
      <c r="N35" s="23"/>
    </row>
    <row r="36" spans="2:20" outlineLevel="1" x14ac:dyDescent="0.35">
      <c r="C36" s="1" t="s">
        <v>109</v>
      </c>
      <c r="D36" s="22">
        <v>-156</v>
      </c>
      <c r="E36" s="22">
        <v>10</v>
      </c>
      <c r="F36" s="22">
        <v>281</v>
      </c>
      <c r="G36" s="102"/>
      <c r="H36" s="102"/>
      <c r="I36" s="102"/>
      <c r="J36" s="102"/>
      <c r="K36" s="102"/>
      <c r="M36" s="23"/>
      <c r="N36" s="23"/>
    </row>
    <row r="37" spans="2:20" outlineLevel="1" x14ac:dyDescent="0.35">
      <c r="C37" s="1" t="s">
        <v>110</v>
      </c>
      <c r="D37" s="22">
        <v>-21</v>
      </c>
      <c r="E37" s="22">
        <v>-87</v>
      </c>
      <c r="F37" s="22">
        <v>144</v>
      </c>
      <c r="G37" s="76"/>
      <c r="H37" s="76"/>
      <c r="I37" s="76"/>
      <c r="J37" s="76"/>
      <c r="K37" s="76"/>
    </row>
    <row r="38" spans="2:20" outlineLevel="1" x14ac:dyDescent="0.35">
      <c r="C38" s="17" t="s">
        <v>24</v>
      </c>
      <c r="D38" s="98">
        <f>D36+D37</f>
        <v>-177</v>
      </c>
      <c r="E38" s="98">
        <f t="shared" ref="E38:F38" si="17">E36+E37</f>
        <v>-77</v>
      </c>
      <c r="F38" s="98">
        <f t="shared" si="17"/>
        <v>425</v>
      </c>
      <c r="G38" s="126">
        <f>-AVERAGE(E38:F38)</f>
        <v>-174</v>
      </c>
      <c r="H38" s="126">
        <f t="shared" ref="H38:K38" si="18">-AVERAGE(F38:G38)</f>
        <v>-125.5</v>
      </c>
      <c r="I38" s="126">
        <f t="shared" si="18"/>
        <v>149.75</v>
      </c>
      <c r="J38" s="126">
        <f t="shared" si="18"/>
        <v>-12.125</v>
      </c>
      <c r="K38" s="126">
        <f t="shared" si="18"/>
        <v>-68.8125</v>
      </c>
    </row>
    <row r="39" spans="2:20" outlineLevel="1" x14ac:dyDescent="0.35">
      <c r="B39" s="1" t="s">
        <v>0</v>
      </c>
      <c r="C39" s="23" t="s">
        <v>111</v>
      </c>
      <c r="D39" s="73">
        <f>D35+(-(D38))</f>
        <v>1402</v>
      </c>
      <c r="E39" s="73">
        <f>E35+(-(E38))</f>
        <v>3636</v>
      </c>
      <c r="F39" s="73">
        <f>F35-F38</f>
        <v>2085</v>
      </c>
      <c r="G39" s="127">
        <f ca="1">SUM(G35,G38)</f>
        <v>1875.4385715647222</v>
      </c>
      <c r="H39" s="127">
        <f t="shared" ref="H39:K39" ca="1" si="19">SUM(H35,H38)</f>
        <v>2830.7331953488024</v>
      </c>
      <c r="I39" s="127">
        <f t="shared" ca="1" si="19"/>
        <v>3196.4097467519359</v>
      </c>
      <c r="J39" s="127">
        <f t="shared" ca="1" si="19"/>
        <v>3133.313498092949</v>
      </c>
      <c r="K39" s="127">
        <f t="shared" ca="1" si="19"/>
        <v>3181.0710286616668</v>
      </c>
      <c r="M39" s="171">
        <f ca="1">(K39/F39)^(1/COUNT(G39:K39))-1</f>
        <v>8.816176370778761E-2</v>
      </c>
    </row>
    <row r="40" spans="2:20" outlineLevel="1" x14ac:dyDescent="0.35">
      <c r="C40" s="25"/>
      <c r="D40" s="26"/>
      <c r="E40" s="26"/>
      <c r="F40" s="26"/>
      <c r="G40" s="26"/>
      <c r="H40" s="26"/>
      <c r="I40" s="26"/>
      <c r="J40" s="26"/>
      <c r="K40" s="26"/>
      <c r="Q40" s="1" t="s">
        <v>17</v>
      </c>
    </row>
    <row r="41" spans="2:20" outlineLevel="1" x14ac:dyDescent="0.35">
      <c r="B41" s="1" t="s">
        <v>0</v>
      </c>
      <c r="C41" s="28" t="s">
        <v>25</v>
      </c>
      <c r="D41" s="73">
        <f>D24+(-(D20))</f>
        <v>2709</v>
      </c>
      <c r="E41" s="73">
        <f t="shared" ref="E41:K41" si="20">E24+(-(E20))</f>
        <v>4966</v>
      </c>
      <c r="F41" s="73">
        <f>F24+(-(F20))</f>
        <v>4689</v>
      </c>
      <c r="G41" s="78">
        <f ca="1">G24+(-(G20))</f>
        <v>4187.1370320700007</v>
      </c>
      <c r="H41" s="78">
        <f t="shared" ca="1" si="20"/>
        <v>4346.1290118822481</v>
      </c>
      <c r="I41" s="78">
        <f t="shared" ca="1" si="20"/>
        <v>4603.2351106821125</v>
      </c>
      <c r="J41" s="78">
        <f t="shared" ca="1" si="20"/>
        <v>4875.4847587012882</v>
      </c>
      <c r="K41" s="78">
        <f t="shared" ca="1" si="20"/>
        <v>5163.7699109887944</v>
      </c>
      <c r="M41" s="171">
        <f ca="1">(K41/F41)^(1/COUNT(G41:K41))-1</f>
        <v>1.9476759818045863E-2</v>
      </c>
    </row>
    <row r="42" spans="2:20" outlineLevel="1" x14ac:dyDescent="0.35">
      <c r="C42" s="27" t="s">
        <v>113</v>
      </c>
      <c r="D42" s="22">
        <v>138</v>
      </c>
      <c r="E42" s="22">
        <v>202</v>
      </c>
      <c r="F42" s="22">
        <v>47</v>
      </c>
      <c r="G42" s="77">
        <f ca="1">F42*(1+G46)</f>
        <v>41.590299999999999</v>
      </c>
      <c r="H42" s="77">
        <f ca="1">G42*(1+H46)</f>
        <v>43.162413340000001</v>
      </c>
      <c r="I42" s="77">
        <f ca="1">H42*(1+I46)</f>
        <v>45.704679485725997</v>
      </c>
      <c r="J42" s="77">
        <f ca="1">I42*(1+J46)</f>
        <v>48.396685107435253</v>
      </c>
      <c r="K42" s="77">
        <f ca="1">J42*(1+K46)</f>
        <v>51.247249860263189</v>
      </c>
    </row>
    <row r="43" spans="2:20" outlineLevel="1" x14ac:dyDescent="0.35">
      <c r="B43" s="1" t="s">
        <v>0</v>
      </c>
      <c r="C43" s="28" t="s">
        <v>26</v>
      </c>
      <c r="D43" s="73">
        <f>SUM(D41:D42)</f>
        <v>2847</v>
      </c>
      <c r="E43" s="73">
        <f>SUM(E41:E42)</f>
        <v>5168</v>
      </c>
      <c r="F43" s="73">
        <f>SUM(F41:F42)</f>
        <v>4736</v>
      </c>
      <c r="G43" s="78">
        <f ca="1">SUM(G41:G42)</f>
        <v>4228.7273320700006</v>
      </c>
      <c r="H43" s="78">
        <f t="shared" ref="H43:K43" ca="1" si="21">SUM(H41:H42)</f>
        <v>4389.2914252222481</v>
      </c>
      <c r="I43" s="78">
        <f t="shared" ca="1" si="21"/>
        <v>4648.9397901678385</v>
      </c>
      <c r="J43" s="78">
        <f t="shared" ca="1" si="21"/>
        <v>4923.8814438087238</v>
      </c>
      <c r="K43" s="78">
        <f t="shared" ca="1" si="21"/>
        <v>5215.0171608490573</v>
      </c>
      <c r="M43" s="171">
        <f ca="1">(K43/F43)^(1/COUNT(G43:K43))-1</f>
        <v>1.9456759104835797E-2</v>
      </c>
    </row>
    <row r="44" spans="2:20" outlineLevel="1" x14ac:dyDescent="0.35">
      <c r="C44" s="25"/>
      <c r="G44" s="124"/>
      <c r="M44" s="1" t="s">
        <v>17</v>
      </c>
    </row>
    <row r="45" spans="2:20" outlineLevel="1" x14ac:dyDescent="0.35">
      <c r="B45" s="1" t="s">
        <v>0</v>
      </c>
      <c r="C45" s="30" t="s">
        <v>27</v>
      </c>
      <c r="E45" s="1" t="s">
        <v>17</v>
      </c>
      <c r="F45" s="92"/>
      <c r="G45" s="125"/>
      <c r="O45" s="1" t="s">
        <v>17</v>
      </c>
    </row>
    <row r="46" spans="2:20" outlineLevel="1" x14ac:dyDescent="0.35">
      <c r="C46" s="25" t="s">
        <v>114</v>
      </c>
      <c r="D46" s="94"/>
      <c r="E46" s="94">
        <f>(LN(E18)-LN(D18))</f>
        <v>0.36436074010860331</v>
      </c>
      <c r="F46" s="94">
        <f>(LN(F18)-LN(E18))</f>
        <v>-0.13564255041446671</v>
      </c>
      <c r="G46" s="180">
        <f ca="1">G188</f>
        <v>-0.11509999999999999</v>
      </c>
      <c r="H46" s="180">
        <f t="shared" ref="H46:K46" ca="1" si="22">H188</f>
        <v>3.78E-2</v>
      </c>
      <c r="I46" s="180">
        <f t="shared" ca="1" si="22"/>
        <v>5.8900000000000001E-2</v>
      </c>
      <c r="J46" s="180">
        <f t="shared" ca="1" si="22"/>
        <v>5.8900000000000001E-2</v>
      </c>
      <c r="K46" s="180">
        <f t="shared" ca="1" si="22"/>
        <v>5.8900000000000001E-2</v>
      </c>
      <c r="M46" s="1" t="s">
        <v>17</v>
      </c>
      <c r="O46" s="32"/>
      <c r="P46" s="32"/>
      <c r="Q46" s="32"/>
      <c r="R46" s="32"/>
      <c r="S46" s="32"/>
      <c r="T46" s="32"/>
    </row>
    <row r="47" spans="2:20" outlineLevel="1" x14ac:dyDescent="0.35">
      <c r="C47" s="25" t="s">
        <v>115</v>
      </c>
      <c r="D47" s="94">
        <f t="shared" ref="D47:E47" si="23">D21/D18</f>
        <v>0.22903672903672903</v>
      </c>
      <c r="E47" s="94">
        <f t="shared" si="23"/>
        <v>0.34443196405648269</v>
      </c>
      <c r="F47" s="94">
        <f>F21/F18</f>
        <v>0.3010199393549573</v>
      </c>
      <c r="G47" s="180">
        <f t="shared" ref="G47:K47" ca="1" si="24">G189</f>
        <v>0.29599999999999999</v>
      </c>
      <c r="H47" s="180">
        <f t="shared" ca="1" si="24"/>
        <v>0.29089999999999999</v>
      </c>
      <c r="I47" s="180">
        <f t="shared" ca="1" si="24"/>
        <v>0.28589999999999999</v>
      </c>
      <c r="J47" s="180">
        <f t="shared" ca="1" si="24"/>
        <v>0.28589999999999999</v>
      </c>
      <c r="K47" s="180">
        <f t="shared" ca="1" si="24"/>
        <v>0.28589999999999999</v>
      </c>
      <c r="M47" s="125"/>
      <c r="N47" s="125"/>
      <c r="O47" s="32"/>
      <c r="P47" s="32"/>
      <c r="Q47" s="32"/>
      <c r="R47" s="32"/>
      <c r="S47" s="32"/>
      <c r="T47" s="32"/>
    </row>
    <row r="48" spans="2:20" outlineLevel="1" x14ac:dyDescent="0.35">
      <c r="C48" s="25" t="s">
        <v>164</v>
      </c>
      <c r="D48" s="94">
        <f>-D22/D18</f>
        <v>5.1051051051051052E-2</v>
      </c>
      <c r="E48" s="94">
        <f>-E22/E18</f>
        <v>3.3857509627727857E-2</v>
      </c>
      <c r="F48" s="94">
        <f>-F22/F18</f>
        <v>3.611136635118993E-2</v>
      </c>
      <c r="G48" s="152">
        <f t="shared" ref="G48:K48" ca="1" si="25">G190</f>
        <v>3.1954948084167968E-2</v>
      </c>
      <c r="H48" s="152">
        <f t="shared" ca="1" si="25"/>
        <v>3.1954948084167968E-2</v>
      </c>
      <c r="I48" s="152">
        <f t="shared" ca="1" si="25"/>
        <v>3.1954948084167968E-2</v>
      </c>
      <c r="J48" s="152">
        <f t="shared" ca="1" si="25"/>
        <v>3.1954948084167968E-2</v>
      </c>
      <c r="K48" s="152">
        <f t="shared" ca="1" si="25"/>
        <v>3.1954948084167968E-2</v>
      </c>
      <c r="R48" s="96"/>
      <c r="S48" s="32"/>
      <c r="T48" s="32"/>
    </row>
    <row r="49" spans="1:20" outlineLevel="1" x14ac:dyDescent="0.35">
      <c r="C49" s="25" t="s">
        <v>116</v>
      </c>
      <c r="D49" s="100">
        <f>D38/D35</f>
        <v>-0.14448979591836736</v>
      </c>
      <c r="E49" s="100">
        <f>E38/E35</f>
        <v>-2.1635290812025851E-2</v>
      </c>
      <c r="F49" s="100">
        <f>(F38/F35)</f>
        <v>0.1693227091633466</v>
      </c>
      <c r="G49" s="101">
        <f ca="1">(G38/G30)</f>
        <v>-9.1557813340284649E-2</v>
      </c>
      <c r="H49" s="101">
        <f t="shared" ref="H49:K49" ca="1" si="26">(H38/H30)</f>
        <v>-4.4705940428438992E-2</v>
      </c>
      <c r="I49" s="101">
        <f t="shared" ca="1" si="26"/>
        <v>5.1679635667320416E-2</v>
      </c>
      <c r="J49" s="101">
        <f t="shared" ca="1" si="26"/>
        <v>-4.0464705041391054E-3</v>
      </c>
      <c r="K49" s="101">
        <f t="shared" ca="1" si="26"/>
        <v>-2.2191255932046985E-2</v>
      </c>
      <c r="O49" s="32"/>
      <c r="P49" s="32"/>
      <c r="Q49" s="32"/>
      <c r="R49" s="32"/>
      <c r="S49" s="32"/>
      <c r="T49" s="32"/>
    </row>
    <row r="50" spans="1:20" x14ac:dyDescent="0.35">
      <c r="C50" s="25"/>
      <c r="E50" s="1" t="s">
        <v>17</v>
      </c>
      <c r="G50" s="29"/>
      <c r="L50" s="1" t="s">
        <v>17</v>
      </c>
    </row>
    <row r="51" spans="1:20" ht="15.5" x14ac:dyDescent="0.35">
      <c r="A51" s="1" t="s">
        <v>0</v>
      </c>
      <c r="C51" s="179" t="s">
        <v>28</v>
      </c>
      <c r="D51" s="33"/>
      <c r="E51" s="33"/>
      <c r="F51" s="33"/>
      <c r="G51" s="12"/>
      <c r="H51" s="12"/>
      <c r="I51" s="12"/>
      <c r="J51" s="12"/>
      <c r="K51" s="12"/>
    </row>
    <row r="52" spans="1:20" outlineLevel="1" x14ac:dyDescent="0.35">
      <c r="C52" s="182" t="str">
        <f>C15</f>
        <v xml:space="preserve">Fiscal year  </v>
      </c>
      <c r="D52" s="34"/>
      <c r="E52" s="34">
        <f t="shared" ref="E52:K53" si="27">E15</f>
        <v>2022</v>
      </c>
      <c r="F52" s="34">
        <f t="shared" si="27"/>
        <v>2023</v>
      </c>
      <c r="G52" s="35">
        <f t="shared" si="27"/>
        <v>2024</v>
      </c>
      <c r="H52" s="35">
        <f t="shared" si="27"/>
        <v>2025</v>
      </c>
      <c r="I52" s="35">
        <f t="shared" si="27"/>
        <v>2026</v>
      </c>
      <c r="J52" s="35">
        <f t="shared" si="27"/>
        <v>2027</v>
      </c>
      <c r="K52" s="35">
        <f t="shared" si="27"/>
        <v>2028</v>
      </c>
    </row>
    <row r="53" spans="1:20" outlineLevel="1" x14ac:dyDescent="0.35">
      <c r="C53" s="15" t="str">
        <f>C16</f>
        <v>Fiscal year end date</v>
      </c>
      <c r="D53" s="36"/>
      <c r="E53" s="36">
        <f t="shared" si="27"/>
        <v>44926</v>
      </c>
      <c r="F53" s="36">
        <f t="shared" si="27"/>
        <v>45291</v>
      </c>
      <c r="G53" s="36">
        <f t="shared" si="27"/>
        <v>45657</v>
      </c>
      <c r="H53" s="36">
        <f t="shared" si="27"/>
        <v>46022</v>
      </c>
      <c r="I53" s="36">
        <f t="shared" si="27"/>
        <v>46387</v>
      </c>
      <c r="J53" s="36">
        <f t="shared" si="27"/>
        <v>46752</v>
      </c>
      <c r="K53" s="36">
        <f t="shared" si="27"/>
        <v>47118</v>
      </c>
    </row>
    <row r="54" spans="1:20" outlineLevel="1" x14ac:dyDescent="0.35">
      <c r="D54" s="181"/>
      <c r="E54" s="181"/>
      <c r="F54" s="181"/>
      <c r="G54" s="181"/>
      <c r="H54" s="181"/>
      <c r="I54" s="181"/>
      <c r="J54" s="181"/>
      <c r="K54" s="181"/>
    </row>
    <row r="55" spans="1:20" outlineLevel="1" x14ac:dyDescent="0.35">
      <c r="B55" s="1" t="s">
        <v>0</v>
      </c>
      <c r="C55" s="1" t="s">
        <v>117</v>
      </c>
      <c r="D55" s="22"/>
      <c r="E55" s="72">
        <v>5</v>
      </c>
      <c r="F55" s="72">
        <v>3</v>
      </c>
      <c r="G55" s="80">
        <f ca="1">G100+F55</f>
        <v>924.97478780855067</v>
      </c>
      <c r="H55" s="80">
        <f ca="1">H100+G55</f>
        <v>2014.6285460207241</v>
      </c>
      <c r="I55" s="80">
        <f ca="1">I100+H55</f>
        <v>3704.0845148519775</v>
      </c>
      <c r="J55" s="80">
        <f ca="1">J100+I55</f>
        <v>5341.3692102429286</v>
      </c>
      <c r="K55" s="80">
        <f ca="1">K100+J55</f>
        <v>7041.3083816879443</v>
      </c>
    </row>
    <row r="56" spans="1:20" outlineLevel="1" x14ac:dyDescent="0.35">
      <c r="C56" s="1" t="s">
        <v>118</v>
      </c>
      <c r="D56" s="22"/>
      <c r="E56" s="22">
        <v>1594</v>
      </c>
      <c r="F56" s="22">
        <v>1442</v>
      </c>
      <c r="G56" s="77">
        <f ca="1">F56*(1+G46)</f>
        <v>1276.0258000000001</v>
      </c>
      <c r="H56" s="77">
        <f ca="1">G56*(1+H46)</f>
        <v>1324.2595752400002</v>
      </c>
      <c r="I56" s="77">
        <f ca="1">H56*(1+I46)</f>
        <v>1402.2584642216361</v>
      </c>
      <c r="J56" s="77">
        <f ca="1">I56*(1+J46)</f>
        <v>1484.8514877642904</v>
      </c>
      <c r="K56" s="77">
        <f ca="1">J56*(1+K46)</f>
        <v>1572.3092403936071</v>
      </c>
    </row>
    <row r="57" spans="1:20" outlineLevel="1" x14ac:dyDescent="0.35">
      <c r="C57" s="1" t="s">
        <v>29</v>
      </c>
      <c r="D57" s="22"/>
      <c r="E57" s="22"/>
      <c r="F57" s="22"/>
      <c r="G57" s="77"/>
      <c r="H57" s="77"/>
      <c r="I57" s="77"/>
      <c r="J57" s="77"/>
      <c r="K57" s="77"/>
    </row>
    <row r="58" spans="1:20" outlineLevel="1" x14ac:dyDescent="0.35">
      <c r="C58" s="1" t="s">
        <v>119</v>
      </c>
      <c r="D58" s="22"/>
      <c r="E58" s="22">
        <f>53+43+115</f>
        <v>211</v>
      </c>
      <c r="F58" s="22">
        <f>214+17+114</f>
        <v>345</v>
      </c>
      <c r="G58" s="77">
        <f ca="1">F58*(1+G46)</f>
        <v>305.29050000000001</v>
      </c>
      <c r="H58" s="77">
        <f ca="1">G58*(1+H46)</f>
        <v>316.8304809</v>
      </c>
      <c r="I58" s="77">
        <f ca="1">H58*(1+I46)</f>
        <v>335.49179622500998</v>
      </c>
      <c r="J58" s="77">
        <f ca="1">I58*(1+J46)</f>
        <v>355.25226302266304</v>
      </c>
      <c r="K58" s="77">
        <f ca="1">J58*(1+K46)</f>
        <v>376.17662131469785</v>
      </c>
    </row>
    <row r="59" spans="1:20" outlineLevel="1" x14ac:dyDescent="0.35">
      <c r="C59" s="1" t="s">
        <v>120</v>
      </c>
      <c r="D59" s="22"/>
      <c r="E59" s="22">
        <v>10338</v>
      </c>
      <c r="F59" s="22">
        <v>15534</v>
      </c>
      <c r="G59" s="77">
        <f ca="1">G109</f>
        <v>16316.357787999999</v>
      </c>
      <c r="H59" s="77">
        <f ca="1">H109</f>
        <v>17077.8896951928</v>
      </c>
      <c r="I59" s="77">
        <f ca="1">I109</f>
        <v>17830.908325119752</v>
      </c>
      <c r="J59" s="77">
        <f ca="1">J109</f>
        <v>18571.76889961119</v>
      </c>
      <c r="K59" s="77">
        <f ca="1">K109</f>
        <v>19296.426819975677</v>
      </c>
    </row>
    <row r="60" spans="1:20" outlineLevel="1" x14ac:dyDescent="0.35">
      <c r="C60" s="1" t="s">
        <v>121</v>
      </c>
      <c r="D60" s="22"/>
      <c r="E60" s="22">
        <f>2584+271+34+134</f>
        <v>3023</v>
      </c>
      <c r="F60" s="22">
        <f>2599+53+4+121</f>
        <v>2777</v>
      </c>
      <c r="G60" s="77">
        <f ca="1">F60*(1+G46)</f>
        <v>2457.3672999999999</v>
      </c>
      <c r="H60" s="77">
        <f ca="1">G60*(1+H46)</f>
        <v>2550.2557839400001</v>
      </c>
      <c r="I60" s="77">
        <f ca="1">H60*(1+I46)</f>
        <v>2700.465849614066</v>
      </c>
      <c r="J60" s="77">
        <f ca="1">I60*(1+J46)</f>
        <v>2859.5232881563343</v>
      </c>
      <c r="K60" s="77">
        <f ca="1">J60*(1+K46)</f>
        <v>3027.9492098287424</v>
      </c>
    </row>
    <row r="61" spans="1:20" outlineLevel="1" x14ac:dyDescent="0.35">
      <c r="B61" s="1" t="s">
        <v>0</v>
      </c>
      <c r="C61" s="28" t="s">
        <v>123</v>
      </c>
      <c r="D61" s="24"/>
      <c r="E61" s="73">
        <f>SUM(E55:E60)</f>
        <v>15171</v>
      </c>
      <c r="F61" s="73">
        <f>SUM(F55:F60)</f>
        <v>20101</v>
      </c>
      <c r="G61" s="81">
        <f ca="1">SUM(G55:G60)</f>
        <v>21280.016175808552</v>
      </c>
      <c r="H61" s="81">
        <f t="shared" ref="H61:K61" ca="1" si="28">SUM(H55:H60)</f>
        <v>23283.864081293523</v>
      </c>
      <c r="I61" s="81">
        <f t="shared" ca="1" si="28"/>
        <v>25973.20895003244</v>
      </c>
      <c r="J61" s="81">
        <f t="shared" ca="1" si="28"/>
        <v>28612.765148797407</v>
      </c>
      <c r="K61" s="81">
        <f t="shared" ca="1" si="28"/>
        <v>31314.170273200667</v>
      </c>
    </row>
    <row r="62" spans="1:20" outlineLevel="1" x14ac:dyDescent="0.35">
      <c r="C62" s="27"/>
      <c r="D62" s="26"/>
      <c r="E62" s="26"/>
      <c r="F62" s="26"/>
      <c r="G62" s="26"/>
      <c r="H62" s="26"/>
      <c r="I62" s="26"/>
      <c r="J62" s="26"/>
      <c r="K62" s="26"/>
    </row>
    <row r="63" spans="1:20" outlineLevel="1" x14ac:dyDescent="0.35">
      <c r="C63" s="27" t="s">
        <v>124</v>
      </c>
      <c r="D63" s="22"/>
      <c r="E63" s="22">
        <f>2221+76+4+86+393</f>
        <v>2780</v>
      </c>
      <c r="F63" s="22">
        <f>2209+87+232+284</f>
        <v>2812</v>
      </c>
      <c r="G63" s="77">
        <f ca="1">F63*G19/F19</f>
        <v>2488.3387999999995</v>
      </c>
      <c r="H63" s="77">
        <f ca="1">G63*H19/G19</f>
        <v>2582.3980066399995</v>
      </c>
      <c r="I63" s="77">
        <f ca="1">H63*I19/H19</f>
        <v>2734.5012492310952</v>
      </c>
      <c r="J63" s="77">
        <f ca="1">I63*J19/I19</f>
        <v>2895.5633728108069</v>
      </c>
      <c r="K63" s="77">
        <f ca="1">J63*K19/J19</f>
        <v>3066.112055469363</v>
      </c>
    </row>
    <row r="64" spans="1:20" outlineLevel="1" x14ac:dyDescent="0.35">
      <c r="C64" s="27" t="s">
        <v>125</v>
      </c>
      <c r="D64" s="22"/>
      <c r="E64" s="22"/>
      <c r="F64" s="22"/>
      <c r="G64" s="77"/>
      <c r="H64" s="77"/>
      <c r="I64" s="77"/>
      <c r="J64" s="77"/>
      <c r="K64" s="77"/>
    </row>
    <row r="65" spans="1:13" outlineLevel="1" x14ac:dyDescent="0.35">
      <c r="C65" s="27" t="s">
        <v>126</v>
      </c>
      <c r="D65" s="22"/>
      <c r="E65" s="22"/>
      <c r="F65" s="22"/>
      <c r="G65" s="77"/>
      <c r="H65" s="77"/>
      <c r="I65" s="77"/>
      <c r="J65" s="77"/>
      <c r="K65" s="77"/>
    </row>
    <row r="66" spans="1:13" outlineLevel="1" x14ac:dyDescent="0.35">
      <c r="C66" s="27" t="s">
        <v>46</v>
      </c>
      <c r="D66" s="22"/>
      <c r="E66" s="22">
        <v>393</v>
      </c>
      <c r="F66" s="22">
        <v>270</v>
      </c>
      <c r="G66" s="77">
        <f ca="1">G148</f>
        <v>648.50050424382903</v>
      </c>
      <c r="H66" s="77">
        <f ca="1">H148</f>
        <v>400</v>
      </c>
      <c r="I66" s="77">
        <f ca="1">I148</f>
        <v>400</v>
      </c>
      <c r="J66" s="77">
        <f ca="1">J148</f>
        <v>400</v>
      </c>
      <c r="K66" s="77">
        <f ca="1">K148</f>
        <v>400</v>
      </c>
    </row>
    <row r="67" spans="1:13" outlineLevel="1" x14ac:dyDescent="0.35">
      <c r="C67" s="27" t="s">
        <v>127</v>
      </c>
      <c r="D67" s="22"/>
      <c r="E67" s="22">
        <f>3177+814</f>
        <v>3991</v>
      </c>
      <c r="F67" s="22">
        <f>5453+832</f>
        <v>6285</v>
      </c>
      <c r="G67" s="77">
        <f t="shared" ref="G67:K67" si="29">F67</f>
        <v>6285</v>
      </c>
      <c r="H67" s="77">
        <f t="shared" si="29"/>
        <v>6285</v>
      </c>
      <c r="I67" s="77">
        <f t="shared" si="29"/>
        <v>6285</v>
      </c>
      <c r="J67" s="77">
        <f t="shared" si="29"/>
        <v>6285</v>
      </c>
      <c r="K67" s="77">
        <f t="shared" si="29"/>
        <v>6285</v>
      </c>
      <c r="M67" s="1" t="s">
        <v>17</v>
      </c>
    </row>
    <row r="68" spans="1:13" ht="15.75" customHeight="1" outlineLevel="1" x14ac:dyDescent="0.35">
      <c r="C68" s="27" t="s">
        <v>122</v>
      </c>
      <c r="D68" s="22"/>
      <c r="E68" s="22">
        <f>131+0+281+184</f>
        <v>596</v>
      </c>
      <c r="F68" s="22">
        <f>132+2+276+110</f>
        <v>520</v>
      </c>
      <c r="G68" s="77">
        <f ca="1">F68*(1+G46)</f>
        <v>460.14800000000002</v>
      </c>
      <c r="H68" s="77">
        <f ca="1">G68*(1+H46)</f>
        <v>477.54159440000006</v>
      </c>
      <c r="I68" s="77">
        <f ca="1">H68*(1+I46)</f>
        <v>505.66879431016002</v>
      </c>
      <c r="J68" s="77">
        <f ca="1">I68*(1+J46)</f>
        <v>535.45268629502846</v>
      </c>
      <c r="K68" s="77">
        <f ca="1">J68*(1+K46)</f>
        <v>566.9908495178056</v>
      </c>
    </row>
    <row r="69" spans="1:13" outlineLevel="1" x14ac:dyDescent="0.35">
      <c r="B69" s="1" t="s">
        <v>0</v>
      </c>
      <c r="C69" s="28" t="s">
        <v>128</v>
      </c>
      <c r="D69" s="24"/>
      <c r="E69" s="73">
        <f t="shared" ref="E69:K69" si="30">SUM(E63:E68)</f>
        <v>7760</v>
      </c>
      <c r="F69" s="73">
        <f t="shared" si="30"/>
        <v>9887</v>
      </c>
      <c r="G69" s="81">
        <f t="shared" ca="1" si="30"/>
        <v>9881.9873042438285</v>
      </c>
      <c r="H69" s="81">
        <f t="shared" ca="1" si="30"/>
        <v>9744.9396010399996</v>
      </c>
      <c r="I69" s="81">
        <f t="shared" ca="1" si="30"/>
        <v>9925.1700435412567</v>
      </c>
      <c r="J69" s="81">
        <f t="shared" ca="1" si="30"/>
        <v>10116.016059105836</v>
      </c>
      <c r="K69" s="81">
        <f t="shared" ca="1" si="30"/>
        <v>10318.102904987169</v>
      </c>
    </row>
    <row r="70" spans="1:13" outlineLevel="1" x14ac:dyDescent="0.35">
      <c r="C70" s="28"/>
      <c r="D70" s="24"/>
      <c r="E70" s="24"/>
      <c r="F70" s="24"/>
      <c r="G70" s="26"/>
      <c r="H70" s="26"/>
      <c r="I70" s="26"/>
      <c r="J70" s="26"/>
      <c r="K70" s="26"/>
    </row>
    <row r="71" spans="1:13" outlineLevel="1" x14ac:dyDescent="0.35">
      <c r="C71" s="27" t="s">
        <v>129</v>
      </c>
      <c r="D71" s="22"/>
      <c r="E71" s="22">
        <f>3+7776</f>
        <v>7779</v>
      </c>
      <c r="F71" s="22">
        <f>3+8620</f>
        <v>8623</v>
      </c>
      <c r="G71" s="77">
        <f ca="1">F71+G42</f>
        <v>8664.5902999999998</v>
      </c>
      <c r="H71" s="77">
        <f ca="1">G71+H42</f>
        <v>8707.7527133399999</v>
      </c>
      <c r="I71" s="77">
        <f ca="1">H71+I42</f>
        <v>8753.457392825725</v>
      </c>
      <c r="J71" s="77">
        <f ca="1">I71+J42</f>
        <v>8801.8540779331597</v>
      </c>
      <c r="K71" s="77">
        <f ca="1">J71+K42</f>
        <v>8853.1013277934235</v>
      </c>
    </row>
    <row r="72" spans="1:13" ht="15.75" customHeight="1" outlineLevel="1" x14ac:dyDescent="0.35">
      <c r="C72" s="183" t="s">
        <v>130</v>
      </c>
      <c r="D72" s="37"/>
      <c r="E72" s="22">
        <v>-1081</v>
      </c>
      <c r="F72" s="22">
        <v>697</v>
      </c>
      <c r="G72" s="106">
        <f ca="1">G129</f>
        <v>1839.4385715647222</v>
      </c>
      <c r="H72" s="106">
        <f ca="1">H129</f>
        <v>3937.1717669135251</v>
      </c>
      <c r="I72" s="106">
        <f ca="1">I129</f>
        <v>6400.581513665461</v>
      </c>
      <c r="J72" s="106">
        <f ca="1">J129</f>
        <v>8800.89501175841</v>
      </c>
      <c r="K72" s="106">
        <f ca="1">K129</f>
        <v>11248.966040420077</v>
      </c>
    </row>
    <row r="73" spans="1:13" ht="15.75" customHeight="1" outlineLevel="1" x14ac:dyDescent="0.35">
      <c r="C73" s="27" t="s">
        <v>131</v>
      </c>
      <c r="D73" s="22"/>
      <c r="E73" s="22">
        <v>991</v>
      </c>
      <c r="F73" s="22">
        <v>1050</v>
      </c>
      <c r="G73" s="77">
        <f>F73</f>
        <v>1050</v>
      </c>
      <c r="H73" s="77">
        <f>G73</f>
        <v>1050</v>
      </c>
      <c r="I73" s="77">
        <f>H73</f>
        <v>1050</v>
      </c>
      <c r="J73" s="77">
        <f>I73</f>
        <v>1050</v>
      </c>
      <c r="K73" s="77">
        <f>J73</f>
        <v>1050</v>
      </c>
    </row>
    <row r="74" spans="1:13" outlineLevel="1" x14ac:dyDescent="0.35">
      <c r="B74" s="1" t="s">
        <v>0</v>
      </c>
      <c r="C74" s="28" t="s">
        <v>132</v>
      </c>
      <c r="D74" s="38"/>
      <c r="E74" s="74">
        <f>SUM(E71:E73)</f>
        <v>7689</v>
      </c>
      <c r="F74" s="74">
        <f>SUM(F71:F73)</f>
        <v>10370</v>
      </c>
      <c r="G74" s="81">
        <f t="shared" ref="G74:K74" ca="1" si="31">SUM(G71:G73)</f>
        <v>11554.028871564722</v>
      </c>
      <c r="H74" s="81">
        <f t="shared" ca="1" si="31"/>
        <v>13694.924480253525</v>
      </c>
      <c r="I74" s="81">
        <f t="shared" ca="1" si="31"/>
        <v>16204.038906491187</v>
      </c>
      <c r="J74" s="81">
        <f t="shared" ca="1" si="31"/>
        <v>18652.74908969157</v>
      </c>
      <c r="K74" s="81">
        <f t="shared" ca="1" si="31"/>
        <v>21152.067368213502</v>
      </c>
    </row>
    <row r="75" spans="1:13" outlineLevel="1" x14ac:dyDescent="0.35">
      <c r="D75" s="26"/>
      <c r="E75" s="26"/>
      <c r="F75" s="26"/>
    </row>
    <row r="76" spans="1:13" outlineLevel="1" x14ac:dyDescent="0.35">
      <c r="B76" s="1" t="s">
        <v>0</v>
      </c>
      <c r="C76" s="167" t="s">
        <v>133</v>
      </c>
      <c r="D76" s="39"/>
      <c r="E76" s="39">
        <f>ROUND(E61-E69-E74,3)</f>
        <v>-278</v>
      </c>
      <c r="F76" s="39">
        <f t="shared" ref="F76:K76" si="32">ROUND(F61-F69-F74,3)</f>
        <v>-156</v>
      </c>
      <c r="G76" s="39">
        <f t="shared" ca="1" si="32"/>
        <v>-156</v>
      </c>
      <c r="H76" s="39">
        <f t="shared" ca="1" si="32"/>
        <v>-156</v>
      </c>
      <c r="I76" s="39">
        <f t="shared" ca="1" si="32"/>
        <v>-156</v>
      </c>
      <c r="J76" s="39">
        <f t="shared" ca="1" si="32"/>
        <v>-156</v>
      </c>
      <c r="K76" s="39">
        <f t="shared" ca="1" si="32"/>
        <v>-156</v>
      </c>
    </row>
    <row r="77" spans="1:13" x14ac:dyDescent="0.35">
      <c r="E77" s="26"/>
      <c r="F77" s="26"/>
      <c r="H77" s="26"/>
      <c r="I77" s="26"/>
      <c r="J77" s="26"/>
      <c r="K77" s="26"/>
    </row>
    <row r="78" spans="1:13" ht="15.5" x14ac:dyDescent="0.35">
      <c r="A78" s="1" t="s">
        <v>0</v>
      </c>
      <c r="C78" s="179" t="s">
        <v>30</v>
      </c>
      <c r="D78" s="33"/>
      <c r="E78" s="33"/>
      <c r="F78" s="33"/>
      <c r="G78" s="33"/>
      <c r="H78" s="33"/>
      <c r="I78" s="33"/>
      <c r="J78" s="33"/>
      <c r="K78" s="33"/>
    </row>
    <row r="79" spans="1:13" outlineLevel="1" x14ac:dyDescent="0.35">
      <c r="C79" s="182" t="str">
        <f>C15</f>
        <v xml:space="preserve">Fiscal year  </v>
      </c>
      <c r="D79" s="34"/>
      <c r="E79" s="34"/>
      <c r="F79" s="34"/>
      <c r="G79" s="35">
        <f t="shared" ref="G79:K80" si="33">G15</f>
        <v>2024</v>
      </c>
      <c r="H79" s="35">
        <f t="shared" si="33"/>
        <v>2025</v>
      </c>
      <c r="I79" s="35">
        <f t="shared" si="33"/>
        <v>2026</v>
      </c>
      <c r="J79" s="35">
        <f t="shared" si="33"/>
        <v>2027</v>
      </c>
      <c r="K79" s="35">
        <f t="shared" si="33"/>
        <v>2028</v>
      </c>
    </row>
    <row r="80" spans="1:13" outlineLevel="1" x14ac:dyDescent="0.35">
      <c r="C80" s="15" t="str">
        <f>C16</f>
        <v>Fiscal year end date</v>
      </c>
      <c r="D80" s="36"/>
      <c r="E80" s="36"/>
      <c r="F80" s="36"/>
      <c r="G80" s="36">
        <f t="shared" si="33"/>
        <v>45657</v>
      </c>
      <c r="H80" s="36">
        <f t="shared" si="33"/>
        <v>46022</v>
      </c>
      <c r="I80" s="36">
        <f t="shared" si="33"/>
        <v>46387</v>
      </c>
      <c r="J80" s="36">
        <f t="shared" si="33"/>
        <v>46752</v>
      </c>
      <c r="K80" s="36">
        <f t="shared" si="33"/>
        <v>47118</v>
      </c>
    </row>
    <row r="81" spans="2:15" outlineLevel="1" x14ac:dyDescent="0.35"/>
    <row r="82" spans="2:15" outlineLevel="1" x14ac:dyDescent="0.35">
      <c r="C82" s="1" t="s">
        <v>111</v>
      </c>
      <c r="D82" s="40"/>
      <c r="E82" s="40"/>
      <c r="F82" s="40"/>
      <c r="G82" s="158">
        <f ca="1">G39</f>
        <v>1875.4385715647222</v>
      </c>
      <c r="H82" s="158">
        <f ca="1">H39</f>
        <v>2830.7331953488024</v>
      </c>
      <c r="I82" s="158">
        <f ca="1">I39</f>
        <v>3196.4097467519359</v>
      </c>
      <c r="J82" s="158">
        <f ca="1">J39</f>
        <v>3133.313498092949</v>
      </c>
      <c r="K82" s="158">
        <f ca="1">K39</f>
        <v>3181.0710286616668</v>
      </c>
      <c r="M82" s="23"/>
    </row>
    <row r="83" spans="2:15" outlineLevel="1" x14ac:dyDescent="0.35">
      <c r="C83" s="27" t="s">
        <v>100</v>
      </c>
      <c r="D83" s="40"/>
      <c r="E83" s="40"/>
      <c r="F83" s="40"/>
      <c r="G83" s="77">
        <f ca="1">-G20</f>
        <v>1663.5058120000003</v>
      </c>
      <c r="H83" s="77">
        <f t="shared" ref="H83:K83" ca="1" si="34">-H20</f>
        <v>1776.7853368872004</v>
      </c>
      <c r="I83" s="77">
        <f t="shared" ca="1" si="34"/>
        <v>1934.8054998293592</v>
      </c>
      <c r="J83" s="77">
        <f t="shared" ca="1" si="34"/>
        <v>2105.2763965075223</v>
      </c>
      <c r="K83" s="77">
        <f t="shared" ca="1" si="34"/>
        <v>2289.1165182263103</v>
      </c>
    </row>
    <row r="84" spans="2:15" outlineLevel="1" x14ac:dyDescent="0.35">
      <c r="C84" s="27" t="s">
        <v>113</v>
      </c>
      <c r="D84" s="40"/>
      <c r="E84" s="40"/>
      <c r="F84" s="40"/>
      <c r="G84" s="77">
        <f ca="1">G42</f>
        <v>41.590299999999999</v>
      </c>
      <c r="H84" s="77">
        <f ca="1">H42</f>
        <v>43.162413340000001</v>
      </c>
      <c r="I84" s="77">
        <f ca="1">I42</f>
        <v>45.704679485725997</v>
      </c>
      <c r="J84" s="77">
        <f ca="1">J42</f>
        <v>48.396685107435253</v>
      </c>
      <c r="K84" s="77">
        <f ca="1">K42</f>
        <v>51.247249860263189</v>
      </c>
    </row>
    <row r="85" spans="2:15" outlineLevel="1" x14ac:dyDescent="0.35">
      <c r="C85" s="1" t="s">
        <v>134</v>
      </c>
      <c r="D85" s="26"/>
      <c r="E85" s="26"/>
      <c r="F85" s="26"/>
      <c r="G85" s="77">
        <f ca="1">(SUM(F56:F58)-SUM(G56:G58))</f>
        <v>205.68369999999982</v>
      </c>
      <c r="H85" s="77">
        <f t="shared" ref="H85:K85" ca="1" si="35">(SUM(G56:G58)-SUM(H56:H58))</f>
        <v>-59.77375614000016</v>
      </c>
      <c r="I85" s="77">
        <f t="shared" ca="1" si="35"/>
        <v>-96.66020430664571</v>
      </c>
      <c r="J85" s="77">
        <f t="shared" ca="1" si="35"/>
        <v>-102.35349034030742</v>
      </c>
      <c r="K85" s="77">
        <f t="shared" ca="1" si="35"/>
        <v>-108.38211092135157</v>
      </c>
    </row>
    <row r="86" spans="2:15" outlineLevel="1" x14ac:dyDescent="0.35">
      <c r="C86" s="1" t="s">
        <v>135</v>
      </c>
      <c r="D86" s="26"/>
      <c r="E86" s="26"/>
      <c r="F86" s="26"/>
      <c r="G86" s="77">
        <f ca="1">SUM(G63:G65)-SUM(F63:F65)</f>
        <v>-323.66120000000046</v>
      </c>
      <c r="H86" s="77">
        <f ca="1">SUM(H63:H65)-SUM(G63:G65)</f>
        <v>94.059206639999957</v>
      </c>
      <c r="I86" s="77">
        <f ca="1">SUM(I63:I65)-SUM(H63:H65)</f>
        <v>152.10324259109575</v>
      </c>
      <c r="J86" s="77">
        <f ca="1">SUM(J63:J65)-SUM(I63:I65)</f>
        <v>161.06212357971162</v>
      </c>
      <c r="K86" s="77">
        <f ca="1">SUM(K63:K65)-SUM(J63:J65)</f>
        <v>170.54868265855612</v>
      </c>
    </row>
    <row r="87" spans="2:15" outlineLevel="1" x14ac:dyDescent="0.35">
      <c r="C87" s="1" t="s">
        <v>121</v>
      </c>
      <c r="G87" s="77">
        <f ca="1">-(G121)</f>
        <v>301.93470000000025</v>
      </c>
      <c r="H87" s="77">
        <f ca="1">-(H121)</f>
        <v>-111.25546834000033</v>
      </c>
      <c r="I87" s="77">
        <f ca="1">-(I121)</f>
        <v>-169.65886545522562</v>
      </c>
      <c r="J87" s="77">
        <f ca="1">-(J121)</f>
        <v>-179.65177263053874</v>
      </c>
      <c r="K87" s="77">
        <f ca="1">-(K121)</f>
        <v>-190.23326203847773</v>
      </c>
    </row>
    <row r="88" spans="2:15" outlineLevel="1" x14ac:dyDescent="0.35">
      <c r="C88" s="27" t="s">
        <v>122</v>
      </c>
      <c r="G88" s="77">
        <f ca="1">G68-F68</f>
        <v>-59.851999999999975</v>
      </c>
      <c r="H88" s="77">
        <f ca="1">H68-G68</f>
        <v>17.39359440000004</v>
      </c>
      <c r="I88" s="77">
        <f ca="1">I68-H68</f>
        <v>28.127199910159959</v>
      </c>
      <c r="J88" s="77">
        <f ca="1">J68-I68</f>
        <v>29.783891984868433</v>
      </c>
      <c r="K88" s="77">
        <f ca="1">K68-J68</f>
        <v>31.538163222777143</v>
      </c>
      <c r="M88" s="23"/>
    </row>
    <row r="89" spans="2:15" outlineLevel="1" x14ac:dyDescent="0.35">
      <c r="B89" s="1" t="s">
        <v>0</v>
      </c>
      <c r="C89" s="23" t="s">
        <v>136</v>
      </c>
      <c r="G89" s="81">
        <f ca="1">SUM(G82:G88)</f>
        <v>3704.6398835647219</v>
      </c>
      <c r="H89" s="81">
        <f ca="1">SUM(H82:H88)</f>
        <v>4591.1045221360027</v>
      </c>
      <c r="I89" s="81">
        <f ca="1">SUM(I82:I88)</f>
        <v>5090.8312988064054</v>
      </c>
      <c r="J89" s="81">
        <f ca="1">SUM(J82:J88)</f>
        <v>5195.8273323016392</v>
      </c>
      <c r="K89" s="81">
        <f ca="1">SUM(K82:K88)</f>
        <v>5424.9062696697438</v>
      </c>
    </row>
    <row r="90" spans="2:15" outlineLevel="1" x14ac:dyDescent="0.35">
      <c r="G90" s="26"/>
      <c r="H90" s="26"/>
      <c r="I90" s="26"/>
      <c r="J90" s="26"/>
      <c r="K90" s="26"/>
    </row>
    <row r="91" spans="2:15" outlineLevel="1" x14ac:dyDescent="0.35">
      <c r="C91" s="1" t="s">
        <v>138</v>
      </c>
      <c r="G91" s="77">
        <f ca="1">-(G107)</f>
        <v>-2428.1656000000003</v>
      </c>
      <c r="H91" s="77">
        <f ca="1">-(H107)</f>
        <v>-2519.9502596800003</v>
      </c>
      <c r="I91" s="77">
        <f ca="1">-(I107)</f>
        <v>-2668.375329975152</v>
      </c>
      <c r="J91" s="77">
        <f ca="1">-(J107)</f>
        <v>-2825.5426369106885</v>
      </c>
      <c r="K91" s="77">
        <f ca="1">-(K107)</f>
        <v>-2991.967098224728</v>
      </c>
    </row>
    <row r="92" spans="2:15" outlineLevel="1" x14ac:dyDescent="0.35">
      <c r="B92" s="1" t="s">
        <v>0</v>
      </c>
      <c r="C92" s="23" t="s">
        <v>137</v>
      </c>
      <c r="G92" s="81">
        <f ca="1">IFERROR(G91,"NA")</f>
        <v>-2428.1656000000003</v>
      </c>
      <c r="H92" s="81">
        <f ca="1">IFERROR(H91,"NA")</f>
        <v>-2519.9502596800003</v>
      </c>
      <c r="I92" s="81">
        <f ca="1">IFERROR(I91,"NA")</f>
        <v>-2668.375329975152</v>
      </c>
      <c r="J92" s="81">
        <f ca="1">IFERROR(J91,"NA")</f>
        <v>-2825.5426369106885</v>
      </c>
      <c r="K92" s="81">
        <f ca="1">IFERROR(K91,"NA")</f>
        <v>-2991.967098224728</v>
      </c>
    </row>
    <row r="93" spans="2:15" outlineLevel="1" x14ac:dyDescent="0.35">
      <c r="G93" s="26"/>
      <c r="H93" s="26"/>
      <c r="I93" s="26"/>
      <c r="J93" s="26"/>
      <c r="K93" s="26"/>
    </row>
    <row r="94" spans="2:15" outlineLevel="1" x14ac:dyDescent="0.35">
      <c r="C94" s="27" t="s">
        <v>127</v>
      </c>
      <c r="G94" s="77">
        <f>G67-F67</f>
        <v>0</v>
      </c>
      <c r="H94" s="77">
        <f>H67-G67</f>
        <v>0</v>
      </c>
      <c r="I94" s="77">
        <f>I67-H67</f>
        <v>0</v>
      </c>
      <c r="J94" s="77">
        <f>J67-I67</f>
        <v>0</v>
      </c>
      <c r="K94" s="77">
        <f>K67-J67</f>
        <v>0</v>
      </c>
    </row>
    <row r="95" spans="2:15" outlineLevel="1" x14ac:dyDescent="0.35">
      <c r="C95" s="27" t="s">
        <v>46</v>
      </c>
      <c r="G95" s="77">
        <f ca="1">G66-F66</f>
        <v>378.50050424382903</v>
      </c>
      <c r="H95" s="77">
        <f ca="1">H66-G66</f>
        <v>-248.50050424382903</v>
      </c>
      <c r="I95" s="77">
        <f ca="1">I66-H66</f>
        <v>0</v>
      </c>
      <c r="J95" s="77">
        <f ca="1">J66-I66</f>
        <v>0</v>
      </c>
      <c r="K95" s="77">
        <f ca="1">K66-J66</f>
        <v>0</v>
      </c>
      <c r="O95" s="1" t="s">
        <v>17</v>
      </c>
    </row>
    <row r="96" spans="2:15" outlineLevel="1" x14ac:dyDescent="0.35">
      <c r="C96" s="1" t="s">
        <v>139</v>
      </c>
      <c r="G96" s="77">
        <f>G128</f>
        <v>-426</v>
      </c>
      <c r="H96" s="77">
        <f>H128</f>
        <v>-426</v>
      </c>
      <c r="I96" s="77">
        <f>I128</f>
        <v>-426</v>
      </c>
      <c r="J96" s="77">
        <f>J128</f>
        <v>-426</v>
      </c>
      <c r="K96" s="77">
        <f>K128</f>
        <v>-426</v>
      </c>
    </row>
    <row r="97" spans="1:17" outlineLevel="1" x14ac:dyDescent="0.35">
      <c r="C97" s="1" t="s">
        <v>140</v>
      </c>
      <c r="G97" s="77">
        <f>G127</f>
        <v>-307</v>
      </c>
      <c r="H97" s="77">
        <f>H127</f>
        <v>-307</v>
      </c>
      <c r="I97" s="77">
        <f>I127</f>
        <v>-307</v>
      </c>
      <c r="J97" s="77">
        <f>J127</f>
        <v>-307</v>
      </c>
      <c r="K97" s="77">
        <f>K127</f>
        <v>-307</v>
      </c>
    </row>
    <row r="98" spans="1:17" outlineLevel="1" x14ac:dyDescent="0.35">
      <c r="B98" s="1" t="s">
        <v>0</v>
      </c>
      <c r="C98" s="23" t="s">
        <v>141</v>
      </c>
      <c r="G98" s="81">
        <f ca="1">SUM(G94:G97)</f>
        <v>-354.49949575617097</v>
      </c>
      <c r="H98" s="81">
        <f ca="1">SUM(H94:H97)</f>
        <v>-981.50050424382903</v>
      </c>
      <c r="I98" s="81">
        <f ca="1">SUM(I94:I97)</f>
        <v>-733</v>
      </c>
      <c r="J98" s="81">
        <f ca="1">SUM(J94:J97)</f>
        <v>-733</v>
      </c>
      <c r="K98" s="81">
        <f ca="1">SUM(K94:K97)</f>
        <v>-733</v>
      </c>
    </row>
    <row r="99" spans="1:17" outlineLevel="1" x14ac:dyDescent="0.35">
      <c r="G99" s="26"/>
      <c r="H99" s="26"/>
      <c r="I99" s="26"/>
      <c r="J99" s="26"/>
      <c r="K99" s="26"/>
    </row>
    <row r="100" spans="1:17" outlineLevel="1" x14ac:dyDescent="0.35">
      <c r="B100" s="1" t="s">
        <v>0</v>
      </c>
      <c r="C100" s="23" t="s">
        <v>142</v>
      </c>
      <c r="G100" s="185">
        <f ca="1">G89+G92+G98</f>
        <v>921.97478780855067</v>
      </c>
      <c r="H100" s="185">
        <f ca="1">H89+H92+H98</f>
        <v>1089.6537582121734</v>
      </c>
      <c r="I100" s="185">
        <f ca="1">I89+I92+I98</f>
        <v>1689.4559688312534</v>
      </c>
      <c r="J100" s="185">
        <f ca="1">J89+J92+J98</f>
        <v>1637.2846953909507</v>
      </c>
      <c r="K100" s="185">
        <f ca="1">K89+K92+K98</f>
        <v>1699.9391714450157</v>
      </c>
    </row>
    <row r="102" spans="1:17" ht="15.5" x14ac:dyDescent="0.35">
      <c r="A102" s="1" t="s">
        <v>0</v>
      </c>
      <c r="C102" s="179" t="s">
        <v>31</v>
      </c>
      <c r="D102" s="12"/>
      <c r="E102" s="12"/>
      <c r="F102" s="12"/>
      <c r="G102" s="12"/>
      <c r="H102" s="12"/>
      <c r="I102" s="12"/>
      <c r="J102" s="12"/>
      <c r="K102" s="12"/>
    </row>
    <row r="103" spans="1:17" outlineLevel="1" x14ac:dyDescent="0.35">
      <c r="C103" s="182" t="str">
        <f t="shared" ref="C103:K103" si="36">C15</f>
        <v xml:space="preserve">Fiscal year  </v>
      </c>
      <c r="D103" s="34">
        <f t="shared" si="36"/>
        <v>2021</v>
      </c>
      <c r="E103" s="34">
        <f t="shared" si="36"/>
        <v>2022</v>
      </c>
      <c r="F103" s="34">
        <f t="shared" si="36"/>
        <v>2023</v>
      </c>
      <c r="G103" s="35">
        <f t="shared" si="36"/>
        <v>2024</v>
      </c>
      <c r="H103" s="35">
        <f t="shared" si="36"/>
        <v>2025</v>
      </c>
      <c r="I103" s="35">
        <f t="shared" si="36"/>
        <v>2026</v>
      </c>
      <c r="J103" s="35">
        <f t="shared" si="36"/>
        <v>2027</v>
      </c>
      <c r="K103" s="35">
        <f t="shared" si="36"/>
        <v>2028</v>
      </c>
    </row>
    <row r="104" spans="1:17" outlineLevel="1" x14ac:dyDescent="0.35">
      <c r="C104" s="15" t="str">
        <f t="shared" ref="C104:K104" si="37">C16</f>
        <v>Fiscal year end date</v>
      </c>
      <c r="D104" s="36">
        <f t="shared" si="37"/>
        <v>44561</v>
      </c>
      <c r="E104" s="36">
        <f t="shared" si="37"/>
        <v>44926</v>
      </c>
      <c r="F104" s="36">
        <f t="shared" si="37"/>
        <v>45291</v>
      </c>
      <c r="G104" s="36">
        <f t="shared" si="37"/>
        <v>45657</v>
      </c>
      <c r="H104" s="36">
        <f t="shared" si="37"/>
        <v>46022</v>
      </c>
      <c r="I104" s="36">
        <f t="shared" si="37"/>
        <v>46387</v>
      </c>
      <c r="J104" s="36">
        <f t="shared" si="37"/>
        <v>46752</v>
      </c>
      <c r="K104" s="36">
        <f t="shared" si="37"/>
        <v>47118</v>
      </c>
    </row>
    <row r="105" spans="1:17" outlineLevel="1" x14ac:dyDescent="0.35">
      <c r="C105" s="23"/>
      <c r="G105" s="41"/>
      <c r="H105" s="41"/>
      <c r="I105" s="41"/>
      <c r="J105" s="41"/>
      <c r="K105" s="41"/>
    </row>
    <row r="106" spans="1:17" outlineLevel="1" x14ac:dyDescent="0.35">
      <c r="B106" s="1" t="s">
        <v>0</v>
      </c>
      <c r="C106" s="27" t="s">
        <v>143</v>
      </c>
      <c r="G106" s="80">
        <f>F109</f>
        <v>15534</v>
      </c>
      <c r="H106" s="80">
        <f ca="1">G109</f>
        <v>16316.357787999999</v>
      </c>
      <c r="I106" s="80">
        <f ca="1">H109</f>
        <v>17077.8896951928</v>
      </c>
      <c r="J106" s="80">
        <f ca="1">I109</f>
        <v>17830.908325119752</v>
      </c>
      <c r="K106" s="80">
        <f ca="1">J109</f>
        <v>18571.76889961119</v>
      </c>
    </row>
    <row r="107" spans="1:17" outlineLevel="1" x14ac:dyDescent="0.35">
      <c r="C107" s="42" t="s">
        <v>145</v>
      </c>
      <c r="D107" s="22">
        <v>1519</v>
      </c>
      <c r="E107" s="22">
        <v>1831</v>
      </c>
      <c r="F107" s="22">
        <v>2744</v>
      </c>
      <c r="G107" s="97">
        <f ca="1">F107*(1+G46)</f>
        <v>2428.1656000000003</v>
      </c>
      <c r="H107" s="97">
        <f t="shared" ref="H107:K107" ca="1" si="38">G107*(1+H46)</f>
        <v>2519.9502596800003</v>
      </c>
      <c r="I107" s="97">
        <f t="shared" ca="1" si="38"/>
        <v>2668.375329975152</v>
      </c>
      <c r="J107" s="97">
        <f t="shared" ca="1" si="38"/>
        <v>2825.5426369106885</v>
      </c>
      <c r="K107" s="97">
        <f t="shared" ca="1" si="38"/>
        <v>2991.967098224728</v>
      </c>
    </row>
    <row r="108" spans="1:17" outlineLevel="1" x14ac:dyDescent="0.35">
      <c r="C108" s="43" t="s">
        <v>32</v>
      </c>
      <c r="D108" s="44">
        <v>-1169</v>
      </c>
      <c r="E108" s="44">
        <v>-1096</v>
      </c>
      <c r="F108" s="44">
        <v>-1805</v>
      </c>
      <c r="G108" s="83">
        <f ca="1">-(G111*G107)</f>
        <v>-1645.8078120000002</v>
      </c>
      <c r="H108" s="83">
        <f ca="1">-(H111*H107)</f>
        <v>-1758.4183524872003</v>
      </c>
      <c r="I108" s="83">
        <f ca="1">-(I111*I107)</f>
        <v>-1915.3567000481992</v>
      </c>
      <c r="J108" s="83">
        <f ca="1">-(J111*J107)</f>
        <v>-2084.6820624192519</v>
      </c>
      <c r="K108" s="83">
        <f ca="1">-(K111*K107)</f>
        <v>-2267.3091778602407</v>
      </c>
    </row>
    <row r="109" spans="1:17" outlineLevel="1" x14ac:dyDescent="0.35">
      <c r="B109" s="1" t="s">
        <v>0</v>
      </c>
      <c r="C109" s="45" t="s">
        <v>144</v>
      </c>
      <c r="D109" s="38"/>
      <c r="E109" s="74">
        <f>E59</f>
        <v>10338</v>
      </c>
      <c r="F109" s="74">
        <f>F59</f>
        <v>15534</v>
      </c>
      <c r="G109" s="81">
        <f ca="1">SUM(G106:G108)</f>
        <v>16316.357787999999</v>
      </c>
      <c r="H109" s="81">
        <f ca="1">SUM(H106:H108)</f>
        <v>17077.8896951928</v>
      </c>
      <c r="I109" s="81">
        <f ca="1">SUM(I106:I108)</f>
        <v>17830.908325119752</v>
      </c>
      <c r="J109" s="81">
        <f ca="1">SUM(J106:J108)</f>
        <v>18571.76889961119</v>
      </c>
      <c r="K109" s="81">
        <f ca="1">SUM(K106:K108)</f>
        <v>19296.426819975677</v>
      </c>
    </row>
    <row r="110" spans="1:17" outlineLevel="1" x14ac:dyDescent="0.35">
      <c r="C110" s="27"/>
      <c r="M110" s="30" t="s">
        <v>33</v>
      </c>
    </row>
    <row r="111" spans="1:17" outlineLevel="1" x14ac:dyDescent="0.35">
      <c r="C111" s="27" t="s">
        <v>146</v>
      </c>
      <c r="D111" s="46">
        <f>-(D108/D107)</f>
        <v>0.7695852534562212</v>
      </c>
      <c r="E111" s="46">
        <f>-(E108/E107)</f>
        <v>0.59858001092299296</v>
      </c>
      <c r="F111" s="46">
        <f>-(F108/F107)</f>
        <v>0.65779883381924198</v>
      </c>
      <c r="G111" s="79">
        <f>F111+$M$111</f>
        <v>0.677798833819242</v>
      </c>
      <c r="H111" s="79">
        <f>G111+$M$111</f>
        <v>0.69779883381924201</v>
      </c>
      <c r="I111" s="79">
        <f>H111+$M$111</f>
        <v>0.71779883381924203</v>
      </c>
      <c r="J111" s="79">
        <f>I111+$M$111</f>
        <v>0.73779883381924205</v>
      </c>
      <c r="K111" s="79">
        <f>J111+$M$111</f>
        <v>0.75779883381924207</v>
      </c>
      <c r="M111" s="162">
        <v>0.02</v>
      </c>
      <c r="O111" s="70"/>
      <c r="P111" s="70"/>
      <c r="Q111" s="70"/>
    </row>
    <row r="112" spans="1:17" x14ac:dyDescent="0.35">
      <c r="C112" s="27"/>
      <c r="D112" s="46"/>
      <c r="E112" s="46"/>
      <c r="F112" s="46"/>
      <c r="G112" s="31"/>
      <c r="H112" s="31"/>
      <c r="I112" s="31"/>
      <c r="J112" s="31"/>
      <c r="K112" s="31"/>
      <c r="O112" s="70"/>
      <c r="P112" s="70"/>
      <c r="Q112" s="70"/>
    </row>
    <row r="113" spans="1:17" ht="15.5" x14ac:dyDescent="0.35">
      <c r="A113" s="1" t="s">
        <v>0</v>
      </c>
      <c r="C113" s="186" t="s">
        <v>34</v>
      </c>
      <c r="D113" s="47"/>
      <c r="E113" s="47"/>
      <c r="F113" s="47"/>
      <c r="G113" s="48"/>
      <c r="H113" s="48"/>
      <c r="I113" s="48"/>
      <c r="J113" s="48"/>
      <c r="K113" s="48"/>
      <c r="O113" s="70"/>
      <c r="P113" s="70"/>
      <c r="Q113" s="70"/>
    </row>
    <row r="114" spans="1:17" outlineLevel="1" x14ac:dyDescent="0.35">
      <c r="B114" s="1" t="s">
        <v>0</v>
      </c>
      <c r="C114" s="27" t="s">
        <v>35</v>
      </c>
      <c r="D114" s="87">
        <f>D116+D108</f>
        <v>21</v>
      </c>
      <c r="E114" s="87">
        <f>E116+E108</f>
        <v>17</v>
      </c>
      <c r="F114" s="87">
        <f>F116+F108</f>
        <v>20</v>
      </c>
      <c r="G114" s="75">
        <f ca="1">G115*G18</f>
        <v>17.698</v>
      </c>
      <c r="H114" s="75">
        <f ca="1">H115*H18</f>
        <v>18.366984400000003</v>
      </c>
      <c r="I114" s="75">
        <f ca="1">I115*I18</f>
        <v>19.448799781160005</v>
      </c>
      <c r="J114" s="75">
        <f ca="1">J115*J18</f>
        <v>20.59433408827033</v>
      </c>
      <c r="K114" s="75">
        <f ca="1">K115*K18</f>
        <v>21.807340366069447</v>
      </c>
      <c r="O114" s="70"/>
      <c r="P114" s="70"/>
      <c r="Q114" s="70"/>
    </row>
    <row r="115" spans="1:17" outlineLevel="1" x14ac:dyDescent="0.35">
      <c r="C115" s="25" t="s">
        <v>147</v>
      </c>
      <c r="D115" s="49">
        <f>D114/D18</f>
        <v>2.4255024255024253E-3</v>
      </c>
      <c r="E115" s="49">
        <f>E114/E18</f>
        <v>1.3639281129653401E-3</v>
      </c>
      <c r="F115" s="49">
        <f>F114/F18</f>
        <v>1.8377285674905817E-3</v>
      </c>
      <c r="G115" s="79">
        <f>F115</f>
        <v>1.8377285674905817E-3</v>
      </c>
      <c r="H115" s="79">
        <f>G115</f>
        <v>1.8377285674905817E-3</v>
      </c>
      <c r="I115" s="79">
        <f>H115</f>
        <v>1.8377285674905817E-3</v>
      </c>
      <c r="J115" s="79">
        <f>I115</f>
        <v>1.8377285674905817E-3</v>
      </c>
      <c r="K115" s="79">
        <f>J115</f>
        <v>1.8377285674905817E-3</v>
      </c>
    </row>
    <row r="116" spans="1:17" outlineLevel="1" x14ac:dyDescent="0.35">
      <c r="B116" s="1" t="s">
        <v>0</v>
      </c>
      <c r="C116" s="28" t="s">
        <v>36</v>
      </c>
      <c r="D116" s="74">
        <f>-D20</f>
        <v>1190</v>
      </c>
      <c r="E116" s="74">
        <f>-E20</f>
        <v>1113</v>
      </c>
      <c r="F116" s="74">
        <f>-F20</f>
        <v>1825</v>
      </c>
      <c r="G116" s="78">
        <f ca="1">-G108+G114</f>
        <v>1663.5058120000003</v>
      </c>
      <c r="H116" s="78">
        <f ca="1">-H108+H114</f>
        <v>1776.7853368872004</v>
      </c>
      <c r="I116" s="78">
        <f ca="1">-I108+I114</f>
        <v>1934.8054998293592</v>
      </c>
      <c r="J116" s="78">
        <f ca="1">-J108+J114</f>
        <v>2105.2763965075223</v>
      </c>
      <c r="K116" s="78">
        <f ca="1">-K108+K114</f>
        <v>2289.1165182263103</v>
      </c>
    </row>
    <row r="117" spans="1:17" x14ac:dyDescent="0.35">
      <c r="C117" s="27"/>
      <c r="D117" s="26" t="s">
        <v>17</v>
      </c>
      <c r="E117" s="26"/>
      <c r="F117" s="26"/>
      <c r="H117" s="26"/>
      <c r="I117" s="26"/>
      <c r="J117" s="26"/>
      <c r="K117" s="26"/>
    </row>
    <row r="118" spans="1:17" ht="15.5" x14ac:dyDescent="0.35">
      <c r="A118" s="1" t="s">
        <v>0</v>
      </c>
      <c r="C118" s="187" t="s">
        <v>37</v>
      </c>
      <c r="D118" s="12"/>
      <c r="E118" s="12"/>
      <c r="F118" s="12"/>
      <c r="H118" s="26"/>
      <c r="I118" s="26"/>
      <c r="J118" s="26"/>
      <c r="K118" s="26"/>
    </row>
    <row r="119" spans="1:17" outlineLevel="1" x14ac:dyDescent="0.35">
      <c r="B119" s="1" t="s">
        <v>0</v>
      </c>
      <c r="C119" s="27" t="s">
        <v>143</v>
      </c>
      <c r="D119" s="26"/>
      <c r="G119" s="88">
        <f>F122</f>
        <v>2777</v>
      </c>
      <c r="H119" s="88">
        <f ca="1">G122</f>
        <v>2457.3672999999999</v>
      </c>
      <c r="I119" s="88">
        <f ca="1">H122</f>
        <v>2550.2557839400001</v>
      </c>
      <c r="J119" s="88">
        <f ca="1">I122</f>
        <v>2700.465849614066</v>
      </c>
      <c r="K119" s="88">
        <f ca="1">J122</f>
        <v>2859.5232881563343</v>
      </c>
      <c r="N119" s="1" t="s">
        <v>17</v>
      </c>
    </row>
    <row r="120" spans="1:17" outlineLevel="1" x14ac:dyDescent="0.35">
      <c r="C120" s="25" t="s">
        <v>148</v>
      </c>
      <c r="G120" s="77">
        <f ca="1">-(G114)</f>
        <v>-17.698</v>
      </c>
      <c r="H120" s="77">
        <f ca="1">-(H114)</f>
        <v>-18.366984400000003</v>
      </c>
      <c r="I120" s="77">
        <f ca="1">-(I114)</f>
        <v>-19.448799781160005</v>
      </c>
      <c r="J120" s="77">
        <f ca="1">-(J114)</f>
        <v>-20.59433408827033</v>
      </c>
      <c r="K120" s="77">
        <f ca="1">-(K114)</f>
        <v>-21.807340366069447</v>
      </c>
    </row>
    <row r="121" spans="1:17" ht="15" customHeight="1" outlineLevel="1" x14ac:dyDescent="0.35">
      <c r="C121" s="51" t="s">
        <v>38</v>
      </c>
      <c r="D121" s="52"/>
      <c r="E121" s="52"/>
      <c r="F121" s="52"/>
      <c r="G121" s="84">
        <f ca="1">G122-G120-G119</f>
        <v>-301.93470000000025</v>
      </c>
      <c r="H121" s="84">
        <f ca="1">H122-H120-H119</f>
        <v>111.25546834000033</v>
      </c>
      <c r="I121" s="84">
        <f ca="1">I122-I120-I119</f>
        <v>169.65886545522562</v>
      </c>
      <c r="J121" s="84">
        <f ca="1">J122-J120-J119</f>
        <v>179.65177263053874</v>
      </c>
      <c r="K121" s="84">
        <f ca="1">K122-K120-K119</f>
        <v>190.23326203847773</v>
      </c>
    </row>
    <row r="122" spans="1:17" outlineLevel="1" x14ac:dyDescent="0.35">
      <c r="B122" s="1" t="s">
        <v>0</v>
      </c>
      <c r="C122" s="45" t="s">
        <v>144</v>
      </c>
      <c r="E122" s="74">
        <f t="shared" ref="E122:K122" si="39">E60</f>
        <v>3023</v>
      </c>
      <c r="F122" s="74">
        <f t="shared" si="39"/>
        <v>2777</v>
      </c>
      <c r="G122" s="81">
        <f t="shared" ca="1" si="39"/>
        <v>2457.3672999999999</v>
      </c>
      <c r="H122" s="81">
        <f t="shared" ca="1" si="39"/>
        <v>2550.2557839400001</v>
      </c>
      <c r="I122" s="81">
        <f t="shared" ca="1" si="39"/>
        <v>2700.465849614066</v>
      </c>
      <c r="J122" s="81">
        <f t="shared" ca="1" si="39"/>
        <v>2859.5232881563343</v>
      </c>
      <c r="K122" s="81">
        <f t="shared" ca="1" si="39"/>
        <v>3027.9492098287424</v>
      </c>
    </row>
    <row r="123" spans="1:17" x14ac:dyDescent="0.35">
      <c r="C123" s="25"/>
      <c r="E123" s="26"/>
      <c r="F123" s="26"/>
      <c r="H123" s="26"/>
      <c r="I123" s="26"/>
      <c r="J123" s="26"/>
      <c r="K123" s="26"/>
    </row>
    <row r="124" spans="1:17" ht="15.5" x14ac:dyDescent="0.35">
      <c r="A124" s="1" t="s">
        <v>0</v>
      </c>
      <c r="C124" s="188" t="s">
        <v>39</v>
      </c>
      <c r="D124" s="50"/>
      <c r="E124" s="50"/>
      <c r="F124" s="50"/>
      <c r="G124" s="12"/>
      <c r="H124" s="12"/>
      <c r="I124" s="12"/>
      <c r="J124" s="12"/>
      <c r="K124" s="12"/>
    </row>
    <row r="125" spans="1:17" outlineLevel="1" x14ac:dyDescent="0.35">
      <c r="B125" s="1" t="s">
        <v>0</v>
      </c>
      <c r="C125" s="27" t="s">
        <v>143</v>
      </c>
      <c r="G125" s="80">
        <f>F129</f>
        <v>697</v>
      </c>
      <c r="H125" s="80">
        <f ca="1">G129</f>
        <v>1839.4385715647222</v>
      </c>
      <c r="I125" s="80">
        <f ca="1">H129</f>
        <v>3937.1717669135251</v>
      </c>
      <c r="J125" s="80">
        <f ca="1">I129</f>
        <v>6400.581513665461</v>
      </c>
      <c r="K125" s="80">
        <f ca="1">J129</f>
        <v>8800.89501175841</v>
      </c>
    </row>
    <row r="126" spans="1:17" outlineLevel="1" x14ac:dyDescent="0.35">
      <c r="C126" s="25" t="s">
        <v>149</v>
      </c>
      <c r="D126" s="37">
        <f t="shared" ref="D126:K126" si="40">D39</f>
        <v>1402</v>
      </c>
      <c r="E126" s="37">
        <f t="shared" si="40"/>
        <v>3636</v>
      </c>
      <c r="F126" s="37">
        <f t="shared" si="40"/>
        <v>2085</v>
      </c>
      <c r="G126" s="77">
        <f t="shared" ca="1" si="40"/>
        <v>1875.4385715647222</v>
      </c>
      <c r="H126" s="77">
        <f t="shared" ca="1" si="40"/>
        <v>2830.7331953488024</v>
      </c>
      <c r="I126" s="77">
        <f t="shared" ca="1" si="40"/>
        <v>3196.4097467519359</v>
      </c>
      <c r="J126" s="77">
        <f t="shared" ca="1" si="40"/>
        <v>3133.313498092949</v>
      </c>
      <c r="K126" s="77">
        <f t="shared" ca="1" si="40"/>
        <v>3181.0710286616668</v>
      </c>
    </row>
    <row r="127" spans="1:17" outlineLevel="1" x14ac:dyDescent="0.35">
      <c r="C127" s="25" t="s">
        <v>40</v>
      </c>
      <c r="D127" s="22">
        <v>-122</v>
      </c>
      <c r="E127" s="22">
        <v>-239</v>
      </c>
      <c r="F127" s="22">
        <v>-307</v>
      </c>
      <c r="G127" s="77">
        <f t="shared" ref="G127:K128" si="41">F127</f>
        <v>-307</v>
      </c>
      <c r="H127" s="77">
        <f t="shared" si="41"/>
        <v>-307</v>
      </c>
      <c r="I127" s="77">
        <f t="shared" si="41"/>
        <v>-307</v>
      </c>
      <c r="J127" s="77">
        <f t="shared" si="41"/>
        <v>-307</v>
      </c>
      <c r="K127" s="77">
        <f t="shared" si="41"/>
        <v>-307</v>
      </c>
    </row>
    <row r="128" spans="1:17" outlineLevel="1" x14ac:dyDescent="0.35">
      <c r="C128" s="51" t="s">
        <v>41</v>
      </c>
      <c r="D128" s="44">
        <v>-111</v>
      </c>
      <c r="E128" s="44">
        <v>-719</v>
      </c>
      <c r="F128" s="44">
        <v>-426</v>
      </c>
      <c r="G128" s="83">
        <f>F128</f>
        <v>-426</v>
      </c>
      <c r="H128" s="83">
        <f t="shared" si="41"/>
        <v>-426</v>
      </c>
      <c r="I128" s="83">
        <f t="shared" si="41"/>
        <v>-426</v>
      </c>
      <c r="J128" s="83">
        <f t="shared" si="41"/>
        <v>-426</v>
      </c>
      <c r="K128" s="83">
        <f t="shared" si="41"/>
        <v>-426</v>
      </c>
    </row>
    <row r="129" spans="1:16" outlineLevel="1" x14ac:dyDescent="0.35">
      <c r="B129" s="1" t="s">
        <v>0</v>
      </c>
      <c r="C129" s="45" t="s">
        <v>144</v>
      </c>
      <c r="D129" s="73">
        <v>0</v>
      </c>
      <c r="E129" s="73">
        <f>E72</f>
        <v>-1081</v>
      </c>
      <c r="F129" s="73">
        <f>F72</f>
        <v>697</v>
      </c>
      <c r="G129" s="81">
        <f ca="1">SUM(G125:G128)</f>
        <v>1839.4385715647222</v>
      </c>
      <c r="H129" s="81">
        <f ca="1">SUM(H125:H128)</f>
        <v>3937.1717669135251</v>
      </c>
      <c r="I129" s="81">
        <f ca="1">SUM(I125:I128)</f>
        <v>6400.581513665461</v>
      </c>
      <c r="J129" s="81">
        <f ca="1">SUM(J125:J128)</f>
        <v>8800.89501175841</v>
      </c>
      <c r="K129" s="81">
        <f ca="1">SUM(K125:K128)</f>
        <v>11248.966040420077</v>
      </c>
    </row>
    <row r="130" spans="1:16" outlineLevel="1" x14ac:dyDescent="0.35">
      <c r="C130" s="45"/>
      <c r="D130" s="24"/>
      <c r="E130" s="24"/>
      <c r="F130" s="24"/>
      <c r="G130" s="38"/>
      <c r="H130" s="38"/>
      <c r="I130" s="38"/>
      <c r="J130" s="38"/>
      <c r="K130" s="38"/>
    </row>
    <row r="131" spans="1:16" outlineLevel="1" x14ac:dyDescent="0.35">
      <c r="C131" s="105" t="s">
        <v>150</v>
      </c>
      <c r="D131" s="49">
        <f>-D127/D126</f>
        <v>8.7018544935805991E-2</v>
      </c>
      <c r="E131" s="49">
        <f t="shared" ref="E131:K131" si="42">-E127/E126</f>
        <v>6.5731573157315731E-2</v>
      </c>
      <c r="F131" s="49">
        <f t="shared" si="42"/>
        <v>0.147242206235012</v>
      </c>
      <c r="G131" s="49">
        <f t="shared" ca="1" si="42"/>
        <v>0.16369504427109161</v>
      </c>
      <c r="H131" s="49">
        <f t="shared" ca="1" si="42"/>
        <v>0.10845246754601735</v>
      </c>
      <c r="I131" s="49">
        <f t="shared" ca="1" si="42"/>
        <v>9.6045258375263426E-2</v>
      </c>
      <c r="J131" s="49">
        <f t="shared" ca="1" si="42"/>
        <v>9.7979343652287457E-2</v>
      </c>
      <c r="K131" s="49">
        <f t="shared" ca="1" si="42"/>
        <v>9.6508376340518356E-2</v>
      </c>
      <c r="M131" s="17"/>
    </row>
    <row r="132" spans="1:16" outlineLevel="1" x14ac:dyDescent="0.35">
      <c r="C132" s="105" t="s">
        <v>151</v>
      </c>
      <c r="D132" s="49">
        <f>-D128/D126</f>
        <v>7.9172610556348069E-2</v>
      </c>
      <c r="E132" s="49">
        <f t="shared" ref="E132:K132" si="43">-E128/E126</f>
        <v>0.19774477447744773</v>
      </c>
      <c r="F132" s="49">
        <f>-F128/F126</f>
        <v>0.20431654676258992</v>
      </c>
      <c r="G132" s="49">
        <f t="shared" ca="1" si="43"/>
        <v>0.22714686924913688</v>
      </c>
      <c r="H132" s="49">
        <f t="shared" ca="1" si="43"/>
        <v>0.15049104617134657</v>
      </c>
      <c r="I132" s="49">
        <f t="shared" ca="1" si="43"/>
        <v>0.13327452790834599</v>
      </c>
      <c r="J132" s="49">
        <f t="shared" ca="1" si="43"/>
        <v>0.13595830747841844</v>
      </c>
      <c r="K132" s="49">
        <f t="shared" ca="1" si="43"/>
        <v>0.13391716065492124</v>
      </c>
      <c r="M132" s="17"/>
    </row>
    <row r="133" spans="1:16" x14ac:dyDescent="0.35">
      <c r="E133" s="40"/>
      <c r="F133" s="40"/>
    </row>
    <row r="134" spans="1:16" ht="15.5" x14ac:dyDescent="0.35">
      <c r="A134" s="1" t="s">
        <v>0</v>
      </c>
      <c r="C134" s="179" t="s">
        <v>42</v>
      </c>
      <c r="D134" s="12"/>
      <c r="E134" s="12"/>
      <c r="F134" s="12"/>
      <c r="G134" s="12"/>
      <c r="H134" s="12"/>
      <c r="I134" s="12"/>
      <c r="J134" s="12"/>
      <c r="K134" s="12"/>
      <c r="O134" s="70"/>
      <c r="P134" s="70"/>
    </row>
    <row r="135" spans="1:16" outlineLevel="1" x14ac:dyDescent="0.35">
      <c r="C135" s="182" t="str">
        <f t="shared" ref="C135:K135" si="44">C15</f>
        <v xml:space="preserve">Fiscal year  </v>
      </c>
      <c r="D135" s="34">
        <f t="shared" si="44"/>
        <v>2021</v>
      </c>
      <c r="E135" s="34">
        <f t="shared" si="44"/>
        <v>2022</v>
      </c>
      <c r="F135" s="34">
        <f t="shared" si="44"/>
        <v>2023</v>
      </c>
      <c r="G135" s="35">
        <f t="shared" si="44"/>
        <v>2024</v>
      </c>
      <c r="H135" s="35">
        <f t="shared" si="44"/>
        <v>2025</v>
      </c>
      <c r="I135" s="35">
        <f t="shared" si="44"/>
        <v>2026</v>
      </c>
      <c r="J135" s="35">
        <f t="shared" si="44"/>
        <v>2027</v>
      </c>
      <c r="K135" s="35">
        <f t="shared" si="44"/>
        <v>2028</v>
      </c>
      <c r="O135" s="70"/>
      <c r="P135" s="70"/>
    </row>
    <row r="136" spans="1:16" outlineLevel="1" x14ac:dyDescent="0.35">
      <c r="C136" s="15" t="str">
        <f t="shared" ref="C136:K136" si="45">C16</f>
        <v>Fiscal year end date</v>
      </c>
      <c r="D136" s="36">
        <f t="shared" si="45"/>
        <v>44561</v>
      </c>
      <c r="E136" s="36">
        <f t="shared" si="45"/>
        <v>44926</v>
      </c>
      <c r="F136" s="36">
        <f t="shared" si="45"/>
        <v>45291</v>
      </c>
      <c r="G136" s="36">
        <f t="shared" si="45"/>
        <v>45657</v>
      </c>
      <c r="H136" s="36">
        <f t="shared" si="45"/>
        <v>46022</v>
      </c>
      <c r="I136" s="36">
        <f t="shared" si="45"/>
        <v>46387</v>
      </c>
      <c r="J136" s="36">
        <f t="shared" si="45"/>
        <v>46752</v>
      </c>
      <c r="K136" s="36">
        <f t="shared" si="45"/>
        <v>47118</v>
      </c>
      <c r="O136" s="70"/>
      <c r="P136" s="70"/>
    </row>
    <row r="137" spans="1:16" outlineLevel="1" x14ac:dyDescent="0.35">
      <c r="C137" s="23"/>
      <c r="O137" s="70"/>
      <c r="P137" s="70"/>
    </row>
    <row r="138" spans="1:16" outlineLevel="1" x14ac:dyDescent="0.35">
      <c r="B138" s="1" t="s">
        <v>0</v>
      </c>
      <c r="C138" s="25" t="s">
        <v>152</v>
      </c>
      <c r="G138" s="80">
        <f>F55</f>
        <v>3</v>
      </c>
      <c r="H138" s="80">
        <f ca="1">G55</f>
        <v>924.97478780855067</v>
      </c>
      <c r="I138" s="80">
        <f ca="1">H55</f>
        <v>2014.6285460207241</v>
      </c>
      <c r="J138" s="80">
        <f ca="1">I55</f>
        <v>3704.0845148519775</v>
      </c>
      <c r="K138" s="80">
        <f ca="1">J55</f>
        <v>5341.3692102429286</v>
      </c>
      <c r="O138" s="70"/>
      <c r="P138" s="70"/>
    </row>
    <row r="139" spans="1:16" outlineLevel="1" x14ac:dyDescent="0.35">
      <c r="C139" s="25" t="s">
        <v>153</v>
      </c>
      <c r="G139" s="82">
        <f ca="1">G142*G55</f>
        <v>18.499495756171015</v>
      </c>
      <c r="H139" s="82">
        <f ca="1">H142*H55</f>
        <v>40.292570920414484</v>
      </c>
      <c r="I139" s="82">
        <f ca="1">I142*I55</f>
        <v>74.081690297039557</v>
      </c>
      <c r="J139" s="82">
        <f ca="1">J142*J55</f>
        <v>106.82738420485857</v>
      </c>
      <c r="K139" s="82">
        <f ca="1">K142*K55</f>
        <v>140.8261676337589</v>
      </c>
      <c r="O139" s="70"/>
      <c r="P139" s="70"/>
    </row>
    <row r="140" spans="1:16" outlineLevel="1" x14ac:dyDescent="0.35">
      <c r="C140" s="51" t="s">
        <v>154</v>
      </c>
      <c r="D140" s="52"/>
      <c r="E140" s="52"/>
      <c r="F140" s="52"/>
      <c r="G140" s="83" t="s">
        <v>43</v>
      </c>
      <c r="H140" s="83">
        <f ca="1">SUM(H89,H92,H94,H96,H97)</f>
        <v>1338.1542624560025</v>
      </c>
      <c r="I140" s="83">
        <f ca="1">SUM(I89,I92,I94,I96,I97)</f>
        <v>1689.4559688312534</v>
      </c>
      <c r="J140" s="83">
        <f ca="1">SUM(J89,J92,J94,J96,J97)</f>
        <v>1637.2846953909507</v>
      </c>
      <c r="K140" s="83">
        <f ca="1">SUM(K89,K92,K94,K96,K97)</f>
        <v>1699.9391714450157</v>
      </c>
    </row>
    <row r="141" spans="1:16" outlineLevel="1" x14ac:dyDescent="0.35">
      <c r="C141" s="45" t="s">
        <v>155</v>
      </c>
      <c r="G141" s="81">
        <f ca="1">SUM(G138:G140)</f>
        <v>21.499495756171015</v>
      </c>
      <c r="H141" s="81">
        <f ca="1">SUM(H138:H140)</f>
        <v>2303.4216211849675</v>
      </c>
      <c r="I141" s="81">
        <f ca="1">SUM(I138:I140)</f>
        <v>3778.1662051490171</v>
      </c>
      <c r="J141" s="81">
        <f ca="1">SUM(J138:J140)</f>
        <v>5448.196594447787</v>
      </c>
      <c r="K141" s="81">
        <f ca="1">SUM(K138:K140)</f>
        <v>7182.1345493217032</v>
      </c>
    </row>
    <row r="142" spans="1:16" outlineLevel="1" x14ac:dyDescent="0.35">
      <c r="C142" s="25" t="s">
        <v>156</v>
      </c>
      <c r="G142" s="104">
        <v>0.02</v>
      </c>
      <c r="H142" s="104">
        <v>0.02</v>
      </c>
      <c r="I142" s="104">
        <v>0.02</v>
      </c>
      <c r="J142" s="104">
        <v>0.02</v>
      </c>
      <c r="K142" s="104">
        <v>0.02</v>
      </c>
    </row>
    <row r="143" spans="1:16" outlineLevel="1" x14ac:dyDescent="0.35"/>
    <row r="144" spans="1:16" outlineLevel="1" x14ac:dyDescent="0.35">
      <c r="B144" s="1" t="s">
        <v>0</v>
      </c>
      <c r="C144" s="23" t="s">
        <v>46</v>
      </c>
    </row>
    <row r="145" spans="1:19" outlineLevel="1" x14ac:dyDescent="0.35">
      <c r="C145" s="25" t="s">
        <v>143</v>
      </c>
      <c r="G145" s="77">
        <f>F148</f>
        <v>270</v>
      </c>
      <c r="H145" s="77">
        <f ca="1">G148</f>
        <v>648.50050424382903</v>
      </c>
      <c r="I145" s="77">
        <f ca="1">H148</f>
        <v>400</v>
      </c>
      <c r="J145" s="77">
        <f ca="1">I148</f>
        <v>400</v>
      </c>
      <c r="K145" s="77">
        <f ca="1">J148</f>
        <v>400</v>
      </c>
    </row>
    <row r="146" spans="1:19" outlineLevel="1" x14ac:dyDescent="0.35">
      <c r="C146" s="42" t="s">
        <v>157</v>
      </c>
      <c r="G146" s="77">
        <f ca="1">-MIN(G141,G145)</f>
        <v>-21.499495756171015</v>
      </c>
      <c r="H146" s="77">
        <f ca="1">-MIN(H141,H145)</f>
        <v>-648.50050424382903</v>
      </c>
      <c r="I146" s="77">
        <f ca="1">-MIN(I141,I145)</f>
        <v>-400</v>
      </c>
      <c r="J146" s="77">
        <f ca="1">-MIN(J141,J145)</f>
        <v>-400</v>
      </c>
      <c r="K146" s="77">
        <f ca="1">-MIN(K141,K145)</f>
        <v>-400</v>
      </c>
    </row>
    <row r="147" spans="1:19" outlineLevel="1" x14ac:dyDescent="0.35">
      <c r="C147" s="43" t="s">
        <v>158</v>
      </c>
      <c r="D147" s="52"/>
      <c r="E147" s="52"/>
      <c r="F147" s="52"/>
      <c r="G147" s="44">
        <v>400</v>
      </c>
      <c r="H147" s="44">
        <v>400</v>
      </c>
      <c r="I147" s="44">
        <v>400</v>
      </c>
      <c r="J147" s="44">
        <v>400</v>
      </c>
      <c r="K147" s="44">
        <v>400</v>
      </c>
    </row>
    <row r="148" spans="1:19" outlineLevel="1" x14ac:dyDescent="0.35">
      <c r="C148" s="45" t="s">
        <v>144</v>
      </c>
      <c r="D148" s="89">
        <f>D66</f>
        <v>0</v>
      </c>
      <c r="E148" s="89">
        <f>E66</f>
        <v>393</v>
      </c>
      <c r="F148" s="89">
        <f>F66</f>
        <v>270</v>
      </c>
      <c r="G148" s="89">
        <f ca="1">SUM(G145:G147)</f>
        <v>648.50050424382903</v>
      </c>
      <c r="H148" s="89">
        <f ca="1">SUM(H145:H147)</f>
        <v>400</v>
      </c>
      <c r="I148" s="89">
        <f ca="1">SUM(I145:I147)</f>
        <v>400</v>
      </c>
      <c r="J148" s="89">
        <f ca="1">SUM(J145:J147)</f>
        <v>400</v>
      </c>
      <c r="K148" s="89">
        <f ca="1">SUM(K145:K147)</f>
        <v>400</v>
      </c>
    </row>
    <row r="149" spans="1:19" outlineLevel="1" x14ac:dyDescent="0.35">
      <c r="B149" s="1" t="s">
        <v>0</v>
      </c>
      <c r="C149" s="64" t="s">
        <v>44</v>
      </c>
      <c r="D149" s="54"/>
      <c r="E149" s="54"/>
      <c r="F149" s="55"/>
      <c r="G149" s="65" t="str">
        <f ca="1">IF(G148&lt;0,"Negative Debt","OK")</f>
        <v>OK</v>
      </c>
      <c r="H149" s="65" t="str">
        <f ca="1">IF(H148&lt;0,"Negative Debt","OK")</f>
        <v>OK</v>
      </c>
      <c r="I149" s="65" t="str">
        <f ca="1">IF(I148&lt;0,"Negative Debt","OK")</f>
        <v>OK</v>
      </c>
      <c r="J149" s="65" t="str">
        <f ca="1">IF(J148&lt;0,"Negative Debt","OK")</f>
        <v>OK</v>
      </c>
      <c r="K149" s="66" t="str">
        <f ca="1">IF(K148&lt;0,"Negative Debt","OK")</f>
        <v>OK</v>
      </c>
      <c r="S149" s="40"/>
    </row>
    <row r="150" spans="1:19" x14ac:dyDescent="0.35">
      <c r="D150" s="26"/>
      <c r="E150" s="26"/>
      <c r="F150" s="67"/>
      <c r="G150" s="68"/>
      <c r="H150" s="68"/>
      <c r="I150" s="68"/>
      <c r="J150" s="68"/>
      <c r="K150" s="68"/>
      <c r="S150" s="40"/>
    </row>
    <row r="151" spans="1:19" ht="15.5" x14ac:dyDescent="0.35">
      <c r="A151" s="1" t="s">
        <v>0</v>
      </c>
      <c r="C151" s="179" t="s">
        <v>45</v>
      </c>
      <c r="D151" s="47"/>
      <c r="E151" s="47"/>
      <c r="F151" s="47"/>
      <c r="G151" s="56"/>
      <c r="H151" s="56"/>
      <c r="I151" s="56"/>
      <c r="J151" s="56"/>
      <c r="K151" s="56"/>
      <c r="R151" s="71"/>
    </row>
    <row r="152" spans="1:19" outlineLevel="1" x14ac:dyDescent="0.35">
      <c r="C152" s="182" t="str">
        <f t="shared" ref="C152:K152" si="46">C15</f>
        <v xml:space="preserve">Fiscal year  </v>
      </c>
      <c r="D152" s="34">
        <f t="shared" si="46"/>
        <v>2021</v>
      </c>
      <c r="E152" s="34">
        <f t="shared" si="46"/>
        <v>2022</v>
      </c>
      <c r="F152" s="34">
        <f t="shared" si="46"/>
        <v>2023</v>
      </c>
      <c r="G152" s="35">
        <f t="shared" si="46"/>
        <v>2024</v>
      </c>
      <c r="H152" s="35">
        <f t="shared" si="46"/>
        <v>2025</v>
      </c>
      <c r="I152" s="35">
        <f t="shared" si="46"/>
        <v>2026</v>
      </c>
      <c r="J152" s="35">
        <f t="shared" si="46"/>
        <v>2027</v>
      </c>
      <c r="K152" s="35">
        <f t="shared" si="46"/>
        <v>2028</v>
      </c>
      <c r="R152" s="71"/>
      <c r="S152" s="40"/>
    </row>
    <row r="153" spans="1:19" outlineLevel="1" x14ac:dyDescent="0.35">
      <c r="C153" s="15" t="str">
        <f t="shared" ref="C153:K153" si="47">C16</f>
        <v>Fiscal year end date</v>
      </c>
      <c r="D153" s="36">
        <f t="shared" si="47"/>
        <v>44561</v>
      </c>
      <c r="E153" s="36">
        <f t="shared" si="47"/>
        <v>44926</v>
      </c>
      <c r="F153" s="36">
        <f t="shared" si="47"/>
        <v>45291</v>
      </c>
      <c r="G153" s="36">
        <f t="shared" si="47"/>
        <v>45657</v>
      </c>
      <c r="H153" s="36">
        <f t="shared" si="47"/>
        <v>46022</v>
      </c>
      <c r="I153" s="36">
        <f t="shared" si="47"/>
        <v>46387</v>
      </c>
      <c r="J153" s="36">
        <f t="shared" si="47"/>
        <v>46752</v>
      </c>
      <c r="K153" s="36">
        <f t="shared" si="47"/>
        <v>47118</v>
      </c>
      <c r="R153" s="71"/>
    </row>
    <row r="154" spans="1:19" outlineLevel="1" x14ac:dyDescent="0.35">
      <c r="C154" s="25"/>
      <c r="D154" s="26"/>
      <c r="E154" s="26"/>
      <c r="F154" s="26"/>
      <c r="G154" s="57"/>
      <c r="H154" s="57"/>
      <c r="I154" s="57"/>
      <c r="J154" s="57"/>
      <c r="K154" s="57"/>
      <c r="R154" s="71"/>
    </row>
    <row r="155" spans="1:19" outlineLevel="1" x14ac:dyDescent="0.35">
      <c r="B155" s="1" t="s">
        <v>0</v>
      </c>
      <c r="C155" s="27" t="s">
        <v>159</v>
      </c>
      <c r="D155" s="87">
        <f>D26</f>
        <v>340</v>
      </c>
      <c r="E155" s="87">
        <f>E26</f>
        <v>311</v>
      </c>
      <c r="F155" s="87">
        <f>F26</f>
        <v>355</v>
      </c>
      <c r="G155" s="80">
        <f ca="1">G160+G165</f>
        <v>432.19264850527833</v>
      </c>
      <c r="H155" s="80">
        <f ca="1">H160+H165</f>
        <v>428.88952035375439</v>
      </c>
      <c r="I155" s="80">
        <f ca="1">I160+I165</f>
        <v>420.23013589918259</v>
      </c>
      <c r="J155" s="80">
        <f ca="1">J160+J165</f>
        <v>417.23013589918259</v>
      </c>
      <c r="K155" s="80">
        <f ca="1">K160+K165</f>
        <v>417.23013589918259</v>
      </c>
      <c r="R155" s="40"/>
    </row>
    <row r="156" spans="1:19" outlineLevel="1" x14ac:dyDescent="0.35">
      <c r="C156" s="58"/>
      <c r="R156" s="40"/>
    </row>
    <row r="157" spans="1:19" outlineLevel="1" x14ac:dyDescent="0.35">
      <c r="B157" s="1" t="s">
        <v>0</v>
      </c>
      <c r="C157" s="103" t="s">
        <v>46</v>
      </c>
      <c r="R157" s="40"/>
    </row>
    <row r="158" spans="1:19" outlineLevel="1" x14ac:dyDescent="0.35">
      <c r="C158" s="25" t="s">
        <v>160</v>
      </c>
      <c r="E158" s="59">
        <v>5.1700000000000003E-2</v>
      </c>
      <c r="F158" s="59">
        <v>6.1699999999999998E-2</v>
      </c>
      <c r="G158" s="99">
        <v>0.05</v>
      </c>
      <c r="H158" s="99">
        <v>3.7499999999999999E-2</v>
      </c>
      <c r="I158" s="99">
        <v>2.75E-2</v>
      </c>
      <c r="J158" s="99">
        <v>0.02</v>
      </c>
      <c r="K158" s="99">
        <v>0.02</v>
      </c>
    </row>
    <row r="159" spans="1:19" outlineLevel="1" x14ac:dyDescent="0.35">
      <c r="C159" s="25" t="s">
        <v>161</v>
      </c>
      <c r="D159" s="53"/>
      <c r="E159" s="53">
        <f t="shared" ref="E159:K159" si="48">E66</f>
        <v>393</v>
      </c>
      <c r="F159" s="53">
        <f t="shared" si="48"/>
        <v>270</v>
      </c>
      <c r="G159" s="77">
        <f t="shared" ca="1" si="48"/>
        <v>648.50050424382903</v>
      </c>
      <c r="H159" s="77">
        <f t="shared" ca="1" si="48"/>
        <v>400</v>
      </c>
      <c r="I159" s="77">
        <f t="shared" ca="1" si="48"/>
        <v>400</v>
      </c>
      <c r="J159" s="77">
        <f t="shared" ca="1" si="48"/>
        <v>400</v>
      </c>
      <c r="K159" s="77">
        <f t="shared" ca="1" si="48"/>
        <v>400</v>
      </c>
    </row>
    <row r="160" spans="1:19" outlineLevel="1" x14ac:dyDescent="0.35">
      <c r="C160" s="60" t="s">
        <v>104</v>
      </c>
      <c r="D160" s="26"/>
      <c r="E160" s="74">
        <f>AVERAGE(D159:E159)*E158</f>
        <v>20.318100000000001</v>
      </c>
      <c r="F160" s="74">
        <f>AVERAGE(E159:F159)*F158</f>
        <v>20.45355</v>
      </c>
      <c r="G160" s="90">
        <f ca="1">IF($D$7=1,AVERAGE(F159,G159)*G158,0)</f>
        <v>22.962512606095729</v>
      </c>
      <c r="H160" s="90">
        <f t="shared" ref="H160:K160" ca="1" si="49">IF($D$7=1,AVERAGE(G159,H159)*H158,0)</f>
        <v>19.659384454571793</v>
      </c>
      <c r="I160" s="90">
        <f t="shared" ca="1" si="49"/>
        <v>11</v>
      </c>
      <c r="J160" s="90">
        <f t="shared" ca="1" si="49"/>
        <v>8</v>
      </c>
      <c r="K160" s="90">
        <f t="shared" ca="1" si="49"/>
        <v>8</v>
      </c>
    </row>
    <row r="161" spans="1:21" outlineLevel="1" x14ac:dyDescent="0.35">
      <c r="C161" s="61"/>
      <c r="D161" s="26"/>
      <c r="E161" s="26"/>
      <c r="F161" s="26"/>
    </row>
    <row r="162" spans="1:21" outlineLevel="1" x14ac:dyDescent="0.35">
      <c r="B162" s="1" t="s">
        <v>0</v>
      </c>
      <c r="C162" s="103" t="s">
        <v>127</v>
      </c>
      <c r="D162" s="26"/>
      <c r="E162" s="26"/>
      <c r="F162" s="26"/>
    </row>
    <row r="163" spans="1:21" outlineLevel="1" x14ac:dyDescent="0.35">
      <c r="C163" s="25" t="s">
        <v>161</v>
      </c>
      <c r="D163" s="26"/>
      <c r="E163" s="26">
        <f t="shared" ref="E163:K163" si="50">E67</f>
        <v>3991</v>
      </c>
      <c r="F163" s="26">
        <f t="shared" si="50"/>
        <v>6285</v>
      </c>
      <c r="G163" s="77">
        <f t="shared" si="50"/>
        <v>6285</v>
      </c>
      <c r="H163" s="77">
        <f t="shared" si="50"/>
        <v>6285</v>
      </c>
      <c r="I163" s="77">
        <f t="shared" si="50"/>
        <v>6285</v>
      </c>
      <c r="J163" s="77">
        <f t="shared" si="50"/>
        <v>6285</v>
      </c>
      <c r="K163" s="77">
        <f t="shared" si="50"/>
        <v>6285</v>
      </c>
    </row>
    <row r="164" spans="1:21" outlineLevel="1" x14ac:dyDescent="0.35">
      <c r="C164" s="25" t="s">
        <v>160</v>
      </c>
      <c r="E164" s="49">
        <f>E165/AVERAGE(D163:E163)</f>
        <v>7.2834352292658472E-2</v>
      </c>
      <c r="F164" s="49">
        <f>F165/AVERAGE(E163:F163)</f>
        <v>6.5112193460490464E-2</v>
      </c>
      <c r="G164" s="85">
        <f>F164</f>
        <v>6.5112193460490464E-2</v>
      </c>
      <c r="H164" s="85">
        <f>G164</f>
        <v>6.5112193460490464E-2</v>
      </c>
      <c r="I164" s="85">
        <f>H164</f>
        <v>6.5112193460490464E-2</v>
      </c>
      <c r="J164" s="85">
        <f>I164</f>
        <v>6.5112193460490464E-2</v>
      </c>
      <c r="K164" s="85">
        <f>J164</f>
        <v>6.5112193460490464E-2</v>
      </c>
      <c r="R164" s="71"/>
    </row>
    <row r="165" spans="1:21" outlineLevel="1" x14ac:dyDescent="0.35">
      <c r="B165" s="1" t="s">
        <v>0</v>
      </c>
      <c r="C165" s="60" t="s">
        <v>104</v>
      </c>
      <c r="D165" s="38"/>
      <c r="E165" s="74">
        <f>E155-E160</f>
        <v>290.68189999999998</v>
      </c>
      <c r="F165" s="74">
        <f>F155-F160</f>
        <v>334.54644999999999</v>
      </c>
      <c r="G165" s="78">
        <f>G164*AVERAGE(F163:G163)</f>
        <v>409.23013589918259</v>
      </c>
      <c r="H165" s="78">
        <f>H164*AVERAGE(G163:H163)</f>
        <v>409.23013589918259</v>
      </c>
      <c r="I165" s="78">
        <f>I164*AVERAGE(H163:I163)</f>
        <v>409.23013589918259</v>
      </c>
      <c r="J165" s="78">
        <f>J164*AVERAGE(I163:J163)</f>
        <v>409.23013589918259</v>
      </c>
      <c r="K165" s="78">
        <f>K164*AVERAGE(J163:K163)</f>
        <v>409.23013589918259</v>
      </c>
    </row>
    <row r="166" spans="1:21" outlineLevel="1" x14ac:dyDescent="0.35">
      <c r="E166" s="26"/>
    </row>
    <row r="167" spans="1:21" outlineLevel="1" x14ac:dyDescent="0.35">
      <c r="B167" s="1" t="s">
        <v>0</v>
      </c>
      <c r="C167" s="58" t="s">
        <v>162</v>
      </c>
      <c r="E167" s="26"/>
      <c r="F167" s="26"/>
    </row>
    <row r="168" spans="1:21" ht="15" customHeight="1" outlineLevel="1" x14ac:dyDescent="0.35">
      <c r="C168" s="25" t="s">
        <v>163</v>
      </c>
      <c r="D168" s="62">
        <v>1.7299999999999999E-2</v>
      </c>
      <c r="E168" s="59">
        <v>1.9900000000000001E-2</v>
      </c>
      <c r="F168" s="59">
        <v>2.1600000000000001E-2</v>
      </c>
      <c r="G168" s="86">
        <f>F168</f>
        <v>2.1600000000000001E-2</v>
      </c>
      <c r="H168" s="86">
        <f>G168</f>
        <v>2.1600000000000001E-2</v>
      </c>
      <c r="I168" s="86">
        <f>H168</f>
        <v>2.1600000000000001E-2</v>
      </c>
      <c r="J168" s="86">
        <f>I168</f>
        <v>2.1600000000000001E-2</v>
      </c>
      <c r="K168" s="86">
        <f>J168</f>
        <v>2.1600000000000001E-2</v>
      </c>
    </row>
    <row r="169" spans="1:21" ht="15" customHeight="1" outlineLevel="1" x14ac:dyDescent="0.35">
      <c r="C169" s="25" t="s">
        <v>103</v>
      </c>
      <c r="D169" s="74">
        <f>D25</f>
        <v>0</v>
      </c>
      <c r="E169" s="74">
        <f>E25</f>
        <v>0</v>
      </c>
      <c r="F169" s="74">
        <f>F25</f>
        <v>0</v>
      </c>
      <c r="G169" s="190">
        <f ca="1">IF($D$7=1,AVERAGE(F55,G55)*G168,0)</f>
        <v>10.022127708332349</v>
      </c>
      <c r="H169" s="190">
        <f ca="1">IF($D$7=1,AVERAGE(G55,H55)*H168,0)</f>
        <v>31.747716005356168</v>
      </c>
      <c r="I169" s="190">
        <f ca="1">IF($D$7=1,AVERAGE(H55,I55)*I168,0)</f>
        <v>61.762101057425184</v>
      </c>
      <c r="J169" s="190">
        <f ca="1">IF($D$7=1,AVERAGE(I55,J55)*J168,0)</f>
        <v>97.690900231024997</v>
      </c>
      <c r="K169" s="190">
        <f ca="1">IF($D$7=1,AVERAGE(J55,K55)*K168,0)</f>
        <v>133.73291799285343</v>
      </c>
    </row>
    <row r="170" spans="1:21" x14ac:dyDescent="0.35">
      <c r="C170" s="63"/>
      <c r="D170" s="49"/>
      <c r="E170" s="49"/>
      <c r="F170" s="49"/>
      <c r="G170" s="49"/>
      <c r="H170" s="49"/>
    </row>
    <row r="171" spans="1:21" customFormat="1" ht="15.5" x14ac:dyDescent="0.35">
      <c r="A171" s="1" t="s">
        <v>0</v>
      </c>
      <c r="B171" s="1"/>
      <c r="C171" s="189" t="s">
        <v>47</v>
      </c>
      <c r="D171" s="107" t="s">
        <v>48</v>
      </c>
      <c r="E171" s="107" t="s">
        <v>48</v>
      </c>
      <c r="F171" s="107" t="s">
        <v>48</v>
      </c>
      <c r="G171" s="107" t="s">
        <v>48</v>
      </c>
      <c r="H171" s="107" t="s">
        <v>48</v>
      </c>
      <c r="I171" s="107" t="s">
        <v>48</v>
      </c>
      <c r="J171" s="107" t="s">
        <v>48</v>
      </c>
      <c r="K171" s="107" t="s">
        <v>48</v>
      </c>
      <c r="L171" s="5"/>
      <c r="M171" s="5"/>
      <c r="N171" s="5"/>
      <c r="O171" s="5"/>
      <c r="P171" s="5"/>
      <c r="Q171" s="5"/>
      <c r="R171" s="5"/>
    </row>
    <row r="172" spans="1:21" customFormat="1" outlineLevel="1" x14ac:dyDescent="0.35">
      <c r="A172" s="1"/>
      <c r="B172" s="1"/>
      <c r="C172" s="108"/>
      <c r="D172" s="5"/>
      <c r="E172" s="5"/>
      <c r="F172" s="5"/>
      <c r="G172" s="5"/>
      <c r="H172" s="5"/>
      <c r="I172" s="5"/>
      <c r="J172" s="5"/>
      <c r="K172" s="5"/>
      <c r="L172" s="5"/>
      <c r="M172" s="5"/>
      <c r="N172" s="5"/>
      <c r="O172" s="1"/>
      <c r="P172" s="1"/>
      <c r="Q172" s="1"/>
      <c r="R172" s="1"/>
      <c r="S172" s="1"/>
      <c r="T172" s="1"/>
      <c r="U172" s="1"/>
    </row>
    <row r="173" spans="1:21" ht="15" outlineLevel="1" thickBot="1" x14ac:dyDescent="0.4">
      <c r="B173" s="1" t="s">
        <v>0</v>
      </c>
      <c r="C173" s="141" t="str">
        <f>C39</f>
        <v>Net Income</v>
      </c>
      <c r="D173" s="142" t="s">
        <v>48</v>
      </c>
      <c r="E173" s="142" t="s">
        <v>48</v>
      </c>
      <c r="F173" s="142" t="s">
        <v>48</v>
      </c>
      <c r="G173" s="142" t="s">
        <v>48</v>
      </c>
      <c r="H173" s="142" t="s">
        <v>48</v>
      </c>
      <c r="I173" s="142" t="s">
        <v>48</v>
      </c>
      <c r="J173" s="143"/>
      <c r="K173" s="143"/>
    </row>
    <row r="174" spans="1:21" ht="15" outlineLevel="1" thickBot="1" x14ac:dyDescent="0.4">
      <c r="C174" s="5"/>
      <c r="D174" s="192" t="s">
        <v>62</v>
      </c>
      <c r="E174" s="192"/>
      <c r="F174" s="192"/>
      <c r="G174" s="192"/>
      <c r="H174" s="192"/>
      <c r="I174" s="192"/>
      <c r="J174" s="192"/>
      <c r="K174" s="192"/>
    </row>
    <row r="175" spans="1:21" ht="15" outlineLevel="1" thickBot="1" x14ac:dyDescent="0.4">
      <c r="C175" s="5"/>
      <c r="D175" s="151">
        <f ca="1">G39</f>
        <v>1875.4385715647222</v>
      </c>
      <c r="E175" s="144">
        <f t="shared" ref="E175:F175" si="51">F175-250</f>
        <v>1298</v>
      </c>
      <c r="F175" s="144">
        <f t="shared" si="51"/>
        <v>1548</v>
      </c>
      <c r="G175" s="144">
        <f>H175-250</f>
        <v>1798</v>
      </c>
      <c r="H175" s="145">
        <f>2048</f>
        <v>2048</v>
      </c>
      <c r="I175" s="144">
        <f>H175+250</f>
        <v>2298</v>
      </c>
      <c r="J175" s="144">
        <f t="shared" ref="J175:K175" si="52">I175+250</f>
        <v>2548</v>
      </c>
      <c r="K175" s="144">
        <f t="shared" si="52"/>
        <v>2798</v>
      </c>
      <c r="L175" s="147"/>
      <c r="N175" s="134"/>
      <c r="O175" s="135"/>
      <c r="P175" s="135"/>
      <c r="Q175" s="135"/>
      <c r="R175" s="135"/>
      <c r="S175" s="135"/>
      <c r="T175" s="135"/>
      <c r="U175" s="135"/>
    </row>
    <row r="176" spans="1:21" outlineLevel="1" x14ac:dyDescent="0.35">
      <c r="D176" s="148">
        <f t="shared" ref="D176:D177" si="53">D177-10</f>
        <v>-204</v>
      </c>
      <c r="E176" s="139">
        <f t="dataTable" ref="E176:K182" dt2D="1" dtr="1" r1="G35" r2="G38"/>
        <v>1094</v>
      </c>
      <c r="F176" s="139">
        <v>1344</v>
      </c>
      <c r="G176" s="139">
        <v>1594</v>
      </c>
      <c r="H176" s="139">
        <v>1844</v>
      </c>
      <c r="I176" s="139">
        <v>2094</v>
      </c>
      <c r="J176" s="140">
        <v>2344</v>
      </c>
      <c r="K176" s="140">
        <v>2594</v>
      </c>
      <c r="N176" s="136"/>
    </row>
    <row r="177" spans="1:18" outlineLevel="1" x14ac:dyDescent="0.35">
      <c r="D177" s="148">
        <f t="shared" si="53"/>
        <v>-194</v>
      </c>
      <c r="E177" s="139">
        <v>1104</v>
      </c>
      <c r="F177" s="139">
        <v>1354</v>
      </c>
      <c r="G177" s="139">
        <v>1604</v>
      </c>
      <c r="H177" s="139">
        <v>1854</v>
      </c>
      <c r="I177" s="139">
        <v>2104</v>
      </c>
      <c r="J177" s="140">
        <v>2354</v>
      </c>
      <c r="K177" s="140">
        <v>2604</v>
      </c>
      <c r="N177" s="136" t="s">
        <v>17</v>
      </c>
    </row>
    <row r="178" spans="1:18" outlineLevel="1" x14ac:dyDescent="0.35">
      <c r="D178" s="148">
        <f>D179-10</f>
        <v>-184</v>
      </c>
      <c r="E178" s="139">
        <v>1114</v>
      </c>
      <c r="F178" s="139">
        <v>1364</v>
      </c>
      <c r="G178" s="139">
        <v>1614</v>
      </c>
      <c r="H178" s="139">
        <v>1864</v>
      </c>
      <c r="I178" s="139">
        <v>2114</v>
      </c>
      <c r="J178" s="140">
        <v>2364</v>
      </c>
      <c r="K178" s="140">
        <v>2614</v>
      </c>
      <c r="N178" s="136"/>
    </row>
    <row r="179" spans="1:18" outlineLevel="1" x14ac:dyDescent="0.35">
      <c r="C179" s="113" t="s">
        <v>61</v>
      </c>
      <c r="D179" s="149">
        <v>-174</v>
      </c>
      <c r="E179" s="139">
        <v>1124</v>
      </c>
      <c r="F179" s="139">
        <v>1374</v>
      </c>
      <c r="G179" s="139">
        <v>1624</v>
      </c>
      <c r="H179" s="150">
        <v>1874</v>
      </c>
      <c r="I179" s="139">
        <v>2124</v>
      </c>
      <c r="J179" s="140">
        <v>2374</v>
      </c>
      <c r="K179" s="140">
        <v>2624</v>
      </c>
      <c r="N179" s="136"/>
      <c r="P179" s="1" t="s">
        <v>60</v>
      </c>
    </row>
    <row r="180" spans="1:18" outlineLevel="1" x14ac:dyDescent="0.35">
      <c r="B180" s="1" t="s">
        <v>17</v>
      </c>
      <c r="C180" s="113"/>
      <c r="D180" s="148">
        <f>D179+25</f>
        <v>-149</v>
      </c>
      <c r="E180" s="139">
        <v>1149</v>
      </c>
      <c r="F180" s="139">
        <v>1399</v>
      </c>
      <c r="G180" s="139">
        <v>1649</v>
      </c>
      <c r="H180" s="139">
        <v>1899</v>
      </c>
      <c r="I180" s="139">
        <v>2149</v>
      </c>
      <c r="J180" s="140">
        <v>2399</v>
      </c>
      <c r="K180" s="140">
        <v>2649</v>
      </c>
      <c r="N180" s="136"/>
    </row>
    <row r="181" spans="1:18" outlineLevel="1" x14ac:dyDescent="0.35">
      <c r="D181" s="148">
        <f t="shared" ref="D181:D182" si="54">D180+25</f>
        <v>-124</v>
      </c>
      <c r="E181" s="139">
        <v>1174</v>
      </c>
      <c r="F181" s="139">
        <v>1424</v>
      </c>
      <c r="G181" s="139">
        <v>1674</v>
      </c>
      <c r="H181" s="139">
        <v>1924</v>
      </c>
      <c r="I181" s="139">
        <v>2174</v>
      </c>
      <c r="J181" s="140">
        <v>2424</v>
      </c>
      <c r="K181" s="140">
        <v>2674</v>
      </c>
      <c r="N181" s="136"/>
    </row>
    <row r="182" spans="1:18" outlineLevel="1" x14ac:dyDescent="0.35">
      <c r="D182" s="148">
        <f t="shared" si="54"/>
        <v>-99</v>
      </c>
      <c r="E182" s="139">
        <v>1199</v>
      </c>
      <c r="F182" s="139">
        <v>1449</v>
      </c>
      <c r="G182" s="139">
        <v>1699</v>
      </c>
      <c r="H182" s="139">
        <v>1949</v>
      </c>
      <c r="I182" s="139">
        <v>2199</v>
      </c>
      <c r="J182" s="140">
        <v>2449</v>
      </c>
      <c r="K182" s="140">
        <v>2699</v>
      </c>
      <c r="N182" s="136"/>
    </row>
    <row r="183" spans="1:18" x14ac:dyDescent="0.35">
      <c r="D183" s="146"/>
      <c r="E183" s="132"/>
      <c r="F183" s="132"/>
      <c r="G183" s="132"/>
      <c r="H183" s="132"/>
      <c r="I183" s="132"/>
    </row>
    <row r="184" spans="1:18" customFormat="1" ht="15.5" x14ac:dyDescent="0.35">
      <c r="A184" s="1" t="s">
        <v>0</v>
      </c>
      <c r="B184" s="1"/>
      <c r="C184" s="189" t="s">
        <v>49</v>
      </c>
      <c r="D184" s="107" t="s">
        <v>17</v>
      </c>
      <c r="E184" s="107" t="s">
        <v>48</v>
      </c>
      <c r="F184" s="107" t="s">
        <v>48</v>
      </c>
      <c r="G184" s="107" t="s">
        <v>48</v>
      </c>
      <c r="H184" s="107" t="s">
        <v>48</v>
      </c>
      <c r="I184" s="107" t="s">
        <v>48</v>
      </c>
      <c r="J184" s="107" t="s">
        <v>48</v>
      </c>
      <c r="K184" s="107" t="s">
        <v>48</v>
      </c>
      <c r="L184" s="5"/>
      <c r="M184" s="5"/>
      <c r="N184" s="5"/>
      <c r="O184" s="5"/>
      <c r="P184" s="5"/>
      <c r="Q184" s="5"/>
      <c r="R184" s="5"/>
    </row>
    <row r="185" spans="1:18" customFormat="1" ht="15" outlineLevel="1" thickBot="1" x14ac:dyDescent="0.4">
      <c r="A185" s="1"/>
      <c r="B185" s="1"/>
      <c r="C185" s="5"/>
      <c r="D185" s="5"/>
      <c r="E185" s="5"/>
      <c r="F185" s="5"/>
      <c r="G185" s="5"/>
      <c r="H185" s="5"/>
      <c r="I185" s="5"/>
      <c r="J185" s="5"/>
      <c r="K185" s="5"/>
      <c r="L185" s="5"/>
      <c r="M185" s="5"/>
      <c r="N185" s="5"/>
      <c r="O185" s="5"/>
      <c r="P185" s="5"/>
      <c r="Q185" s="5"/>
      <c r="R185" s="5"/>
    </row>
    <row r="186" spans="1:18" customFormat="1" ht="15" outlineLevel="1" thickBot="1" x14ac:dyDescent="0.4">
      <c r="A186" s="1"/>
      <c r="B186" s="1" t="s">
        <v>0</v>
      </c>
      <c r="C186" s="111" t="s">
        <v>50</v>
      </c>
      <c r="D186" s="121" t="str">
        <f>D12</f>
        <v>Base case</v>
      </c>
      <c r="E186" s="5"/>
      <c r="F186" s="114" t="s">
        <v>51</v>
      </c>
      <c r="G186" s="108">
        <v>2024</v>
      </c>
      <c r="H186" s="108">
        <f>G186+1</f>
        <v>2025</v>
      </c>
      <c r="I186" s="108">
        <f t="shared" ref="I186:K186" si="55">H186+1</f>
        <v>2026</v>
      </c>
      <c r="J186" s="108">
        <f t="shared" si="55"/>
        <v>2027</v>
      </c>
      <c r="K186" s="108">
        <f t="shared" si="55"/>
        <v>2028</v>
      </c>
      <c r="L186" s="5"/>
      <c r="M186" s="5" t="s">
        <v>17</v>
      </c>
      <c r="N186" s="5" t="s">
        <v>17</v>
      </c>
      <c r="O186" s="5"/>
      <c r="P186" s="5"/>
      <c r="Q186" s="5"/>
      <c r="R186" s="5"/>
    </row>
    <row r="187" spans="1:18" customFormat="1" outlineLevel="1" x14ac:dyDescent="0.35">
      <c r="A187" s="1"/>
      <c r="B187" s="1"/>
      <c r="C187" s="5"/>
      <c r="D187" s="5"/>
      <c r="E187" s="109" t="s">
        <v>48</v>
      </c>
      <c r="F187" s="115" t="s">
        <v>52</v>
      </c>
      <c r="G187" s="133">
        <v>45565</v>
      </c>
      <c r="H187" s="133">
        <f>EOMONTH(G187,12)</f>
        <v>45930</v>
      </c>
      <c r="I187" s="133">
        <f t="shared" ref="I187:K187" si="56">EOMONTH(H187,12)</f>
        <v>46295</v>
      </c>
      <c r="J187" s="133">
        <f t="shared" si="56"/>
        <v>46660</v>
      </c>
      <c r="K187" s="133">
        <f t="shared" si="56"/>
        <v>47026</v>
      </c>
      <c r="L187" s="5" t="s">
        <v>17</v>
      </c>
      <c r="M187" s="5"/>
      <c r="N187" s="5"/>
      <c r="O187" s="5"/>
      <c r="P187" s="5"/>
      <c r="Q187" s="5"/>
      <c r="R187" s="5"/>
    </row>
    <row r="188" spans="1:18" customFormat="1" outlineLevel="1" x14ac:dyDescent="0.35">
      <c r="A188" s="1"/>
      <c r="B188" s="1"/>
      <c r="C188" s="5" t="s">
        <v>114</v>
      </c>
      <c r="D188" s="5"/>
      <c r="E188" s="110" t="s">
        <v>48</v>
      </c>
      <c r="F188" s="128" t="str">
        <f t="shared" ref="F188:K190" ca="1" si="57">OFFSET(F$192,MATCH($D$12,$C$193:$C$195,0)+MATCH($C188,$C$192:$C$203,0)-1,0)</f>
        <v>NM</v>
      </c>
      <c r="G188" s="130">
        <f t="shared" ca="1" si="57"/>
        <v>-0.11509999999999999</v>
      </c>
      <c r="H188" s="130">
        <f t="shared" ca="1" si="57"/>
        <v>3.78E-2</v>
      </c>
      <c r="I188" s="130">
        <f t="shared" ca="1" si="57"/>
        <v>5.8900000000000001E-2</v>
      </c>
      <c r="J188" s="130">
        <f t="shared" ca="1" si="57"/>
        <v>5.8900000000000001E-2</v>
      </c>
      <c r="K188" s="130">
        <f t="shared" ca="1" si="57"/>
        <v>5.8900000000000001E-2</v>
      </c>
      <c r="L188" s="5"/>
      <c r="M188" s="111"/>
      <c r="N188" s="111"/>
      <c r="O188" s="5"/>
      <c r="P188" s="5"/>
      <c r="Q188" s="5"/>
      <c r="R188" s="5"/>
    </row>
    <row r="189" spans="1:18" customFormat="1" outlineLevel="1" x14ac:dyDescent="0.35">
      <c r="A189" s="1"/>
      <c r="B189" s="1"/>
      <c r="C189" s="5" t="s">
        <v>115</v>
      </c>
      <c r="D189" s="5"/>
      <c r="E189" s="110" t="s">
        <v>48</v>
      </c>
      <c r="F189" s="128" t="str">
        <f t="shared" ca="1" si="57"/>
        <v>NM</v>
      </c>
      <c r="G189" s="130">
        <f t="shared" ca="1" si="57"/>
        <v>0.29599999999999999</v>
      </c>
      <c r="H189" s="130">
        <f t="shared" ca="1" si="57"/>
        <v>0.29089999999999999</v>
      </c>
      <c r="I189" s="130">
        <f t="shared" ca="1" si="57"/>
        <v>0.28589999999999999</v>
      </c>
      <c r="J189" s="130">
        <f t="shared" ca="1" si="57"/>
        <v>0.28589999999999999</v>
      </c>
      <c r="K189" s="130">
        <f t="shared" ca="1" si="57"/>
        <v>0.28589999999999999</v>
      </c>
      <c r="L189" s="5"/>
      <c r="M189" s="111"/>
      <c r="N189" s="111"/>
      <c r="O189" s="5"/>
      <c r="P189" s="5"/>
      <c r="Q189" s="5"/>
      <c r="R189" s="5"/>
    </row>
    <row r="190" spans="1:18" customFormat="1" outlineLevel="1" x14ac:dyDescent="0.35">
      <c r="A190" s="1"/>
      <c r="B190" s="1"/>
      <c r="C190" s="5" t="s">
        <v>164</v>
      </c>
      <c r="D190" s="5" t="s">
        <v>17</v>
      </c>
      <c r="E190" s="110" t="s">
        <v>48</v>
      </c>
      <c r="F190" s="129" t="str">
        <f t="shared" ca="1" si="57"/>
        <v>NM</v>
      </c>
      <c r="G190" s="131">
        <f t="shared" ca="1" si="57"/>
        <v>3.1954948084167968E-2</v>
      </c>
      <c r="H190" s="131">
        <f t="shared" ca="1" si="57"/>
        <v>3.1954948084167968E-2</v>
      </c>
      <c r="I190" s="131">
        <f t="shared" ca="1" si="57"/>
        <v>3.1954948084167968E-2</v>
      </c>
      <c r="J190" s="131">
        <f t="shared" ca="1" si="57"/>
        <v>3.1954948084167968E-2</v>
      </c>
      <c r="K190" s="131">
        <f t="shared" ca="1" si="57"/>
        <v>3.1954948084167968E-2</v>
      </c>
      <c r="L190" s="5"/>
      <c r="M190" s="111"/>
      <c r="N190" s="111"/>
      <c r="O190" s="5"/>
      <c r="P190" s="5"/>
      <c r="Q190" s="5"/>
      <c r="R190" s="5"/>
    </row>
    <row r="191" spans="1:18" customFormat="1" outlineLevel="1" x14ac:dyDescent="0.35">
      <c r="A191" s="1"/>
      <c r="B191" s="1"/>
      <c r="C191" s="5"/>
      <c r="D191" s="5"/>
      <c r="E191" s="5"/>
      <c r="F191" s="116" t="s">
        <v>48</v>
      </c>
      <c r="G191" s="117"/>
      <c r="H191" s="117"/>
      <c r="I191" s="117"/>
      <c r="J191" s="117"/>
      <c r="K191" s="117"/>
      <c r="L191" s="5"/>
      <c r="M191" s="5"/>
      <c r="N191" s="5"/>
      <c r="O191" s="5"/>
      <c r="P191" s="5"/>
      <c r="Q191" s="5"/>
      <c r="R191" s="5"/>
    </row>
    <row r="192" spans="1:18" customFormat="1" outlineLevel="1" x14ac:dyDescent="0.35">
      <c r="A192" s="1"/>
      <c r="B192" s="1" t="s">
        <v>0</v>
      </c>
      <c r="C192" s="108" t="s">
        <v>114</v>
      </c>
      <c r="D192" s="5"/>
      <c r="E192" s="5"/>
      <c r="F192" s="116" t="s">
        <v>48</v>
      </c>
      <c r="G192" s="117"/>
      <c r="H192" s="117"/>
      <c r="I192" s="117"/>
      <c r="J192" s="117"/>
      <c r="K192" s="117"/>
      <c r="L192" s="5"/>
      <c r="M192" s="5"/>
      <c r="N192" s="5" t="s">
        <v>17</v>
      </c>
      <c r="O192" s="5" t="s">
        <v>17</v>
      </c>
      <c r="P192" s="5"/>
      <c r="Q192" s="5"/>
      <c r="R192" s="5"/>
    </row>
    <row r="193" spans="1:18" customFormat="1" outlineLevel="1" x14ac:dyDescent="0.35">
      <c r="A193" s="1"/>
      <c r="B193" s="1"/>
      <c r="C193" s="5" t="s">
        <v>54</v>
      </c>
      <c r="D193" s="5" t="s">
        <v>17</v>
      </c>
      <c r="E193" s="5"/>
      <c r="F193" s="118" t="s">
        <v>55</v>
      </c>
      <c r="G193" s="137">
        <f>G194+$F$193</f>
        <v>-9.0099999999999986E-2</v>
      </c>
      <c r="H193" s="137">
        <f t="shared" ref="H193:K193" si="58">H194+$F$193</f>
        <v>6.2799999999999995E-2</v>
      </c>
      <c r="I193" s="137">
        <f t="shared" si="58"/>
        <v>8.3900000000000002E-2</v>
      </c>
      <c r="J193" s="137">
        <f t="shared" si="58"/>
        <v>8.3900000000000002E-2</v>
      </c>
      <c r="K193" s="137">
        <f t="shared" si="58"/>
        <v>8.3900000000000002E-2</v>
      </c>
      <c r="L193" s="5"/>
      <c r="M193" s="5"/>
      <c r="N193" s="5"/>
      <c r="O193" s="5"/>
      <c r="P193" s="5"/>
      <c r="Q193" s="5"/>
      <c r="R193" s="5"/>
    </row>
    <row r="194" spans="1:18" customFormat="1" outlineLevel="1" x14ac:dyDescent="0.35">
      <c r="A194" s="1"/>
      <c r="B194" s="1"/>
      <c r="C194" s="5" t="s">
        <v>11</v>
      </c>
      <c r="D194" s="5"/>
      <c r="E194" s="5"/>
      <c r="F194" s="116" t="s">
        <v>56</v>
      </c>
      <c r="G194" s="138">
        <v>-0.11509999999999999</v>
      </c>
      <c r="H194" s="138">
        <v>3.78E-2</v>
      </c>
      <c r="I194" s="138">
        <v>5.8900000000000001E-2</v>
      </c>
      <c r="J194" s="138">
        <v>5.8900000000000001E-2</v>
      </c>
      <c r="K194" s="138">
        <v>5.8900000000000001E-2</v>
      </c>
      <c r="L194" s="5"/>
      <c r="M194" s="5"/>
      <c r="N194" s="5"/>
      <c r="O194" s="5"/>
      <c r="P194" s="5"/>
      <c r="Q194" s="112"/>
      <c r="R194" s="5"/>
    </row>
    <row r="195" spans="1:18" customFormat="1" outlineLevel="1" x14ac:dyDescent="0.35">
      <c r="A195" s="1"/>
      <c r="B195" s="1"/>
      <c r="C195" s="5" t="s">
        <v>57</v>
      </c>
      <c r="D195" s="5" t="s">
        <v>17</v>
      </c>
      <c r="E195" s="5"/>
      <c r="F195" s="118" t="s">
        <v>58</v>
      </c>
      <c r="G195" s="137">
        <f>G194+$F$195</f>
        <v>-0.1401</v>
      </c>
      <c r="H195" s="137">
        <f t="shared" ref="H195:K195" si="59">H194+$F$195</f>
        <v>1.2799999999999999E-2</v>
      </c>
      <c r="I195" s="137">
        <f t="shared" si="59"/>
        <v>3.39E-2</v>
      </c>
      <c r="J195" s="137">
        <f t="shared" si="59"/>
        <v>3.39E-2</v>
      </c>
      <c r="K195" s="137">
        <f t="shared" si="59"/>
        <v>3.39E-2</v>
      </c>
      <c r="L195" s="5"/>
      <c r="M195" s="112"/>
      <c r="N195" s="112"/>
      <c r="O195" s="112"/>
      <c r="P195" s="112"/>
      <c r="Q195" s="112"/>
      <c r="R195" s="5"/>
    </row>
    <row r="196" spans="1:18" customFormat="1" outlineLevel="1" x14ac:dyDescent="0.35">
      <c r="A196" s="1"/>
      <c r="B196" s="1" t="s">
        <v>0</v>
      </c>
      <c r="C196" s="108" t="s">
        <v>115</v>
      </c>
      <c r="D196" s="5"/>
      <c r="E196" s="5"/>
      <c r="F196" s="116" t="s">
        <v>48</v>
      </c>
      <c r="G196" s="6"/>
      <c r="H196" s="6"/>
      <c r="I196" s="6"/>
      <c r="J196" s="6"/>
      <c r="K196" s="6"/>
      <c r="L196" s="5"/>
      <c r="M196" s="112"/>
      <c r="N196" s="112"/>
      <c r="O196" s="112"/>
      <c r="P196" s="112"/>
      <c r="Q196" s="112"/>
      <c r="R196" s="5"/>
    </row>
    <row r="197" spans="1:18" customFormat="1" outlineLevel="1" x14ac:dyDescent="0.35">
      <c r="A197" s="1"/>
      <c r="B197" s="1"/>
      <c r="C197" s="5" t="s">
        <v>54</v>
      </c>
      <c r="D197" s="5" t="s">
        <v>17</v>
      </c>
      <c r="E197" s="5"/>
      <c r="F197" s="118" t="s">
        <v>59</v>
      </c>
      <c r="G197" s="137">
        <f>G198+$F$197</f>
        <v>0.30599999999999999</v>
      </c>
      <c r="H197" s="137">
        <f t="shared" ref="H197:K197" si="60">H198+$F$197</f>
        <v>0.3009</v>
      </c>
      <c r="I197" s="137">
        <f t="shared" si="60"/>
        <v>0.2959</v>
      </c>
      <c r="J197" s="137">
        <f t="shared" si="60"/>
        <v>0.2959</v>
      </c>
      <c r="K197" s="137">
        <f t="shared" si="60"/>
        <v>0.2959</v>
      </c>
      <c r="L197" s="5"/>
      <c r="M197" s="5"/>
      <c r="N197" s="5"/>
      <c r="O197" s="5"/>
      <c r="P197" s="5"/>
      <c r="Q197" s="5"/>
      <c r="R197" s="5"/>
    </row>
    <row r="198" spans="1:18" customFormat="1" outlineLevel="1" x14ac:dyDescent="0.35">
      <c r="A198" s="1"/>
      <c r="B198" s="1"/>
      <c r="C198" s="5" t="s">
        <v>11</v>
      </c>
      <c r="D198" s="5"/>
      <c r="E198" s="5"/>
      <c r="F198" s="116" t="s">
        <v>56</v>
      </c>
      <c r="G198" s="138">
        <v>0.29599999999999999</v>
      </c>
      <c r="H198" s="138">
        <v>0.29089999999999999</v>
      </c>
      <c r="I198" s="138">
        <v>0.28589999999999999</v>
      </c>
      <c r="J198" s="138">
        <v>0.28589999999999999</v>
      </c>
      <c r="K198" s="138">
        <v>0.28589999999999999</v>
      </c>
      <c r="L198" s="5"/>
      <c r="M198" s="5"/>
      <c r="N198" s="5"/>
      <c r="O198" s="5"/>
      <c r="P198" s="5" t="s">
        <v>17</v>
      </c>
      <c r="Q198" s="5"/>
      <c r="R198" s="5"/>
    </row>
    <row r="199" spans="1:18" customFormat="1" outlineLevel="1" x14ac:dyDescent="0.35">
      <c r="A199" s="1"/>
      <c r="B199" s="1"/>
      <c r="C199" s="5" t="s">
        <v>57</v>
      </c>
      <c r="D199" s="5"/>
      <c r="E199" s="5" t="s">
        <v>17</v>
      </c>
      <c r="F199" s="118" t="s">
        <v>53</v>
      </c>
      <c r="G199" s="137">
        <f>G198+$F$199</f>
        <v>0.28599999999999998</v>
      </c>
      <c r="H199" s="137">
        <f t="shared" ref="H199:K199" si="61">H198+$F$199</f>
        <v>0.28089999999999998</v>
      </c>
      <c r="I199" s="137">
        <f t="shared" si="61"/>
        <v>0.27589999999999998</v>
      </c>
      <c r="J199" s="137">
        <f t="shared" si="61"/>
        <v>0.27589999999999998</v>
      </c>
      <c r="K199" s="137">
        <f t="shared" si="61"/>
        <v>0.27589999999999998</v>
      </c>
      <c r="L199" s="5"/>
      <c r="M199" s="5"/>
      <c r="N199" s="5"/>
      <c r="O199" s="5"/>
      <c r="P199" s="5"/>
      <c r="Q199" s="5"/>
      <c r="R199" s="5"/>
    </row>
    <row r="200" spans="1:18" customFormat="1" outlineLevel="1" x14ac:dyDescent="0.35">
      <c r="A200" s="1"/>
      <c r="B200" s="1" t="s">
        <v>0</v>
      </c>
      <c r="C200" s="108" t="s">
        <v>164</v>
      </c>
      <c r="D200" s="5"/>
      <c r="E200" s="5"/>
      <c r="F200" s="116" t="s">
        <v>48</v>
      </c>
      <c r="G200" s="117"/>
      <c r="H200" s="117"/>
      <c r="I200" s="117"/>
      <c r="J200" s="117"/>
      <c r="K200" s="117"/>
      <c r="L200" s="5"/>
      <c r="M200" s="5"/>
      <c r="N200" s="5"/>
      <c r="O200" s="5"/>
      <c r="P200" s="5"/>
      <c r="Q200" s="5"/>
      <c r="R200" s="5"/>
    </row>
    <row r="201" spans="1:18" customFormat="1" outlineLevel="1" x14ac:dyDescent="0.35">
      <c r="A201" s="1"/>
      <c r="B201" s="1"/>
      <c r="C201" s="5" t="s">
        <v>54</v>
      </c>
      <c r="D201" s="5" t="s">
        <v>17</v>
      </c>
      <c r="E201" s="5"/>
      <c r="F201" s="118" t="s">
        <v>53</v>
      </c>
      <c r="G201" s="137">
        <f>G202+$F$201</f>
        <v>2.1954948084167966E-2</v>
      </c>
      <c r="H201" s="137">
        <f t="shared" ref="H201:K201" si="62">H202+$F$201</f>
        <v>2.1954948084167966E-2</v>
      </c>
      <c r="I201" s="137">
        <f t="shared" si="62"/>
        <v>2.1954948084167966E-2</v>
      </c>
      <c r="J201" s="137">
        <f t="shared" si="62"/>
        <v>2.1954948084167966E-2</v>
      </c>
      <c r="K201" s="137">
        <f t="shared" si="62"/>
        <v>2.1954948084167966E-2</v>
      </c>
      <c r="L201" s="5"/>
      <c r="M201" s="5"/>
      <c r="N201" s="5"/>
      <c r="O201" s="5" t="s">
        <v>17</v>
      </c>
      <c r="P201" s="5" t="s">
        <v>17</v>
      </c>
      <c r="Q201" s="5"/>
      <c r="R201" s="5"/>
    </row>
    <row r="202" spans="1:18" customFormat="1" outlineLevel="1" x14ac:dyDescent="0.35">
      <c r="A202" s="1"/>
      <c r="B202" s="1"/>
      <c r="C202" s="5" t="s">
        <v>11</v>
      </c>
      <c r="D202" s="5"/>
      <c r="E202" s="5"/>
      <c r="F202" s="116" t="s">
        <v>56</v>
      </c>
      <c r="G202" s="138">
        <v>3.1954948084167968E-2</v>
      </c>
      <c r="H202" s="138">
        <v>3.1954948084167968E-2</v>
      </c>
      <c r="I202" s="138">
        <v>3.1954948084167968E-2</v>
      </c>
      <c r="J202" s="138">
        <v>3.1954948084167968E-2</v>
      </c>
      <c r="K202" s="138">
        <v>3.1954948084167968E-2</v>
      </c>
      <c r="L202" s="5"/>
      <c r="M202" s="5"/>
      <c r="N202" s="5"/>
      <c r="O202" s="5"/>
      <c r="P202" s="5"/>
      <c r="Q202" s="5"/>
      <c r="R202" s="5"/>
    </row>
    <row r="203" spans="1:18" customFormat="1" ht="15" outlineLevel="1" thickBot="1" x14ac:dyDescent="0.4">
      <c r="A203" s="1"/>
      <c r="B203" s="1"/>
      <c r="C203" s="5" t="s">
        <v>57</v>
      </c>
      <c r="D203" s="5"/>
      <c r="E203" s="5"/>
      <c r="F203" s="119" t="s">
        <v>59</v>
      </c>
      <c r="G203" s="137">
        <f>G202+$F$203</f>
        <v>4.195494808416797E-2</v>
      </c>
      <c r="H203" s="137">
        <f t="shared" ref="H203:K203" si="63">H202+$F$203</f>
        <v>4.195494808416797E-2</v>
      </c>
      <c r="I203" s="137">
        <f t="shared" si="63"/>
        <v>4.195494808416797E-2</v>
      </c>
      <c r="J203" s="137">
        <f t="shared" si="63"/>
        <v>4.195494808416797E-2</v>
      </c>
      <c r="K203" s="137">
        <f t="shared" si="63"/>
        <v>4.195494808416797E-2</v>
      </c>
      <c r="L203" s="5"/>
      <c r="M203" s="5"/>
      <c r="N203" s="5"/>
      <c r="O203" s="5"/>
      <c r="P203" s="5"/>
      <c r="Q203" s="5"/>
      <c r="R203" s="5"/>
    </row>
    <row r="205" spans="1:18" ht="15.5" x14ac:dyDescent="0.35">
      <c r="A205" s="1" t="s">
        <v>0</v>
      </c>
      <c r="C205" s="179" t="s">
        <v>63</v>
      </c>
      <c r="D205" s="11"/>
      <c r="E205" s="11"/>
      <c r="F205" s="11"/>
      <c r="G205" s="11"/>
      <c r="H205" s="11"/>
      <c r="I205" s="11"/>
      <c r="J205" s="11"/>
      <c r="K205" s="11"/>
    </row>
    <row r="206" spans="1:18" outlineLevel="1" x14ac:dyDescent="0.35">
      <c r="C206" s="182" t="str">
        <f t="shared" ref="C206:K206" si="64">C15</f>
        <v xml:space="preserve">Fiscal year  </v>
      </c>
      <c r="D206" s="34">
        <f t="shared" si="64"/>
        <v>2021</v>
      </c>
      <c r="E206" s="34">
        <f t="shared" si="64"/>
        <v>2022</v>
      </c>
      <c r="F206" s="34">
        <f t="shared" si="64"/>
        <v>2023</v>
      </c>
      <c r="G206" s="34">
        <f t="shared" si="64"/>
        <v>2024</v>
      </c>
      <c r="H206" s="34">
        <f t="shared" si="64"/>
        <v>2025</v>
      </c>
      <c r="I206" s="34">
        <f t="shared" si="64"/>
        <v>2026</v>
      </c>
      <c r="J206" s="34">
        <f t="shared" si="64"/>
        <v>2027</v>
      </c>
      <c r="K206" s="34">
        <f t="shared" si="64"/>
        <v>2028</v>
      </c>
    </row>
    <row r="207" spans="1:18" outlineLevel="1" x14ac:dyDescent="0.35">
      <c r="C207" s="15" t="str">
        <f t="shared" ref="C207:K207" si="65">C16</f>
        <v>Fiscal year end date</v>
      </c>
      <c r="D207" s="36">
        <f t="shared" si="65"/>
        <v>44561</v>
      </c>
      <c r="E207" s="36">
        <f t="shared" si="65"/>
        <v>44926</v>
      </c>
      <c r="F207" s="36">
        <f t="shared" si="65"/>
        <v>45291</v>
      </c>
      <c r="G207" s="36">
        <f t="shared" si="65"/>
        <v>45657</v>
      </c>
      <c r="H207" s="36">
        <f t="shared" si="65"/>
        <v>46022</v>
      </c>
      <c r="I207" s="36">
        <f t="shared" si="65"/>
        <v>46387</v>
      </c>
      <c r="J207" s="36">
        <f t="shared" si="65"/>
        <v>46752</v>
      </c>
      <c r="K207" s="36">
        <f t="shared" si="65"/>
        <v>47118</v>
      </c>
    </row>
    <row r="208" spans="1:18" outlineLevel="1" x14ac:dyDescent="0.35">
      <c r="G208" s="32"/>
      <c r="H208" s="32"/>
      <c r="I208" s="32"/>
      <c r="J208" s="31"/>
      <c r="K208" s="31"/>
    </row>
    <row r="209" spans="2:11" outlineLevel="1" x14ac:dyDescent="0.35">
      <c r="C209" s="1" t="s">
        <v>111</v>
      </c>
      <c r="D209" s="157">
        <f t="shared" ref="D209:K209" si="66">D39</f>
        <v>1402</v>
      </c>
      <c r="E209" s="157">
        <f t="shared" si="66"/>
        <v>3636</v>
      </c>
      <c r="F209" s="157">
        <f t="shared" si="66"/>
        <v>2085</v>
      </c>
      <c r="G209" s="158">
        <f t="shared" ca="1" si="66"/>
        <v>1875.4385715647222</v>
      </c>
      <c r="H209" s="158">
        <f t="shared" ca="1" si="66"/>
        <v>2830.7331953488024</v>
      </c>
      <c r="I209" s="158">
        <f t="shared" ca="1" si="66"/>
        <v>3196.4097467519359</v>
      </c>
      <c r="J209" s="158">
        <f t="shared" ca="1" si="66"/>
        <v>3133.313498092949</v>
      </c>
      <c r="K209" s="158">
        <f t="shared" ca="1" si="66"/>
        <v>3181.0710286616668</v>
      </c>
    </row>
    <row r="210" spans="2:11" outlineLevel="1" x14ac:dyDescent="0.35">
      <c r="B210" s="1" t="s">
        <v>0</v>
      </c>
      <c r="C210" s="1" t="s">
        <v>165</v>
      </c>
      <c r="D210" s="164">
        <v>260.39999999999998</v>
      </c>
      <c r="E210" s="164">
        <v>253.6</v>
      </c>
      <c r="F210" s="164">
        <v>259.89999999999998</v>
      </c>
      <c r="G210" s="166">
        <f>D11</f>
        <v>269.51512400000001</v>
      </c>
      <c r="H210" s="77">
        <f ca="1">G212</f>
        <v>270.59693224345455</v>
      </c>
      <c r="I210" s="77">
        <f t="shared" ref="I210:K210" ca="1" si="67">H212</f>
        <v>271.39221876781897</v>
      </c>
      <c r="J210" s="77">
        <f t="shared" ca="1" si="67"/>
        <v>272.14311895183408</v>
      </c>
      <c r="K210" s="77">
        <f t="shared" ca="1" si="67"/>
        <v>272.95442223652304</v>
      </c>
    </row>
    <row r="211" spans="2:11" outlineLevel="1" x14ac:dyDescent="0.35">
      <c r="C211" s="1" t="s">
        <v>166</v>
      </c>
      <c r="D211" s="26"/>
      <c r="E211" s="26"/>
      <c r="F211" s="26"/>
      <c r="G211" s="77">
        <f ca="1">G219/G220</f>
        <v>1.0818082434545508</v>
      </c>
      <c r="H211" s="77">
        <f ca="1">H219/H220</f>
        <v>0.79528652436444758</v>
      </c>
      <c r="I211" s="77">
        <f t="shared" ref="I211:K211" ca="1" si="68">I219/I220</f>
        <v>0.75090018401510694</v>
      </c>
      <c r="J211" s="77">
        <f t="shared" ca="1" si="68"/>
        <v>0.81130328468897495</v>
      </c>
      <c r="K211" s="77">
        <f t="shared" ca="1" si="68"/>
        <v>0.846287368006715</v>
      </c>
    </row>
    <row r="212" spans="2:11" outlineLevel="1" x14ac:dyDescent="0.35">
      <c r="C212" s="1" t="s">
        <v>167</v>
      </c>
      <c r="D212" s="26"/>
      <c r="E212" s="26" t="s">
        <v>17</v>
      </c>
      <c r="F212" s="26"/>
      <c r="G212" s="77">
        <f ca="1">SUM(G210:G211)</f>
        <v>270.59693224345455</v>
      </c>
      <c r="H212" s="77">
        <f t="shared" ref="H212:K212" ca="1" si="69">SUM(H210:H211)</f>
        <v>271.39221876781897</v>
      </c>
      <c r="I212" s="77">
        <f t="shared" ca="1" si="69"/>
        <v>272.14311895183408</v>
      </c>
      <c r="J212" s="77">
        <f t="shared" ca="1" si="69"/>
        <v>272.95442223652304</v>
      </c>
      <c r="K212" s="77">
        <f t="shared" ca="1" si="69"/>
        <v>273.80070960452974</v>
      </c>
    </row>
    <row r="213" spans="2:11" outlineLevel="1" x14ac:dyDescent="0.35">
      <c r="C213" s="1" t="s">
        <v>168</v>
      </c>
      <c r="G213" s="97">
        <f ca="1">AVERAGE(G210,G212)</f>
        <v>270.05602812172731</v>
      </c>
      <c r="H213" s="97">
        <f t="shared" ref="H213:K213" ca="1" si="70">AVERAGE(H210,H212)</f>
        <v>270.99457550563676</v>
      </c>
      <c r="I213" s="97">
        <f t="shared" ca="1" si="70"/>
        <v>271.76766885982653</v>
      </c>
      <c r="J213" s="97">
        <f t="shared" ca="1" si="70"/>
        <v>272.54877059417856</v>
      </c>
      <c r="K213" s="97">
        <f t="shared" ca="1" si="70"/>
        <v>273.37756592052642</v>
      </c>
    </row>
    <row r="214" spans="2:11" outlineLevel="1" x14ac:dyDescent="0.35">
      <c r="C214" s="23" t="s">
        <v>64</v>
      </c>
      <c r="D214" s="159">
        <f>D209/D210</f>
        <v>5.3840245775729647</v>
      </c>
      <c r="E214" s="159">
        <f>E209/E210</f>
        <v>14.337539432176657</v>
      </c>
      <c r="F214" s="159">
        <f>F209/F210</f>
        <v>8.0223162754905744</v>
      </c>
      <c r="G214" s="160">
        <f ca="1">G209/G213</f>
        <v>6.944627693033282</v>
      </c>
      <c r="H214" s="160">
        <f t="shared" ref="H214:J214" ca="1" si="71">H209/H213</f>
        <v>10.445719033552841</v>
      </c>
      <c r="I214" s="160">
        <f t="shared" ca="1" si="71"/>
        <v>11.761552653272357</v>
      </c>
      <c r="J214" s="160">
        <f t="shared" ca="1" si="71"/>
        <v>11.496340604516652</v>
      </c>
      <c r="K214" s="160">
        <f ca="1">K209/K213</f>
        <v>11.636181696000746</v>
      </c>
    </row>
    <row r="215" spans="2:11" outlineLevel="1" x14ac:dyDescent="0.35">
      <c r="D215" s="22"/>
      <c r="E215" s="22"/>
      <c r="F215" s="22"/>
      <c r="G215" s="26" t="s">
        <v>17</v>
      </c>
    </row>
    <row r="216" spans="2:11" outlineLevel="1" x14ac:dyDescent="0.35">
      <c r="B216" s="1" t="s">
        <v>0</v>
      </c>
      <c r="C216" s="1" t="s">
        <v>65</v>
      </c>
      <c r="D216" s="164">
        <v>266.39999999999998</v>
      </c>
      <c r="E216" s="164">
        <v>258.39999999999998</v>
      </c>
      <c r="F216" s="164">
        <v>263.89999999999998</v>
      </c>
      <c r="G216" s="97">
        <f ca="1">F216-F210+G213</f>
        <v>274.05602812172731</v>
      </c>
      <c r="H216" s="97">
        <f ca="1">H213+G216-G213</f>
        <v>274.99457550563682</v>
      </c>
      <c r="I216" s="97">
        <f ca="1">I213+H216-H213</f>
        <v>275.76766885982664</v>
      </c>
      <c r="J216" s="97">
        <f t="shared" ref="J216" ca="1" si="72">J213+I216-I213</f>
        <v>276.54877059417862</v>
      </c>
      <c r="K216" s="97">
        <f ca="1">K213+J216-J213</f>
        <v>277.37756592052654</v>
      </c>
    </row>
    <row r="217" spans="2:11" outlineLevel="1" x14ac:dyDescent="0.35">
      <c r="C217" s="23" t="s">
        <v>66</v>
      </c>
      <c r="D217" s="159">
        <f>D209/D216</f>
        <v>5.2627627627627636</v>
      </c>
      <c r="E217" s="159">
        <f t="shared" ref="E217:F217" si="73">E209/E216</f>
        <v>14.071207430340559</v>
      </c>
      <c r="F217" s="159">
        <f t="shared" si="73"/>
        <v>7.900719969685488</v>
      </c>
      <c r="G217" s="161">
        <f ca="1">G209/G216</f>
        <v>6.8432669933160888</v>
      </c>
      <c r="H217" s="161">
        <f t="shared" ref="H217:K217" ca="1" si="74">H209/H216</f>
        <v>10.293778305058888</v>
      </c>
      <c r="I217" s="161">
        <f t="shared" ca="1" si="74"/>
        <v>11.590951760108901</v>
      </c>
      <c r="J217" s="161">
        <f t="shared" ca="1" si="74"/>
        <v>11.330057592955018</v>
      </c>
      <c r="K217" s="161">
        <f t="shared" ca="1" si="74"/>
        <v>11.468378915593695</v>
      </c>
    </row>
    <row r="218" spans="2:11" outlineLevel="1" x14ac:dyDescent="0.35">
      <c r="G218" s="153"/>
    </row>
    <row r="219" spans="2:11" outlineLevel="1" x14ac:dyDescent="0.35">
      <c r="B219" s="1" t="s">
        <v>0</v>
      </c>
      <c r="C219" s="1" t="s">
        <v>169</v>
      </c>
      <c r="G219" s="97">
        <f ca="1">G42</f>
        <v>41.590299999999999</v>
      </c>
      <c r="H219" s="97">
        <f ca="1">H42</f>
        <v>43.162413340000001</v>
      </c>
      <c r="I219" s="97">
        <f ca="1">I42</f>
        <v>45.704679485725997</v>
      </c>
      <c r="J219" s="97">
        <f ca="1">J42</f>
        <v>48.396685107435253</v>
      </c>
      <c r="K219" s="97">
        <f ca="1">K42</f>
        <v>51.247249860263189</v>
      </c>
    </row>
    <row r="220" spans="2:11" outlineLevel="1" x14ac:dyDescent="0.35">
      <c r="C220" s="1" t="s">
        <v>170</v>
      </c>
      <c r="E220" s="1" t="s">
        <v>17</v>
      </c>
      <c r="F220" s="163">
        <v>43</v>
      </c>
      <c r="G220" s="154">
        <f ca="1">F220+(F220*G221)</f>
        <v>38.44516831115024</v>
      </c>
      <c r="H220" s="154">
        <f t="shared" ref="H220:J220" ca="1" si="75">G220+(G220*H221)</f>
        <v>54.272783478247916</v>
      </c>
      <c r="I220" s="154">
        <f t="shared" ca="1" si="75"/>
        <v>60.866517892352107</v>
      </c>
      <c r="J220" s="154">
        <f t="shared" ca="1" si="75"/>
        <v>59.653012653571146</v>
      </c>
      <c r="K220" s="154">
        <f ca="1">J220+(J220*K221)</f>
        <v>60.555376102289358</v>
      </c>
    </row>
    <row r="221" spans="2:11" outlineLevel="1" x14ac:dyDescent="0.35">
      <c r="C221" s="1" t="s">
        <v>171</v>
      </c>
      <c r="E221" s="1" t="s">
        <v>17</v>
      </c>
      <c r="F221" s="1" t="s">
        <v>17</v>
      </c>
      <c r="G221" s="156">
        <f ca="1">G224</f>
        <v>-0.10592631834534316</v>
      </c>
      <c r="H221" s="156">
        <f t="shared" ref="H221:K221" ca="1" si="76">H224</f>
        <v>0.41169322082294535</v>
      </c>
      <c r="I221" s="156">
        <f t="shared" ca="1" si="76"/>
        <v>0.12149246807558534</v>
      </c>
      <c r="J221" s="156">
        <f t="shared" ca="1" si="76"/>
        <v>-1.993715561200915E-2</v>
      </c>
      <c r="K221" s="156">
        <f t="shared" ca="1" si="76"/>
        <v>1.5126871361193395E-2</v>
      </c>
    </row>
    <row r="222" spans="2:11" outlineLevel="1" x14ac:dyDescent="0.35"/>
    <row r="223" spans="2:11" outlineLevel="1" x14ac:dyDescent="0.35">
      <c r="B223" s="1" t="s">
        <v>0</v>
      </c>
      <c r="C223" s="23" t="s">
        <v>111</v>
      </c>
      <c r="D223" s="87">
        <f t="shared" ref="D223:K223" si="77">D39</f>
        <v>1402</v>
      </c>
      <c r="E223" s="87">
        <f t="shared" si="77"/>
        <v>3636</v>
      </c>
      <c r="F223" s="87">
        <f t="shared" si="77"/>
        <v>2085</v>
      </c>
      <c r="G223" s="80">
        <f t="shared" ca="1" si="77"/>
        <v>1875.4385715647222</v>
      </c>
      <c r="H223" s="80">
        <f t="shared" ca="1" si="77"/>
        <v>2830.7331953488024</v>
      </c>
      <c r="I223" s="80">
        <f t="shared" ca="1" si="77"/>
        <v>3196.4097467519359</v>
      </c>
      <c r="J223" s="80">
        <f t="shared" ca="1" si="77"/>
        <v>3133.313498092949</v>
      </c>
      <c r="K223" s="80">
        <f t="shared" ca="1" si="77"/>
        <v>3181.0710286616668</v>
      </c>
    </row>
    <row r="224" spans="2:11" outlineLevel="1" x14ac:dyDescent="0.35">
      <c r="C224" s="25" t="s">
        <v>172</v>
      </c>
      <c r="E224" s="155">
        <f>(LN(E223)-LN(D223))</f>
        <v>0.95298438770283411</v>
      </c>
      <c r="F224" s="155">
        <f t="shared" ref="F224:K224" si="78">(LN(F223)-LN(E223))</f>
        <v>-0.55611532106446759</v>
      </c>
      <c r="G224" s="174">
        <f t="shared" ca="1" si="78"/>
        <v>-0.10592631834534316</v>
      </c>
      <c r="H224" s="174">
        <f t="shared" ca="1" si="78"/>
        <v>0.41169322082294535</v>
      </c>
      <c r="I224" s="174">
        <f t="shared" ca="1" si="78"/>
        <v>0.12149246807558534</v>
      </c>
      <c r="J224" s="174">
        <f t="shared" ca="1" si="78"/>
        <v>-1.993715561200915E-2</v>
      </c>
      <c r="K224" s="174">
        <f t="shared" ca="1" si="78"/>
        <v>1.5126871361193395E-2</v>
      </c>
    </row>
    <row r="226" spans="1:11" ht="15.5" x14ac:dyDescent="0.35">
      <c r="A226" s="1" t="s">
        <v>0</v>
      </c>
      <c r="C226" s="191" t="s">
        <v>69</v>
      </c>
      <c r="D226" s="172"/>
      <c r="H226" s="172"/>
      <c r="J226" s="172"/>
    </row>
    <row r="227" spans="1:11" x14ac:dyDescent="0.35">
      <c r="C227" s="182" t="str">
        <f>C15</f>
        <v xml:space="preserve">Fiscal year  </v>
      </c>
      <c r="D227" s="34"/>
      <c r="E227" s="173">
        <f t="shared" ref="E227:K228" si="79">E15</f>
        <v>2022</v>
      </c>
      <c r="F227" s="173">
        <f t="shared" si="79"/>
        <v>2023</v>
      </c>
      <c r="G227" s="173">
        <f t="shared" si="79"/>
        <v>2024</v>
      </c>
      <c r="H227" s="34">
        <f t="shared" si="79"/>
        <v>2025</v>
      </c>
      <c r="I227" s="173">
        <f t="shared" si="79"/>
        <v>2026</v>
      </c>
      <c r="J227" s="34">
        <f t="shared" si="79"/>
        <v>2027</v>
      </c>
      <c r="K227" s="173">
        <f t="shared" si="79"/>
        <v>2028</v>
      </c>
    </row>
    <row r="228" spans="1:11" x14ac:dyDescent="0.35">
      <c r="C228" s="175" t="str">
        <f>C16</f>
        <v>Fiscal year end date</v>
      </c>
      <c r="D228" s="36"/>
      <c r="E228" s="36">
        <f t="shared" si="79"/>
        <v>44926</v>
      </c>
      <c r="F228" s="36">
        <f t="shared" si="79"/>
        <v>45291</v>
      </c>
      <c r="G228" s="36">
        <f t="shared" si="79"/>
        <v>45657</v>
      </c>
      <c r="H228" s="36">
        <f t="shared" si="79"/>
        <v>46022</v>
      </c>
      <c r="I228" s="36">
        <f t="shared" si="79"/>
        <v>46387</v>
      </c>
      <c r="J228" s="36">
        <f t="shared" si="79"/>
        <v>46752</v>
      </c>
      <c r="K228" s="36">
        <f t="shared" si="79"/>
        <v>47118</v>
      </c>
    </row>
    <row r="230" spans="1:11" x14ac:dyDescent="0.35">
      <c r="B230" s="1" t="s">
        <v>0</v>
      </c>
      <c r="C230" s="108" t="s">
        <v>72</v>
      </c>
    </row>
    <row r="231" spans="1:11" x14ac:dyDescent="0.35">
      <c r="C231" s="111" t="s">
        <v>73</v>
      </c>
      <c r="G231" s="87"/>
      <c r="H231" s="87"/>
      <c r="I231" s="87"/>
      <c r="J231" s="87"/>
      <c r="K231" s="87"/>
    </row>
    <row r="232" spans="1:11" x14ac:dyDescent="0.35">
      <c r="C232" s="1" t="s">
        <v>80</v>
      </c>
      <c r="E232" s="87">
        <v>10151</v>
      </c>
      <c r="F232" s="87">
        <v>7778</v>
      </c>
      <c r="G232" s="77"/>
      <c r="H232" s="77"/>
      <c r="I232" s="77"/>
      <c r="J232" s="77"/>
      <c r="K232" s="77"/>
    </row>
    <row r="233" spans="1:11" x14ac:dyDescent="0.35">
      <c r="C233" s="1" t="s">
        <v>81</v>
      </c>
      <c r="E233" s="26">
        <v>4107</v>
      </c>
      <c r="F233" s="26">
        <v>2876</v>
      </c>
      <c r="G233" s="77"/>
      <c r="H233" s="77"/>
      <c r="I233" s="77"/>
      <c r="J233" s="77"/>
      <c r="K233" s="77"/>
    </row>
    <row r="234" spans="1:11" x14ac:dyDescent="0.35">
      <c r="C234" s="1" t="s">
        <v>70</v>
      </c>
      <c r="E234" s="26">
        <v>5</v>
      </c>
      <c r="F234" s="26">
        <v>7</v>
      </c>
      <c r="G234" s="77"/>
      <c r="H234" s="77"/>
      <c r="I234" s="77"/>
      <c r="J234" s="77"/>
      <c r="K234" s="77"/>
    </row>
    <row r="235" spans="1:11" x14ac:dyDescent="0.35">
      <c r="C235" s="25"/>
      <c r="E235" s="26"/>
      <c r="F235" s="26"/>
      <c r="G235" s="26" t="s">
        <v>17</v>
      </c>
      <c r="H235" s="26"/>
      <c r="I235" s="26"/>
      <c r="J235" s="26"/>
      <c r="K235" s="26"/>
    </row>
    <row r="236" spans="1:11" x14ac:dyDescent="0.35">
      <c r="C236" s="1" t="s">
        <v>74</v>
      </c>
      <c r="E236" s="26">
        <v>-1867</v>
      </c>
      <c r="F236" s="26">
        <v>151</v>
      </c>
      <c r="G236" s="77"/>
      <c r="H236" s="77"/>
      <c r="I236" s="77"/>
      <c r="J236" s="77"/>
      <c r="K236" s="77"/>
    </row>
    <row r="237" spans="1:11" x14ac:dyDescent="0.35">
      <c r="C237" s="1" t="s">
        <v>75</v>
      </c>
      <c r="E237" s="26">
        <v>68</v>
      </c>
      <c r="F237" s="26">
        <v>71</v>
      </c>
      <c r="G237" s="81"/>
      <c r="H237" s="81"/>
      <c r="I237" s="81"/>
      <c r="J237" s="81"/>
      <c r="K237" s="81"/>
    </row>
    <row r="238" spans="1:11" x14ac:dyDescent="0.35">
      <c r="C238" s="23" t="s">
        <v>93</v>
      </c>
      <c r="E238" s="74">
        <f>SUM(E232:E234,E236:E237)</f>
        <v>12464</v>
      </c>
      <c r="F238" s="74">
        <f>SUM(F232:F234,F236:F237)</f>
        <v>10883</v>
      </c>
      <c r="G238" s="176"/>
      <c r="H238" s="176"/>
      <c r="I238" s="176"/>
      <c r="J238" s="176"/>
      <c r="K238" s="176"/>
    </row>
    <row r="239" spans="1:11" x14ac:dyDescent="0.35">
      <c r="C239" s="61" t="s">
        <v>71</v>
      </c>
      <c r="E239" s="96"/>
      <c r="F239" s="96">
        <f>(LN(F238)-LN(E238))</f>
        <v>-0.13564255041446671</v>
      </c>
      <c r="G239" s="177"/>
      <c r="H239" s="177"/>
      <c r="I239" s="177"/>
      <c r="J239" s="177"/>
      <c r="K239" s="177"/>
    </row>
    <row r="240" spans="1:11" x14ac:dyDescent="0.35">
      <c r="G240" s="1" t="s">
        <v>17</v>
      </c>
    </row>
    <row r="241" spans="2:11" x14ac:dyDescent="0.35">
      <c r="B241" s="1" t="s">
        <v>0</v>
      </c>
      <c r="C241" s="30" t="s">
        <v>80</v>
      </c>
    </row>
    <row r="242" spans="2:11" x14ac:dyDescent="0.35">
      <c r="C242" s="27" t="s">
        <v>76</v>
      </c>
      <c r="E242" s="26">
        <v>4526</v>
      </c>
      <c r="F242" s="26">
        <v>4434</v>
      </c>
      <c r="G242" s="77"/>
      <c r="H242" s="77"/>
      <c r="I242" s="77"/>
      <c r="J242" s="77"/>
      <c r="K242" s="77"/>
    </row>
    <row r="243" spans="2:11" x14ac:dyDescent="0.35">
      <c r="C243" s="27" t="s">
        <v>77</v>
      </c>
      <c r="E243" s="26">
        <v>1422</v>
      </c>
      <c r="F243" s="26">
        <v>1104</v>
      </c>
      <c r="G243" s="77"/>
      <c r="H243" s="77"/>
      <c r="I243" s="77"/>
      <c r="J243" s="77"/>
      <c r="K243" s="77"/>
    </row>
    <row r="244" spans="2:11" x14ac:dyDescent="0.35">
      <c r="C244" s="1" t="s">
        <v>78</v>
      </c>
      <c r="E244" s="26">
        <v>981</v>
      </c>
      <c r="F244" s="26">
        <v>595</v>
      </c>
      <c r="G244" s="77"/>
      <c r="H244" s="77"/>
      <c r="I244" s="77"/>
      <c r="J244" s="77"/>
      <c r="K244" s="77"/>
    </row>
    <row r="245" spans="2:11" x14ac:dyDescent="0.35">
      <c r="C245" s="1" t="s">
        <v>79</v>
      </c>
      <c r="E245" s="26">
        <v>3213</v>
      </c>
      <c r="F245" s="40">
        <v>1644</v>
      </c>
      <c r="G245" s="77"/>
      <c r="H245" s="77"/>
      <c r="I245" s="77"/>
      <c r="J245" s="77"/>
      <c r="K245" s="77"/>
    </row>
    <row r="246" spans="2:11" x14ac:dyDescent="0.35">
      <c r="C246" s="23" t="s">
        <v>93</v>
      </c>
      <c r="D246" s="23"/>
      <c r="E246" s="74">
        <f>SUM(E242:E245)</f>
        <v>10142</v>
      </c>
      <c r="F246" s="74">
        <f>SUM(F242:F245)</f>
        <v>7777</v>
      </c>
      <c r="G246" s="177" t="s">
        <v>17</v>
      </c>
      <c r="H246" s="177"/>
      <c r="I246" s="177"/>
      <c r="J246" s="177"/>
      <c r="K246" s="177"/>
    </row>
    <row r="247" spans="2:11" x14ac:dyDescent="0.35">
      <c r="C247" s="61" t="s">
        <v>71</v>
      </c>
      <c r="F247" s="96">
        <f>(LN(F246)-LN(E246))</f>
        <v>-0.26551455766002086</v>
      </c>
      <c r="G247" s="177"/>
      <c r="H247" s="177"/>
      <c r="I247" s="177"/>
      <c r="J247" s="177"/>
      <c r="K247" s="177"/>
    </row>
    <row r="249" spans="2:11" x14ac:dyDescent="0.35">
      <c r="C249" s="27" t="s">
        <v>82</v>
      </c>
      <c r="F249" s="96">
        <f>(LN(F242)-LN(E242))</f>
        <v>-2.0536436017227544E-2</v>
      </c>
      <c r="G249" s="177"/>
      <c r="H249" s="177"/>
      <c r="I249" s="177" t="s">
        <v>17</v>
      </c>
      <c r="J249" s="177"/>
      <c r="K249" s="177"/>
    </row>
    <row r="250" spans="2:11" x14ac:dyDescent="0.35">
      <c r="C250" s="27" t="s">
        <v>83</v>
      </c>
      <c r="F250" s="96">
        <f t="shared" ref="F250:F252" si="80">(LN(F243)-LN(E243))</f>
        <v>-0.25312438352614564</v>
      </c>
      <c r="G250" s="177"/>
      <c r="H250" s="177"/>
      <c r="I250" s="177"/>
      <c r="J250" s="177"/>
      <c r="K250" s="177"/>
    </row>
    <row r="251" spans="2:11" x14ac:dyDescent="0.35">
      <c r="C251" s="27" t="s">
        <v>84</v>
      </c>
      <c r="F251" s="96">
        <f t="shared" si="80"/>
        <v>-0.50001105401973334</v>
      </c>
      <c r="G251" s="177"/>
      <c r="H251" s="177"/>
      <c r="I251" s="177"/>
      <c r="J251" s="177"/>
      <c r="K251" s="177"/>
    </row>
    <row r="252" spans="2:11" x14ac:dyDescent="0.35">
      <c r="C252" s="27" t="s">
        <v>85</v>
      </c>
      <c r="F252" s="96">
        <f t="shared" si="80"/>
        <v>-0.67007278349973287</v>
      </c>
      <c r="G252" s="177"/>
      <c r="H252" s="177"/>
      <c r="I252" s="177"/>
      <c r="J252" s="177"/>
      <c r="K252" s="177"/>
    </row>
    <row r="254" spans="2:11" x14ac:dyDescent="0.35">
      <c r="B254" s="1" t="s">
        <v>0</v>
      </c>
      <c r="C254" s="30" t="s">
        <v>86</v>
      </c>
    </row>
    <row r="255" spans="2:11" x14ac:dyDescent="0.35">
      <c r="C255" s="17" t="s">
        <v>92</v>
      </c>
    </row>
    <row r="256" spans="2:11" x14ac:dyDescent="0.35">
      <c r="C256" s="1" t="s">
        <v>87</v>
      </c>
      <c r="E256" s="26">
        <v>-594</v>
      </c>
      <c r="F256" s="26">
        <v>-24</v>
      </c>
      <c r="G256" s="177"/>
      <c r="H256" s="177"/>
      <c r="I256" s="177"/>
      <c r="J256" s="177"/>
      <c r="K256" s="177"/>
    </row>
    <row r="257" spans="3:11" x14ac:dyDescent="0.35">
      <c r="C257" s="27" t="s">
        <v>88</v>
      </c>
      <c r="E257" s="26">
        <v>-125</v>
      </c>
      <c r="F257" s="26">
        <v>1</v>
      </c>
      <c r="G257" s="177"/>
      <c r="H257" s="177"/>
      <c r="I257" s="177"/>
      <c r="J257" s="177"/>
      <c r="K257" s="177"/>
    </row>
    <row r="258" spans="3:11" x14ac:dyDescent="0.35">
      <c r="C258" s="1" t="s">
        <v>89</v>
      </c>
      <c r="E258" s="26">
        <v>0</v>
      </c>
      <c r="F258" s="26">
        <v>0</v>
      </c>
      <c r="G258" s="177"/>
      <c r="H258" s="177"/>
      <c r="I258" s="177"/>
      <c r="J258" s="177"/>
      <c r="K258" s="177"/>
    </row>
    <row r="259" spans="3:11" x14ac:dyDescent="0.35">
      <c r="C259" s="1" t="s">
        <v>90</v>
      </c>
      <c r="E259" s="178">
        <v>-1895</v>
      </c>
      <c r="F259" s="26">
        <v>-21</v>
      </c>
      <c r="G259" s="177"/>
      <c r="H259" s="177"/>
      <c r="I259" s="177"/>
      <c r="J259" s="177"/>
      <c r="K259" s="177"/>
    </row>
    <row r="261" spans="3:11" x14ac:dyDescent="0.35">
      <c r="C261" s="1" t="s">
        <v>91</v>
      </c>
      <c r="E261" s="1">
        <v>6</v>
      </c>
      <c r="F261" s="1">
        <v>1</v>
      </c>
      <c r="G261" s="177"/>
      <c r="H261" s="177"/>
      <c r="I261" s="177"/>
      <c r="J261" s="177"/>
      <c r="K261" s="177"/>
    </row>
    <row r="262" spans="3:11" x14ac:dyDescent="0.35">
      <c r="C262" s="23" t="s">
        <v>94</v>
      </c>
      <c r="E262" s="74">
        <f>SUM(E256:E259,E261)</f>
        <v>-2608</v>
      </c>
      <c r="F262" s="74">
        <f>SUM(F256:F259,F261)</f>
        <v>-43</v>
      </c>
      <c r="G262" s="177"/>
      <c r="H262" s="177"/>
      <c r="I262" s="177"/>
      <c r="J262" s="177"/>
      <c r="K262" s="177"/>
    </row>
    <row r="264" spans="3:11" x14ac:dyDescent="0.35">
      <c r="C264" s="1" t="s">
        <v>95</v>
      </c>
      <c r="E264" s="1">
        <v>741</v>
      </c>
      <c r="F264" s="1">
        <v>194</v>
      </c>
      <c r="G264" s="177"/>
      <c r="H264" s="177"/>
      <c r="I264" s="177"/>
      <c r="J264" s="177"/>
      <c r="K264" s="177"/>
    </row>
    <row r="265" spans="3:11" x14ac:dyDescent="0.35">
      <c r="C265" s="23" t="s">
        <v>96</v>
      </c>
      <c r="E265" s="74">
        <f>E262+E264</f>
        <v>-1867</v>
      </c>
      <c r="F265" s="74">
        <f>F262+F264</f>
        <v>151</v>
      </c>
      <c r="G265" s="177"/>
      <c r="H265" s="177"/>
      <c r="I265" s="177"/>
      <c r="J265" s="177"/>
      <c r="K265" s="177"/>
    </row>
    <row r="266" spans="3:11" x14ac:dyDescent="0.35">
      <c r="C266" s="61" t="s">
        <v>71</v>
      </c>
      <c r="F266" s="96">
        <f>-1*(F265/E265-1)</f>
        <v>1.0808784145688271</v>
      </c>
      <c r="G266" s="177"/>
      <c r="H266" s="177"/>
      <c r="I266" s="177"/>
      <c r="J266" s="177"/>
      <c r="K266" s="177"/>
    </row>
    <row r="268" spans="3:11" x14ac:dyDescent="0.35">
      <c r="C268" s="27" t="s">
        <v>82</v>
      </c>
      <c r="F268" s="96">
        <f>-1*(F256/E256-1)</f>
        <v>0.95959595959595956</v>
      </c>
      <c r="G268" s="177"/>
      <c r="H268" s="177"/>
      <c r="I268" s="177"/>
      <c r="J268" s="177"/>
      <c r="K268" s="177"/>
    </row>
    <row r="269" spans="3:11" x14ac:dyDescent="0.35">
      <c r="C269" s="27" t="s">
        <v>83</v>
      </c>
      <c r="F269" s="96">
        <f>-1*(F257/E257-1)</f>
        <v>1.008</v>
      </c>
      <c r="G269" s="177"/>
      <c r="H269" s="177"/>
      <c r="I269" s="177"/>
      <c r="J269" s="177"/>
      <c r="K269" s="177"/>
    </row>
    <row r="270" spans="3:11" x14ac:dyDescent="0.35">
      <c r="C270" s="27" t="s">
        <v>84</v>
      </c>
      <c r="F270" s="96"/>
    </row>
    <row r="271" spans="3:11" x14ac:dyDescent="0.35">
      <c r="C271" s="27" t="s">
        <v>85</v>
      </c>
      <c r="F271" s="96">
        <f>-1*(F259/E259-1)</f>
        <v>0.98891820580474932</v>
      </c>
      <c r="G271" s="177"/>
      <c r="H271" s="177"/>
      <c r="I271" s="177"/>
      <c r="J271" s="177"/>
      <c r="K271" s="177"/>
    </row>
    <row r="272" spans="3:11" x14ac:dyDescent="0.35">
      <c r="C272" s="1" t="s">
        <v>97</v>
      </c>
      <c r="F272" s="96">
        <f>(LN(F261)-LN(E261))</f>
        <v>-1.791759469228055</v>
      </c>
      <c r="G272" s="177"/>
      <c r="H272" s="177"/>
      <c r="I272" s="177"/>
      <c r="J272" s="177"/>
      <c r="K272" s="177"/>
    </row>
  </sheetData>
  <mergeCells count="1">
    <mergeCell ref="D174:K174"/>
  </mergeCells>
  <conditionalFormatting sqref="C48">
    <cfRule type="expression" dxfId="0" priority="1">
      <formula>#REF!=$C48</formula>
    </cfRule>
  </conditionalFormatting>
  <dataValidations count="3">
    <dataValidation type="list" allowBlank="1" showInputMessage="1" showErrorMessage="1" sqref="D7" xr:uid="{95D52307-71E0-4393-B7AE-031C76A93DD3}">
      <formula1>"0,1"</formula1>
    </dataValidation>
    <dataValidation type="list" allowBlank="1" showInputMessage="1" showErrorMessage="1" sqref="C3" xr:uid="{E4555E83-528A-4D9C-BF5A-54BD0791CA31}">
      <formula1>"$ bns except per share, $ mm except per share,$ in thousands except per share"</formula1>
    </dataValidation>
    <dataValidation type="list" allowBlank="1" showInputMessage="1" showErrorMessage="1" sqref="D12" xr:uid="{F7225FF8-C4C3-4B36-B16F-A00CC593268A}">
      <formula1>"Best case,Base case,Weak Case"</formula1>
    </dataValidation>
  </dataValidations>
  <pageMargins left="0.7" right="0.7" top="0.75" bottom="0.75" header="0.3" footer="0.3"/>
  <pageSetup scale="27"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B6EA-863B-4062-B082-B9F2BB682A17}">
  <dimension ref="A1"/>
  <sheetViews>
    <sheetView workbookViewId="0">
      <selection activeCell="E27" sqref="E27"/>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Modeling - Forecasting</vt:lpstr>
      <vt:lpstr>Schedules, dep. waterfall</vt:lpstr>
      <vt:lpstr>'Modeling - Forecasting'!Print_Area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de Andres Orea</dc:creator>
  <cp:keywords/>
  <dc:description/>
  <cp:lastModifiedBy>Fernando de Andrés Orea</cp:lastModifiedBy>
  <cp:revision/>
  <dcterms:created xsi:type="dcterms:W3CDTF">2024-03-22T03:35:03Z</dcterms:created>
  <dcterms:modified xsi:type="dcterms:W3CDTF">2024-11-18T00:23:34Z</dcterms:modified>
  <cp:category/>
  <cp:contentStatus/>
</cp:coreProperties>
</file>