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7107d93d172baba/RESEARCH/Companies forecasts/OVV/"/>
    </mc:Choice>
  </mc:AlternateContent>
  <xr:revisionPtr revIDLastSave="632" documentId="8_{1E6AA4FF-D831-4EA1-9517-AF0BA9833731}" xr6:coauthVersionLast="47" xr6:coauthVersionMax="47" xr10:uidLastSave="{A541154E-740E-490B-BFA7-3CBE84E982C7}"/>
  <bookViews>
    <workbookView xWindow="28680" yWindow="-120" windowWidth="29040" windowHeight="15720" xr2:uid="{E3914888-6705-4DF4-942F-1539E14FE955}"/>
  </bookViews>
  <sheets>
    <sheet name="FSM" sheetId="2" r:id="rId1"/>
  </sheets>
  <definedNames>
    <definedName name="CIQWBGuid" hidden="1">"a611639b-bab1-425e-aaa5-008c326fdfdb"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43588.5561574074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FSM!$C$2:$T$167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  <c r="D34" i="2"/>
  <c r="D42" i="2"/>
  <c r="K40" i="2"/>
  <c r="J40" i="2"/>
  <c r="I40" i="2"/>
  <c r="H40" i="2"/>
  <c r="G40" i="2"/>
  <c r="E40" i="2"/>
  <c r="D40" i="2"/>
  <c r="F38" i="2"/>
  <c r="E38" i="2"/>
  <c r="F37" i="2"/>
  <c r="E37" i="2"/>
  <c r="D38" i="2"/>
  <c r="D37" i="2"/>
  <c r="F33" i="2"/>
  <c r="E33" i="2"/>
  <c r="D33" i="2"/>
  <c r="F153" i="2"/>
  <c r="E153" i="2"/>
  <c r="D153" i="2"/>
  <c r="D28" i="2"/>
  <c r="G26" i="2"/>
  <c r="I26" i="2" s="1"/>
  <c r="J26" i="2" s="1"/>
  <c r="K26" i="2" s="1"/>
  <c r="G27" i="2"/>
  <c r="F28" i="2"/>
  <c r="E28" i="2"/>
  <c r="G45" i="2" l="1"/>
  <c r="G105" i="2" s="1"/>
  <c r="E45" i="2"/>
  <c r="D114" i="2"/>
  <c r="D112" i="2" s="1"/>
  <c r="D113" i="2" s="1"/>
  <c r="E114" i="2"/>
  <c r="F114" i="2"/>
  <c r="D109" i="2"/>
  <c r="E107" i="2"/>
  <c r="E112" i="2" l="1"/>
  <c r="E113" i="2" s="1"/>
  <c r="E109" i="2"/>
  <c r="G22" i="2" l="1"/>
  <c r="G17" i="2" l="1"/>
  <c r="H22" i="2"/>
  <c r="I22" i="2" s="1"/>
  <c r="J22" i="2" s="1"/>
  <c r="G89" i="2" l="1"/>
  <c r="G90" i="2" s="1"/>
  <c r="K22" i="2"/>
  <c r="G18" i="2" l="1"/>
  <c r="D20" i="2"/>
  <c r="D23" i="2" s="1"/>
  <c r="D29" i="2" s="1"/>
  <c r="F45" i="2"/>
  <c r="H27" i="2"/>
  <c r="I27" i="2" s="1"/>
  <c r="J27" i="2" s="1"/>
  <c r="K27" i="2" s="1"/>
  <c r="F47" i="2"/>
  <c r="G47" i="2" s="1"/>
  <c r="G21" i="2" s="1"/>
  <c r="E47" i="2"/>
  <c r="D47" i="2"/>
  <c r="C150" i="2"/>
  <c r="C2" i="2"/>
  <c r="F167" i="2"/>
  <c r="E167" i="2"/>
  <c r="D167" i="2"/>
  <c r="G166" i="2"/>
  <c r="H166" i="2" s="1"/>
  <c r="I166" i="2" s="1"/>
  <c r="J166" i="2" s="1"/>
  <c r="K166" i="2" s="1"/>
  <c r="F157" i="2"/>
  <c r="E157" i="2"/>
  <c r="E158" i="2" s="1"/>
  <c r="G156" i="2"/>
  <c r="H156" i="2" s="1"/>
  <c r="I156" i="2" s="1"/>
  <c r="J156" i="2" s="1"/>
  <c r="K156" i="2" s="1"/>
  <c r="C151" i="2"/>
  <c r="F146" i="2"/>
  <c r="G143" i="2" s="1"/>
  <c r="E146" i="2"/>
  <c r="D146" i="2"/>
  <c r="C134" i="2"/>
  <c r="C133" i="2"/>
  <c r="F127" i="2"/>
  <c r="G123" i="2" s="1"/>
  <c r="D127" i="2"/>
  <c r="G126" i="2"/>
  <c r="G94" i="2" s="1"/>
  <c r="G125" i="2"/>
  <c r="G95" i="2" s="1"/>
  <c r="F120" i="2"/>
  <c r="G117" i="2" s="1"/>
  <c r="E120" i="2"/>
  <c r="F109" i="2"/>
  <c r="G109" i="2" s="1"/>
  <c r="G106" i="2" s="1"/>
  <c r="F107" i="2"/>
  <c r="G104" i="2" s="1"/>
  <c r="C102" i="2"/>
  <c r="C101" i="2"/>
  <c r="C78" i="2"/>
  <c r="C77" i="2"/>
  <c r="F72" i="2"/>
  <c r="G71" i="2"/>
  <c r="H71" i="2" s="1"/>
  <c r="I71" i="2" s="1"/>
  <c r="J71" i="2" s="1"/>
  <c r="K71" i="2" s="1"/>
  <c r="E70" i="2"/>
  <c r="E127" i="2" s="1"/>
  <c r="F65" i="2"/>
  <c r="F161" i="2" s="1"/>
  <c r="E65" i="2"/>
  <c r="E161" i="2" s="1"/>
  <c r="F63" i="2"/>
  <c r="E63" i="2"/>
  <c r="F56" i="2"/>
  <c r="E56" i="2"/>
  <c r="F53" i="2"/>
  <c r="E53" i="2"/>
  <c r="C52" i="2"/>
  <c r="C51" i="2"/>
  <c r="J48" i="2"/>
  <c r="K48" i="2" s="1"/>
  <c r="F15" i="2"/>
  <c r="F102" i="2" s="1"/>
  <c r="F14" i="2"/>
  <c r="F101" i="2" s="1"/>
  <c r="H109" i="2" l="1"/>
  <c r="I109" i="2" s="1"/>
  <c r="D46" i="2"/>
  <c r="E20" i="2"/>
  <c r="E23" i="2" s="1"/>
  <c r="E29" i="2" s="1"/>
  <c r="E34" i="2" s="1"/>
  <c r="F20" i="2"/>
  <c r="F23" i="2" s="1"/>
  <c r="F29" i="2" s="1"/>
  <c r="F34" i="2" s="1"/>
  <c r="F112" i="2"/>
  <c r="F113" i="2" s="1"/>
  <c r="G113" i="2" s="1"/>
  <c r="F59" i="2"/>
  <c r="E59" i="2"/>
  <c r="E67" i="2"/>
  <c r="E163" i="2"/>
  <c r="E162" i="2" s="1"/>
  <c r="H125" i="2"/>
  <c r="E14" i="2"/>
  <c r="E133" i="2" s="1"/>
  <c r="E15" i="2"/>
  <c r="D15" i="2" s="1"/>
  <c r="F134" i="2"/>
  <c r="F150" i="2"/>
  <c r="F67" i="2"/>
  <c r="G14" i="2"/>
  <c r="G15" i="2"/>
  <c r="G137" i="2"/>
  <c r="G65" i="2"/>
  <c r="E72" i="2"/>
  <c r="H126" i="2"/>
  <c r="F133" i="2"/>
  <c r="F158" i="2"/>
  <c r="F163" i="2" s="1"/>
  <c r="F162" i="2" s="1"/>
  <c r="G162" i="2" s="1"/>
  <c r="F51" i="2"/>
  <c r="F52" i="2"/>
  <c r="F151" i="2"/>
  <c r="H113" i="2" l="1"/>
  <c r="I113" i="2" s="1"/>
  <c r="G112" i="2"/>
  <c r="G107" i="2"/>
  <c r="G57" i="2" s="1"/>
  <c r="F46" i="2"/>
  <c r="E46" i="2"/>
  <c r="E48" i="2"/>
  <c r="F74" i="2"/>
  <c r="D48" i="2"/>
  <c r="E74" i="2"/>
  <c r="E42" i="2"/>
  <c r="E102" i="2"/>
  <c r="D151" i="2"/>
  <c r="E150" i="2"/>
  <c r="D14" i="2"/>
  <c r="D150" i="2" s="1"/>
  <c r="E52" i="2"/>
  <c r="F42" i="2"/>
  <c r="E134" i="2"/>
  <c r="E151" i="2"/>
  <c r="E51" i="2"/>
  <c r="E101" i="2"/>
  <c r="H95" i="2"/>
  <c r="I125" i="2"/>
  <c r="H162" i="2"/>
  <c r="G101" i="2"/>
  <c r="G133" i="2"/>
  <c r="H14" i="2"/>
  <c r="G150" i="2"/>
  <c r="G77" i="2"/>
  <c r="G51" i="2"/>
  <c r="I126" i="2"/>
  <c r="H94" i="2"/>
  <c r="J109" i="2"/>
  <c r="G151" i="2"/>
  <c r="G134" i="2"/>
  <c r="G78" i="2"/>
  <c r="H15" i="2"/>
  <c r="G102" i="2"/>
  <c r="G52" i="2"/>
  <c r="H104" i="2"/>
  <c r="H65" i="2"/>
  <c r="G161" i="2"/>
  <c r="G163" i="2" s="1"/>
  <c r="G92" i="2"/>
  <c r="E124" i="2" l="1"/>
  <c r="E130" i="2" s="1"/>
  <c r="D124" i="2"/>
  <c r="D130" i="2" s="1"/>
  <c r="D101" i="2"/>
  <c r="D133" i="2"/>
  <c r="D102" i="2"/>
  <c r="D134" i="2"/>
  <c r="F48" i="2"/>
  <c r="F124" i="2"/>
  <c r="J125" i="2"/>
  <c r="I95" i="2"/>
  <c r="H151" i="2"/>
  <c r="H134" i="2"/>
  <c r="H78" i="2"/>
  <c r="H102" i="2"/>
  <c r="H52" i="2"/>
  <c r="I15" i="2"/>
  <c r="K109" i="2"/>
  <c r="H92" i="2"/>
  <c r="H161" i="2"/>
  <c r="H163" i="2" s="1"/>
  <c r="I65" i="2"/>
  <c r="J113" i="2"/>
  <c r="H150" i="2"/>
  <c r="H133" i="2"/>
  <c r="I14" i="2"/>
  <c r="H101" i="2"/>
  <c r="H77" i="2"/>
  <c r="H51" i="2"/>
  <c r="J126" i="2"/>
  <c r="I94" i="2"/>
  <c r="I162" i="2"/>
  <c r="D129" i="2" l="1"/>
  <c r="E129" i="2"/>
  <c r="K125" i="2"/>
  <c r="K95" i="2" s="1"/>
  <c r="J95" i="2"/>
  <c r="F129" i="2"/>
  <c r="F130" i="2"/>
  <c r="J162" i="2"/>
  <c r="J94" i="2"/>
  <c r="K126" i="2"/>
  <c r="I150" i="2"/>
  <c r="I133" i="2"/>
  <c r="I77" i="2"/>
  <c r="I101" i="2"/>
  <c r="J14" i="2"/>
  <c r="I51" i="2"/>
  <c r="K113" i="2"/>
  <c r="I92" i="2"/>
  <c r="I161" i="2"/>
  <c r="I163" i="2" s="1"/>
  <c r="J65" i="2"/>
  <c r="I102" i="2"/>
  <c r="I151" i="2"/>
  <c r="I78" i="2"/>
  <c r="I52" i="2"/>
  <c r="I134" i="2"/>
  <c r="J15" i="2"/>
  <c r="J102" i="2" l="1"/>
  <c r="J52" i="2"/>
  <c r="J78" i="2"/>
  <c r="J134" i="2"/>
  <c r="K15" i="2"/>
  <c r="J151" i="2"/>
  <c r="J77" i="2"/>
  <c r="J101" i="2"/>
  <c r="J150" i="2"/>
  <c r="J51" i="2"/>
  <c r="K14" i="2"/>
  <c r="J133" i="2"/>
  <c r="J161" i="2"/>
  <c r="J163" i="2" s="1"/>
  <c r="J92" i="2"/>
  <c r="K65" i="2"/>
  <c r="K94" i="2"/>
  <c r="K162" i="2"/>
  <c r="K101" i="2" l="1"/>
  <c r="K150" i="2"/>
  <c r="K51" i="2"/>
  <c r="K77" i="2"/>
  <c r="K133" i="2"/>
  <c r="K151" i="2"/>
  <c r="K134" i="2"/>
  <c r="K78" i="2"/>
  <c r="K52" i="2"/>
  <c r="K102" i="2"/>
  <c r="K161" i="2"/>
  <c r="K163" i="2" s="1"/>
  <c r="K92" i="2"/>
  <c r="H45" i="2" l="1"/>
  <c r="G41" i="2"/>
  <c r="G69" i="2" s="1"/>
  <c r="G54" i="2"/>
  <c r="G56" i="2"/>
  <c r="G58" i="2"/>
  <c r="G62" i="2"/>
  <c r="G63" i="2"/>
  <c r="G66" i="2"/>
  <c r="G86" i="2" s="1"/>
  <c r="G114" i="2"/>
  <c r="G19" i="2" s="1"/>
  <c r="G20" i="2" s="1"/>
  <c r="G46" i="2" s="1"/>
  <c r="G118" i="2" l="1"/>
  <c r="H105" i="2"/>
  <c r="I45" i="2"/>
  <c r="J45" i="2" s="1"/>
  <c r="K45" i="2" s="1"/>
  <c r="H47" i="2"/>
  <c r="H54" i="2"/>
  <c r="H58" i="2"/>
  <c r="H120" i="2" s="1"/>
  <c r="I117" i="2" s="1"/>
  <c r="G23" i="2"/>
  <c r="I54" i="2"/>
  <c r="G120" i="2"/>
  <c r="H117" i="2" s="1"/>
  <c r="G82" i="2"/>
  <c r="H56" i="2"/>
  <c r="I56" i="2" s="1"/>
  <c r="H18" i="2"/>
  <c r="I18" i="2" s="1"/>
  <c r="H41" i="2"/>
  <c r="H69" i="2" s="1"/>
  <c r="H66" i="2"/>
  <c r="H63" i="2"/>
  <c r="H62" i="2"/>
  <c r="H17" i="2"/>
  <c r="I62" i="2" l="1"/>
  <c r="I63" i="2"/>
  <c r="H21" i="2"/>
  <c r="I66" i="2"/>
  <c r="J66" i="2" s="1"/>
  <c r="J54" i="2"/>
  <c r="K54" i="2" s="1"/>
  <c r="J63" i="2"/>
  <c r="G119" i="2"/>
  <c r="G85" i="2" s="1"/>
  <c r="J56" i="2"/>
  <c r="K56" i="2" s="1"/>
  <c r="I47" i="2"/>
  <c r="I105" i="2"/>
  <c r="H89" i="2"/>
  <c r="H90" i="2" s="1"/>
  <c r="H106" i="2"/>
  <c r="H107" i="2" s="1"/>
  <c r="J62" i="2"/>
  <c r="K62" i="2" s="1"/>
  <c r="I58" i="2"/>
  <c r="I120" i="2" s="1"/>
  <c r="J117" i="2" s="1"/>
  <c r="G81" i="2"/>
  <c r="H86" i="2"/>
  <c r="I41" i="2"/>
  <c r="I69" i="2" s="1"/>
  <c r="H82" i="2"/>
  <c r="K63" i="2"/>
  <c r="H112" i="2"/>
  <c r="J18" i="2"/>
  <c r="K18" i="2" s="1"/>
  <c r="I17" i="2"/>
  <c r="G61" i="2"/>
  <c r="G55" i="2"/>
  <c r="G42" i="2"/>
  <c r="I86" i="2" l="1"/>
  <c r="H114" i="2"/>
  <c r="H19" i="2" s="1"/>
  <c r="H20" i="2" s="1"/>
  <c r="H46" i="2" s="1"/>
  <c r="I104" i="2"/>
  <c r="H57" i="2"/>
  <c r="J47" i="2"/>
  <c r="I21" i="2"/>
  <c r="J105" i="2"/>
  <c r="I89" i="2"/>
  <c r="I90" i="2" s="1"/>
  <c r="I106" i="2"/>
  <c r="J58" i="2"/>
  <c r="H81" i="2"/>
  <c r="H23" i="2"/>
  <c r="J17" i="2"/>
  <c r="K17" i="2" s="1"/>
  <c r="H118" i="2"/>
  <c r="H119" i="2" s="1"/>
  <c r="H85" i="2" s="1"/>
  <c r="I82" i="2"/>
  <c r="J41" i="2"/>
  <c r="J69" i="2" s="1"/>
  <c r="I112" i="2"/>
  <c r="J86" i="2"/>
  <c r="K66" i="2"/>
  <c r="K86" i="2" s="1"/>
  <c r="G84" i="2"/>
  <c r="G83" i="2"/>
  <c r="I118" i="2" l="1"/>
  <c r="I119" i="2" s="1"/>
  <c r="I85" i="2" s="1"/>
  <c r="I114" i="2"/>
  <c r="I19" i="2" s="1"/>
  <c r="I20" i="2" s="1"/>
  <c r="I46" i="2" s="1"/>
  <c r="K105" i="2"/>
  <c r="J89" i="2"/>
  <c r="J90" i="2" s="1"/>
  <c r="J106" i="2"/>
  <c r="J120" i="2"/>
  <c r="K117" i="2" s="1"/>
  <c r="K58" i="2"/>
  <c r="K120" i="2" s="1"/>
  <c r="K47" i="2"/>
  <c r="K21" i="2" s="1"/>
  <c r="J21" i="2"/>
  <c r="J112" i="2"/>
  <c r="I107" i="2"/>
  <c r="J82" i="2"/>
  <c r="K41" i="2"/>
  <c r="K82" i="2" s="1"/>
  <c r="K112" i="2"/>
  <c r="J118" i="2" l="1"/>
  <c r="J119" i="2" s="1"/>
  <c r="J85" i="2" s="1"/>
  <c r="J114" i="2"/>
  <c r="J19" i="2" s="1"/>
  <c r="J20" i="2" s="1"/>
  <c r="J46" i="2" s="1"/>
  <c r="K118" i="2"/>
  <c r="K119" i="2" s="1"/>
  <c r="K85" i="2" s="1"/>
  <c r="I57" i="2"/>
  <c r="J104" i="2"/>
  <c r="J107" i="2" s="1"/>
  <c r="K89" i="2"/>
  <c r="K90" i="2" s="1"/>
  <c r="K106" i="2"/>
  <c r="K114" i="2" s="1"/>
  <c r="K19" i="2" s="1"/>
  <c r="K20" i="2" s="1"/>
  <c r="K46" i="2" s="1"/>
  <c r="K69" i="2"/>
  <c r="J57" i="2" l="1"/>
  <c r="K104" i="2"/>
  <c r="K107" i="2" s="1"/>
  <c r="K57" i="2" s="1"/>
  <c r="H55" i="2"/>
  <c r="H61" i="2"/>
  <c r="H42" i="2" l="1"/>
  <c r="I61" i="2"/>
  <c r="H84" i="2"/>
  <c r="I55" i="2"/>
  <c r="H83" i="2"/>
  <c r="J55" i="2" l="1"/>
  <c r="I83" i="2"/>
  <c r="J61" i="2"/>
  <c r="I84" i="2"/>
  <c r="K61" i="2" l="1"/>
  <c r="J84" i="2"/>
  <c r="K55" i="2"/>
  <c r="K83" i="2" s="1"/>
  <c r="J83" i="2"/>
  <c r="K84" i="2" l="1"/>
  <c r="I23" i="2" l="1"/>
  <c r="K81" i="2"/>
  <c r="K23" i="2"/>
  <c r="J81" i="2"/>
  <c r="J23" i="2"/>
  <c r="I81" i="2"/>
  <c r="I42" i="2"/>
  <c r="K42" i="2" l="1"/>
  <c r="J42" i="2"/>
  <c r="G25" i="2" l="1"/>
  <c r="H25" i="2"/>
  <c r="I25" i="2"/>
  <c r="J25" i="2"/>
  <c r="K25" i="2"/>
  <c r="G28" i="2"/>
  <c r="H28" i="2"/>
  <c r="I28" i="2"/>
  <c r="J28" i="2"/>
  <c r="K28" i="2"/>
  <c r="G29" i="2"/>
  <c r="H29" i="2"/>
  <c r="I29" i="2"/>
  <c r="J29" i="2"/>
  <c r="K29" i="2"/>
  <c r="G38" i="2"/>
  <c r="H38" i="2"/>
  <c r="I38" i="2"/>
  <c r="J38" i="2"/>
  <c r="K38" i="2"/>
  <c r="G53" i="2"/>
  <c r="H53" i="2"/>
  <c r="I53" i="2"/>
  <c r="J53" i="2"/>
  <c r="K53" i="2"/>
  <c r="G59" i="2"/>
  <c r="H59" i="2"/>
  <c r="I59" i="2"/>
  <c r="J59" i="2"/>
  <c r="K59" i="2"/>
  <c r="G64" i="2"/>
  <c r="H64" i="2"/>
  <c r="I64" i="2"/>
  <c r="J64" i="2"/>
  <c r="K64" i="2"/>
  <c r="G67" i="2"/>
  <c r="H67" i="2"/>
  <c r="I67" i="2"/>
  <c r="J67" i="2"/>
  <c r="K67" i="2"/>
  <c r="G70" i="2"/>
  <c r="H70" i="2"/>
  <c r="I70" i="2"/>
  <c r="J70" i="2"/>
  <c r="K70" i="2"/>
  <c r="G72" i="2"/>
  <c r="H72" i="2"/>
  <c r="I72" i="2"/>
  <c r="J72" i="2"/>
  <c r="K72" i="2"/>
  <c r="G74" i="2"/>
  <c r="H74" i="2"/>
  <c r="I74" i="2"/>
  <c r="J74" i="2"/>
  <c r="K74" i="2"/>
  <c r="G80" i="2"/>
  <c r="H80" i="2"/>
  <c r="I80" i="2"/>
  <c r="J80" i="2"/>
  <c r="K80" i="2"/>
  <c r="G87" i="2"/>
  <c r="H87" i="2"/>
  <c r="I87" i="2"/>
  <c r="J87" i="2"/>
  <c r="K87" i="2"/>
  <c r="G93" i="2"/>
  <c r="H93" i="2"/>
  <c r="I93" i="2"/>
  <c r="J93" i="2"/>
  <c r="K93" i="2"/>
  <c r="G96" i="2"/>
  <c r="H96" i="2"/>
  <c r="I96" i="2"/>
  <c r="J96" i="2"/>
  <c r="K96" i="2"/>
  <c r="G98" i="2"/>
  <c r="H98" i="2"/>
  <c r="I98" i="2"/>
  <c r="J98" i="2"/>
  <c r="K98" i="2"/>
  <c r="H123" i="2"/>
  <c r="I123" i="2"/>
  <c r="J123" i="2"/>
  <c r="K123" i="2"/>
  <c r="G124" i="2"/>
  <c r="H124" i="2"/>
  <c r="I124" i="2"/>
  <c r="J124" i="2"/>
  <c r="K124" i="2"/>
  <c r="G127" i="2"/>
  <c r="H127" i="2"/>
  <c r="I127" i="2"/>
  <c r="J127" i="2"/>
  <c r="K127" i="2"/>
  <c r="G129" i="2"/>
  <c r="H129" i="2"/>
  <c r="I129" i="2"/>
  <c r="J129" i="2"/>
  <c r="K129" i="2"/>
  <c r="G130" i="2"/>
  <c r="H130" i="2"/>
  <c r="I130" i="2"/>
  <c r="J130" i="2"/>
  <c r="K130" i="2"/>
  <c r="H137" i="2"/>
  <c r="I137" i="2"/>
  <c r="J137" i="2"/>
  <c r="K137" i="2"/>
  <c r="G139" i="2"/>
  <c r="H139" i="2"/>
  <c r="I139" i="2"/>
  <c r="J139" i="2"/>
  <c r="K139" i="2"/>
  <c r="G140" i="2"/>
  <c r="H140" i="2"/>
  <c r="I140" i="2"/>
  <c r="J140" i="2"/>
  <c r="K140" i="2"/>
  <c r="H143" i="2"/>
  <c r="I143" i="2"/>
  <c r="J143" i="2"/>
  <c r="K143" i="2"/>
  <c r="G144" i="2"/>
  <c r="H144" i="2"/>
  <c r="I144" i="2"/>
  <c r="J144" i="2"/>
  <c r="K144" i="2"/>
  <c r="G146" i="2"/>
  <c r="H146" i="2"/>
  <c r="I146" i="2"/>
  <c r="J146" i="2"/>
  <c r="K146" i="2"/>
  <c r="G147" i="2"/>
  <c r="H147" i="2"/>
  <c r="I147" i="2"/>
  <c r="J147" i="2"/>
  <c r="K147" i="2"/>
  <c r="G153" i="2"/>
  <c r="H153" i="2"/>
  <c r="I153" i="2"/>
  <c r="J153" i="2"/>
  <c r="K153" i="2"/>
  <c r="G157" i="2"/>
  <c r="H157" i="2"/>
  <c r="I157" i="2"/>
  <c r="J157" i="2"/>
  <c r="K157" i="2"/>
  <c r="G158" i="2"/>
  <c r="H158" i="2"/>
  <c r="I158" i="2"/>
  <c r="J158" i="2"/>
  <c r="K158" i="2"/>
  <c r="G167" i="2"/>
  <c r="H167" i="2"/>
  <c r="I167" i="2"/>
  <c r="J167" i="2"/>
  <c r="K1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fdeandresorea</author>
    <author>Matan Feldman</author>
  </authors>
  <commentList>
    <comment ref="G22" authorId="0" shapeId="0" xr:uid="{CAC4DD30-70D6-46DE-A161-66C3A681EE89}">
      <text>
        <r>
          <rPr>
            <b/>
            <sz val="9"/>
            <color indexed="81"/>
            <rFont val="Tahoma"/>
            <family val="2"/>
          </rPr>
          <t>Fernando de Andres Orea:</t>
        </r>
        <r>
          <rPr>
            <sz val="9"/>
            <color indexed="81"/>
            <rFont val="Tahoma"/>
            <family val="2"/>
          </rPr>
          <t xml:space="preserve">
Straight-line</t>
        </r>
      </text>
    </comment>
    <comment ref="G26" authorId="0" shapeId="0" xr:uid="{C34259CC-F1D8-45A3-A2E4-F0DBAE85AB03}">
      <text>
        <r>
          <rPr>
            <b/>
            <sz val="9"/>
            <color indexed="81"/>
            <rFont val="Tahoma"/>
            <family val="2"/>
          </rPr>
          <t xml:space="preserve">Fernando de Andres Orea:
</t>
        </r>
        <r>
          <rPr>
            <sz val="9"/>
            <color indexed="81"/>
            <rFont val="Tahoma"/>
            <family val="2"/>
          </rPr>
          <t xml:space="preserve">
Average on a downside trend
</t>
        </r>
      </text>
    </comment>
    <comment ref="H26" authorId="0" shapeId="0" xr:uid="{3689128A-3262-4CA4-AC0E-556948049F30}">
      <text>
        <r>
          <rPr>
            <b/>
            <sz val="9"/>
            <color indexed="81"/>
            <rFont val="Tahoma"/>
            <family val="2"/>
          </rPr>
          <t xml:space="preserve">Fernando de Andres Orea:
</t>
        </r>
        <r>
          <rPr>
            <sz val="9"/>
            <color indexed="81"/>
            <rFont val="Tahoma"/>
            <family val="2"/>
          </rPr>
          <t xml:space="preserve">
Straight-line</t>
        </r>
      </text>
    </comment>
    <comment ref="G27" authorId="0" shapeId="0" xr:uid="{2A81B366-CB75-4819-A1CC-60C35166CC53}">
      <text>
        <r>
          <rPr>
            <b/>
            <sz val="9"/>
            <color indexed="81"/>
            <rFont val="Tahoma"/>
            <family val="2"/>
          </rPr>
          <t xml:space="preserve">Fernando de Andres Orea:
</t>
        </r>
        <r>
          <rPr>
            <sz val="9"/>
            <color indexed="81"/>
            <rFont val="Tahoma"/>
            <family val="2"/>
          </rPr>
          <t xml:space="preserve">
Straight-line given the big jump in 2023
</t>
        </r>
      </text>
    </comment>
    <comment ref="G45" authorId="0" shapeId="0" xr:uid="{2164D43F-79FF-4D37-91BE-EFBEE70A5C2F}">
      <text>
        <r>
          <rPr>
            <b/>
            <sz val="9"/>
            <color indexed="81"/>
            <rFont val="Tahoma"/>
            <family val="2"/>
          </rPr>
          <t xml:space="preserve">Fernando de Andres Orea:
</t>
        </r>
        <r>
          <rPr>
            <sz val="9"/>
            <color indexed="81"/>
            <rFont val="Tahoma"/>
            <family val="2"/>
          </rPr>
          <t xml:space="preserve">
Bloomberg Terminal data</t>
        </r>
      </text>
    </comment>
    <comment ref="I45" authorId="0" shapeId="0" xr:uid="{6ECC969C-4C03-4691-A5CD-AC7B8E03DC65}">
      <text>
        <r>
          <rPr>
            <b/>
            <sz val="9"/>
            <color indexed="81"/>
            <rFont val="Tahoma"/>
            <family val="2"/>
          </rPr>
          <t>fdeandresorea:</t>
        </r>
        <r>
          <rPr>
            <sz val="9"/>
            <color indexed="81"/>
            <rFont val="Tahoma"/>
            <family val="2"/>
          </rPr>
          <t xml:space="preserve">
Average because it has positive and negative years. Tough to stay in a straight-line in 2025.</t>
        </r>
      </text>
    </comment>
    <comment ref="G47" authorId="0" shapeId="0" xr:uid="{9160BCB7-0385-45FC-960D-897397BDD782}">
      <text>
        <r>
          <rPr>
            <b/>
            <sz val="9"/>
            <color indexed="81"/>
            <rFont val="Tahoma"/>
            <family val="2"/>
          </rPr>
          <t xml:space="preserve">Fernando de Andres Orea:
</t>
        </r>
        <r>
          <rPr>
            <sz val="9"/>
            <color indexed="81"/>
            <rFont val="Tahoma"/>
            <family val="2"/>
          </rPr>
          <t xml:space="preserve">
Increases/decreases based on revenues</t>
        </r>
      </text>
    </comment>
    <comment ref="E57" authorId="0" shapeId="0" xr:uid="{A01F4C25-A7C4-40A8-8BFE-92DC359A412F}">
      <text>
        <r>
          <rPr>
            <b/>
            <sz val="9"/>
            <color indexed="81"/>
            <rFont val="Tahoma"/>
            <family val="2"/>
          </rPr>
          <t>Fernando de Andres Orea:</t>
        </r>
        <r>
          <rPr>
            <sz val="9"/>
            <color indexed="81"/>
            <rFont val="Tahoma"/>
            <family val="2"/>
          </rPr>
          <t xml:space="preserve">
10-K data</t>
        </r>
      </text>
    </comment>
    <comment ref="D105" authorId="0" shapeId="0" xr:uid="{445F2A02-5EDF-4F1D-888C-89AAD0241724}">
      <text>
        <r>
          <rPr>
            <b/>
            <sz val="9"/>
            <color indexed="81"/>
            <rFont val="Tahoma"/>
            <family val="2"/>
          </rPr>
          <t>Fernando de Andres Orea:</t>
        </r>
        <r>
          <rPr>
            <sz val="9"/>
            <color indexed="81"/>
            <rFont val="Tahoma"/>
            <family val="2"/>
          </rPr>
          <t xml:space="preserve">
10-K data on page 160 - Consolidated Statement of CFs</t>
        </r>
      </text>
    </comment>
    <comment ref="G105" authorId="0" shapeId="0" xr:uid="{4DC6837B-8C2D-491F-B523-4742B85C3F1F}">
      <text>
        <r>
          <rPr>
            <b/>
            <sz val="9"/>
            <color indexed="81"/>
            <rFont val="Tahoma"/>
            <family val="2"/>
          </rPr>
          <t>Fernando de Andres Orea:</t>
        </r>
        <r>
          <rPr>
            <sz val="9"/>
            <color indexed="81"/>
            <rFont val="Tahoma"/>
            <family val="2"/>
          </rPr>
          <t xml:space="preserve">
Goes with revenue growth</t>
        </r>
      </text>
    </comment>
    <comment ref="D106" authorId="0" shapeId="0" xr:uid="{7A1F5E07-2C18-46B5-814F-2D6CF32AE6F6}">
      <text>
        <r>
          <rPr>
            <b/>
            <sz val="9"/>
            <color indexed="81"/>
            <rFont val="Tahoma"/>
            <family val="2"/>
          </rPr>
          <t xml:space="preserve">Fernando de Andres Orea:
</t>
        </r>
        <r>
          <rPr>
            <sz val="9"/>
            <color indexed="81"/>
            <rFont val="Tahoma"/>
            <family val="2"/>
          </rPr>
          <t>10-K data on page 247 - Depreciation, depletion and amortization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09" authorId="1" shapeId="0" xr:uid="{F887F496-6788-4E3A-AB62-D644D016C4A9}">
      <text>
        <r>
          <rPr>
            <b/>
            <sz val="9"/>
            <color indexed="81"/>
            <rFont val="Tahoma"/>
            <family val="2"/>
          </rPr>
          <t>Fernando de Andres Orea: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G112" authorId="0" shapeId="0" xr:uid="{9E82C304-862A-4311-AD0E-BF7D7C9E34FF}">
      <text>
        <r>
          <rPr>
            <b/>
            <sz val="9"/>
            <color indexed="81"/>
            <rFont val="Tahoma"/>
            <family val="2"/>
          </rPr>
          <t xml:space="preserve">Fernando de Andres Orea:
</t>
        </r>
        <r>
          <rPr>
            <sz val="9"/>
            <color indexed="81"/>
            <rFont val="Tahoma"/>
            <family val="2"/>
          </rPr>
          <t>Goes with revenue growth</t>
        </r>
      </text>
    </comment>
    <comment ref="G113" authorId="0" shapeId="0" xr:uid="{3A3BB2A8-DE84-471C-A531-C73885E60A4A}">
      <text>
        <r>
          <rPr>
            <b/>
            <sz val="9"/>
            <color indexed="81"/>
            <rFont val="Tahoma"/>
            <family val="2"/>
          </rPr>
          <t>Fernando de Andres Orea:</t>
        </r>
        <r>
          <rPr>
            <sz val="9"/>
            <color indexed="81"/>
            <rFont val="Tahoma"/>
            <family val="2"/>
          </rPr>
          <t xml:space="preserve">
Straight-line</t>
        </r>
      </text>
    </comment>
  </commentList>
</comments>
</file>

<file path=xl/sharedStrings.xml><?xml version="1.0" encoding="utf-8"?>
<sst xmlns="http://schemas.openxmlformats.org/spreadsheetml/2006/main" count="188" uniqueCount="117">
  <si>
    <t>$ in thousands except per share</t>
  </si>
  <si>
    <t>Company name</t>
  </si>
  <si>
    <t>Ticker</t>
  </si>
  <si>
    <t>Circ break 1=off, 0=on</t>
  </si>
  <si>
    <t>Latest closing share price</t>
  </si>
  <si>
    <t>Latest closing share price date</t>
  </si>
  <si>
    <t>Latest fiscal year end date</t>
  </si>
  <si>
    <t>Shares outstanding (millions)</t>
  </si>
  <si>
    <t>INCOME STATEMENT</t>
  </si>
  <si>
    <t xml:space="preserve">Fiscal year  </t>
  </si>
  <si>
    <t>Fiscal year end date</t>
  </si>
  <si>
    <t>Revenue</t>
  </si>
  <si>
    <t>Gross Profit</t>
  </si>
  <si>
    <t>Interest income</t>
  </si>
  <si>
    <t>Net income</t>
  </si>
  <si>
    <t>Depreciation &amp; amortization</t>
  </si>
  <si>
    <t>EBITDA</t>
  </si>
  <si>
    <t>Stock based compensation</t>
  </si>
  <si>
    <t>Adjusted EBITDA</t>
  </si>
  <si>
    <t>Growth rates &amp; margins</t>
  </si>
  <si>
    <t>Revenue growth</t>
  </si>
  <si>
    <t>Gross profit margin</t>
  </si>
  <si>
    <t>SG&amp;A % of sales</t>
  </si>
  <si>
    <t>Tax rate</t>
  </si>
  <si>
    <t>BALANCE SHEET</t>
  </si>
  <si>
    <t>Cash &amp; equivalents, ST and LT marketable securities</t>
  </si>
  <si>
    <t>Accounts receivable</t>
  </si>
  <si>
    <t>Inventories</t>
  </si>
  <si>
    <t>Other current assets</t>
  </si>
  <si>
    <t>Property, plant &amp; equipment</t>
  </si>
  <si>
    <t>Other non 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</si>
  <si>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</si>
  <si>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</si>
  <si>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</si>
  <si>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</si>
  <si>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</si>
  <si>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</si>
  <si>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</si>
  <si>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</si>
  <si>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</si>
  <si>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</si>
  <si>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</si>
  <si>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</si>
  <si>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Balance check</t>
  </si>
  <si>
    <t>CASH FLOW STATEMENT</t>
  </si>
  <si>
    <t>Depreciation and amortization</t>
  </si>
  <si>
    <t>Decreases / (Increases) in working capital assets</t>
  </si>
  <si>
    <t>Increases / (Decreases) in working capital liabilities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</si>
  <si>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</si>
  <si>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</si>
  <si>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</si>
  <si>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</si>
  <si>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</si>
  <si>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</si>
  <si>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</si>
  <si>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</si>
  <si>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</si>
  <si>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PROPERTY, PLANT &amp; EQUIPMENT</t>
  </si>
  <si>
    <t>Forecast</t>
  </si>
  <si>
    <t>Beginning of period</t>
  </si>
  <si>
    <t>Plus: Capital expenditures</t>
  </si>
  <si>
    <t>Less: Depreciation</t>
  </si>
  <si>
    <t>End of period</t>
  </si>
  <si>
    <t>D&amp;A related to PP&amp;E as a % of capex</t>
  </si>
  <si>
    <t>IMPUTING TOTAL DEPRECIATION &amp; AMORTIZATION</t>
  </si>
  <si>
    <t>as % of revenue</t>
  </si>
  <si>
    <t xml:space="preserve">Depreciation &amp; Amortization - Total </t>
  </si>
  <si>
    <t>OTHER NON-CURRENT ASSETS</t>
  </si>
  <si>
    <t>Less: Amortization of intangible assets</t>
  </si>
  <si>
    <t xml:space="preserve">Plus: Additions </t>
  </si>
  <si>
    <t>RETAINED EARNINGS</t>
  </si>
  <si>
    <t>Plus: Net income</t>
  </si>
  <si>
    <t>Less: Dividends</t>
  </si>
  <si>
    <t>Less: Repurchases</t>
  </si>
  <si>
    <t>Dividend payout ratio</t>
  </si>
  <si>
    <t>Repurchases as % of net income</t>
  </si>
  <si>
    <t>REVOLVER (MODEL PLUG)</t>
  </si>
  <si>
    <t>Revolver needs analysis</t>
  </si>
  <si>
    <t>Cash at beginning of period (BOP)</t>
  </si>
  <si>
    <t>Less: Minimum cash balance</t>
  </si>
  <si>
    <t>Plus: Free cash flows generated during period</t>
  </si>
  <si>
    <t>Equals: Cash available (needed) to pay down (draw from) revolver</t>
  </si>
  <si>
    <t>Commercial paper / Revolver</t>
  </si>
  <si>
    <t>Draw / (paydown)</t>
  </si>
  <si>
    <t>Discretionary borrowing / (paydown)</t>
  </si>
  <si>
    <t>Debt balance:</t>
  </si>
  <si>
    <t>INTEREST EXPENSE AND INTEREST INCOME</t>
  </si>
  <si>
    <t>Total interest expense (from I/S)</t>
  </si>
  <si>
    <t>Commercial Paper / Revolver</t>
  </si>
  <si>
    <t>Weighted average interest rate</t>
  </si>
  <si>
    <t>End of period balance (from B/S)</t>
  </si>
  <si>
    <t>Interest expense</t>
  </si>
  <si>
    <t xml:space="preserve">Interest expense </t>
  </si>
  <si>
    <t>Interest rate on cash</t>
  </si>
  <si>
    <t>Weighted average interest rate on cash</t>
  </si>
  <si>
    <t>Ovintiv</t>
  </si>
  <si>
    <t>OVV</t>
  </si>
  <si>
    <r>
      <t xml:space="preserve">D&amp;A </t>
    </r>
    <r>
      <rPr>
        <u/>
        <sz val="11"/>
        <color theme="1"/>
        <rFont val="Calibri"/>
        <family val="2"/>
      </rPr>
      <t>not</t>
    </r>
    <r>
      <rPr>
        <sz val="11"/>
        <color theme="1"/>
        <rFont val="Calibri"/>
        <family val="2"/>
      </rPr>
      <t xml:space="preserve"> related to PP&amp;E</t>
    </r>
  </si>
  <si>
    <t>Cost of sales</t>
  </si>
  <si>
    <t>x</t>
  </si>
  <si>
    <t>Selling, general &amp; administrative</t>
  </si>
  <si>
    <t>EBIT</t>
  </si>
  <si>
    <t>Other expense, net</t>
  </si>
  <si>
    <t xml:space="preserve"> </t>
  </si>
  <si>
    <t>Step</t>
  </si>
  <si>
    <t>Pretax profit, Adjusted</t>
  </si>
  <si>
    <t>Pretax profit, GAAP</t>
  </si>
  <si>
    <t>Abnormal derivatives</t>
  </si>
  <si>
    <t>Restructuring</t>
  </si>
  <si>
    <t>Other operating expenses</t>
  </si>
  <si>
    <t>Non-Operating Income (Loss)</t>
  </si>
  <si>
    <t>Foreign exchange</t>
  </si>
  <si>
    <t>Other abnormal items</t>
  </si>
  <si>
    <t>Abnormal Losses (Gains)</t>
  </si>
  <si>
    <t>Current income tax</t>
  </si>
  <si>
    <t>Deferred income tax</t>
  </si>
  <si>
    <t>Income Tax Expense (Benefit)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</si>
</sst>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#,##0_)_%;\(#,##0\)_%;_(&quot;–&quot;_)_%;_(@_)_%"/>
    <numFmt numFmtId="165" formatCode="m/d/yy;@"/>
    <numFmt numFmtId="166" formatCode="#,##0.000_);\(#,##0.000\)"/>
    <numFmt numFmtId="167" formatCode="0\A;[Red]0\A"/>
    <numFmt numFmtId="168" formatCode="0\P_);\(0\P\)"/>
    <numFmt numFmtId="169" formatCode="0.0%"/>
    <numFmt numFmtId="170" formatCode="0.0%_);\(0.0%\);@_)"/>
    <numFmt numFmtId="171" formatCode="_(#,##0.0%_);\(#,##0.0%\);_(&quot;–&quot;_)_%;_(@_)_%"/>
    <numFmt numFmtId="172" formatCode="0.00%_);\(0.00%\);@_)"/>
    <numFmt numFmtId="173" formatCode="_(#,##0.00%_);\(#,##0.00%\);_(&quot;–&quot;_)_%;_(@_)_%"/>
    <numFmt numFmtId="174" formatCode="0_);\(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i/>
      <sz val="11"/>
      <color theme="1"/>
      <name val="Calibri"/>
      <family val="2"/>
    </font>
    <font>
      <i/>
      <sz val="11"/>
      <color rgb="FF0000FF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name val="Calibri"/>
      <family val="2"/>
    </font>
    <font>
      <sz val="11"/>
      <color rgb="FF008000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u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4" fontId="3" fillId="0" borderId="0" xfId="0" applyNumberFormat="1" applyFont="1" applyAlignment="1">
      <alignment horizontal="left"/>
    </xf>
    <xf numFmtId="0" fontId="1" fillId="0" borderId="2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8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2" fillId="0" borderId="4" xfId="0" applyFont="1" applyBorder="1"/>
    <xf numFmtId="0" fontId="1" fillId="0" borderId="4" xfId="0" applyFont="1" applyBorder="1"/>
    <xf numFmtId="167" fontId="2" fillId="0" borderId="0" xfId="0" applyNumberFormat="1" applyFont="1"/>
    <xf numFmtId="168" fontId="2" fillId="0" borderId="0" xfId="0" applyNumberFormat="1" applyFont="1"/>
    <xf numFmtId="0" fontId="6" fillId="0" borderId="4" xfId="0" applyFont="1" applyBorder="1"/>
    <xf numFmtId="165" fontId="6" fillId="0" borderId="5" xfId="0" applyNumberFormat="1" applyFont="1" applyBorder="1"/>
    <xf numFmtId="0" fontId="6" fillId="0" borderId="0" xfId="0" applyFont="1"/>
    <xf numFmtId="165" fontId="7" fillId="0" borderId="0" xfId="0" applyNumberFormat="1" applyFont="1"/>
    <xf numFmtId="165" fontId="6" fillId="0" borderId="0" xfId="0" applyNumberFormat="1" applyFont="1"/>
    <xf numFmtId="9" fontId="6" fillId="0" borderId="0" xfId="0" applyNumberFormat="1" applyFont="1"/>
    <xf numFmtId="169" fontId="6" fillId="0" borderId="0" xfId="0" applyNumberFormat="1" applyFont="1"/>
    <xf numFmtId="37" fontId="5" fillId="0" borderId="0" xfId="0" applyNumberFormat="1" applyFont="1"/>
    <xf numFmtId="0" fontId="2" fillId="0" borderId="0" xfId="0" applyFont="1"/>
    <xf numFmtId="37" fontId="8" fillId="0" borderId="0" xfId="0" applyNumberFormat="1" applyFont="1"/>
    <xf numFmtId="0" fontId="1" fillId="0" borderId="0" xfId="0" applyFont="1" applyAlignment="1">
      <alignment horizontal="left" indent="1"/>
    </xf>
    <xf numFmtId="37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" fontId="1" fillId="0" borderId="0" xfId="0" applyNumberFormat="1" applyFont="1"/>
    <xf numFmtId="0" fontId="9" fillId="0" borderId="0" xfId="0" applyFont="1"/>
    <xf numFmtId="170" fontId="4" fillId="0" borderId="0" xfId="0" applyNumberFormat="1" applyFont="1"/>
    <xf numFmtId="170" fontId="5" fillId="0" borderId="0" xfId="0" applyNumberFormat="1" applyFont="1"/>
    <xf numFmtId="165" fontId="6" fillId="0" borderId="4" xfId="0" applyNumberFormat="1" applyFont="1" applyBorder="1"/>
    <xf numFmtId="14" fontId="6" fillId="0" borderId="0" xfId="0" applyNumberFormat="1" applyFont="1"/>
    <xf numFmtId="167" fontId="8" fillId="0" borderId="0" xfId="0" applyNumberFormat="1" applyFont="1"/>
    <xf numFmtId="168" fontId="8" fillId="0" borderId="0" xfId="0" applyNumberFormat="1" applyFont="1"/>
    <xf numFmtId="165" fontId="3" fillId="0" borderId="4" xfId="0" applyNumberFormat="1" applyFont="1" applyBorder="1"/>
    <xf numFmtId="37" fontId="4" fillId="0" borderId="0" xfId="0" applyNumberFormat="1" applyFont="1"/>
    <xf numFmtId="37" fontId="2" fillId="0" borderId="0" xfId="0" applyNumberFormat="1" applyFont="1"/>
    <xf numFmtId="37" fontId="6" fillId="0" borderId="0" xfId="0" applyNumberFormat="1" applyFont="1"/>
    <xf numFmtId="3" fontId="1" fillId="0" borderId="0" xfId="0" applyNumberFormat="1" applyFont="1"/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 indent="1"/>
    </xf>
    <xf numFmtId="0" fontId="1" fillId="0" borderId="7" xfId="0" quotePrefix="1" applyFont="1" applyBorder="1" applyAlignment="1">
      <alignment horizontal="left" indent="1"/>
    </xf>
    <xf numFmtId="37" fontId="5" fillId="0" borderId="7" xfId="0" applyNumberFormat="1" applyFont="1" applyBorder="1"/>
    <xf numFmtId="0" fontId="2" fillId="0" borderId="0" xfId="0" applyFont="1" applyAlignment="1">
      <alignment horizontal="left" indent="1"/>
    </xf>
    <xf numFmtId="170" fontId="1" fillId="0" borderId="0" xfId="0" applyNumberFormat="1" applyFont="1"/>
    <xf numFmtId="0" fontId="2" fillId="0" borderId="4" xfId="0" applyFont="1" applyBorder="1" applyAlignment="1">
      <alignment horizontal="left"/>
    </xf>
    <xf numFmtId="170" fontId="1" fillId="0" borderId="4" xfId="0" applyNumberFormat="1" applyFont="1" applyBorder="1"/>
    <xf numFmtId="170" fontId="4" fillId="0" borderId="4" xfId="0" applyNumberFormat="1" applyFont="1" applyBorder="1"/>
    <xf numFmtId="171" fontId="1" fillId="0" borderId="0" xfId="0" applyNumberFormat="1" applyFont="1"/>
    <xf numFmtId="37" fontId="2" fillId="0" borderId="4" xfId="0" applyNumberFormat="1" applyFont="1" applyBorder="1"/>
    <xf numFmtId="0" fontId="1" fillId="0" borderId="7" xfId="0" applyFont="1" applyBorder="1" applyAlignment="1">
      <alignment horizontal="left" indent="1"/>
    </xf>
    <xf numFmtId="0" fontId="1" fillId="0" borderId="7" xfId="0" applyFont="1" applyBorder="1"/>
    <xf numFmtId="37" fontId="2" fillId="0" borderId="4" xfId="0" applyNumberFormat="1" applyFont="1" applyBorder="1" applyAlignment="1">
      <alignment horizontal="left"/>
    </xf>
    <xf numFmtId="37" fontId="1" fillId="0" borderId="7" xfId="0" applyNumberFormat="1" applyFont="1" applyBorder="1"/>
    <xf numFmtId="37" fontId="1" fillId="0" borderId="9" xfId="0" applyNumberFormat="1" applyFont="1" applyBorder="1"/>
    <xf numFmtId="0" fontId="1" fillId="0" borderId="9" xfId="0" applyFont="1" applyBorder="1"/>
    <xf numFmtId="9" fontId="5" fillId="0" borderId="4" xfId="0" applyNumberFormat="1" applyFont="1" applyBorder="1"/>
    <xf numFmtId="37" fontId="1" fillId="0" borderId="6" xfId="0" applyNumberFormat="1" applyFont="1" applyBorder="1"/>
    <xf numFmtId="0" fontId="9" fillId="0" borderId="0" xfId="0" applyFont="1" applyAlignment="1">
      <alignment horizontal="left" indent="1"/>
    </xf>
    <xf numFmtId="172" fontId="5" fillId="0" borderId="0" xfId="0" applyNumberFormat="1" applyFont="1"/>
    <xf numFmtId="0" fontId="8" fillId="0" borderId="11" xfId="0" applyFont="1" applyBorder="1" applyAlignment="1">
      <alignment horizontal="left" indent="1"/>
    </xf>
    <xf numFmtId="0" fontId="1" fillId="0" borderId="0" xfId="0" applyFont="1" applyAlignment="1">
      <alignment horizontal="left" indent="2"/>
    </xf>
    <xf numFmtId="10" fontId="5" fillId="0" borderId="0" xfId="0" applyNumberFormat="1" applyFont="1"/>
    <xf numFmtId="37" fontId="4" fillId="0" borderId="0" xfId="0" applyNumberFormat="1" applyFont="1" applyAlignment="1">
      <alignment horizontal="left" indent="1"/>
    </xf>
    <xf numFmtId="0" fontId="12" fillId="0" borderId="8" xfId="0" applyFont="1" applyBorder="1" applyAlignment="1">
      <alignment horizontal="left" indent="2"/>
    </xf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37" fontId="13" fillId="0" borderId="0" xfId="0" applyNumberFormat="1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/>
    <xf numFmtId="3" fontId="4" fillId="0" borderId="0" xfId="0" applyNumberFormat="1" applyFont="1"/>
    <xf numFmtId="42" fontId="5" fillId="0" borderId="0" xfId="0" applyNumberFormat="1" applyFont="1"/>
    <xf numFmtId="42" fontId="8" fillId="0" borderId="0" xfId="0" applyNumberFormat="1" applyFont="1"/>
    <xf numFmtId="42" fontId="2" fillId="0" borderId="0" xfId="0" applyNumberFormat="1" applyFont="1"/>
    <xf numFmtId="42" fontId="4" fillId="3" borderId="0" xfId="0" applyNumberFormat="1" applyFont="1" applyFill="1"/>
    <xf numFmtId="37" fontId="4" fillId="3" borderId="0" xfId="0" applyNumberFormat="1" applyFont="1" applyFill="1"/>
    <xf numFmtId="37" fontId="8" fillId="3" borderId="0" xfId="0" applyNumberFormat="1" applyFont="1" applyFill="1"/>
    <xf numFmtId="37" fontId="1" fillId="3" borderId="0" xfId="0" applyNumberFormat="1" applyFont="1" applyFill="1"/>
    <xf numFmtId="42" fontId="8" fillId="3" borderId="0" xfId="0" applyNumberFormat="1" applyFont="1" applyFill="1"/>
    <xf numFmtId="170" fontId="4" fillId="3" borderId="0" xfId="0" applyNumberFormat="1" applyFont="1" applyFill="1"/>
    <xf numFmtId="42" fontId="1" fillId="3" borderId="0" xfId="0" applyNumberFormat="1" applyFont="1" applyFill="1"/>
    <xf numFmtId="42" fontId="2" fillId="3" borderId="0" xfId="0" applyNumberFormat="1" applyFont="1" applyFill="1"/>
    <xf numFmtId="37" fontId="5" fillId="3" borderId="0" xfId="0" applyNumberFormat="1" applyFont="1" applyFill="1"/>
    <xf numFmtId="37" fontId="1" fillId="3" borderId="7" xfId="0" applyNumberFormat="1" applyFont="1" applyFill="1" applyBorder="1"/>
    <xf numFmtId="37" fontId="4" fillId="3" borderId="7" xfId="0" applyNumberFormat="1" applyFont="1" applyFill="1" applyBorder="1"/>
    <xf numFmtId="173" fontId="11" fillId="3" borderId="0" xfId="0" applyNumberFormat="1" applyFont="1" applyFill="1"/>
    <xf numFmtId="171" fontId="11" fillId="3" borderId="0" xfId="0" applyNumberFormat="1" applyFont="1" applyFill="1"/>
    <xf numFmtId="173" fontId="4" fillId="4" borderId="0" xfId="0" applyNumberFormat="1" applyFont="1" applyFill="1"/>
    <xf numFmtId="37" fontId="4" fillId="4" borderId="0" xfId="0" applyNumberFormat="1" applyFont="1" applyFill="1"/>
    <xf numFmtId="42" fontId="1" fillId="0" borderId="0" xfId="0" applyNumberFormat="1" applyFont="1"/>
    <xf numFmtId="41" fontId="1" fillId="3" borderId="0" xfId="0" applyNumberFormat="1" applyFont="1" applyFill="1"/>
    <xf numFmtId="41" fontId="2" fillId="3" borderId="0" xfId="0" applyNumberFormat="1" applyFont="1" applyFill="1"/>
    <xf numFmtId="42" fontId="4" fillId="3" borderId="6" xfId="0" applyNumberFormat="1" applyFont="1" applyFill="1" applyBorder="1"/>
    <xf numFmtId="42" fontId="1" fillId="0" borderId="7" xfId="0" applyNumberFormat="1" applyFont="1" applyBorder="1"/>
    <xf numFmtId="42" fontId="2" fillId="0" borderId="7" xfId="0" applyNumberFormat="1" applyFont="1" applyBorder="1"/>
    <xf numFmtId="42" fontId="8" fillId="3" borderId="11" xfId="0" applyNumberFormat="1" applyFont="1" applyFill="1" applyBorder="1"/>
    <xf numFmtId="174" fontId="1" fillId="0" borderId="0" xfId="0" applyNumberFormat="1" applyFont="1"/>
    <xf numFmtId="44" fontId="1" fillId="0" borderId="0" xfId="0" applyNumberFormat="1" applyFont="1"/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indent="1"/>
    </xf>
    <xf numFmtId="42" fontId="4" fillId="0" borderId="0" xfId="0" applyNumberFormat="1" applyFont="1"/>
    <xf numFmtId="10" fontId="1" fillId="3" borderId="0" xfId="1" applyNumberFormat="1" applyFont="1" applyFill="1"/>
    <xf numFmtId="10" fontId="4" fillId="0" borderId="0" xfId="0" applyNumberFormat="1" applyFont="1"/>
    <xf numFmtId="10" fontId="11" fillId="3" borderId="0" xfId="0" applyNumberFormat="1" applyFont="1" applyFill="1"/>
    <xf numFmtId="10" fontId="4" fillId="3" borderId="0" xfId="0" applyNumberFormat="1" applyFont="1" applyFill="1"/>
    <xf numFmtId="42" fontId="17" fillId="3" borderId="0" xfId="0" applyNumberFormat="1" applyFont="1" applyFill="1"/>
    <xf numFmtId="10" fontId="1" fillId="0" borderId="0" xfId="0" applyNumberFormat="1" applyFont="1"/>
    <xf numFmtId="37" fontId="11" fillId="3" borderId="0" xfId="0" applyNumberFormat="1" applyFont="1" applyFill="1"/>
    <xf numFmtId="0" fontId="18" fillId="0" borderId="0" xfId="0" applyFont="1"/>
    <xf numFmtId="171" fontId="19" fillId="6" borderId="0" xfId="0" applyNumberFormat="1" applyFont="1" applyFill="1"/>
    <xf numFmtId="10" fontId="1" fillId="0" borderId="0" xfId="1" quotePrefix="1" applyNumberFormat="1" applyFont="1"/>
    <xf numFmtId="37" fontId="11" fillId="0" borderId="0" xfId="0" applyNumberFormat="1" applyFont="1"/>
    <xf numFmtId="0" fontId="6" fillId="5" borderId="0" xfId="0" applyFont="1" applyFill="1"/>
    <xf numFmtId="37" fontId="1" fillId="5" borderId="0" xfId="0" applyNumberFormat="1" applyFont="1" applyFill="1"/>
    <xf numFmtId="42" fontId="1" fillId="5" borderId="0" xfId="0" applyNumberFormat="1" applyFont="1" applyFill="1"/>
    <xf numFmtId="0" fontId="10" fillId="5" borderId="0" xfId="0" applyFont="1" applyFill="1" applyAlignment="1">
      <alignment horizontal="left"/>
    </xf>
    <xf numFmtId="10" fontId="4" fillId="5" borderId="0" xfId="0" applyNumberFormat="1" applyFont="1" applyFill="1"/>
    <xf numFmtId="10" fontId="5" fillId="5" borderId="0" xfId="0" applyNumberFormat="1" applyFont="1" applyFill="1"/>
    <xf numFmtId="37" fontId="5" fillId="5" borderId="0" xfId="0" applyNumberFormat="1" applyFont="1" applyFill="1"/>
    <xf numFmtId="37" fontId="8" fillId="5" borderId="0" xfId="0" applyNumberFormat="1" applyFont="1" applyFill="1"/>
    <xf numFmtId="37" fontId="4" fillId="5" borderId="0" xfId="0" applyNumberFormat="1" applyFont="1" applyFill="1"/>
  </cellXfs>
  <cellStyles count="2">
    <cellStyle name="Normal" xfId="0" builtinId="0"/>
    <cellStyle name="Percent" xfId="1" builtinId="5"/>
  </cellStyles>
  <dxfs count="1"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2368-80F1-4C59-9F07-3203534F540D}">
  <sheetPr>
    <pageSetUpPr fitToPage="1"/>
  </sheetPr>
  <dimension ref="A1:T168"/>
  <sheetViews>
    <sheetView tabSelected="1" zoomScaleNormal="100" workbookViewId="0">
      <selection activeCell="P20" sqref="P20"/>
    </sheetView>
  </sheetViews>
  <sheetFormatPr defaultColWidth="8.81640625" defaultRowHeight="14.5" outlineLevelRow="1" x14ac:dyDescent="0.35"/>
  <cols>
    <col min="1" max="2" width="1.7265625" style="1" customWidth="1"/>
    <col min="3" max="3" width="46.7265625" style="1" bestFit="1" customWidth="1"/>
    <col min="4" max="11" width="11.453125" style="1" customWidth="1"/>
    <col min="12" max="12" width="3.26953125" style="1" bestFit="1" customWidth="1"/>
    <col min="13" max="13" width="20" style="1" bestFit="1" customWidth="1"/>
    <col min="14" max="14" width="11.81640625" style="1" customWidth="1"/>
    <col min="15" max="17" width="10.26953125" style="1" bestFit="1" customWidth="1"/>
    <col min="18" max="19" width="9.453125" style="1" bestFit="1" customWidth="1"/>
    <col min="20" max="16384" width="8.81640625" style="1"/>
  </cols>
  <sheetData>
    <row r="1" spans="1:13" ht="15" thickBot="1" x14ac:dyDescent="0.4"/>
    <row r="2" spans="1:13" ht="15" thickBot="1" x14ac:dyDescent="0.4">
      <c r="A2" s="1" t="s">
        <v>99</v>
      </c>
      <c r="C2" s="2" t="str">
        <f>"Financial Statement Model for "&amp;D5</f>
        <v>Financial Statement Model for Ovintiv</v>
      </c>
      <c r="D2" s="3"/>
      <c r="E2" s="3"/>
      <c r="F2" s="3"/>
      <c r="G2" s="3"/>
      <c r="H2" s="3"/>
      <c r="I2" s="3"/>
      <c r="J2" s="3"/>
      <c r="K2" s="3"/>
    </row>
    <row r="3" spans="1:13" x14ac:dyDescent="0.35">
      <c r="C3" s="4" t="s">
        <v>0</v>
      </c>
      <c r="D3" s="5"/>
      <c r="E3" s="5"/>
      <c r="F3" s="5"/>
      <c r="G3" s="5"/>
      <c r="H3" s="5"/>
    </row>
    <row r="5" spans="1:13" x14ac:dyDescent="0.35">
      <c r="C5" s="6" t="s">
        <v>1</v>
      </c>
      <c r="D5" s="7" t="s">
        <v>95</v>
      </c>
    </row>
    <row r="6" spans="1:13" x14ac:dyDescent="0.35">
      <c r="C6" s="6" t="s">
        <v>2</v>
      </c>
      <c r="D6" s="7" t="s">
        <v>96</v>
      </c>
    </row>
    <row r="7" spans="1:13" x14ac:dyDescent="0.35">
      <c r="C7" s="1" t="s">
        <v>3</v>
      </c>
      <c r="D7" s="8">
        <v>1</v>
      </c>
    </row>
    <row r="8" spans="1:13" x14ac:dyDescent="0.35">
      <c r="C8" s="1" t="s">
        <v>4</v>
      </c>
      <c r="D8" s="9">
        <v>51.5</v>
      </c>
    </row>
    <row r="9" spans="1:13" x14ac:dyDescent="0.35">
      <c r="C9" s="1" t="s">
        <v>5</v>
      </c>
      <c r="D9" s="10">
        <v>45372</v>
      </c>
    </row>
    <row r="10" spans="1:13" x14ac:dyDescent="0.35">
      <c r="C10" s="6" t="s">
        <v>6</v>
      </c>
      <c r="D10" s="11">
        <v>45291</v>
      </c>
    </row>
    <row r="11" spans="1:13" ht="15" customHeight="1" x14ac:dyDescent="0.35">
      <c r="C11" s="1" t="s">
        <v>7</v>
      </c>
      <c r="D11" s="12">
        <v>269515.12400000001</v>
      </c>
      <c r="L11" s="102">
        <v>-1</v>
      </c>
    </row>
    <row r="13" spans="1:13" x14ac:dyDescent="0.35">
      <c r="A13" s="1" t="s">
        <v>99</v>
      </c>
      <c r="C13" s="13" t="s">
        <v>8</v>
      </c>
      <c r="D13" s="14"/>
      <c r="E13" s="14"/>
      <c r="F13" s="14"/>
      <c r="G13" s="14"/>
      <c r="H13" s="14"/>
      <c r="I13" s="14"/>
      <c r="J13" s="14"/>
      <c r="K13" s="14"/>
    </row>
    <row r="14" spans="1:13" outlineLevel="1" x14ac:dyDescent="0.35">
      <c r="C14" s="1" t="s">
        <v>9</v>
      </c>
      <c r="D14" s="15">
        <f>E14-1</f>
        <v>2021</v>
      </c>
      <c r="E14" s="15">
        <f>F14-1</f>
        <v>2022</v>
      </c>
      <c r="F14" s="15">
        <f>YEAR(D10)</f>
        <v>2023</v>
      </c>
      <c r="G14" s="16">
        <f>F14+1</f>
        <v>2024</v>
      </c>
      <c r="H14" s="16">
        <f>G14+1</f>
        <v>2025</v>
      </c>
      <c r="I14" s="16">
        <f>H14+1</f>
        <v>2026</v>
      </c>
      <c r="J14" s="16">
        <f>I14+1</f>
        <v>2027</v>
      </c>
      <c r="K14" s="16">
        <f>J14+1</f>
        <v>2028</v>
      </c>
    </row>
    <row r="15" spans="1:13" outlineLevel="1" x14ac:dyDescent="0.35">
      <c r="C15" s="17" t="s">
        <v>10</v>
      </c>
      <c r="D15" s="18">
        <f>EOMONTH(E15,-12)</f>
        <v>44561</v>
      </c>
      <c r="E15" s="18">
        <f>EOMONTH(F15,-12)</f>
        <v>44926</v>
      </c>
      <c r="F15" s="18">
        <f>D10</f>
        <v>45291</v>
      </c>
      <c r="G15" s="18">
        <f>EOMONTH(F15,12)</f>
        <v>45657</v>
      </c>
      <c r="H15" s="18">
        <f>EOMONTH(G15,12)</f>
        <v>46022</v>
      </c>
      <c r="I15" s="18">
        <f>EOMONTH(H15,12)</f>
        <v>46387</v>
      </c>
      <c r="J15" s="18">
        <f>EOMONTH(I15,12)</f>
        <v>46752</v>
      </c>
      <c r="K15" s="18">
        <f>EOMONTH(J15,12)</f>
        <v>47118</v>
      </c>
      <c r="M15" s="25"/>
    </row>
    <row r="16" spans="1:13" outlineLevel="1" x14ac:dyDescent="0.35">
      <c r="C16" s="19"/>
      <c r="D16" s="20"/>
      <c r="E16" s="21"/>
      <c r="F16" s="21"/>
      <c r="G16" s="22"/>
      <c r="H16" s="23"/>
      <c r="I16" s="23"/>
      <c r="J16" s="21"/>
      <c r="K16" s="21"/>
    </row>
    <row r="17" spans="2:17" outlineLevel="1" x14ac:dyDescent="0.35">
      <c r="B17" s="1" t="s">
        <v>99</v>
      </c>
      <c r="C17" s="104" t="s">
        <v>11</v>
      </c>
      <c r="D17" s="77">
        <v>8658</v>
      </c>
      <c r="E17" s="77">
        <v>12464</v>
      </c>
      <c r="F17" s="77">
        <v>10883</v>
      </c>
      <c r="G17" s="80">
        <f>F17*(1+G45)</f>
        <v>9630.6</v>
      </c>
      <c r="H17" s="80">
        <f>G17*(1+H45)</f>
        <v>9994.2000000000007</v>
      </c>
      <c r="I17" s="80">
        <f>H17*(1+I45)</f>
        <v>10582.419182937421</v>
      </c>
      <c r="J17" s="80">
        <f>I17*(1+J45)</f>
        <v>11205.25862634347</v>
      </c>
      <c r="K17" s="80">
        <f>J17*(1+K45)</f>
        <v>11864.75594216567</v>
      </c>
      <c r="M17" s="107"/>
    </row>
    <row r="18" spans="2:17" outlineLevel="1" x14ac:dyDescent="0.35">
      <c r="C18" s="104" t="s">
        <v>98</v>
      </c>
      <c r="D18" s="24">
        <v>-5485</v>
      </c>
      <c r="E18" s="24">
        <v>-7058</v>
      </c>
      <c r="F18" s="24">
        <v>-5782</v>
      </c>
      <c r="G18" s="81">
        <f>F18*(1+G45)</f>
        <v>-5116.6157493338233</v>
      </c>
      <c r="H18" s="81">
        <f>G18*(1+H45)</f>
        <v>-5309.7918221078744</v>
      </c>
      <c r="I18" s="81">
        <f>H18*(1+I45)</f>
        <v>-5622.3052205958065</v>
      </c>
      <c r="J18" s="81">
        <f>I18*(1+J45)</f>
        <v>-5953.2119247926066</v>
      </c>
      <c r="K18" s="81">
        <f>J18*(1+K45)</f>
        <v>-6303.5944921071305</v>
      </c>
      <c r="Q18" s="1" t="s">
        <v>103</v>
      </c>
    </row>
    <row r="19" spans="2:17" outlineLevel="1" x14ac:dyDescent="0.35">
      <c r="C19" s="105" t="s">
        <v>15</v>
      </c>
      <c r="D19" s="24">
        <v>-1190</v>
      </c>
      <c r="E19" s="24">
        <v>-1113</v>
      </c>
      <c r="F19" s="24">
        <v>-1825</v>
      </c>
      <c r="G19" s="86">
        <f>G114*$L11</f>
        <v>-1663.5461111825784</v>
      </c>
      <c r="H19" s="86">
        <f>H114*$L11</f>
        <v>-1776.7507481392997</v>
      </c>
      <c r="I19" s="86">
        <f>I114*$L11</f>
        <v>-1934.6875404888001</v>
      </c>
      <c r="J19" s="86">
        <f>J114*$L11</f>
        <v>-2105.0606787403976</v>
      </c>
      <c r="K19" s="86">
        <f>K114*$L11</f>
        <v>-2288.7869728000192</v>
      </c>
      <c r="M19" s="95"/>
      <c r="O19" s="1" t="s">
        <v>103</v>
      </c>
    </row>
    <row r="20" spans="2:17" outlineLevel="1" x14ac:dyDescent="0.35">
      <c r="C20" s="25" t="s">
        <v>12</v>
      </c>
      <c r="D20" s="78">
        <f>SUM(D17:D19)</f>
        <v>1983</v>
      </c>
      <c r="E20" s="78">
        <f t="shared" ref="E20:F20" si="0">SUM(E17:E19)</f>
        <v>4293</v>
      </c>
      <c r="F20" s="78">
        <f t="shared" si="0"/>
        <v>3276</v>
      </c>
      <c r="G20" s="112">
        <f>SUM(G17:G19)</f>
        <v>2850.4381394835987</v>
      </c>
      <c r="H20" s="112">
        <f t="shared" ref="H20:K20" si="1">SUM(H17:H19)</f>
        <v>2907.6574297528268</v>
      </c>
      <c r="I20" s="112">
        <f t="shared" si="1"/>
        <v>3025.4264218528147</v>
      </c>
      <c r="J20" s="112">
        <f t="shared" si="1"/>
        <v>3146.9860228104653</v>
      </c>
      <c r="K20" s="112">
        <f t="shared" si="1"/>
        <v>3272.3744772585201</v>
      </c>
      <c r="L20" s="1" t="s">
        <v>103</v>
      </c>
      <c r="M20" s="117"/>
      <c r="P20" s="1" t="s">
        <v>103</v>
      </c>
    </row>
    <row r="21" spans="2:17" outlineLevel="1" x14ac:dyDescent="0.35">
      <c r="C21" s="104" t="s">
        <v>100</v>
      </c>
      <c r="D21" s="24">
        <v>-442</v>
      </c>
      <c r="E21" s="24">
        <v>-422</v>
      </c>
      <c r="F21" s="24">
        <v>-393</v>
      </c>
      <c r="G21" s="81">
        <f>-G47*G17</f>
        <v>-307.75277828937902</v>
      </c>
      <c r="H21" s="81">
        <f>-H47*H17</f>
        <v>-331.42965463646237</v>
      </c>
      <c r="I21" s="81">
        <f>-I47*I17</f>
        <v>-371.59102245715081</v>
      </c>
      <c r="J21" s="81">
        <f>-J47*J17</f>
        <v>-416.61899000017797</v>
      </c>
      <c r="K21" s="81">
        <f>-K47*K17</f>
        <v>-467.1032730581735</v>
      </c>
      <c r="M21" s="74"/>
    </row>
    <row r="22" spans="2:17" outlineLevel="1" x14ac:dyDescent="0.35">
      <c r="C22" s="104" t="s">
        <v>109</v>
      </c>
      <c r="D22" s="24">
        <v>-8</v>
      </c>
      <c r="E22" s="24">
        <v>-17</v>
      </c>
      <c r="F22" s="24">
        <v>-19</v>
      </c>
      <c r="G22" s="81">
        <f>F22</f>
        <v>-19</v>
      </c>
      <c r="H22" s="81">
        <f t="shared" ref="H22:K22" si="2">G22</f>
        <v>-19</v>
      </c>
      <c r="I22" s="81">
        <f t="shared" si="2"/>
        <v>-19</v>
      </c>
      <c r="J22" s="81">
        <f t="shared" si="2"/>
        <v>-19</v>
      </c>
      <c r="K22" s="81">
        <f t="shared" si="2"/>
        <v>-19</v>
      </c>
      <c r="M22" s="74"/>
      <c r="N22" s="1" t="s">
        <v>103</v>
      </c>
    </row>
    <row r="23" spans="2:17" outlineLevel="1" x14ac:dyDescent="0.35">
      <c r="B23" s="1" t="s">
        <v>99</v>
      </c>
      <c r="C23" s="25" t="s">
        <v>101</v>
      </c>
      <c r="D23" s="78">
        <f>D20+D21+D22</f>
        <v>1533</v>
      </c>
      <c r="E23" s="78">
        <f t="shared" ref="E23:K23" si="3">E20+E21+E22</f>
        <v>3854</v>
      </c>
      <c r="F23" s="78">
        <f t="shared" si="3"/>
        <v>2864</v>
      </c>
      <c r="G23" s="84">
        <f>G20+G21+G22</f>
        <v>2523.6853611942197</v>
      </c>
      <c r="H23" s="84">
        <f t="shared" si="3"/>
        <v>2557.2277751163647</v>
      </c>
      <c r="I23" s="84">
        <f t="shared" si="3"/>
        <v>2634.8353993956639</v>
      </c>
      <c r="J23" s="84">
        <f t="shared" si="3"/>
        <v>2711.3670328102871</v>
      </c>
      <c r="K23" s="84">
        <f t="shared" si="3"/>
        <v>2786.2712042003468</v>
      </c>
      <c r="M23" s="25"/>
    </row>
    <row r="24" spans="2:17" outlineLevel="1" x14ac:dyDescent="0.35">
      <c r="C24" s="104" t="s">
        <v>13</v>
      </c>
      <c r="D24" s="24"/>
      <c r="E24" s="24"/>
      <c r="F24" s="24"/>
      <c r="G24" s="83"/>
      <c r="H24" s="83"/>
      <c r="I24" s="83"/>
      <c r="J24" s="83"/>
      <c r="K24" s="83"/>
      <c r="O24" s="1" t="s">
        <v>103</v>
      </c>
    </row>
    <row r="25" spans="2:17" outlineLevel="1" x14ac:dyDescent="0.35">
      <c r="C25" s="104" t="s">
        <v>91</v>
      </c>
      <c r="D25" s="24">
        <v>340</v>
      </c>
      <c r="E25" s="24">
        <v>311</v>
      </c>
      <c r="F25" s="24">
        <v>355</v>
      </c>
      <c r="G25" s="120">
        <f ca="1">G153</f>
        <v>354.71076230954986</v>
      </c>
      <c r="H25" s="120">
        <f ca="1">-H153</f>
        <v>-355.10316230954993</v>
      </c>
      <c r="I25" s="120">
        <f t="shared" ref="I25:K25" ca="1" si="4">-I153</f>
        <v>-1190.7205868094391</v>
      </c>
      <c r="J25" s="120">
        <f t="shared" ca="1" si="4"/>
        <v>-2872.0166327708457</v>
      </c>
      <c r="K25" s="120">
        <f t="shared" ca="1" si="4"/>
        <v>-4542.5650749318129</v>
      </c>
    </row>
    <row r="26" spans="2:17" outlineLevel="1" x14ac:dyDescent="0.35">
      <c r="C26" s="104" t="s">
        <v>111</v>
      </c>
      <c r="D26" s="24">
        <v>-23</v>
      </c>
      <c r="E26" s="24">
        <v>15</v>
      </c>
      <c r="F26" s="24">
        <v>19</v>
      </c>
      <c r="G26" s="83">
        <f>AVERAGE(E26:F26)</f>
        <v>17</v>
      </c>
      <c r="H26" s="83"/>
      <c r="I26" s="83">
        <f t="shared" ref="I26:K26" si="5">H26</f>
        <v>0</v>
      </c>
      <c r="J26" s="83">
        <f t="shared" si="5"/>
        <v>0</v>
      </c>
      <c r="K26" s="83">
        <f t="shared" si="5"/>
        <v>0</v>
      </c>
      <c r="M26" s="1" t="s">
        <v>103</v>
      </c>
      <c r="N26" s="1" t="s">
        <v>103</v>
      </c>
      <c r="P26" s="1" t="s">
        <v>103</v>
      </c>
    </row>
    <row r="27" spans="2:17" outlineLevel="1" x14ac:dyDescent="0.35">
      <c r="C27" s="104" t="s">
        <v>102</v>
      </c>
      <c r="D27" s="24">
        <v>-525</v>
      </c>
      <c r="E27" s="24">
        <v>708</v>
      </c>
      <c r="F27" s="24">
        <v>174</v>
      </c>
      <c r="G27" s="83">
        <f>F27</f>
        <v>174</v>
      </c>
      <c r="H27" s="83">
        <f>G27</f>
        <v>174</v>
      </c>
      <c r="I27" s="83">
        <f>H27</f>
        <v>174</v>
      </c>
      <c r="J27" s="83">
        <f>I27</f>
        <v>174</v>
      </c>
      <c r="K27" s="83">
        <f>J27</f>
        <v>174</v>
      </c>
    </row>
    <row r="28" spans="2:17" outlineLevel="1" x14ac:dyDescent="0.35">
      <c r="C28" s="119" t="s">
        <v>110</v>
      </c>
      <c r="D28" s="118">
        <f>SUM(D24:D27)</f>
        <v>-208</v>
      </c>
      <c r="E28" s="118">
        <f t="shared" ref="E28:F28" si="6">SUM(E24:E27)</f>
        <v>1034</v>
      </c>
      <c r="F28" s="118">
        <f t="shared" si="6"/>
        <v>548</v>
      </c>
      <c r="G28" s="114">
        <f t="shared" ref="G28" ca="1" si="7">SUM(G24:G27)</f>
        <v>545.71076230954986</v>
      </c>
      <c r="H28" s="114">
        <f t="shared" ref="H28" ca="1" si="8">SUM(H24:H27)</f>
        <v>-181.10316230954993</v>
      </c>
      <c r="I28" s="114">
        <f t="shared" ref="I28" ca="1" si="9">SUM(I24:I27)</f>
        <v>-1016.7205868094391</v>
      </c>
      <c r="J28" s="114">
        <f t="shared" ref="J28" ca="1" si="10">SUM(J24:J27)</f>
        <v>-2698.0166327708457</v>
      </c>
      <c r="K28" s="114">
        <f t="shared" ref="K28" ca="1" si="11">SUM(K24:K27)</f>
        <v>-4368.5650749318129</v>
      </c>
      <c r="M28" s="1" t="s">
        <v>103</v>
      </c>
    </row>
    <row r="29" spans="2:17" outlineLevel="1" x14ac:dyDescent="0.35">
      <c r="C29" s="25" t="s">
        <v>105</v>
      </c>
      <c r="D29" s="26">
        <f>SUM(D23+(-D28))</f>
        <v>1741</v>
      </c>
      <c r="E29" s="26">
        <f>E23-E28</f>
        <v>2820</v>
      </c>
      <c r="F29" s="26">
        <f>F23-F28</f>
        <v>2316</v>
      </c>
      <c r="G29" s="82">
        <f ca="1">G23-G28</f>
        <v>1977.9745988846698</v>
      </c>
      <c r="H29" s="82">
        <f t="shared" ref="H29:K29" ca="1" si="12">H23-H28</f>
        <v>2738.3309374259147</v>
      </c>
      <c r="I29" s="82">
        <f t="shared" ca="1" si="12"/>
        <v>3651.5559862051032</v>
      </c>
      <c r="J29" s="82">
        <f t="shared" ca="1" si="12"/>
        <v>5409.3836655811328</v>
      </c>
      <c r="K29" s="82">
        <f t="shared" ca="1" si="12"/>
        <v>7154.8362791321597</v>
      </c>
      <c r="M29" s="25"/>
      <c r="N29" s="25"/>
    </row>
    <row r="30" spans="2:17" outlineLevel="1" x14ac:dyDescent="0.35">
      <c r="C30" s="104" t="s">
        <v>107</v>
      </c>
      <c r="D30" s="24">
        <v>488</v>
      </c>
      <c r="E30" s="24">
        <v>-741</v>
      </c>
      <c r="F30" s="24">
        <v>-194</v>
      </c>
      <c r="G30" s="126"/>
      <c r="H30" s="126"/>
      <c r="I30" s="126"/>
      <c r="J30" s="126"/>
      <c r="K30" s="126"/>
      <c r="M30" s="25"/>
      <c r="N30" s="25"/>
    </row>
    <row r="31" spans="2:17" outlineLevel="1" x14ac:dyDescent="0.35">
      <c r="C31" s="104" t="s">
        <v>108</v>
      </c>
      <c r="D31" s="24">
        <v>14</v>
      </c>
      <c r="E31" s="24"/>
      <c r="F31" s="24"/>
      <c r="G31" s="82"/>
      <c r="H31" s="82"/>
      <c r="I31" s="82"/>
      <c r="J31" s="82"/>
      <c r="K31" s="82"/>
      <c r="M31" s="25"/>
      <c r="N31" s="25"/>
    </row>
    <row r="32" spans="2:17" outlineLevel="1" x14ac:dyDescent="0.35">
      <c r="C32" s="104" t="s">
        <v>112</v>
      </c>
      <c r="D32" s="24"/>
      <c r="E32" s="24">
        <v>1</v>
      </c>
      <c r="F32" s="24" t="s">
        <v>103</v>
      </c>
      <c r="G32" s="82"/>
      <c r="H32" s="82"/>
      <c r="I32" s="82"/>
      <c r="J32" s="82"/>
      <c r="K32" s="82"/>
      <c r="M32" s="25"/>
      <c r="N32" s="25"/>
    </row>
    <row r="33" spans="2:20" outlineLevel="1" x14ac:dyDescent="0.35">
      <c r="C33" s="119" t="s">
        <v>113</v>
      </c>
      <c r="D33" s="118">
        <f>SUM(D30:D32)</f>
        <v>502</v>
      </c>
      <c r="E33" s="118">
        <f t="shared" ref="E33:F33" si="13">SUM(E30:E32)</f>
        <v>-740</v>
      </c>
      <c r="F33" s="118">
        <f t="shared" si="13"/>
        <v>-194</v>
      </c>
      <c r="G33" s="82"/>
      <c r="H33" s="82"/>
      <c r="I33" s="82"/>
      <c r="J33" s="82"/>
      <c r="K33" s="82"/>
      <c r="M33" s="25"/>
      <c r="N33" s="25"/>
    </row>
    <row r="34" spans="2:20" outlineLevel="1" x14ac:dyDescent="0.35">
      <c r="C34" s="25" t="s">
        <v>106</v>
      </c>
      <c r="D34" s="26">
        <f>D29-D33</f>
        <v>1239</v>
      </c>
      <c r="E34" s="26">
        <f t="shared" ref="E34:F34" si="14">E29-E33</f>
        <v>3560</v>
      </c>
      <c r="F34" s="26">
        <f t="shared" si="14"/>
        <v>2510</v>
      </c>
      <c r="G34" s="82"/>
      <c r="H34" s="82"/>
      <c r="I34" s="82"/>
      <c r="J34" s="82"/>
      <c r="K34" s="82"/>
      <c r="M34" s="25"/>
      <c r="N34" s="25"/>
    </row>
    <row r="35" spans="2:20" outlineLevel="1" x14ac:dyDescent="0.35">
      <c r="C35" s="104" t="s">
        <v>114</v>
      </c>
      <c r="D35" s="24">
        <v>-156</v>
      </c>
      <c r="E35" s="24">
        <v>10</v>
      </c>
      <c r="F35" s="24">
        <v>281</v>
      </c>
      <c r="G35" s="126"/>
      <c r="H35" s="126"/>
      <c r="I35" s="126"/>
      <c r="J35" s="126"/>
      <c r="K35" s="126"/>
      <c r="M35" s="25"/>
      <c r="N35" s="25"/>
    </row>
    <row r="36" spans="2:20" outlineLevel="1" x14ac:dyDescent="0.35">
      <c r="C36" s="104" t="s">
        <v>115</v>
      </c>
      <c r="D36" s="24">
        <v>-21</v>
      </c>
      <c r="E36" s="24">
        <v>-87</v>
      </c>
      <c r="F36" s="24">
        <v>144</v>
      </c>
      <c r="G36" s="127"/>
      <c r="H36" s="127"/>
      <c r="I36" s="127"/>
      <c r="J36" s="127"/>
      <c r="K36" s="127"/>
    </row>
    <row r="37" spans="2:20" outlineLevel="1" x14ac:dyDescent="0.35">
      <c r="C37" s="119" t="s">
        <v>116</v>
      </c>
      <c r="D37" s="118">
        <f>D35+D36</f>
        <v>-177</v>
      </c>
      <c r="E37" s="118">
        <f t="shared" ref="E37:F37" si="15">E35+E36</f>
        <v>-77</v>
      </c>
      <c r="F37" s="118">
        <f t="shared" si="15"/>
        <v>425</v>
      </c>
      <c r="G37" s="81"/>
      <c r="H37" s="81"/>
      <c r="I37" s="81"/>
      <c r="J37" s="81"/>
      <c r="K37" s="81"/>
    </row>
    <row r="38" spans="2:20" outlineLevel="1" x14ac:dyDescent="0.35">
      <c r="B38" s="1" t="s">
        <v>99</v>
      </c>
      <c r="C38" s="25" t="s">
        <v>14</v>
      </c>
      <c r="D38" s="78">
        <f>D34+(-(D37))</f>
        <v>1416</v>
      </c>
      <c r="E38" s="78">
        <f>E34+(-(E37))</f>
        <v>3637</v>
      </c>
      <c r="F38" s="78">
        <f>F34-F37</f>
        <v>2085</v>
      </c>
      <c r="G38" s="84">
        <f ca="1">SUM(G29:G36)</f>
        <v>1977.9745988846698</v>
      </c>
      <c r="H38" s="84">
        <f ca="1">SUM(H29:H36)</f>
        <v>2738.3309374259147</v>
      </c>
      <c r="I38" s="84">
        <f ca="1">SUM(I29:I36)</f>
        <v>3651.5559862051032</v>
      </c>
      <c r="J38" s="84">
        <f ca="1">SUM(J29:J36)</f>
        <v>5409.3836655811328</v>
      </c>
      <c r="K38" s="84">
        <f ca="1">SUM(K29:K36)</f>
        <v>7154.8362791321597</v>
      </c>
      <c r="M38" s="25"/>
    </row>
    <row r="39" spans="2:20" outlineLevel="1" x14ac:dyDescent="0.35">
      <c r="C39" s="27"/>
      <c r="D39" s="28"/>
      <c r="E39" s="28"/>
      <c r="F39" s="28"/>
      <c r="G39" s="28"/>
      <c r="H39" s="28"/>
      <c r="I39" s="28"/>
      <c r="J39" s="28"/>
      <c r="K39" s="28"/>
      <c r="Q39" s="1" t="s">
        <v>103</v>
      </c>
    </row>
    <row r="40" spans="2:20" outlineLevel="1" x14ac:dyDescent="0.35">
      <c r="B40" s="1" t="s">
        <v>99</v>
      </c>
      <c r="C40" s="30" t="s">
        <v>16</v>
      </c>
      <c r="D40" s="78">
        <f>D23+(-(D19))</f>
        <v>2723</v>
      </c>
      <c r="E40" s="78">
        <f t="shared" ref="E40:K40" si="16">E23+(-(E19))</f>
        <v>4967</v>
      </c>
      <c r="F40" s="78">
        <f>F23+(-(F19))</f>
        <v>4689</v>
      </c>
      <c r="G40" s="84">
        <f t="shared" si="16"/>
        <v>4187.2314723767977</v>
      </c>
      <c r="H40" s="84">
        <f t="shared" si="16"/>
        <v>4333.9785232556642</v>
      </c>
      <c r="I40" s="84">
        <f t="shared" si="16"/>
        <v>4569.522939884464</v>
      </c>
      <c r="J40" s="84">
        <f t="shared" si="16"/>
        <v>4816.4277115506848</v>
      </c>
      <c r="K40" s="84">
        <f t="shared" si="16"/>
        <v>5075.0581770003664</v>
      </c>
      <c r="M40" s="25"/>
    </row>
    <row r="41" spans="2:20" outlineLevel="1" x14ac:dyDescent="0.35">
      <c r="C41" s="105" t="s">
        <v>17</v>
      </c>
      <c r="D41" s="125">
        <v>4210</v>
      </c>
      <c r="E41" s="125">
        <v>4840</v>
      </c>
      <c r="F41" s="125">
        <v>5340</v>
      </c>
      <c r="G41" s="120">
        <f>F41*(1+G45)</f>
        <v>4725.4804741339703</v>
      </c>
      <c r="H41" s="120">
        <f>G41*(1+H45)</f>
        <v>4903.8893687402369</v>
      </c>
      <c r="I41" s="120">
        <f>H41*(1+I45)</f>
        <v>5192.5129501870642</v>
      </c>
      <c r="J41" s="120">
        <f>I41*(1+J45)</f>
        <v>5498.1237769616946</v>
      </c>
      <c r="K41" s="120">
        <f>J41*(1+K45)</f>
        <v>5821.7216513061358</v>
      </c>
    </row>
    <row r="42" spans="2:20" outlineLevel="1" x14ac:dyDescent="0.35">
      <c r="B42" s="1" t="s">
        <v>99</v>
      </c>
      <c r="C42" s="30" t="s">
        <v>18</v>
      </c>
      <c r="D42" s="78">
        <f>SUM(D40:D41)</f>
        <v>6933</v>
      </c>
      <c r="E42" s="78">
        <f>SUM(E40:E41)</f>
        <v>9807</v>
      </c>
      <c r="F42" s="78">
        <f>SUM(F40:F41)</f>
        <v>10029</v>
      </c>
      <c r="G42" s="84">
        <f t="shared" ref="G42:K42" si="17">SUM(G40:G41)</f>
        <v>8912.711946510768</v>
      </c>
      <c r="H42" s="84">
        <f t="shared" si="17"/>
        <v>9237.867891995902</v>
      </c>
      <c r="I42" s="84">
        <f t="shared" si="17"/>
        <v>9762.0358900715291</v>
      </c>
      <c r="J42" s="84">
        <f t="shared" si="17"/>
        <v>10314.551488512379</v>
      </c>
      <c r="K42" s="84">
        <f t="shared" si="17"/>
        <v>10896.779828306502</v>
      </c>
      <c r="M42" s="25"/>
    </row>
    <row r="43" spans="2:20" outlineLevel="1" x14ac:dyDescent="0.35">
      <c r="C43" s="27"/>
      <c r="G43" s="31"/>
    </row>
    <row r="44" spans="2:20" outlineLevel="1" x14ac:dyDescent="0.35">
      <c r="B44" s="1" t="s">
        <v>99</v>
      </c>
      <c r="C44" s="32" t="s">
        <v>19</v>
      </c>
      <c r="F44" s="103"/>
    </row>
    <row r="45" spans="2:20" outlineLevel="1" x14ac:dyDescent="0.35">
      <c r="C45" s="27" t="s">
        <v>20</v>
      </c>
      <c r="D45" s="109"/>
      <c r="E45" s="109">
        <f>E17/D17-1</f>
        <v>0.43959343959343955</v>
      </c>
      <c r="F45" s="109">
        <f>F17/E17-1</f>
        <v>-0.12684531450577663</v>
      </c>
      <c r="G45" s="110">
        <f>9630.6/F17-1</f>
        <v>-0.11507856289626017</v>
      </c>
      <c r="H45" s="110">
        <f>9994.2/G17-1</f>
        <v>3.7754657030714567E-2</v>
      </c>
      <c r="I45" s="110">
        <f>AVERAGE(E45:H45)</f>
        <v>5.8856054805529329E-2</v>
      </c>
      <c r="J45" s="111">
        <f t="shared" ref="J45:K48" si="18">I45</f>
        <v>5.8856054805529329E-2</v>
      </c>
      <c r="K45" s="111">
        <f t="shared" si="18"/>
        <v>5.8856054805529329E-2</v>
      </c>
      <c r="M45" s="1" t="s">
        <v>103</v>
      </c>
      <c r="O45" s="34"/>
      <c r="P45" s="34"/>
      <c r="Q45" s="34"/>
      <c r="R45" s="34"/>
      <c r="S45" s="34"/>
      <c r="T45" s="34"/>
    </row>
    <row r="46" spans="2:20" outlineLevel="1" x14ac:dyDescent="0.35">
      <c r="C46" s="27" t="s">
        <v>21</v>
      </c>
      <c r="D46" s="109">
        <f t="shared" ref="D46:K46" si="19">D20/D17</f>
        <v>0.22903672903672903</v>
      </c>
      <c r="E46" s="109">
        <f t="shared" si="19"/>
        <v>0.34443196405648269</v>
      </c>
      <c r="F46" s="109">
        <f t="shared" si="19"/>
        <v>0.3010199393549573</v>
      </c>
      <c r="G46" s="108">
        <f t="shared" si="19"/>
        <v>0.29597721216576317</v>
      </c>
      <c r="H46" s="108">
        <f t="shared" si="19"/>
        <v>0.2909344849765691</v>
      </c>
      <c r="I46" s="108">
        <f t="shared" si="19"/>
        <v>0.28589175778737486</v>
      </c>
      <c r="J46" s="108">
        <f t="shared" si="19"/>
        <v>0.28084903059818073</v>
      </c>
      <c r="K46" s="108">
        <f t="shared" si="19"/>
        <v>0.27580630340898649</v>
      </c>
      <c r="M46" s="1" t="s">
        <v>103</v>
      </c>
      <c r="N46" s="1" t="s">
        <v>103</v>
      </c>
      <c r="O46" s="34"/>
      <c r="P46" s="34"/>
      <c r="Q46" s="34"/>
      <c r="R46" s="34"/>
      <c r="S46" s="34"/>
      <c r="T46" s="34"/>
    </row>
    <row r="47" spans="2:20" outlineLevel="1" x14ac:dyDescent="0.35">
      <c r="C47" s="27" t="s">
        <v>22</v>
      </c>
      <c r="D47" s="109">
        <f>-D21/D17</f>
        <v>5.1051051051051052E-2</v>
      </c>
      <c r="E47" s="109">
        <f>-E21/E17</f>
        <v>3.3857509627727857E-2</v>
      </c>
      <c r="F47" s="109">
        <f>-F21/F17</f>
        <v>3.611136635118993E-2</v>
      </c>
      <c r="G47" s="108">
        <f>F47*(1+G45)</f>
        <v>3.1955722207274627E-2</v>
      </c>
      <c r="H47" s="108">
        <f t="shared" ref="H47:I47" si="20">G47*(1+H45)</f>
        <v>3.3162199539379072E-2</v>
      </c>
      <c r="I47" s="108">
        <f t="shared" si="20"/>
        <v>3.5113995772940665E-2</v>
      </c>
      <c r="J47" s="108">
        <f>I47*(1+J45)</f>
        <v>3.7180667032593984E-2</v>
      </c>
      <c r="K47" s="108">
        <f>J47*(1+K45)</f>
        <v>3.9368974409170469E-2</v>
      </c>
      <c r="R47" s="113"/>
      <c r="S47" s="34"/>
      <c r="T47" s="34"/>
    </row>
    <row r="48" spans="2:20" outlineLevel="1" x14ac:dyDescent="0.35">
      <c r="C48" s="106" t="s">
        <v>23</v>
      </c>
      <c r="D48" s="123">
        <f>-(D36/D29)</f>
        <v>1.2062033314187249E-2</v>
      </c>
      <c r="E48" s="123">
        <f>-(E36/E29)</f>
        <v>3.0851063829787233E-2</v>
      </c>
      <c r="F48" s="123">
        <f>-(F36/F29)</f>
        <v>-6.2176165803108807E-2</v>
      </c>
      <c r="G48" s="124">
        <v>0.16700000000000001</v>
      </c>
      <c r="H48" s="124">
        <v>0.17</v>
      </c>
      <c r="I48" s="124">
        <v>0.16900000000000001</v>
      </c>
      <c r="J48" s="123">
        <f t="shared" si="18"/>
        <v>0.16900000000000001</v>
      </c>
      <c r="K48" s="123">
        <f t="shared" si="18"/>
        <v>0.16900000000000001</v>
      </c>
      <c r="O48" s="34"/>
      <c r="P48" s="34"/>
      <c r="Q48" s="34"/>
      <c r="R48" s="34"/>
      <c r="S48" s="34"/>
      <c r="T48" s="34"/>
    </row>
    <row r="49" spans="1:12" x14ac:dyDescent="0.35">
      <c r="C49" s="27"/>
      <c r="G49" s="31"/>
      <c r="L49" s="1" t="s">
        <v>103</v>
      </c>
    </row>
    <row r="50" spans="1:12" x14ac:dyDescent="0.35">
      <c r="A50" s="1" t="s">
        <v>99</v>
      </c>
      <c r="C50" s="13" t="s">
        <v>24</v>
      </c>
      <c r="D50" s="35"/>
      <c r="E50" s="35"/>
      <c r="F50" s="35"/>
      <c r="G50" s="14"/>
      <c r="H50" s="14"/>
      <c r="I50" s="14"/>
      <c r="J50" s="14"/>
      <c r="K50" s="14"/>
    </row>
    <row r="51" spans="1:12" outlineLevel="1" x14ac:dyDescent="0.35">
      <c r="C51" s="36" t="str">
        <f>C14</f>
        <v xml:space="preserve">Fiscal year  </v>
      </c>
      <c r="D51" s="37"/>
      <c r="E51" s="37">
        <f t="shared" ref="E51:K52" si="21">E14</f>
        <v>2022</v>
      </c>
      <c r="F51" s="37">
        <f t="shared" si="21"/>
        <v>2023</v>
      </c>
      <c r="G51" s="38">
        <f t="shared" si="21"/>
        <v>2024</v>
      </c>
      <c r="H51" s="38">
        <f t="shared" si="21"/>
        <v>2025</v>
      </c>
      <c r="I51" s="38">
        <f t="shared" si="21"/>
        <v>2026</v>
      </c>
      <c r="J51" s="38">
        <f t="shared" si="21"/>
        <v>2027</v>
      </c>
      <c r="K51" s="38">
        <f t="shared" si="21"/>
        <v>2028</v>
      </c>
    </row>
    <row r="52" spans="1:12" outlineLevel="1" x14ac:dyDescent="0.35">
      <c r="C52" s="14" t="str">
        <f>C15</f>
        <v>Fiscal year end date</v>
      </c>
      <c r="D52" s="39"/>
      <c r="E52" s="39">
        <f t="shared" si="21"/>
        <v>44926</v>
      </c>
      <c r="F52" s="39">
        <f t="shared" si="21"/>
        <v>45291</v>
      </c>
      <c r="G52" s="39">
        <f t="shared" si="21"/>
        <v>45657</v>
      </c>
      <c r="H52" s="39">
        <f t="shared" si="21"/>
        <v>46022</v>
      </c>
      <c r="I52" s="39">
        <f t="shared" si="21"/>
        <v>46387</v>
      </c>
      <c r="J52" s="39">
        <f t="shared" si="21"/>
        <v>46752</v>
      </c>
      <c r="K52" s="39">
        <f t="shared" si="21"/>
        <v>47118</v>
      </c>
    </row>
    <row r="53" spans="1:12" outlineLevel="1" x14ac:dyDescent="0.35">
      <c r="B53" s="1" t="s">
        <v>99</v>
      </c>
      <c r="C53" s="1" t="s">
        <v>25</v>
      </c>
      <c r="D53" s="24"/>
      <c r="E53" s="77">
        <f>20289+53892+194714</f>
        <v>268895</v>
      </c>
      <c r="F53" s="77">
        <f>25913+40388+170799</f>
        <v>237100</v>
      </c>
      <c r="G53" s="86">
        <f ca="1">G98+F53</f>
        <v>146405.51577980904</v>
      </c>
      <c r="H53" s="86">
        <f ca="1">H98+G53</f>
        <v>64838.531474011586</v>
      </c>
      <c r="I53" s="86">
        <f ca="1">I98+H53</f>
        <v>62000.000000000007</v>
      </c>
      <c r="J53" s="86">
        <f ca="1">J98+I53</f>
        <v>62000.000000000007</v>
      </c>
      <c r="K53" s="86">
        <f ca="1">K98+J53</f>
        <v>62000.000000000007</v>
      </c>
    </row>
    <row r="54" spans="1:12" outlineLevel="1" x14ac:dyDescent="0.35">
      <c r="C54" s="1" t="s">
        <v>26</v>
      </c>
      <c r="D54" s="24"/>
      <c r="E54" s="24">
        <v>17874</v>
      </c>
      <c r="F54" s="24">
        <v>23186</v>
      </c>
      <c r="G54" s="83">
        <f>F54*(1+G45)</f>
        <v>20517.788440687313</v>
      </c>
      <c r="H54" s="83">
        <f>G54*(1+H45)</f>
        <v>21292.430506294222</v>
      </c>
      <c r="I54" s="83">
        <f>H54*(1+I45)</f>
        <v>22545.618963115598</v>
      </c>
      <c r="J54" s="83">
        <f>I54*(1+J45)</f>
        <v>23872.56514843331</v>
      </c>
      <c r="K54" s="83">
        <f>J54*(1+K45)</f>
        <v>25277.610151158067</v>
      </c>
    </row>
    <row r="55" spans="1:12" outlineLevel="1" x14ac:dyDescent="0.35">
      <c r="C55" s="1" t="s">
        <v>27</v>
      </c>
      <c r="D55" s="24"/>
      <c r="E55" s="24">
        <v>4855</v>
      </c>
      <c r="F55" s="24">
        <v>3956</v>
      </c>
      <c r="G55" s="83">
        <f>F55*G18/F18</f>
        <v>3500.7492051823942</v>
      </c>
      <c r="H55" s="83">
        <f>G55*H18/G18</f>
        <v>3632.9187907746023</v>
      </c>
      <c r="I55" s="83">
        <f>H55*I18/H18</f>
        <v>3846.7380582284695</v>
      </c>
      <c r="J55" s="83">
        <f>I55*J18/I18</f>
        <v>4073.1418842060793</v>
      </c>
      <c r="K55" s="83">
        <f>J55*K18/J18</f>
        <v>4312.8709461736089</v>
      </c>
    </row>
    <row r="56" spans="1:12" outlineLevel="1" x14ac:dyDescent="0.35">
      <c r="C56" s="1" t="s">
        <v>28</v>
      </c>
      <c r="D56" s="24"/>
      <c r="E56" s="24">
        <f>17799+13936</f>
        <v>31735</v>
      </c>
      <c r="F56" s="24">
        <f>25809+12087</f>
        <v>37896</v>
      </c>
      <c r="G56" s="83">
        <f>F56*(1+G45)</f>
        <v>33534.982780483326</v>
      </c>
      <c r="H56" s="83">
        <f>G56*(1+H45)</f>
        <v>34801.084553891393</v>
      </c>
      <c r="I56" s="83">
        <f>H56*(1+I45)</f>
        <v>36849.339093687078</v>
      </c>
      <c r="J56" s="83">
        <f>I56*(1+J45)</f>
        <v>39018.145814932657</v>
      </c>
      <c r="K56" s="83">
        <f>J56*(1+K45)</f>
        <v>41314.599943426467</v>
      </c>
    </row>
    <row r="57" spans="1:12" outlineLevel="1" x14ac:dyDescent="0.35">
      <c r="C57" s="1" t="s">
        <v>29</v>
      </c>
      <c r="D57" s="24"/>
      <c r="E57" s="24">
        <v>59108</v>
      </c>
      <c r="F57" s="24">
        <v>66477</v>
      </c>
      <c r="G57" s="83">
        <f>G107</f>
        <v>67259.376740972148</v>
      </c>
      <c r="H57" s="83">
        <f>H107</f>
        <v>68020.893823394275</v>
      </c>
      <c r="I57" s="83">
        <f>I107</f>
        <v>68773.866544013537</v>
      </c>
      <c r="J57" s="83">
        <f>J107</f>
        <v>69514.65120600762</v>
      </c>
      <c r="K57" s="83">
        <f>K107</f>
        <v>70239.204803284418</v>
      </c>
    </row>
    <row r="58" spans="1:12" outlineLevel="1" x14ac:dyDescent="0.35">
      <c r="C58" s="1" t="s">
        <v>30</v>
      </c>
      <c r="D58" s="24"/>
      <c r="E58" s="24">
        <v>18177</v>
      </c>
      <c r="F58" s="24">
        <v>22283</v>
      </c>
      <c r="G58" s="83">
        <f>F58*(1+G45)</f>
        <v>19718.704382982636</v>
      </c>
      <c r="H58" s="83">
        <f>G58*(1+H45)</f>
        <v>20463.177304052195</v>
      </c>
      <c r="I58" s="83">
        <f>H58*(1+I45)</f>
        <v>21667.559188954754</v>
      </c>
      <c r="J58" s="83">
        <f>I58*(1+J45)</f>
        <v>22942.826240081922</v>
      </c>
      <c r="K58" s="83">
        <f>J58*(1+K45)</f>
        <v>24293.150478661919</v>
      </c>
    </row>
    <row r="59" spans="1:12" outlineLevel="1" x14ac:dyDescent="0.35">
      <c r="B59" s="1" t="s">
        <v>99</v>
      </c>
      <c r="C59" s="30" t="s">
        <v>31</v>
      </c>
      <c r="D59" s="26"/>
      <c r="E59" s="78">
        <f t="shared" ref="E59:K59" si="22">SUM(E53:E58)</f>
        <v>400644</v>
      </c>
      <c r="F59" s="78">
        <f t="shared" si="22"/>
        <v>390898</v>
      </c>
      <c r="G59" s="87">
        <f t="shared" ca="1" si="22"/>
        <v>290937.11733011686</v>
      </c>
      <c r="H59" s="87">
        <f t="shared" ca="1" si="22"/>
        <v>213049.03645241828</v>
      </c>
      <c r="I59" s="87">
        <f t="shared" ca="1" si="22"/>
        <v>215683.12184799946</v>
      </c>
      <c r="J59" s="87">
        <f t="shared" ca="1" si="22"/>
        <v>221421.33029366162</v>
      </c>
      <c r="K59" s="87">
        <f t="shared" ca="1" si="22"/>
        <v>227437.43632270454</v>
      </c>
    </row>
    <row r="60" spans="1:12" outlineLevel="1" x14ac:dyDescent="0.35">
      <c r="C60" s="29"/>
      <c r="D60" s="28"/>
      <c r="E60" s="28"/>
      <c r="F60" s="28"/>
      <c r="G60" s="28"/>
      <c r="H60" s="28"/>
      <c r="I60" s="28"/>
      <c r="J60" s="28"/>
      <c r="K60" s="28"/>
    </row>
    <row r="61" spans="1:12" outlineLevel="1" x14ac:dyDescent="0.35">
      <c r="C61" s="29" t="s">
        <v>32</v>
      </c>
      <c r="D61" s="24"/>
      <c r="E61" s="24">
        <v>44242</v>
      </c>
      <c r="F61" s="24">
        <v>55888</v>
      </c>
      <c r="G61" s="83">
        <f>F61*G18/F18</f>
        <v>49456.489276853805</v>
      </c>
      <c r="H61" s="83">
        <f>G61*H18/G18</f>
        <v>51323.702067444632</v>
      </c>
      <c r="I61" s="83">
        <f>H61*I18/H18</f>
        <v>54344.412689148812</v>
      </c>
      <c r="J61" s="83">
        <f>I61*J18/I18</f>
        <v>57542.910420755652</v>
      </c>
      <c r="K61" s="83">
        <f>J61*K18/J18</f>
        <v>60929.659110149303</v>
      </c>
    </row>
    <row r="62" spans="1:12" outlineLevel="1" x14ac:dyDescent="0.35">
      <c r="C62" s="29" t="s">
        <v>33</v>
      </c>
      <c r="D62" s="24"/>
      <c r="E62" s="24">
        <v>30551</v>
      </c>
      <c r="F62" s="24">
        <v>32687</v>
      </c>
      <c r="G62" s="83">
        <f>F62*(1+G45)</f>
        <v>28925.427014609944</v>
      </c>
      <c r="H62" s="83">
        <f>G62*(1+H45)</f>
        <v>30017.496591013507</v>
      </c>
      <c r="I62" s="83">
        <f>H62*(1+I45)</f>
        <v>31784.208015498985</v>
      </c>
      <c r="J62" s="83">
        <f>I62*(1+J45)</f>
        <v>33654.901104409539</v>
      </c>
      <c r="K62" s="83">
        <f>J62*(1+K45)</f>
        <v>35635.695808285331</v>
      </c>
    </row>
    <row r="63" spans="1:12" outlineLevel="1" x14ac:dyDescent="0.35">
      <c r="C63" s="29" t="s">
        <v>34</v>
      </c>
      <c r="D63" s="24"/>
      <c r="E63" s="24">
        <f>7548+2836</f>
        <v>10384</v>
      </c>
      <c r="F63" s="24">
        <f>7543+2797</f>
        <v>10340</v>
      </c>
      <c r="G63" s="83">
        <f>F63*(1+G45)</f>
        <v>9150.0876596526705</v>
      </c>
      <c r="H63" s="83">
        <f>G63*(1+H45)</f>
        <v>9495.5460810438308</v>
      </c>
      <c r="I63" s="83">
        <f>H63*(1+I45)</f>
        <v>10054.416461598175</v>
      </c>
      <c r="J63" s="83">
        <f>I63*(1+J45)</f>
        <v>10646.179747899612</v>
      </c>
      <c r="K63" s="83">
        <f>J63*(1+K45)</f>
        <v>11272.771886611506</v>
      </c>
    </row>
    <row r="64" spans="1:12" outlineLevel="1" x14ac:dyDescent="0.35">
      <c r="C64" s="29" t="s">
        <v>35</v>
      </c>
      <c r="D64" s="24"/>
      <c r="E64" s="24">
        <v>11977</v>
      </c>
      <c r="F64" s="24">
        <v>11964</v>
      </c>
      <c r="G64" s="83">
        <f ca="1">G146</f>
        <v>12000</v>
      </c>
      <c r="H64" s="83">
        <f ca="1">H146</f>
        <v>12000</v>
      </c>
      <c r="I64" s="83">
        <f ca="1">I146</f>
        <v>88662.149036687086</v>
      </c>
      <c r="J64" s="83">
        <f ca="1">J146</f>
        <v>166247.34366618411</v>
      </c>
      <c r="K64" s="83">
        <f ca="1">K146</f>
        <v>241923.47400558309</v>
      </c>
    </row>
    <row r="65" spans="1:13" outlineLevel="1" x14ac:dyDescent="0.35">
      <c r="C65" s="29" t="s">
        <v>36</v>
      </c>
      <c r="D65" s="24"/>
      <c r="E65" s="24">
        <f>6496+97207</f>
        <v>103703</v>
      </c>
      <c r="F65" s="24">
        <f>8784+93735</f>
        <v>102519</v>
      </c>
      <c r="G65" s="83">
        <f t="shared" ref="G65:K65" si="23">F65</f>
        <v>102519</v>
      </c>
      <c r="H65" s="83">
        <f t="shared" si="23"/>
        <v>102519</v>
      </c>
      <c r="I65" s="83">
        <f t="shared" si="23"/>
        <v>102519</v>
      </c>
      <c r="J65" s="83">
        <f t="shared" si="23"/>
        <v>102519</v>
      </c>
      <c r="K65" s="83">
        <f t="shared" si="23"/>
        <v>102519</v>
      </c>
    </row>
    <row r="66" spans="1:13" ht="15.75" customHeight="1" outlineLevel="1" x14ac:dyDescent="0.35">
      <c r="C66" s="29" t="s">
        <v>37</v>
      </c>
      <c r="D66" s="24"/>
      <c r="E66" s="24">
        <v>40415</v>
      </c>
      <c r="F66" s="24">
        <v>45180</v>
      </c>
      <c r="G66" s="83">
        <f>F66*(1+G45)</f>
        <v>39980.750528346965</v>
      </c>
      <c r="H66" s="83">
        <f>G66*(1+H45)</f>
        <v>41490.210052375267</v>
      </c>
      <c r="I66" s="83">
        <f>H66*(1+I45)</f>
        <v>43932.160129110787</v>
      </c>
      <c r="J66" s="83">
        <f>I66*(1+J45)</f>
        <v>46517.833753395018</v>
      </c>
      <c r="K66" s="83">
        <f>J66*(1+K45)</f>
        <v>49255.689926219333</v>
      </c>
    </row>
    <row r="67" spans="1:13" outlineLevel="1" x14ac:dyDescent="0.35">
      <c r="B67" s="1" t="s">
        <v>99</v>
      </c>
      <c r="C67" s="30" t="s">
        <v>38</v>
      </c>
      <c r="D67" s="26"/>
      <c r="E67" s="78">
        <f t="shared" ref="E67:K67" si="24">SUM(E61:E66)</f>
        <v>241272</v>
      </c>
      <c r="F67" s="78">
        <f t="shared" si="24"/>
        <v>258578</v>
      </c>
      <c r="G67" s="87">
        <f t="shared" ca="1" si="24"/>
        <v>242031.75447946339</v>
      </c>
      <c r="H67" s="87">
        <f t="shared" ca="1" si="24"/>
        <v>246845.95479187724</v>
      </c>
      <c r="I67" s="87">
        <f t="shared" ca="1" si="24"/>
        <v>331296.34633204388</v>
      </c>
      <c r="J67" s="87">
        <f t="shared" ca="1" si="24"/>
        <v>417128.16869264393</v>
      </c>
      <c r="K67" s="87">
        <f t="shared" ca="1" si="24"/>
        <v>501536.29073684855</v>
      </c>
    </row>
    <row r="68" spans="1:13" outlineLevel="1" x14ac:dyDescent="0.35">
      <c r="C68" s="30"/>
      <c r="D68" s="26"/>
      <c r="E68" s="26"/>
      <c r="F68" s="26"/>
      <c r="G68" s="28"/>
      <c r="H68" s="28"/>
      <c r="I68" s="28"/>
      <c r="J68" s="28"/>
      <c r="K68" s="28"/>
    </row>
    <row r="69" spans="1:13" outlineLevel="1" x14ac:dyDescent="0.35">
      <c r="C69" s="29" t="s">
        <v>39</v>
      </c>
      <c r="D69" s="24"/>
      <c r="E69" s="24">
        <v>35867</v>
      </c>
      <c r="F69" s="24">
        <v>40201</v>
      </c>
      <c r="G69" s="83">
        <f>F69+G41</f>
        <v>44926.480474133969</v>
      </c>
      <c r="H69" s="83">
        <f>G69+H41</f>
        <v>49830.369842874206</v>
      </c>
      <c r="I69" s="83">
        <f>H69+I41</f>
        <v>55022.882793061268</v>
      </c>
      <c r="J69" s="83">
        <f>I69+J41</f>
        <v>60521.006570022961</v>
      </c>
      <c r="K69" s="83">
        <f>J69+K41</f>
        <v>66342.728221329104</v>
      </c>
    </row>
    <row r="70" spans="1:13" ht="15.75" customHeight="1" outlineLevel="1" x14ac:dyDescent="0.35">
      <c r="C70" s="29" t="s">
        <v>40</v>
      </c>
      <c r="D70" s="40"/>
      <c r="E70" s="40">
        <f>98330</f>
        <v>98330</v>
      </c>
      <c r="F70" s="24">
        <v>70400</v>
      </c>
      <c r="G70" s="83">
        <f ca="1">G127</f>
        <v>-14413.02540111533</v>
      </c>
      <c r="H70" s="83">
        <f ca="1">H127</f>
        <v>-98465.694463689419</v>
      </c>
      <c r="I70" s="83">
        <f ca="1">I127</f>
        <v>-181605.13847748432</v>
      </c>
      <c r="J70" s="83">
        <f ca="1">J127</f>
        <v>-262986.75481190317</v>
      </c>
      <c r="K70" s="83">
        <f ca="1">K127</f>
        <v>-342622.918532771</v>
      </c>
    </row>
    <row r="71" spans="1:13" ht="15.75" customHeight="1" outlineLevel="1" x14ac:dyDescent="0.35">
      <c r="C71" s="29" t="s">
        <v>41</v>
      </c>
      <c r="D71" s="24"/>
      <c r="E71" s="24">
        <v>-150</v>
      </c>
      <c r="F71" s="24">
        <v>-3454</v>
      </c>
      <c r="G71" s="83">
        <f>F71</f>
        <v>-3454</v>
      </c>
      <c r="H71" s="83">
        <f>G71</f>
        <v>-3454</v>
      </c>
      <c r="I71" s="83">
        <f>H71</f>
        <v>-3454</v>
      </c>
      <c r="J71" s="83">
        <f>I71</f>
        <v>-3454</v>
      </c>
      <c r="K71" s="83">
        <f>J71</f>
        <v>-3454</v>
      </c>
    </row>
    <row r="72" spans="1:13" outlineLevel="1" x14ac:dyDescent="0.35">
      <c r="B72" s="1" t="s">
        <v>99</v>
      </c>
      <c r="C72" s="30" t="s">
        <v>42</v>
      </c>
      <c r="D72" s="41"/>
      <c r="E72" s="79">
        <f t="shared" ref="E72:K72" si="25">SUM(E69:E71)</f>
        <v>134047</v>
      </c>
      <c r="F72" s="79">
        <f t="shared" si="25"/>
        <v>107147</v>
      </c>
      <c r="G72" s="87">
        <f t="shared" ca="1" si="25"/>
        <v>27059.455073018638</v>
      </c>
      <c r="H72" s="87">
        <f t="shared" ca="1" si="25"/>
        <v>-52089.324620815212</v>
      </c>
      <c r="I72" s="87">
        <f t="shared" ca="1" si="25"/>
        <v>-130036.25568442306</v>
      </c>
      <c r="J72" s="87">
        <f t="shared" ca="1" si="25"/>
        <v>-205919.74824188021</v>
      </c>
      <c r="K72" s="87">
        <f t="shared" ca="1" si="25"/>
        <v>-279734.1903114419</v>
      </c>
    </row>
    <row r="73" spans="1:13" outlineLevel="1" x14ac:dyDescent="0.35">
      <c r="D73" s="28"/>
      <c r="E73" s="28"/>
      <c r="F73" s="28"/>
    </row>
    <row r="74" spans="1:13" outlineLevel="1" x14ac:dyDescent="0.35">
      <c r="B74" s="1" t="s">
        <v>99</v>
      </c>
      <c r="C74" s="19" t="s">
        <v>43</v>
      </c>
      <c r="D74" s="42"/>
      <c r="E74" s="42">
        <f>ROUND(E59-E67-E72,3)</f>
        <v>25325</v>
      </c>
      <c r="F74" s="42">
        <f t="shared" ref="F74:K74" si="26">ROUND(F59-F67-F72,3)</f>
        <v>25173</v>
      </c>
      <c r="G74" s="42">
        <f t="shared" ca="1" si="26"/>
        <v>21845.907999999999</v>
      </c>
      <c r="H74" s="42">
        <f t="shared" ca="1" si="26"/>
        <v>18292.405999999999</v>
      </c>
      <c r="I74" s="42">
        <f t="shared" ca="1" si="26"/>
        <v>14423.031000000001</v>
      </c>
      <c r="J74" s="42">
        <f t="shared" ca="1" si="26"/>
        <v>10212.91</v>
      </c>
      <c r="K74" s="42">
        <f t="shared" ca="1" si="26"/>
        <v>5635.3360000000002</v>
      </c>
    </row>
    <row r="75" spans="1:13" x14ac:dyDescent="0.35">
      <c r="E75" s="28"/>
      <c r="F75" s="28"/>
      <c r="H75" s="28"/>
      <c r="I75" s="28"/>
      <c r="J75" s="28"/>
      <c r="K75" s="28"/>
    </row>
    <row r="76" spans="1:13" x14ac:dyDescent="0.35">
      <c r="A76" s="1" t="s">
        <v>99</v>
      </c>
      <c r="C76" s="13" t="s">
        <v>44</v>
      </c>
      <c r="D76" s="35"/>
      <c r="E76" s="35"/>
      <c r="F76" s="35"/>
      <c r="G76" s="35"/>
      <c r="H76" s="35"/>
      <c r="I76" s="35"/>
      <c r="J76" s="35"/>
      <c r="K76" s="35"/>
    </row>
    <row r="77" spans="1:13" outlineLevel="1" x14ac:dyDescent="0.35">
      <c r="C77" s="36" t="str">
        <f>C14</f>
        <v xml:space="preserve">Fiscal year  </v>
      </c>
      <c r="D77" s="37"/>
      <c r="E77" s="37"/>
      <c r="F77" s="37"/>
      <c r="G77" s="38">
        <f t="shared" ref="G77:K78" si="27">G14</f>
        <v>2024</v>
      </c>
      <c r="H77" s="38">
        <f t="shared" si="27"/>
        <v>2025</v>
      </c>
      <c r="I77" s="38">
        <f t="shared" si="27"/>
        <v>2026</v>
      </c>
      <c r="J77" s="38">
        <f t="shared" si="27"/>
        <v>2027</v>
      </c>
      <c r="K77" s="38">
        <f t="shared" si="27"/>
        <v>2028</v>
      </c>
    </row>
    <row r="78" spans="1:13" outlineLevel="1" x14ac:dyDescent="0.35">
      <c r="C78" s="14" t="str">
        <f>C15</f>
        <v>Fiscal year end date</v>
      </c>
      <c r="D78" s="39"/>
      <c r="E78" s="39"/>
      <c r="F78" s="39"/>
      <c r="G78" s="39">
        <f t="shared" si="27"/>
        <v>45657</v>
      </c>
      <c r="H78" s="39">
        <f t="shared" si="27"/>
        <v>46022</v>
      </c>
      <c r="I78" s="39">
        <f t="shared" si="27"/>
        <v>46387</v>
      </c>
      <c r="J78" s="39">
        <f t="shared" si="27"/>
        <v>46752</v>
      </c>
      <c r="K78" s="39">
        <f t="shared" si="27"/>
        <v>47118</v>
      </c>
    </row>
    <row r="79" spans="1:13" outlineLevel="1" x14ac:dyDescent="0.35"/>
    <row r="80" spans="1:13" outlineLevel="1" x14ac:dyDescent="0.35">
      <c r="C80" s="1" t="s">
        <v>14</v>
      </c>
      <c r="D80" s="43"/>
      <c r="E80" s="43"/>
      <c r="F80" s="43"/>
      <c r="G80" s="96">
        <f ca="1">G38</f>
        <v>1977.9745988846698</v>
      </c>
      <c r="H80" s="96">
        <f ca="1">H38</f>
        <v>2738.3309374259147</v>
      </c>
      <c r="I80" s="96">
        <f ca="1">I38</f>
        <v>3651.5559862051032</v>
      </c>
      <c r="J80" s="96">
        <f ca="1">J38</f>
        <v>5409.3836655811328</v>
      </c>
      <c r="K80" s="96">
        <f ca="1">K38</f>
        <v>7154.8362791321597</v>
      </c>
      <c r="M80" s="25"/>
    </row>
    <row r="81" spans="2:13" outlineLevel="1" x14ac:dyDescent="0.35">
      <c r="C81" s="1" t="s">
        <v>45</v>
      </c>
      <c r="D81" s="43"/>
      <c r="E81" s="43"/>
      <c r="F81" s="43"/>
      <c r="G81" s="83">
        <f>G19</f>
        <v>-1663.5461111825784</v>
      </c>
      <c r="H81" s="83">
        <f>H19</f>
        <v>-1776.7507481392997</v>
      </c>
      <c r="I81" s="83">
        <f>I19</f>
        <v>-1934.6875404888001</v>
      </c>
      <c r="J81" s="83">
        <f>J19</f>
        <v>-2105.0606787403976</v>
      </c>
      <c r="K81" s="83">
        <f>K19</f>
        <v>-2288.7869728000192</v>
      </c>
    </row>
    <row r="82" spans="2:13" outlineLevel="1" x14ac:dyDescent="0.35">
      <c r="C82" s="1" t="s">
        <v>17</v>
      </c>
      <c r="D82" s="43"/>
      <c r="E82" s="43"/>
      <c r="F82" s="43"/>
      <c r="G82" s="83">
        <f>G41</f>
        <v>4725.4804741339703</v>
      </c>
      <c r="H82" s="83">
        <f>H41</f>
        <v>4903.8893687402369</v>
      </c>
      <c r="I82" s="83">
        <f>I41</f>
        <v>5192.5129501870642</v>
      </c>
      <c r="J82" s="83">
        <f>J41</f>
        <v>5498.1237769616946</v>
      </c>
      <c r="K82" s="83">
        <f>K41</f>
        <v>5821.7216513061358</v>
      </c>
    </row>
    <row r="83" spans="2:13" outlineLevel="1" x14ac:dyDescent="0.35">
      <c r="C83" s="1" t="s">
        <v>46</v>
      </c>
      <c r="D83" s="28"/>
      <c r="E83" s="28"/>
      <c r="F83" s="28"/>
      <c r="G83" s="83">
        <f>-1*(SUM(G54:G56)-SUM(F54:F56))</f>
        <v>7484.4795736469678</v>
      </c>
      <c r="H83" s="83">
        <f>-1*(SUM(H54:H56)-SUM(G54:G56))</f>
        <v>-2172.9134246071844</v>
      </c>
      <c r="I83" s="83">
        <f>-1*(SUM(I54:I56)-SUM(H54:H56))</f>
        <v>-3515.2622640709305</v>
      </c>
      <c r="J83" s="83">
        <f>-1*(SUM(J54:J56)-SUM(I54:I56))</f>
        <v>-3722.1567325408905</v>
      </c>
      <c r="K83" s="83">
        <f>-1*(SUM(K54:K56)-SUM(J54:J56))</f>
        <v>-3941.2281931861071</v>
      </c>
    </row>
    <row r="84" spans="2:13" outlineLevel="1" x14ac:dyDescent="0.35">
      <c r="C84" s="1" t="s">
        <v>47</v>
      </c>
      <c r="D84" s="28"/>
      <c r="E84" s="28"/>
      <c r="F84" s="28"/>
      <c r="G84" s="83">
        <f>SUM(G61:G63)-SUM(F61:F63)</f>
        <v>-11382.996048883593</v>
      </c>
      <c r="H84" s="83">
        <f>SUM(H61:H63)-SUM(G61:G63)</f>
        <v>3304.7407883855631</v>
      </c>
      <c r="I84" s="83">
        <f>SUM(I61:I63)-SUM(H61:H63)</f>
        <v>5346.2924267439957</v>
      </c>
      <c r="J84" s="83">
        <f>SUM(J61:J63)-SUM(I61:I63)</f>
        <v>5660.954106818841</v>
      </c>
      <c r="K84" s="83">
        <f>SUM(K61:K63)-SUM(J61:J63)</f>
        <v>5994.1355319813301</v>
      </c>
    </row>
    <row r="85" spans="2:13" outlineLevel="1" x14ac:dyDescent="0.35">
      <c r="C85" s="1" t="s">
        <v>30</v>
      </c>
      <c r="G85" s="83">
        <f>-(G119)</f>
        <v>2546.5971882752892</v>
      </c>
      <c r="H85" s="83">
        <f>-(H119)</f>
        <v>-762.83954791877477</v>
      </c>
      <c r="I85" s="83">
        <f>-(I119)</f>
        <v>-1223.8294989482019</v>
      </c>
      <c r="J85" s="83">
        <f>-(J119)</f>
        <v>-1295.8592750109201</v>
      </c>
      <c r="K85" s="83">
        <f>-(K119)</f>
        <v>-1372.1284395212169</v>
      </c>
    </row>
    <row r="86" spans="2:13" outlineLevel="1" x14ac:dyDescent="0.35">
      <c r="C86" s="1" t="s">
        <v>37</v>
      </c>
      <c r="G86" s="83">
        <f>G66-F66</f>
        <v>-5199.2494716530346</v>
      </c>
      <c r="H86" s="83">
        <f>H66-G66</f>
        <v>1509.4595240283015</v>
      </c>
      <c r="I86" s="83">
        <f>I66-H66</f>
        <v>2441.9500767355203</v>
      </c>
      <c r="J86" s="83">
        <f>J66-I66</f>
        <v>2585.6736242842308</v>
      </c>
      <c r="K86" s="83">
        <f>K66-J66</f>
        <v>2737.8561728243149</v>
      </c>
      <c r="M86" s="25"/>
    </row>
    <row r="87" spans="2:13" outlineLevel="1" x14ac:dyDescent="0.35">
      <c r="B87" s="1" t="s">
        <v>99</v>
      </c>
      <c r="C87" s="25" t="s">
        <v>48</v>
      </c>
      <c r="G87" s="97">
        <f ca="1">SUM(G80:G86)</f>
        <v>-1511.2597967783095</v>
      </c>
      <c r="H87" s="97">
        <f ca="1">SUM(H80:H86)</f>
        <v>7743.9168979147571</v>
      </c>
      <c r="I87" s="97">
        <f ca="1">SUM(I80:I86)</f>
        <v>9958.5321363637504</v>
      </c>
      <c r="J87" s="97">
        <f ca="1">SUM(J80:J86)</f>
        <v>12031.05848735369</v>
      </c>
      <c r="K87" s="97">
        <f ca="1">SUM(K80:K86)</f>
        <v>14106.406029736598</v>
      </c>
    </row>
    <row r="88" spans="2:13" outlineLevel="1" x14ac:dyDescent="0.35">
      <c r="G88" s="28"/>
      <c r="H88" s="28"/>
      <c r="I88" s="28"/>
      <c r="J88" s="28"/>
      <c r="K88" s="28"/>
    </row>
    <row r="89" spans="2:13" outlineLevel="1" x14ac:dyDescent="0.35">
      <c r="C89" s="1" t="s">
        <v>49</v>
      </c>
      <c r="G89" s="83">
        <f>-(G105)</f>
        <v>-2428.224423412662</v>
      </c>
      <c r="H89" s="83">
        <f>-(H105)</f>
        <v>-2519.9012037122116</v>
      </c>
      <c r="I89" s="83">
        <f>-(I105)</f>
        <v>-2668.2126470624166</v>
      </c>
      <c r="J89" s="83">
        <f>-(J105)</f>
        <v>-2825.2531168507285</v>
      </c>
      <c r="K89" s="83">
        <f>-(K105)</f>
        <v>-2991.5363691355874</v>
      </c>
    </row>
    <row r="90" spans="2:13" outlineLevel="1" x14ac:dyDescent="0.35">
      <c r="B90" s="1" t="s">
        <v>99</v>
      </c>
      <c r="C90" s="25" t="s">
        <v>50</v>
      </c>
      <c r="G90" s="97">
        <f>IFERROR(G89,"NA")</f>
        <v>-2428.224423412662</v>
      </c>
      <c r="H90" s="97">
        <f>IFERROR(H89,"NA")</f>
        <v>-2519.9012037122116</v>
      </c>
      <c r="I90" s="97">
        <f>IFERROR(I89,"NA")</f>
        <v>-2668.2126470624166</v>
      </c>
      <c r="J90" s="97">
        <f>IFERROR(J89,"NA")</f>
        <v>-2825.2531168507285</v>
      </c>
      <c r="K90" s="97">
        <f>IFERROR(K89,"NA")</f>
        <v>-2991.5363691355874</v>
      </c>
    </row>
    <row r="91" spans="2:13" outlineLevel="1" x14ac:dyDescent="0.35">
      <c r="G91" s="28"/>
      <c r="H91" s="28"/>
      <c r="I91" s="28"/>
      <c r="J91" s="28"/>
      <c r="K91" s="28"/>
    </row>
    <row r="92" spans="2:13" outlineLevel="1" x14ac:dyDescent="0.35">
      <c r="C92" s="1" t="s">
        <v>51</v>
      </c>
      <c r="G92" s="83">
        <f>G65-F65</f>
        <v>0</v>
      </c>
      <c r="H92" s="83">
        <f>H65-G65</f>
        <v>0</v>
      </c>
      <c r="I92" s="83">
        <f>I65-H65</f>
        <v>0</v>
      </c>
      <c r="J92" s="83">
        <f>J65-I65</f>
        <v>0</v>
      </c>
      <c r="K92" s="83">
        <f>K65-J65</f>
        <v>0</v>
      </c>
    </row>
    <row r="93" spans="2:13" outlineLevel="1" x14ac:dyDescent="0.35">
      <c r="C93" s="1" t="s">
        <v>52</v>
      </c>
      <c r="G93" s="83">
        <f ca="1">G64-F64</f>
        <v>36</v>
      </c>
      <c r="H93" s="83">
        <f ca="1">H64-G64</f>
        <v>0</v>
      </c>
      <c r="I93" s="83">
        <f ca="1">I64-H64</f>
        <v>76662.149036687086</v>
      </c>
      <c r="J93" s="83">
        <f ca="1">J64-I64</f>
        <v>77585.194629497026</v>
      </c>
      <c r="K93" s="83">
        <f ca="1">K64-J64</f>
        <v>75676.13033939898</v>
      </c>
    </row>
    <row r="94" spans="2:13" outlineLevel="1" x14ac:dyDescent="0.35">
      <c r="C94" s="1" t="s">
        <v>53</v>
      </c>
      <c r="G94" s="83">
        <f>G126</f>
        <v>-73056</v>
      </c>
      <c r="H94" s="83">
        <f>H126</f>
        <v>-73056</v>
      </c>
      <c r="I94" s="83">
        <f>I126</f>
        <v>-73056</v>
      </c>
      <c r="J94" s="83">
        <f>J126</f>
        <v>-73056</v>
      </c>
      <c r="K94" s="83">
        <f>K126</f>
        <v>-73056</v>
      </c>
    </row>
    <row r="95" spans="2:13" outlineLevel="1" x14ac:dyDescent="0.35">
      <c r="C95" s="1" t="s">
        <v>54</v>
      </c>
      <c r="G95" s="83">
        <f>G125</f>
        <v>-13735</v>
      </c>
      <c r="H95" s="83">
        <f>H125</f>
        <v>-13735</v>
      </c>
      <c r="I95" s="83">
        <f>I125</f>
        <v>-13735</v>
      </c>
      <c r="J95" s="83">
        <f>J125</f>
        <v>-13735</v>
      </c>
      <c r="K95" s="83">
        <f>K125</f>
        <v>-13735</v>
      </c>
    </row>
    <row r="96" spans="2:13" outlineLevel="1" x14ac:dyDescent="0.35">
      <c r="B96" s="1" t="s">
        <v>99</v>
      </c>
      <c r="C96" s="25" t="s">
        <v>55</v>
      </c>
      <c r="G96" s="97">
        <f ca="1">SUM(G92:G95)</f>
        <v>-86755</v>
      </c>
      <c r="H96" s="97">
        <f ca="1">SUM(H92:H95)</f>
        <v>-86791</v>
      </c>
      <c r="I96" s="97">
        <f ca="1">SUM(I92:I95)</f>
        <v>-10128.850963312914</v>
      </c>
      <c r="J96" s="97">
        <f ca="1">SUM(J92:J95)</f>
        <v>-9205.8053705029743</v>
      </c>
      <c r="K96" s="97">
        <f ca="1">SUM(K92:K95)</f>
        <v>-11114.86966060102</v>
      </c>
    </row>
    <row r="97" spans="1:17" outlineLevel="1" x14ac:dyDescent="0.35">
      <c r="G97" s="28"/>
      <c r="H97" s="28"/>
      <c r="I97" s="28"/>
      <c r="J97" s="28"/>
      <c r="K97" s="28"/>
    </row>
    <row r="98" spans="1:17" outlineLevel="1" x14ac:dyDescent="0.35">
      <c r="B98" s="1" t="s">
        <v>99</v>
      </c>
      <c r="C98" s="25" t="s">
        <v>56</v>
      </c>
      <c r="G98" s="97">
        <f ca="1">G87+G90+G96</f>
        <v>-90694.484220190978</v>
      </c>
      <c r="H98" s="97">
        <f ca="1">H87+H90+H96</f>
        <v>-81566.98430579745</v>
      </c>
      <c r="I98" s="97">
        <f ca="1">I87+I90+I96</f>
        <v>-2838.5314740115809</v>
      </c>
      <c r="J98" s="97">
        <f ca="1">J87+J90+J96</f>
        <v>0</v>
      </c>
      <c r="K98" s="97">
        <f ca="1">K87+K90+K96</f>
        <v>0</v>
      </c>
    </row>
    <row r="100" spans="1:17" x14ac:dyDescent="0.35">
      <c r="A100" s="1" t="s">
        <v>99</v>
      </c>
      <c r="C100" s="13" t="s">
        <v>57</v>
      </c>
      <c r="D100" s="14"/>
      <c r="E100" s="14"/>
      <c r="F100" s="14"/>
      <c r="G100" s="14"/>
      <c r="H100" s="14"/>
      <c r="I100" s="14"/>
      <c r="J100" s="14"/>
      <c r="K100" s="14"/>
    </row>
    <row r="101" spans="1:17" outlineLevel="1" x14ac:dyDescent="0.35">
      <c r="C101" s="36" t="str">
        <f t="shared" ref="C101:K101" si="28">C14</f>
        <v xml:space="preserve">Fiscal year  </v>
      </c>
      <c r="D101" s="37">
        <f t="shared" si="28"/>
        <v>2021</v>
      </c>
      <c r="E101" s="37">
        <f t="shared" si="28"/>
        <v>2022</v>
      </c>
      <c r="F101" s="37">
        <f t="shared" si="28"/>
        <v>2023</v>
      </c>
      <c r="G101" s="38">
        <f t="shared" si="28"/>
        <v>2024</v>
      </c>
      <c r="H101" s="38">
        <f t="shared" si="28"/>
        <v>2025</v>
      </c>
      <c r="I101" s="38">
        <f t="shared" si="28"/>
        <v>2026</v>
      </c>
      <c r="J101" s="38">
        <f t="shared" si="28"/>
        <v>2027</v>
      </c>
      <c r="K101" s="38">
        <f t="shared" si="28"/>
        <v>2028</v>
      </c>
    </row>
    <row r="102" spans="1:17" outlineLevel="1" x14ac:dyDescent="0.35">
      <c r="C102" s="14" t="str">
        <f t="shared" ref="C102:K102" si="29">C15</f>
        <v>Fiscal year end date</v>
      </c>
      <c r="D102" s="39">
        <f t="shared" si="29"/>
        <v>44561</v>
      </c>
      <c r="E102" s="39">
        <f t="shared" si="29"/>
        <v>44926</v>
      </c>
      <c r="F102" s="39">
        <f t="shared" si="29"/>
        <v>45291</v>
      </c>
      <c r="G102" s="39">
        <f t="shared" si="29"/>
        <v>45657</v>
      </c>
      <c r="H102" s="39">
        <f t="shared" si="29"/>
        <v>46022</v>
      </c>
      <c r="I102" s="39">
        <f t="shared" si="29"/>
        <v>46387</v>
      </c>
      <c r="J102" s="39">
        <f t="shared" si="29"/>
        <v>46752</v>
      </c>
      <c r="K102" s="39">
        <f t="shared" si="29"/>
        <v>47118</v>
      </c>
    </row>
    <row r="103" spans="1:17" outlineLevel="1" x14ac:dyDescent="0.35">
      <c r="C103" s="25"/>
      <c r="G103" s="44" t="s">
        <v>58</v>
      </c>
      <c r="H103" s="44"/>
      <c r="I103" s="44"/>
      <c r="J103" s="44"/>
      <c r="K103" s="44"/>
    </row>
    <row r="104" spans="1:17" outlineLevel="1" x14ac:dyDescent="0.35">
      <c r="B104" s="1" t="s">
        <v>99</v>
      </c>
      <c r="C104" s="29" t="s">
        <v>59</v>
      </c>
      <c r="G104" s="86">
        <f>F107</f>
        <v>66477</v>
      </c>
      <c r="H104" s="86">
        <f>G107</f>
        <v>67259.376740972148</v>
      </c>
      <c r="I104" s="86">
        <f>H107</f>
        <v>68020.893823394275</v>
      </c>
      <c r="J104" s="86">
        <f>I107</f>
        <v>68773.866544013537</v>
      </c>
      <c r="K104" s="86">
        <f>J107</f>
        <v>69514.65120600762</v>
      </c>
    </row>
    <row r="105" spans="1:17" outlineLevel="1" x14ac:dyDescent="0.35">
      <c r="C105" s="45" t="s">
        <v>60</v>
      </c>
      <c r="D105" s="24">
        <v>1519</v>
      </c>
      <c r="E105" s="24">
        <v>1831</v>
      </c>
      <c r="F105" s="24">
        <v>2744</v>
      </c>
      <c r="G105" s="114">
        <f>F105*(1+G45)</f>
        <v>2428.224423412662</v>
      </c>
      <c r="H105" s="114">
        <f t="shared" ref="H105:K105" si="30">G105*(1+H45)</f>
        <v>2519.9012037122116</v>
      </c>
      <c r="I105" s="114">
        <f t="shared" si="30"/>
        <v>2668.2126470624166</v>
      </c>
      <c r="J105" s="114">
        <f t="shared" si="30"/>
        <v>2825.2531168507285</v>
      </c>
      <c r="K105" s="114">
        <f t="shared" si="30"/>
        <v>2991.5363691355874</v>
      </c>
    </row>
    <row r="106" spans="1:17" outlineLevel="1" x14ac:dyDescent="0.35">
      <c r="C106" s="46" t="s">
        <v>61</v>
      </c>
      <c r="D106" s="47">
        <v>-1169</v>
      </c>
      <c r="E106" s="47">
        <v>-1096</v>
      </c>
      <c r="F106" s="47">
        <v>-1805</v>
      </c>
      <c r="G106" s="89">
        <f>-(G109*G105)</f>
        <v>-1645.8476824405036</v>
      </c>
      <c r="H106" s="89">
        <f>-(H109*H105)</f>
        <v>-1758.3841212900854</v>
      </c>
      <c r="I106" s="89">
        <f>-(I109*I105)</f>
        <v>-1915.2399264431556</v>
      </c>
      <c r="J106" s="89">
        <f>-(J109*J105)</f>
        <v>-2084.4684548566461</v>
      </c>
      <c r="K106" s="89">
        <f>-(K109*K105)</f>
        <v>-2266.9827718587976</v>
      </c>
    </row>
    <row r="107" spans="1:17" outlineLevel="1" x14ac:dyDescent="0.35">
      <c r="B107" s="1" t="s">
        <v>99</v>
      </c>
      <c r="C107" s="48" t="s">
        <v>62</v>
      </c>
      <c r="D107" s="41"/>
      <c r="E107" s="79">
        <f>E57</f>
        <v>59108</v>
      </c>
      <c r="F107" s="79">
        <f>F57</f>
        <v>66477</v>
      </c>
      <c r="G107" s="87">
        <f>SUM(G104:G106)</f>
        <v>67259.376740972148</v>
      </c>
      <c r="H107" s="87">
        <f>SUM(H104:H106)</f>
        <v>68020.893823394275</v>
      </c>
      <c r="I107" s="87">
        <f>SUM(I104:I106)</f>
        <v>68773.866544013537</v>
      </c>
      <c r="J107" s="87">
        <f>SUM(J104:J106)</f>
        <v>69514.65120600762</v>
      </c>
      <c r="K107" s="87">
        <f>SUM(K104:K106)</f>
        <v>70239.204803284418</v>
      </c>
    </row>
    <row r="108" spans="1:17" outlineLevel="1" x14ac:dyDescent="0.35">
      <c r="C108" s="29"/>
      <c r="M108" s="115" t="s">
        <v>104</v>
      </c>
    </row>
    <row r="109" spans="1:17" outlineLevel="1" x14ac:dyDescent="0.35">
      <c r="C109" s="29" t="s">
        <v>63</v>
      </c>
      <c r="D109" s="49">
        <f>-(D106/D105)</f>
        <v>0.7695852534562212</v>
      </c>
      <c r="E109" s="49">
        <f>-(E106/E105)</f>
        <v>0.59858001092299296</v>
      </c>
      <c r="F109" s="49">
        <f>-(F106/F105)</f>
        <v>0.65779883381924198</v>
      </c>
      <c r="G109" s="85">
        <f>F109+$M$109</f>
        <v>0.677798833819242</v>
      </c>
      <c r="H109" s="85">
        <f>G109+$M$109</f>
        <v>0.69779883381924201</v>
      </c>
      <c r="I109" s="85">
        <f>H109+$M$109</f>
        <v>0.71779883381924203</v>
      </c>
      <c r="J109" s="85">
        <f>I109+$M$109</f>
        <v>0.73779883381924205</v>
      </c>
      <c r="K109" s="85">
        <f>J109+$M$109</f>
        <v>0.75779883381924207</v>
      </c>
      <c r="M109" s="116">
        <v>0.02</v>
      </c>
      <c r="O109" s="75"/>
      <c r="P109" s="75"/>
      <c r="Q109" s="75"/>
    </row>
    <row r="110" spans="1:17" x14ac:dyDescent="0.35">
      <c r="C110" s="29"/>
      <c r="D110" s="49"/>
      <c r="E110" s="49"/>
      <c r="F110" s="49"/>
      <c r="G110" s="33"/>
      <c r="H110" s="33"/>
      <c r="I110" s="33"/>
      <c r="J110" s="33"/>
      <c r="K110" s="33"/>
      <c r="O110" s="75"/>
      <c r="P110" s="75"/>
      <c r="Q110" s="75"/>
    </row>
    <row r="111" spans="1:17" x14ac:dyDescent="0.35">
      <c r="A111" s="1" t="s">
        <v>99</v>
      </c>
      <c r="C111" s="50" t="s">
        <v>64</v>
      </c>
      <c r="D111" s="51"/>
      <c r="E111" s="51"/>
      <c r="F111" s="51"/>
      <c r="G111" s="52"/>
      <c r="H111" s="52"/>
      <c r="I111" s="52"/>
      <c r="J111" s="52"/>
      <c r="K111" s="52"/>
      <c r="O111" s="75"/>
      <c r="P111" s="75"/>
      <c r="Q111" s="75"/>
    </row>
    <row r="112" spans="1:17" outlineLevel="1" x14ac:dyDescent="0.35">
      <c r="B112" s="1" t="s">
        <v>99</v>
      </c>
      <c r="C112" s="29" t="s">
        <v>97</v>
      </c>
      <c r="D112" s="95">
        <f>D114+D106</f>
        <v>21</v>
      </c>
      <c r="E112" s="95">
        <f>E114+E106</f>
        <v>17</v>
      </c>
      <c r="F112" s="95">
        <f>F114+F106</f>
        <v>20</v>
      </c>
      <c r="G112" s="80">
        <f>G113*G17</f>
        <v>17.698428742074796</v>
      </c>
      <c r="H112" s="80">
        <f>H113*H17</f>
        <v>18.366626849214374</v>
      </c>
      <c r="I112" s="80">
        <f>I113*I17</f>
        <v>19.447614045644439</v>
      </c>
      <c r="J112" s="80">
        <f>J113*J17</f>
        <v>20.592223883751668</v>
      </c>
      <c r="K112" s="80">
        <f>K113*K17</f>
        <v>21.804200941221485</v>
      </c>
      <c r="O112" s="75"/>
      <c r="P112" s="75"/>
      <c r="Q112" s="75"/>
    </row>
    <row r="113" spans="1:14" outlineLevel="1" x14ac:dyDescent="0.35">
      <c r="C113" s="27" t="s">
        <v>65</v>
      </c>
      <c r="D113" s="53">
        <f>D112/D17</f>
        <v>2.4255024255024253E-3</v>
      </c>
      <c r="E113" s="53">
        <f>E112/E17</f>
        <v>1.3639281129653401E-3</v>
      </c>
      <c r="F113" s="53">
        <f>F112/F17</f>
        <v>1.8377285674905817E-3</v>
      </c>
      <c r="G113" s="85">
        <f>F113</f>
        <v>1.8377285674905817E-3</v>
      </c>
      <c r="H113" s="85">
        <f>G113</f>
        <v>1.8377285674905817E-3</v>
      </c>
      <c r="I113" s="85">
        <f>H113</f>
        <v>1.8377285674905817E-3</v>
      </c>
      <c r="J113" s="85">
        <f>I113</f>
        <v>1.8377285674905817E-3</v>
      </c>
      <c r="K113" s="85">
        <f>J113</f>
        <v>1.8377285674905817E-3</v>
      </c>
    </row>
    <row r="114" spans="1:14" outlineLevel="1" x14ac:dyDescent="0.35">
      <c r="B114" s="1" t="s">
        <v>99</v>
      </c>
      <c r="C114" s="30" t="s">
        <v>66</v>
      </c>
      <c r="D114" s="79">
        <f>-D19</f>
        <v>1190</v>
      </c>
      <c r="E114" s="79">
        <f>-E19</f>
        <v>1113</v>
      </c>
      <c r="F114" s="79">
        <f>-F19</f>
        <v>1825</v>
      </c>
      <c r="G114" s="84">
        <f>-G106+G112</f>
        <v>1663.5461111825784</v>
      </c>
      <c r="H114" s="84">
        <f>-H106+H112</f>
        <v>1776.7507481392997</v>
      </c>
      <c r="I114" s="84">
        <f>-I106+I112</f>
        <v>1934.6875404888001</v>
      </c>
      <c r="J114" s="84">
        <f>-J106+J112</f>
        <v>2105.0606787403976</v>
      </c>
      <c r="K114" s="84">
        <f>-K106+K112</f>
        <v>2288.7869728000192</v>
      </c>
    </row>
    <row r="115" spans="1:14" x14ac:dyDescent="0.35">
      <c r="C115" s="29"/>
      <c r="D115" s="28" t="s">
        <v>103</v>
      </c>
      <c r="E115" s="28"/>
      <c r="F115" s="28"/>
      <c r="H115" s="28"/>
      <c r="I115" s="28"/>
      <c r="J115" s="28"/>
      <c r="K115" s="28"/>
    </row>
    <row r="116" spans="1:14" x14ac:dyDescent="0.35">
      <c r="A116" s="1" t="s">
        <v>99</v>
      </c>
      <c r="C116" s="54" t="s">
        <v>67</v>
      </c>
      <c r="D116" s="14"/>
      <c r="E116" s="14"/>
      <c r="F116" s="14"/>
      <c r="H116" s="28"/>
      <c r="I116" s="28"/>
      <c r="J116" s="28"/>
      <c r="K116" s="28"/>
    </row>
    <row r="117" spans="1:14" outlineLevel="1" x14ac:dyDescent="0.35">
      <c r="B117" s="1" t="s">
        <v>99</v>
      </c>
      <c r="C117" s="29" t="s">
        <v>59</v>
      </c>
      <c r="D117" s="28"/>
      <c r="G117" s="98">
        <f>F120</f>
        <v>22283</v>
      </c>
      <c r="H117" s="98">
        <f>G120</f>
        <v>19718.704382982636</v>
      </c>
      <c r="I117" s="98">
        <f>H120</f>
        <v>20463.177304052195</v>
      </c>
      <c r="J117" s="98">
        <f>I120</f>
        <v>21667.559188954754</v>
      </c>
      <c r="K117" s="98">
        <f>J120</f>
        <v>22942.826240081922</v>
      </c>
      <c r="N117" s="1" t="s">
        <v>103</v>
      </c>
    </row>
    <row r="118" spans="1:14" outlineLevel="1" x14ac:dyDescent="0.35">
      <c r="C118" s="27" t="s">
        <v>68</v>
      </c>
      <c r="G118" s="83">
        <f>-(G112)</f>
        <v>-17.698428742074796</v>
      </c>
      <c r="H118" s="83">
        <f>-(H112)</f>
        <v>-18.366626849214374</v>
      </c>
      <c r="I118" s="83">
        <f>-(I112)</f>
        <v>-19.447614045644439</v>
      </c>
      <c r="J118" s="83">
        <f>-(J112)</f>
        <v>-20.592223883751668</v>
      </c>
      <c r="K118" s="83">
        <f>-(K112)</f>
        <v>-21.804200941221485</v>
      </c>
    </row>
    <row r="119" spans="1:14" ht="15" customHeight="1" outlineLevel="1" x14ac:dyDescent="0.35">
      <c r="C119" s="55" t="s">
        <v>69</v>
      </c>
      <c r="D119" s="56"/>
      <c r="E119" s="56"/>
      <c r="F119" s="56"/>
      <c r="G119" s="90">
        <f>G120-G118-G117</f>
        <v>-2546.5971882752892</v>
      </c>
      <c r="H119" s="90">
        <f>H120-H118-H117</f>
        <v>762.83954791877477</v>
      </c>
      <c r="I119" s="90">
        <f>I120-I118-I117</f>
        <v>1223.8294989482019</v>
      </c>
      <c r="J119" s="90">
        <f>J120-J118-J117</f>
        <v>1295.8592750109201</v>
      </c>
      <c r="K119" s="90">
        <f>K120-K118-K117</f>
        <v>1372.1284395212169</v>
      </c>
    </row>
    <row r="120" spans="1:14" outlineLevel="1" x14ac:dyDescent="0.35">
      <c r="B120" s="1" t="s">
        <v>99</v>
      </c>
      <c r="C120" s="48" t="s">
        <v>62</v>
      </c>
      <c r="E120" s="79">
        <f t="shared" ref="E120:K120" si="31">E58</f>
        <v>18177</v>
      </c>
      <c r="F120" s="79">
        <f t="shared" si="31"/>
        <v>22283</v>
      </c>
      <c r="G120" s="87">
        <f t="shared" si="31"/>
        <v>19718.704382982636</v>
      </c>
      <c r="H120" s="87">
        <f t="shared" si="31"/>
        <v>20463.177304052195</v>
      </c>
      <c r="I120" s="87">
        <f t="shared" si="31"/>
        <v>21667.559188954754</v>
      </c>
      <c r="J120" s="87">
        <f t="shared" si="31"/>
        <v>22942.826240081922</v>
      </c>
      <c r="K120" s="87">
        <f t="shared" si="31"/>
        <v>24293.150478661919</v>
      </c>
    </row>
    <row r="121" spans="1:14" x14ac:dyDescent="0.35">
      <c r="C121" s="27"/>
      <c r="E121" s="28"/>
      <c r="F121" s="28"/>
      <c r="H121" s="28"/>
      <c r="I121" s="28"/>
      <c r="J121" s="28"/>
      <c r="K121" s="28"/>
    </row>
    <row r="122" spans="1:14" x14ac:dyDescent="0.35">
      <c r="A122" s="1" t="s">
        <v>99</v>
      </c>
      <c r="C122" s="57" t="s">
        <v>70</v>
      </c>
      <c r="D122" s="54"/>
      <c r="E122" s="54"/>
      <c r="F122" s="54"/>
      <c r="G122" s="14"/>
      <c r="H122" s="14"/>
      <c r="I122" s="14"/>
      <c r="J122" s="14"/>
      <c r="K122" s="14"/>
    </row>
    <row r="123" spans="1:14" outlineLevel="1" x14ac:dyDescent="0.35">
      <c r="B123" s="1" t="s">
        <v>99</v>
      </c>
      <c r="C123" s="29" t="s">
        <v>59</v>
      </c>
      <c r="G123" s="86">
        <f>F127</f>
        <v>70400</v>
      </c>
      <c r="H123" s="86">
        <f ca="1">G127</f>
        <v>-14413.02540111533</v>
      </c>
      <c r="I123" s="86">
        <f ca="1">H127</f>
        <v>-98465.694463689419</v>
      </c>
      <c r="J123" s="86">
        <f ca="1">I127</f>
        <v>-181605.13847748432</v>
      </c>
      <c r="K123" s="86">
        <f ca="1">J127</f>
        <v>-262986.75481190317</v>
      </c>
    </row>
    <row r="124" spans="1:14" outlineLevel="1" x14ac:dyDescent="0.35">
      <c r="C124" s="27" t="s">
        <v>71</v>
      </c>
      <c r="D124" s="40">
        <f t="shared" ref="D124:K124" si="32">D38</f>
        <v>1416</v>
      </c>
      <c r="E124" s="40">
        <f t="shared" si="32"/>
        <v>3637</v>
      </c>
      <c r="F124" s="40">
        <f t="shared" si="32"/>
        <v>2085</v>
      </c>
      <c r="G124" s="83">
        <f t="shared" ca="1" si="32"/>
        <v>1977.9745988846698</v>
      </c>
      <c r="H124" s="83">
        <f t="shared" ca="1" si="32"/>
        <v>2738.3309374259147</v>
      </c>
      <c r="I124" s="83">
        <f t="shared" ca="1" si="32"/>
        <v>3651.5559862051032</v>
      </c>
      <c r="J124" s="83">
        <f t="shared" ca="1" si="32"/>
        <v>5409.3836655811328</v>
      </c>
      <c r="K124" s="83">
        <f t="shared" ca="1" si="32"/>
        <v>7154.8362791321597</v>
      </c>
    </row>
    <row r="125" spans="1:14" outlineLevel="1" x14ac:dyDescent="0.35">
      <c r="C125" s="27" t="s">
        <v>72</v>
      </c>
      <c r="D125" s="24">
        <v>-12188</v>
      </c>
      <c r="E125" s="24">
        <v>-12803</v>
      </c>
      <c r="F125" s="24">
        <v>-13735</v>
      </c>
      <c r="G125" s="83">
        <f t="shared" ref="G125:K126" si="33">F125</f>
        <v>-13735</v>
      </c>
      <c r="H125" s="83">
        <f t="shared" si="33"/>
        <v>-13735</v>
      </c>
      <c r="I125" s="83">
        <f t="shared" si="33"/>
        <v>-13735</v>
      </c>
      <c r="J125" s="83">
        <f t="shared" si="33"/>
        <v>-13735</v>
      </c>
      <c r="K125" s="83">
        <f t="shared" si="33"/>
        <v>-13735</v>
      </c>
    </row>
    <row r="126" spans="1:14" outlineLevel="1" x14ac:dyDescent="0.35">
      <c r="C126" s="55" t="s">
        <v>73</v>
      </c>
      <c r="D126" s="47">
        <v>-29000</v>
      </c>
      <c r="E126" s="47">
        <v>-33001</v>
      </c>
      <c r="F126" s="47">
        <v>-73056</v>
      </c>
      <c r="G126" s="89">
        <f t="shared" si="33"/>
        <v>-73056</v>
      </c>
      <c r="H126" s="89">
        <f t="shared" si="33"/>
        <v>-73056</v>
      </c>
      <c r="I126" s="89">
        <f t="shared" si="33"/>
        <v>-73056</v>
      </c>
      <c r="J126" s="89">
        <f t="shared" si="33"/>
        <v>-73056</v>
      </c>
      <c r="K126" s="89">
        <f t="shared" si="33"/>
        <v>-73056</v>
      </c>
    </row>
    <row r="127" spans="1:14" outlineLevel="1" x14ac:dyDescent="0.35">
      <c r="B127" s="1" t="s">
        <v>99</v>
      </c>
      <c r="C127" s="48" t="s">
        <v>62</v>
      </c>
      <c r="D127" s="78">
        <f>D70</f>
        <v>0</v>
      </c>
      <c r="E127" s="78">
        <f>E70</f>
        <v>98330</v>
      </c>
      <c r="F127" s="78">
        <f>F70</f>
        <v>70400</v>
      </c>
      <c r="G127" s="87">
        <f ca="1">SUM(G123:G126)</f>
        <v>-14413.02540111533</v>
      </c>
      <c r="H127" s="87">
        <f ca="1">SUM(H123:H126)</f>
        <v>-98465.694463689419</v>
      </c>
      <c r="I127" s="87">
        <f ca="1">SUM(I123:I126)</f>
        <v>-181605.13847748432</v>
      </c>
      <c r="J127" s="87">
        <f ca="1">SUM(J123:J126)</f>
        <v>-262986.75481190317</v>
      </c>
      <c r="K127" s="87">
        <f ca="1">SUM(K123:K126)</f>
        <v>-342622.918532771</v>
      </c>
    </row>
    <row r="128" spans="1:14" outlineLevel="1" x14ac:dyDescent="0.35">
      <c r="C128" s="48"/>
      <c r="D128" s="26"/>
      <c r="E128" s="26"/>
      <c r="F128" s="26"/>
      <c r="G128" s="41"/>
      <c r="H128" s="41"/>
      <c r="I128" s="41"/>
      <c r="J128" s="41"/>
      <c r="K128" s="41"/>
    </row>
    <row r="129" spans="1:17" outlineLevel="1" x14ac:dyDescent="0.35">
      <c r="C129" s="27" t="s">
        <v>74</v>
      </c>
      <c r="D129" s="53">
        <f>-D125/D124</f>
        <v>8.6073446327683616</v>
      </c>
      <c r="E129" s="53">
        <f t="shared" ref="E129:K129" si="34">-E125/E124</f>
        <v>3.5202089634313993</v>
      </c>
      <c r="F129" s="53">
        <f t="shared" si="34"/>
        <v>6.5875299760191846</v>
      </c>
      <c r="G129" s="53">
        <f t="shared" ca="1" si="34"/>
        <v>6.9439718830286399</v>
      </c>
      <c r="H129" s="53">
        <f t="shared" ca="1" si="34"/>
        <v>5.0158290994992631</v>
      </c>
      <c r="I129" s="53">
        <f t="shared" ca="1" si="34"/>
        <v>3.7614102185173297</v>
      </c>
      <c r="J129" s="53">
        <f t="shared" ca="1" si="34"/>
        <v>2.5391062733067282</v>
      </c>
      <c r="K129" s="53">
        <f t="shared" ca="1" si="34"/>
        <v>1.9196805439223799</v>
      </c>
      <c r="M129" s="19"/>
    </row>
    <row r="130" spans="1:17" outlineLevel="1" x14ac:dyDescent="0.35">
      <c r="C130" s="27" t="s">
        <v>75</v>
      </c>
      <c r="D130" s="53">
        <f>-D126/D124</f>
        <v>20.480225988700564</v>
      </c>
      <c r="E130" s="53">
        <f t="shared" ref="E130:K130" si="35">-E126/E124</f>
        <v>9.073687104756667</v>
      </c>
      <c r="F130" s="53">
        <f t="shared" si="35"/>
        <v>35.038848920863309</v>
      </c>
      <c r="G130" s="53">
        <f t="shared" ca="1" si="35"/>
        <v>36.934751356864965</v>
      </c>
      <c r="H130" s="53">
        <f t="shared" ca="1" si="35"/>
        <v>26.67902516876725</v>
      </c>
      <c r="I130" s="53">
        <f t="shared" ca="1" si="35"/>
        <v>20.006813609319405</v>
      </c>
      <c r="J130" s="53">
        <f t="shared" ca="1" si="35"/>
        <v>13.505420305984444</v>
      </c>
      <c r="K130" s="53">
        <f t="shared" ca="1" si="35"/>
        <v>10.210715822118193</v>
      </c>
      <c r="M130" s="19"/>
    </row>
    <row r="131" spans="1:17" x14ac:dyDescent="0.35">
      <c r="E131" s="43"/>
      <c r="F131" s="43"/>
    </row>
    <row r="132" spans="1:17" x14ac:dyDescent="0.35">
      <c r="A132" s="1" t="s">
        <v>99</v>
      </c>
      <c r="C132" s="13" t="s">
        <v>76</v>
      </c>
      <c r="D132" s="14"/>
      <c r="E132" s="14"/>
      <c r="F132" s="14"/>
      <c r="G132" s="14"/>
      <c r="H132" s="14"/>
      <c r="I132" s="14"/>
      <c r="J132" s="14"/>
      <c r="K132" s="14"/>
      <c r="O132" s="75"/>
      <c r="P132" s="75"/>
    </row>
    <row r="133" spans="1:17" outlineLevel="1" x14ac:dyDescent="0.35">
      <c r="C133" s="36" t="str">
        <f t="shared" ref="C133:K133" si="36">C14</f>
        <v xml:space="preserve">Fiscal year  </v>
      </c>
      <c r="D133" s="37">
        <f t="shared" si="36"/>
        <v>2021</v>
      </c>
      <c r="E133" s="37">
        <f t="shared" si="36"/>
        <v>2022</v>
      </c>
      <c r="F133" s="37">
        <f t="shared" si="36"/>
        <v>2023</v>
      </c>
      <c r="G133" s="38">
        <f t="shared" si="36"/>
        <v>2024</v>
      </c>
      <c r="H133" s="38">
        <f t="shared" si="36"/>
        <v>2025</v>
      </c>
      <c r="I133" s="38">
        <f t="shared" si="36"/>
        <v>2026</v>
      </c>
      <c r="J133" s="38">
        <f t="shared" si="36"/>
        <v>2027</v>
      </c>
      <c r="K133" s="38">
        <f t="shared" si="36"/>
        <v>2028</v>
      </c>
      <c r="O133" s="75"/>
      <c r="P133" s="75"/>
    </row>
    <row r="134" spans="1:17" outlineLevel="1" x14ac:dyDescent="0.35">
      <c r="C134" s="14" t="str">
        <f t="shared" ref="C134:K134" si="37">C15</f>
        <v>Fiscal year end date</v>
      </c>
      <c r="D134" s="39">
        <f t="shared" si="37"/>
        <v>44561</v>
      </c>
      <c r="E134" s="39">
        <f t="shared" si="37"/>
        <v>44926</v>
      </c>
      <c r="F134" s="39">
        <f t="shared" si="37"/>
        <v>45291</v>
      </c>
      <c r="G134" s="39">
        <f t="shared" si="37"/>
        <v>45657</v>
      </c>
      <c r="H134" s="39">
        <f t="shared" si="37"/>
        <v>46022</v>
      </c>
      <c r="I134" s="39">
        <f t="shared" si="37"/>
        <v>46387</v>
      </c>
      <c r="J134" s="39">
        <f t="shared" si="37"/>
        <v>46752</v>
      </c>
      <c r="K134" s="39">
        <f t="shared" si="37"/>
        <v>47118</v>
      </c>
      <c r="O134" s="75"/>
      <c r="P134" s="75"/>
    </row>
    <row r="135" spans="1:17" outlineLevel="1" x14ac:dyDescent="0.35">
      <c r="C135" s="25"/>
      <c r="O135" s="75"/>
      <c r="P135" s="75"/>
    </row>
    <row r="136" spans="1:17" outlineLevel="1" x14ac:dyDescent="0.35">
      <c r="B136" s="1" t="s">
        <v>99</v>
      </c>
      <c r="C136" s="32" t="s">
        <v>77</v>
      </c>
      <c r="O136" s="75"/>
      <c r="P136" s="75"/>
      <c r="Q136" s="75"/>
    </row>
    <row r="137" spans="1:17" outlineLevel="1" x14ac:dyDescent="0.35">
      <c r="C137" s="27" t="s">
        <v>78</v>
      </c>
      <c r="G137" s="86">
        <f>F53</f>
        <v>237100</v>
      </c>
      <c r="H137" s="86">
        <f ca="1">G53</f>
        <v>146405.51577980904</v>
      </c>
      <c r="I137" s="86">
        <f ca="1">H53</f>
        <v>64838.531474011586</v>
      </c>
      <c r="J137" s="86">
        <f ca="1">I53</f>
        <v>62000.000000000007</v>
      </c>
      <c r="K137" s="86">
        <f ca="1">J53</f>
        <v>62000.000000000007</v>
      </c>
      <c r="O137" s="75"/>
      <c r="P137" s="75"/>
    </row>
    <row r="138" spans="1:17" outlineLevel="1" x14ac:dyDescent="0.35">
      <c r="C138" s="27" t="s">
        <v>79</v>
      </c>
      <c r="G138" s="88">
        <v>-50000</v>
      </c>
      <c r="H138" s="88">
        <v>-50000</v>
      </c>
      <c r="I138" s="88">
        <v>-50000</v>
      </c>
      <c r="J138" s="88">
        <v>-50000</v>
      </c>
      <c r="K138" s="88">
        <v>-50000</v>
      </c>
      <c r="O138" s="75"/>
      <c r="P138" s="75"/>
    </row>
    <row r="139" spans="1:17" outlineLevel="1" x14ac:dyDescent="0.35">
      <c r="C139" s="55" t="s">
        <v>80</v>
      </c>
      <c r="D139" s="56"/>
      <c r="E139" s="56"/>
      <c r="F139" s="56"/>
      <c r="G139" s="89">
        <f ca="1">SUM(G87,G90,G92,G94,G95)</f>
        <v>-90730.484220190978</v>
      </c>
      <c r="H139" s="89">
        <f ca="1">SUM(H87,H90,H92,H94,H95)</f>
        <v>-81566.98430579745</v>
      </c>
      <c r="I139" s="89">
        <f ca="1">SUM(I87,I90,I92,I94,I95)</f>
        <v>-79500.680510698672</v>
      </c>
      <c r="J139" s="89">
        <f ca="1">SUM(J87,J90,J92,J94,J95)</f>
        <v>-77585.19462949704</v>
      </c>
      <c r="K139" s="89">
        <f ca="1">SUM(K87,K90,K92,K94,K95)</f>
        <v>-75676.13033939898</v>
      </c>
    </row>
    <row r="140" spans="1:17" outlineLevel="1" x14ac:dyDescent="0.35">
      <c r="C140" s="48" t="s">
        <v>81</v>
      </c>
      <c r="G140" s="87">
        <f ca="1">SUM(G137:G139)</f>
        <v>96369.515779809022</v>
      </c>
      <c r="H140" s="87">
        <f ca="1">SUM(H137:H139)</f>
        <v>14838.531474011586</v>
      </c>
      <c r="I140" s="87">
        <f ca="1">SUM(I137:I139)</f>
        <v>-64662.149036687086</v>
      </c>
      <c r="J140" s="87">
        <f ca="1">SUM(J137:J139)</f>
        <v>-65585.19462949704</v>
      </c>
      <c r="K140" s="87">
        <f ca="1">SUM(K137:K139)</f>
        <v>-63676.130339398973</v>
      </c>
    </row>
    <row r="141" spans="1:17" outlineLevel="1" x14ac:dyDescent="0.35"/>
    <row r="142" spans="1:17" outlineLevel="1" x14ac:dyDescent="0.35">
      <c r="B142" s="1" t="s">
        <v>99</v>
      </c>
      <c r="C142" s="25" t="s">
        <v>82</v>
      </c>
    </row>
    <row r="143" spans="1:17" outlineLevel="1" x14ac:dyDescent="0.35">
      <c r="C143" s="27" t="s">
        <v>59</v>
      </c>
      <c r="G143" s="83">
        <f>F146</f>
        <v>11964</v>
      </c>
      <c r="H143" s="83">
        <f ca="1">G146</f>
        <v>12000</v>
      </c>
      <c r="I143" s="83">
        <f ca="1">H146</f>
        <v>12000</v>
      </c>
      <c r="J143" s="83">
        <f ca="1">I146</f>
        <v>88662.149036687086</v>
      </c>
      <c r="K143" s="83">
        <f ca="1">J146</f>
        <v>166247.34366618411</v>
      </c>
    </row>
    <row r="144" spans="1:17" outlineLevel="1" x14ac:dyDescent="0.35">
      <c r="C144" s="45" t="s">
        <v>83</v>
      </c>
      <c r="G144" s="83">
        <f ca="1">-MIN(G140,G143)</f>
        <v>-11964</v>
      </c>
      <c r="H144" s="83">
        <f ca="1">-MIN(H140,H143)</f>
        <v>-12000</v>
      </c>
      <c r="I144" s="83">
        <f ca="1">-MIN(I140,I143)</f>
        <v>64662.149036687086</v>
      </c>
      <c r="J144" s="83">
        <f ca="1">-MIN(J140,J143)</f>
        <v>65585.19462949704</v>
      </c>
      <c r="K144" s="83">
        <f ca="1">-MIN(K140,K143)</f>
        <v>63676.130339398973</v>
      </c>
    </row>
    <row r="145" spans="1:19" outlineLevel="1" x14ac:dyDescent="0.35">
      <c r="C145" s="46" t="s">
        <v>84</v>
      </c>
      <c r="D145" s="56"/>
      <c r="E145" s="56"/>
      <c r="F145" s="56"/>
      <c r="G145" s="47">
        <v>12000</v>
      </c>
      <c r="H145" s="47">
        <v>12000</v>
      </c>
      <c r="I145" s="47">
        <v>12000</v>
      </c>
      <c r="J145" s="47">
        <v>12000</v>
      </c>
      <c r="K145" s="47">
        <v>12000</v>
      </c>
    </row>
    <row r="146" spans="1:19" outlineLevel="1" x14ac:dyDescent="0.35">
      <c r="C146" s="27" t="s">
        <v>62</v>
      </c>
      <c r="D146" s="99">
        <f>D64</f>
        <v>0</v>
      </c>
      <c r="E146" s="99">
        <f>E64</f>
        <v>11977</v>
      </c>
      <c r="F146" s="99">
        <f>F64</f>
        <v>11964</v>
      </c>
      <c r="G146" s="100">
        <f ca="1">SUM(G143:G145)</f>
        <v>12000</v>
      </c>
      <c r="H146" s="100">
        <f ca="1">SUM(H143:H145)</f>
        <v>12000</v>
      </c>
      <c r="I146" s="100">
        <f ca="1">SUM(I143:I145)</f>
        <v>88662.149036687086</v>
      </c>
      <c r="J146" s="100">
        <f ca="1">SUM(J143:J145)</f>
        <v>166247.34366618411</v>
      </c>
      <c r="K146" s="100">
        <f ca="1">SUM(K143:K145)</f>
        <v>241923.47400558309</v>
      </c>
    </row>
    <row r="147" spans="1:19" outlineLevel="1" x14ac:dyDescent="0.35">
      <c r="B147" s="1" t="s">
        <v>99</v>
      </c>
      <c r="C147" s="69" t="s">
        <v>85</v>
      </c>
      <c r="D147" s="59"/>
      <c r="E147" s="59"/>
      <c r="F147" s="60"/>
      <c r="G147" s="70" t="str">
        <f ca="1">IF(G146&lt;0,"Negative Debt","OK")</f>
        <v>OK</v>
      </c>
      <c r="H147" s="70" t="str">
        <f ca="1">IF(H146&lt;0,"Negative Debt","OK")</f>
        <v>OK</v>
      </c>
      <c r="I147" s="70" t="str">
        <f ca="1">IF(I146&lt;0,"Negative Debt","OK")</f>
        <v>OK</v>
      </c>
      <c r="J147" s="70" t="str">
        <f ca="1">IF(J146&lt;0,"Negative Debt","OK")</f>
        <v>OK</v>
      </c>
      <c r="K147" s="71" t="str">
        <f ca="1">IF(K146&lt;0,"Negative Debt","OK")</f>
        <v>OK</v>
      </c>
      <c r="S147" s="43"/>
    </row>
    <row r="148" spans="1:19" x14ac:dyDescent="0.35">
      <c r="D148" s="28"/>
      <c r="E148" s="28"/>
      <c r="F148" s="72"/>
      <c r="G148" s="73"/>
      <c r="H148" s="73"/>
      <c r="I148" s="73"/>
      <c r="J148" s="73"/>
      <c r="K148" s="73"/>
      <c r="S148" s="43"/>
    </row>
    <row r="149" spans="1:19" x14ac:dyDescent="0.35">
      <c r="A149" s="1" t="s">
        <v>99</v>
      </c>
      <c r="C149" s="13" t="s">
        <v>86</v>
      </c>
      <c r="D149" s="51"/>
      <c r="E149" s="51"/>
      <c r="F149" s="51"/>
      <c r="G149" s="61"/>
      <c r="H149" s="61"/>
      <c r="I149" s="61"/>
      <c r="J149" s="61"/>
      <c r="K149" s="61"/>
      <c r="R149" s="76"/>
    </row>
    <row r="150" spans="1:19" outlineLevel="1" x14ac:dyDescent="0.35">
      <c r="C150" s="36" t="str">
        <f t="shared" ref="C150:K150" si="38">C14</f>
        <v xml:space="preserve">Fiscal year  </v>
      </c>
      <c r="D150" s="37">
        <f t="shared" si="38"/>
        <v>2021</v>
      </c>
      <c r="E150" s="37">
        <f t="shared" si="38"/>
        <v>2022</v>
      </c>
      <c r="F150" s="37">
        <f t="shared" si="38"/>
        <v>2023</v>
      </c>
      <c r="G150" s="38">
        <f t="shared" si="38"/>
        <v>2024</v>
      </c>
      <c r="H150" s="38">
        <f t="shared" si="38"/>
        <v>2025</v>
      </c>
      <c r="I150" s="38">
        <f t="shared" si="38"/>
        <v>2026</v>
      </c>
      <c r="J150" s="38">
        <f t="shared" si="38"/>
        <v>2027</v>
      </c>
      <c r="K150" s="38">
        <f t="shared" si="38"/>
        <v>2028</v>
      </c>
      <c r="R150" s="76"/>
      <c r="S150" s="43"/>
    </row>
    <row r="151" spans="1:19" outlineLevel="1" x14ac:dyDescent="0.35">
      <c r="C151" s="14" t="str">
        <f t="shared" ref="C151:K151" si="39">C15</f>
        <v>Fiscal year end date</v>
      </c>
      <c r="D151" s="39">
        <f t="shared" si="39"/>
        <v>44561</v>
      </c>
      <c r="E151" s="39">
        <f t="shared" si="39"/>
        <v>44926</v>
      </c>
      <c r="F151" s="39">
        <f t="shared" si="39"/>
        <v>45291</v>
      </c>
      <c r="G151" s="39">
        <f t="shared" si="39"/>
        <v>45657</v>
      </c>
      <c r="H151" s="39">
        <f t="shared" si="39"/>
        <v>46022</v>
      </c>
      <c r="I151" s="39">
        <f t="shared" si="39"/>
        <v>46387</v>
      </c>
      <c r="J151" s="39">
        <f t="shared" si="39"/>
        <v>46752</v>
      </c>
      <c r="K151" s="39">
        <f t="shared" si="39"/>
        <v>47118</v>
      </c>
      <c r="R151" s="76"/>
    </row>
    <row r="152" spans="1:19" outlineLevel="1" x14ac:dyDescent="0.35">
      <c r="C152" s="27"/>
      <c r="D152" s="28"/>
      <c r="E152" s="28"/>
      <c r="F152" s="28"/>
      <c r="G152" s="62"/>
      <c r="H152" s="62"/>
      <c r="I152" s="62"/>
      <c r="J152" s="62"/>
      <c r="K152" s="62"/>
      <c r="R152" s="76"/>
    </row>
    <row r="153" spans="1:19" outlineLevel="1" x14ac:dyDescent="0.35">
      <c r="B153" s="1" t="s">
        <v>99</v>
      </c>
      <c r="C153" s="29" t="s">
        <v>87</v>
      </c>
      <c r="D153" s="95">
        <f>D25</f>
        <v>340</v>
      </c>
      <c r="E153" s="95">
        <f>E25</f>
        <v>311</v>
      </c>
      <c r="F153" s="95">
        <f>F25</f>
        <v>355</v>
      </c>
      <c r="G153" s="121">
        <f ca="1">G158+G163</f>
        <v>354.71076230954986</v>
      </c>
      <c r="H153" s="121">
        <f ca="1">H158+H163</f>
        <v>355.10316230954993</v>
      </c>
      <c r="I153" s="121">
        <f ca="1">I158+I163</f>
        <v>1190.7205868094391</v>
      </c>
      <c r="J153" s="121">
        <f ca="1">J158+J163</f>
        <v>2872.0166327708457</v>
      </c>
      <c r="K153" s="121">
        <f ca="1">K158+K163</f>
        <v>4542.5650749318129</v>
      </c>
      <c r="R153" s="43"/>
    </row>
    <row r="154" spans="1:19" outlineLevel="1" x14ac:dyDescent="0.35">
      <c r="C154" s="63"/>
      <c r="R154" s="43"/>
    </row>
    <row r="155" spans="1:19" outlineLevel="1" x14ac:dyDescent="0.35">
      <c r="B155" s="1" t="s">
        <v>99</v>
      </c>
      <c r="C155" s="122" t="s">
        <v>88</v>
      </c>
      <c r="R155" s="43"/>
    </row>
    <row r="156" spans="1:19" outlineLevel="1" x14ac:dyDescent="0.35">
      <c r="C156" s="27" t="s">
        <v>89</v>
      </c>
      <c r="E156" s="64">
        <v>1.2E-2</v>
      </c>
      <c r="F156" s="64">
        <v>2.18E-2</v>
      </c>
      <c r="G156" s="91">
        <f>F156</f>
        <v>2.18E-2</v>
      </c>
      <c r="H156" s="91">
        <f>G156</f>
        <v>2.18E-2</v>
      </c>
      <c r="I156" s="91">
        <f>H156</f>
        <v>2.18E-2</v>
      </c>
      <c r="J156" s="91">
        <f>I156</f>
        <v>2.18E-2</v>
      </c>
      <c r="K156" s="91">
        <f>J156</f>
        <v>2.18E-2</v>
      </c>
    </row>
    <row r="157" spans="1:19" outlineLevel="1" x14ac:dyDescent="0.35">
      <c r="C157" s="27" t="s">
        <v>90</v>
      </c>
      <c r="D157" s="58"/>
      <c r="E157" s="58">
        <f t="shared" ref="E157:K157" si="40">E64</f>
        <v>11977</v>
      </c>
      <c r="F157" s="58">
        <f t="shared" si="40"/>
        <v>11964</v>
      </c>
      <c r="G157" s="83">
        <f t="shared" ca="1" si="40"/>
        <v>12000</v>
      </c>
      <c r="H157" s="83">
        <f t="shared" ca="1" si="40"/>
        <v>12000</v>
      </c>
      <c r="I157" s="83">
        <f t="shared" ca="1" si="40"/>
        <v>88662.149036687086</v>
      </c>
      <c r="J157" s="83">
        <f t="shared" ca="1" si="40"/>
        <v>166247.34366618411</v>
      </c>
      <c r="K157" s="83">
        <f t="shared" ca="1" si="40"/>
        <v>241923.47400558309</v>
      </c>
    </row>
    <row r="158" spans="1:19" outlineLevel="1" x14ac:dyDescent="0.35">
      <c r="C158" s="65" t="s">
        <v>91</v>
      </c>
      <c r="D158" s="28"/>
      <c r="E158" s="79">
        <f>AVERAGE(D157:E157)*E156</f>
        <v>143.72399999999999</v>
      </c>
      <c r="F158" s="79">
        <f>AVERAGE(E157:F157)*F156</f>
        <v>260.95690000000002</v>
      </c>
      <c r="G158" s="101">
        <f ca="1">IF($D$7=1,AVERAGE(F157,G157)*G156,0)</f>
        <v>261.20760000000001</v>
      </c>
      <c r="H158" s="101">
        <f t="shared" ref="H158:K158" ca="1" si="41">IF($D$7=1,AVERAGE(G157,H157)*H156,0)</f>
        <v>261.60000000000002</v>
      </c>
      <c r="I158" s="101">
        <f t="shared" ca="1" si="41"/>
        <v>1097.2174244998891</v>
      </c>
      <c r="J158" s="101">
        <f t="shared" ca="1" si="41"/>
        <v>2778.513470461296</v>
      </c>
      <c r="K158" s="101">
        <f t="shared" ca="1" si="41"/>
        <v>4449.0619126222628</v>
      </c>
    </row>
    <row r="159" spans="1:19" outlineLevel="1" x14ac:dyDescent="0.35">
      <c r="C159" s="66"/>
      <c r="D159" s="28"/>
      <c r="E159" s="28"/>
      <c r="F159" s="28"/>
    </row>
    <row r="160" spans="1:19" outlineLevel="1" x14ac:dyDescent="0.35">
      <c r="B160" s="1" t="s">
        <v>99</v>
      </c>
      <c r="C160" s="122" t="s">
        <v>51</v>
      </c>
      <c r="D160" s="28"/>
      <c r="E160" s="28"/>
      <c r="F160" s="28"/>
    </row>
    <row r="161" spans="2:18" outlineLevel="1" x14ac:dyDescent="0.35">
      <c r="C161" s="27" t="s">
        <v>90</v>
      </c>
      <c r="D161" s="28"/>
      <c r="E161" s="28">
        <f t="shared" ref="E161:K161" si="42">E65</f>
        <v>103703</v>
      </c>
      <c r="F161" s="28">
        <f t="shared" si="42"/>
        <v>102519</v>
      </c>
      <c r="G161" s="83">
        <f t="shared" si="42"/>
        <v>102519</v>
      </c>
      <c r="H161" s="83">
        <f t="shared" si="42"/>
        <v>102519</v>
      </c>
      <c r="I161" s="83">
        <f t="shared" si="42"/>
        <v>102519</v>
      </c>
      <c r="J161" s="83">
        <f t="shared" si="42"/>
        <v>102519</v>
      </c>
      <c r="K161" s="83">
        <f t="shared" si="42"/>
        <v>102519</v>
      </c>
    </row>
    <row r="162" spans="2:18" outlineLevel="1" x14ac:dyDescent="0.35">
      <c r="C162" s="27" t="s">
        <v>89</v>
      </c>
      <c r="E162" s="53">
        <f t="shared" ref="E162" si="43">E163/AVERAGE(D161:E161)</f>
        <v>1.6130295169860082E-3</v>
      </c>
      <c r="F162" s="53">
        <f>F163/AVERAGE(E161:F161)</f>
        <v>9.1205690954408334E-4</v>
      </c>
      <c r="G162" s="92">
        <f>F162</f>
        <v>9.1205690954408334E-4</v>
      </c>
      <c r="H162" s="92">
        <f>G162</f>
        <v>9.1205690954408334E-4</v>
      </c>
      <c r="I162" s="92">
        <f>H162</f>
        <v>9.1205690954408334E-4</v>
      </c>
      <c r="J162" s="92">
        <f>I162</f>
        <v>9.1205690954408334E-4</v>
      </c>
      <c r="K162" s="92">
        <f>J162</f>
        <v>9.1205690954408334E-4</v>
      </c>
      <c r="R162" s="76"/>
    </row>
    <row r="163" spans="2:18" outlineLevel="1" x14ac:dyDescent="0.35">
      <c r="B163" s="1" t="s">
        <v>99</v>
      </c>
      <c r="C163" s="48" t="s">
        <v>92</v>
      </c>
      <c r="D163" s="41"/>
      <c r="E163" s="79">
        <f>E153-E158</f>
        <v>167.27600000000001</v>
      </c>
      <c r="F163" s="79">
        <f>F153-F158</f>
        <v>94.043099999999981</v>
      </c>
      <c r="G163" s="84">
        <f>G162*AVERAGE(F161:G161)</f>
        <v>93.503162309549879</v>
      </c>
      <c r="H163" s="84">
        <f>H162*AVERAGE(G161:H161)</f>
        <v>93.503162309549879</v>
      </c>
      <c r="I163" s="84">
        <f>I162*AVERAGE(H161:I161)</f>
        <v>93.503162309549879</v>
      </c>
      <c r="J163" s="84">
        <f>J162*AVERAGE(I161:J161)</f>
        <v>93.503162309549879</v>
      </c>
      <c r="K163" s="84">
        <f>K162*AVERAGE(J161:K161)</f>
        <v>93.503162309549879</v>
      </c>
    </row>
    <row r="164" spans="2:18" outlineLevel="1" x14ac:dyDescent="0.35">
      <c r="E164" s="28"/>
    </row>
    <row r="165" spans="2:18" outlineLevel="1" x14ac:dyDescent="0.35">
      <c r="C165" s="63" t="s">
        <v>93</v>
      </c>
      <c r="E165" s="28"/>
      <c r="F165" s="28"/>
    </row>
    <row r="166" spans="2:18" ht="15" customHeight="1" outlineLevel="1" x14ac:dyDescent="0.35">
      <c r="C166" s="27" t="s">
        <v>94</v>
      </c>
      <c r="D166" s="67">
        <v>1.7299999999999999E-2</v>
      </c>
      <c r="E166" s="64">
        <v>1.9900000000000001E-2</v>
      </c>
      <c r="F166" s="64">
        <v>2.1600000000000001E-2</v>
      </c>
      <c r="G166" s="93">
        <f>F166</f>
        <v>2.1600000000000001E-2</v>
      </c>
      <c r="H166" s="93">
        <f>G166</f>
        <v>2.1600000000000001E-2</v>
      </c>
      <c r="I166" s="93">
        <f>H166</f>
        <v>2.1600000000000001E-2</v>
      </c>
      <c r="J166" s="93">
        <f>I166</f>
        <v>2.1600000000000001E-2</v>
      </c>
      <c r="K166" s="93">
        <f>J166</f>
        <v>2.1600000000000001E-2</v>
      </c>
    </row>
    <row r="167" spans="2:18" ht="15" customHeight="1" outlineLevel="1" x14ac:dyDescent="0.35">
      <c r="C167" s="27" t="s">
        <v>13</v>
      </c>
      <c r="D167" s="28">
        <f>D24</f>
        <v>0</v>
      </c>
      <c r="E167" s="28">
        <f>E24</f>
        <v>0</v>
      </c>
      <c r="F167" s="28">
        <f>F24</f>
        <v>0</v>
      </c>
      <c r="G167" s="94">
        <f ca="1">IF($D$7=1,AVERAGE(F53,G53)*G166,0)</f>
        <v>4141.8595704219379</v>
      </c>
      <c r="H167" s="94">
        <f t="shared" ref="H167:K167" ca="1" si="44">IF($D$7=1,AVERAGE(G53,H53)*H166,0)</f>
        <v>2281.4357103412631</v>
      </c>
      <c r="I167" s="94">
        <f t="shared" ca="1" si="44"/>
        <v>1369.8561399193254</v>
      </c>
      <c r="J167" s="94">
        <f t="shared" ca="1" si="44"/>
        <v>1339.2000000000003</v>
      </c>
      <c r="K167" s="94">
        <f t="shared" ca="1" si="44"/>
        <v>1339.2000000000003</v>
      </c>
    </row>
    <row r="168" spans="2:18" x14ac:dyDescent="0.35">
      <c r="C168" s="68"/>
      <c r="D168" s="53"/>
      <c r="E168" s="53"/>
      <c r="F168" s="53"/>
      <c r="G168" s="53"/>
      <c r="H168" s="53"/>
    </row>
  </sheetData>
  <conditionalFormatting sqref="C47">
    <cfRule type="expression" dxfId="0" priority="1">
      <formula>#REF!=$C47</formula>
    </cfRule>
  </conditionalFormatting>
  <dataValidations count="2">
    <dataValidation type="list" allowBlank="1" showInputMessage="1" showErrorMessage="1" sqref="D7" xr:uid="{95D52307-71E0-4393-B7AE-031C76A93DD3}">
      <formula1>"0,1"</formula1>
    </dataValidation>
    <dataValidation type="list" allowBlank="1" showInputMessage="1" showErrorMessage="1" sqref="C3" xr:uid="{E4555E83-528A-4D9C-BF5A-54BD0791CA31}">
      <formula1>"$ bns except per share, $ mm except per share,$ in thousands except per share"</formula1>
    </dataValidation>
  </dataValidations>
  <pageMargins left="0.7" right="0.7" top="0.75" bottom="0.75" header="0.3" footer="0.3"/>
  <pageSetup scale="3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FSM</vt:lpstr>
      <vt:lpstr>FSM!Print_Area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Andres Orea</dc:creator>
  <cp:lastModifiedBy>Fernando de Andrés Orea</cp:lastModifiedBy>
  <dcterms:created xsi:type="dcterms:W3CDTF">2024-03-22T03:35:03Z</dcterms:created>
  <dcterms:modified xsi:type="dcterms:W3CDTF">2024-03-30T02:46:26Z</dcterms:modified>
</cp:coreProperties>
</file>