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5115" yWindow="3045" windowWidth="15375" windowHeight="7875" tabRatio="756"/>
  </bookViews>
  <sheets>
    <sheet name="FO 16 ago-19" sheetId="142" r:id="rId1"/>
    <sheet name="FO 9 ago-19" sheetId="141" r:id="rId2"/>
    <sheet name="FO 2 ago-19" sheetId="140" r:id="rId3"/>
    <sheet name="FO 31 jul-19" sheetId="139" r:id="rId4"/>
    <sheet name="FO 12 jul-19" sheetId="138" r:id="rId5"/>
    <sheet name="FO 5 jul-19" sheetId="137" r:id="rId6"/>
    <sheet name="FO 28 jun-19" sheetId="136" r:id="rId7"/>
    <sheet name="FO 21 jun-19" sheetId="135" r:id="rId8"/>
    <sheet name="FO 14 jun-19" sheetId="134" r:id="rId9"/>
    <sheet name="FO 7 jun-19" sheetId="133" r:id="rId10"/>
    <sheet name="FO 31 may-19" sheetId="132" r:id="rId11"/>
    <sheet name="FO 24 may-19" sheetId="131" r:id="rId12"/>
    <sheet name="FO 17 may-19" sheetId="130" r:id="rId13"/>
    <sheet name="FO 10 may-19" sheetId="129" r:id="rId14"/>
    <sheet name="FO 3 may-19" sheetId="128" r:id="rId15"/>
    <sheet name="FO 26 abr-19 (Escenario)" sheetId="126" r:id="rId16"/>
    <sheet name="Hoja2" sheetId="127" r:id="rId17"/>
    <sheet name="FO 26 abr-19" sheetId="125" r:id="rId18"/>
    <sheet name="FO 19 abr-19" sheetId="124" r:id="rId19"/>
    <sheet name="FO 12 abr-19" sheetId="123" r:id="rId20"/>
    <sheet name="FO 5 abr-19" sheetId="122" r:id="rId21"/>
    <sheet name="FO 29 mar-19" sheetId="121" r:id="rId22"/>
    <sheet name="FO 22 mar-19" sheetId="120" r:id="rId23"/>
    <sheet name="FO 15 mar-19" sheetId="119" r:id="rId24"/>
    <sheet name="FO 8 mar-19" sheetId="118" r:id="rId25"/>
    <sheet name="FO 1 mar-19" sheetId="117" r:id="rId26"/>
    <sheet name="FO 22 feb-19" sheetId="116" r:id="rId27"/>
    <sheet name="FO 15 feb-19" sheetId="115" r:id="rId28"/>
    <sheet name="FO 8 feb-19" sheetId="114" r:id="rId29"/>
    <sheet name="FO 1 feb-19" sheetId="113" r:id="rId30"/>
    <sheet name="FO 25 ene-19" sheetId="112" r:id="rId31"/>
    <sheet name="FO 18 ene-19" sheetId="109" r:id="rId32"/>
    <sheet name="FO 0 ene-19" sheetId="107" r:id="rId33"/>
    <sheet name="FO 0 ene-19 Org" sheetId="110" r:id="rId34"/>
    <sheet name="Hoja1" sheetId="111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xlnm._FilterDatabase" localSheetId="34" hidden="1">Hoja1!$A$3:$D$162</definedName>
  </definedNames>
  <calcPr calcId="14562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" i="142" l="1"/>
  <c r="AZ2" i="142"/>
  <c r="AY2" i="142"/>
  <c r="AX2" i="142"/>
  <c r="AW2" i="142"/>
  <c r="AV2" i="142"/>
  <c r="AU2" i="142"/>
  <c r="AT2" i="142"/>
  <c r="AS2" i="142"/>
  <c r="AR2" i="142"/>
  <c r="AQ2" i="142"/>
  <c r="AP2" i="142"/>
  <c r="AO2" i="142"/>
  <c r="AN2" i="142"/>
  <c r="AM2" i="142"/>
  <c r="AL2" i="142"/>
  <c r="AK2" i="142"/>
  <c r="AJ2" i="142"/>
  <c r="AI2" i="142"/>
  <c r="AH2" i="142"/>
  <c r="AG2" i="142"/>
  <c r="AF2" i="142"/>
  <c r="L209" i="142"/>
  <c r="X150" i="142"/>
  <c r="U150" i="142"/>
  <c r="C150" i="142"/>
  <c r="U148" i="142"/>
  <c r="C147" i="142"/>
  <c r="C151" i="142" s="1"/>
  <c r="C146" i="142"/>
  <c r="AB145" i="142"/>
  <c r="X145" i="142"/>
  <c r="U145" i="142"/>
  <c r="AA145" i="142" s="1"/>
  <c r="X144" i="142"/>
  <c r="W144" i="142"/>
  <c r="U144" i="142"/>
  <c r="X143" i="142"/>
  <c r="U143" i="142"/>
  <c r="W141" i="142"/>
  <c r="R141" i="142"/>
  <c r="W140" i="142"/>
  <c r="T140" i="142"/>
  <c r="W139" i="142"/>
  <c r="T139" i="142"/>
  <c r="T144" i="142" s="1"/>
  <c r="W138" i="142"/>
  <c r="T138" i="142"/>
  <c r="T141" i="142" s="1"/>
  <c r="W137" i="142"/>
  <c r="U137" i="142"/>
  <c r="C137" i="142"/>
  <c r="B137" i="142"/>
  <c r="X136" i="142"/>
  <c r="X137" i="142" s="1"/>
  <c r="W136" i="142"/>
  <c r="U136" i="142"/>
  <c r="T136" i="142"/>
  <c r="W135" i="142"/>
  <c r="W134" i="142"/>
  <c r="V134" i="142" s="1"/>
  <c r="X133" i="142"/>
  <c r="W133" i="142"/>
  <c r="X148" i="142" s="1"/>
  <c r="U133" i="142"/>
  <c r="C133" i="142"/>
  <c r="B133" i="142" s="1"/>
  <c r="B134" i="142" s="1"/>
  <c r="W132" i="142"/>
  <c r="X149" i="142" s="1"/>
  <c r="T132" i="142"/>
  <c r="C131" i="142"/>
  <c r="B131" i="142"/>
  <c r="C130" i="142"/>
  <c r="B130" i="142"/>
  <c r="C127" i="142"/>
  <c r="B127" i="142"/>
  <c r="B126" i="142"/>
  <c r="C126" i="142" s="1"/>
  <c r="C125" i="142"/>
  <c r="B125" i="142"/>
  <c r="AB124" i="142"/>
  <c r="AB154" i="142" s="1"/>
  <c r="X124" i="142"/>
  <c r="U124" i="142"/>
  <c r="U122" i="142" s="1"/>
  <c r="B124" i="142"/>
  <c r="B128" i="142" s="1"/>
  <c r="X123" i="142"/>
  <c r="W123" i="142"/>
  <c r="U123" i="142"/>
  <c r="X122" i="142"/>
  <c r="M121" i="142"/>
  <c r="L121" i="142"/>
  <c r="K121" i="142"/>
  <c r="J121" i="142"/>
  <c r="I121" i="142"/>
  <c r="H121" i="142"/>
  <c r="G121" i="142"/>
  <c r="F121" i="142"/>
  <c r="E121" i="142"/>
  <c r="D121" i="142"/>
  <c r="C121" i="142"/>
  <c r="B121" i="142"/>
  <c r="R120" i="142"/>
  <c r="AA124" i="142" s="1"/>
  <c r="W119" i="142"/>
  <c r="T119" i="142"/>
  <c r="W118" i="142"/>
  <c r="T118" i="142"/>
  <c r="T123" i="142" s="1"/>
  <c r="K118" i="142"/>
  <c r="K120" i="142" s="1"/>
  <c r="J118" i="142"/>
  <c r="J120" i="142" s="1"/>
  <c r="G118" i="142"/>
  <c r="F118" i="142"/>
  <c r="C118" i="142"/>
  <c r="C120" i="142" s="1"/>
  <c r="B118" i="142"/>
  <c r="W117" i="142"/>
  <c r="W120" i="142" s="1"/>
  <c r="M117" i="142"/>
  <c r="L117" i="142"/>
  <c r="K117" i="142"/>
  <c r="J117" i="142"/>
  <c r="I117" i="142"/>
  <c r="H117" i="142"/>
  <c r="G117" i="142"/>
  <c r="F117" i="142"/>
  <c r="E117" i="142"/>
  <c r="D117" i="142"/>
  <c r="C117" i="142"/>
  <c r="B117" i="142"/>
  <c r="W116" i="142"/>
  <c r="W122" i="142" s="1"/>
  <c r="W124" i="142" s="1"/>
  <c r="X126" i="142" s="1"/>
  <c r="M114" i="142"/>
  <c r="L114" i="142"/>
  <c r="K114" i="142"/>
  <c r="J114" i="142"/>
  <c r="I114" i="142"/>
  <c r="H114" i="142"/>
  <c r="G114" i="142"/>
  <c r="F114" i="142"/>
  <c r="E114" i="142"/>
  <c r="D114" i="142"/>
  <c r="C114" i="142"/>
  <c r="B114" i="142"/>
  <c r="U111" i="142"/>
  <c r="M111" i="142"/>
  <c r="L111" i="142"/>
  <c r="K111" i="142"/>
  <c r="J111" i="142"/>
  <c r="I111" i="142"/>
  <c r="H111" i="142"/>
  <c r="G111" i="142"/>
  <c r="F111" i="142"/>
  <c r="E111" i="142"/>
  <c r="D111" i="142"/>
  <c r="C111" i="142"/>
  <c r="B111" i="142"/>
  <c r="T109" i="142"/>
  <c r="T108" i="142"/>
  <c r="M108" i="142"/>
  <c r="L108" i="142"/>
  <c r="K108" i="142"/>
  <c r="J108" i="142"/>
  <c r="I108" i="142"/>
  <c r="H108" i="142"/>
  <c r="G108" i="142"/>
  <c r="F108" i="142"/>
  <c r="E108" i="142"/>
  <c r="D108" i="142"/>
  <c r="C108" i="142"/>
  <c r="B108" i="142"/>
  <c r="N108" i="142" s="1"/>
  <c r="O108" i="142" s="1"/>
  <c r="M105" i="142"/>
  <c r="L105" i="142"/>
  <c r="K105" i="142"/>
  <c r="J105" i="142"/>
  <c r="I105" i="142"/>
  <c r="H105" i="142"/>
  <c r="G105" i="142"/>
  <c r="F105" i="142"/>
  <c r="E105" i="142"/>
  <c r="D105" i="142"/>
  <c r="C105" i="142"/>
  <c r="B105" i="142"/>
  <c r="K102" i="142"/>
  <c r="J102" i="142"/>
  <c r="G102" i="142"/>
  <c r="F102" i="142"/>
  <c r="C102" i="142"/>
  <c r="B102" i="142"/>
  <c r="M101" i="142"/>
  <c r="M119" i="142" s="1"/>
  <c r="L101" i="142"/>
  <c r="L119" i="142" s="1"/>
  <c r="K101" i="142"/>
  <c r="K119" i="142" s="1"/>
  <c r="J101" i="142"/>
  <c r="J119" i="142" s="1"/>
  <c r="I101" i="142"/>
  <c r="I119" i="142" s="1"/>
  <c r="H101" i="142"/>
  <c r="H119" i="142" s="1"/>
  <c r="G101" i="142"/>
  <c r="G119" i="142" s="1"/>
  <c r="F101" i="142"/>
  <c r="F119" i="142" s="1"/>
  <c r="E101" i="142"/>
  <c r="E119" i="142" s="1"/>
  <c r="D101" i="142"/>
  <c r="D119" i="142" s="1"/>
  <c r="C101" i="142"/>
  <c r="C119" i="142" s="1"/>
  <c r="B101" i="142"/>
  <c r="B119" i="142" s="1"/>
  <c r="M100" i="142"/>
  <c r="M118" i="142" s="1"/>
  <c r="L100" i="142"/>
  <c r="L118" i="142" s="1"/>
  <c r="L120" i="142" s="1"/>
  <c r="K100" i="142"/>
  <c r="J100" i="142"/>
  <c r="I100" i="142"/>
  <c r="I118" i="142" s="1"/>
  <c r="I120" i="142" s="1"/>
  <c r="H100" i="142"/>
  <c r="H118" i="142" s="1"/>
  <c r="H120" i="142" s="1"/>
  <c r="G100" i="142"/>
  <c r="F100" i="142"/>
  <c r="E100" i="142"/>
  <c r="E118" i="142" s="1"/>
  <c r="E120" i="142" s="1"/>
  <c r="D100" i="142"/>
  <c r="D118" i="142" s="1"/>
  <c r="D120" i="142" s="1"/>
  <c r="C100" i="142"/>
  <c r="B100" i="142"/>
  <c r="N100" i="142" s="1"/>
  <c r="AE94" i="142"/>
  <c r="AD94" i="142"/>
  <c r="AC94" i="142"/>
  <c r="AB94" i="142"/>
  <c r="AA94" i="142"/>
  <c r="Z94" i="142"/>
  <c r="Y94" i="142"/>
  <c r="X94" i="142"/>
  <c r="W94" i="142"/>
  <c r="V94" i="142"/>
  <c r="U94" i="142"/>
  <c r="T94" i="142"/>
  <c r="S94" i="142"/>
  <c r="R94" i="142"/>
  <c r="Q94" i="142"/>
  <c r="P94" i="142"/>
  <c r="O94" i="142"/>
  <c r="N94" i="142"/>
  <c r="M94" i="142"/>
  <c r="L94" i="142"/>
  <c r="K94" i="142"/>
  <c r="J94" i="142"/>
  <c r="I94" i="142"/>
  <c r="H94" i="142"/>
  <c r="G94" i="142"/>
  <c r="F94" i="142"/>
  <c r="E94" i="142"/>
  <c r="D94" i="142"/>
  <c r="BB94" i="142" s="1"/>
  <c r="C94" i="142"/>
  <c r="B94" i="142"/>
  <c r="BB93" i="142"/>
  <c r="BB92" i="142"/>
  <c r="BB91" i="142"/>
  <c r="BB90" i="142"/>
  <c r="BB89" i="142"/>
  <c r="BB88" i="142"/>
  <c r="BB87" i="142"/>
  <c r="BB86" i="142"/>
  <c r="BB85" i="142"/>
  <c r="BB84" i="142"/>
  <c r="BB83" i="142"/>
  <c r="BB82" i="142"/>
  <c r="BB81" i="142"/>
  <c r="BB80" i="142"/>
  <c r="BB79" i="142"/>
  <c r="BB78" i="142"/>
  <c r="BB77" i="142"/>
  <c r="BB76" i="142"/>
  <c r="BB75" i="142"/>
  <c r="BB74" i="142"/>
  <c r="BB73" i="142"/>
  <c r="BB72" i="142"/>
  <c r="BB71" i="142"/>
  <c r="BB70" i="142"/>
  <c r="BB69" i="142"/>
  <c r="BB68" i="142"/>
  <c r="BB67" i="142"/>
  <c r="BB66" i="142"/>
  <c r="BB65" i="142"/>
  <c r="BB64" i="142"/>
  <c r="BB63" i="142"/>
  <c r="BB62" i="142"/>
  <c r="BB61" i="142"/>
  <c r="BB60" i="142"/>
  <c r="BB59" i="142"/>
  <c r="BB58" i="142"/>
  <c r="BB57" i="142"/>
  <c r="BB56" i="142"/>
  <c r="BB55" i="142"/>
  <c r="BB54" i="142"/>
  <c r="BB53" i="142"/>
  <c r="BB52" i="142"/>
  <c r="BB51" i="142"/>
  <c r="BB50" i="142"/>
  <c r="BB49" i="142"/>
  <c r="BB48" i="142"/>
  <c r="BB47" i="142"/>
  <c r="BB46" i="142"/>
  <c r="BB45" i="142"/>
  <c r="BB44" i="142"/>
  <c r="BB43" i="142"/>
  <c r="BB42" i="142"/>
  <c r="BB41" i="142"/>
  <c r="BB40" i="142"/>
  <c r="BB39" i="142"/>
  <c r="BB38" i="142"/>
  <c r="BB37" i="142"/>
  <c r="BB36" i="142"/>
  <c r="BB35" i="142"/>
  <c r="BB34" i="142"/>
  <c r="BB33" i="142"/>
  <c r="BB32" i="142"/>
  <c r="BB31" i="142"/>
  <c r="BB30" i="142"/>
  <c r="BB29" i="142"/>
  <c r="BB28" i="142"/>
  <c r="BB27" i="142"/>
  <c r="BB26" i="142"/>
  <c r="BB25" i="142"/>
  <c r="BB24" i="142"/>
  <c r="BB23" i="142"/>
  <c r="BB22" i="142"/>
  <c r="BB21" i="142"/>
  <c r="BB20" i="142"/>
  <c r="BB19" i="142"/>
  <c r="BB18" i="142"/>
  <c r="BB17" i="142"/>
  <c r="BB16" i="142"/>
  <c r="BB15" i="142"/>
  <c r="BB14" i="142"/>
  <c r="BB13" i="142"/>
  <c r="BB12" i="142"/>
  <c r="BB11" i="142"/>
  <c r="BB10" i="142"/>
  <c r="BB9" i="142"/>
  <c r="BB8" i="142"/>
  <c r="BB7" i="142"/>
  <c r="BB6" i="142"/>
  <c r="BB5" i="142"/>
  <c r="BB4" i="142"/>
  <c r="P107" i="142" l="1"/>
  <c r="M120" i="142"/>
  <c r="N121" i="142" s="1"/>
  <c r="P104" i="142"/>
  <c r="P103" i="142"/>
  <c r="N119" i="142"/>
  <c r="AA152" i="142"/>
  <c r="AD145" i="142"/>
  <c r="F120" i="142"/>
  <c r="F122" i="142" s="1"/>
  <c r="AA154" i="142"/>
  <c r="AA128" i="142"/>
  <c r="AD124" i="142"/>
  <c r="G120" i="142"/>
  <c r="B136" i="142"/>
  <c r="B138" i="142" s="1"/>
  <c r="N118" i="142"/>
  <c r="D102" i="142"/>
  <c r="N102" i="142" s="1"/>
  <c r="H102" i="142"/>
  <c r="L102" i="142"/>
  <c r="T110" i="142"/>
  <c r="T111" i="142" s="1"/>
  <c r="V111" i="142" s="1"/>
  <c r="T117" i="142"/>
  <c r="B120" i="142"/>
  <c r="E123" i="142" s="1"/>
  <c r="C124" i="142"/>
  <c r="C128" i="142" s="1"/>
  <c r="C134" i="142"/>
  <c r="Z141" i="142"/>
  <c r="Z152" i="142" s="1"/>
  <c r="W143" i="142"/>
  <c r="W145" i="142" s="1"/>
  <c r="X147" i="142" s="1"/>
  <c r="N101" i="142"/>
  <c r="P108" i="142" s="1"/>
  <c r="E102" i="142"/>
  <c r="I102" i="142"/>
  <c r="M102" i="142"/>
  <c r="F123" i="142"/>
  <c r="T134" i="142"/>
  <c r="T116" i="142" s="1"/>
  <c r="T137" i="142"/>
  <c r="U149" i="142" s="1"/>
  <c r="T143" i="142"/>
  <c r="T145" i="142" s="1"/>
  <c r="U147" i="142" s="1"/>
  <c r="L209" i="141"/>
  <c r="X150" i="141"/>
  <c r="U150" i="141"/>
  <c r="C150" i="141"/>
  <c r="C147" i="141"/>
  <c r="C146" i="141"/>
  <c r="C151" i="141" s="1"/>
  <c r="AB145" i="141"/>
  <c r="X145" i="141"/>
  <c r="U145" i="141"/>
  <c r="X144" i="141"/>
  <c r="U144" i="141"/>
  <c r="X143" i="141"/>
  <c r="U143" i="141"/>
  <c r="R141" i="141"/>
  <c r="AA145" i="141" s="1"/>
  <c r="W140" i="141"/>
  <c r="T140" i="141"/>
  <c r="W139" i="141"/>
  <c r="W144" i="141" s="1"/>
  <c r="T139" i="141"/>
  <c r="T144" i="141" s="1"/>
  <c r="W138" i="141"/>
  <c r="W143" i="141" s="1"/>
  <c r="W145" i="141" s="1"/>
  <c r="X147" i="141" s="1"/>
  <c r="U137" i="141"/>
  <c r="C137" i="141"/>
  <c r="B137" i="141"/>
  <c r="X136" i="141"/>
  <c r="X137" i="141" s="1"/>
  <c r="W136" i="141"/>
  <c r="U136" i="141"/>
  <c r="T136" i="141"/>
  <c r="W135" i="141"/>
  <c r="W134" i="141"/>
  <c r="V134" i="141" s="1"/>
  <c r="X133" i="141"/>
  <c r="W133" i="141"/>
  <c r="X148" i="141" s="1"/>
  <c r="U133" i="141"/>
  <c r="U148" i="141" s="1"/>
  <c r="C133" i="141"/>
  <c r="B133" i="141" s="1"/>
  <c r="B134" i="141" s="1"/>
  <c r="W132" i="141"/>
  <c r="T132" i="141"/>
  <c r="B130" i="141"/>
  <c r="B131" i="141" s="1"/>
  <c r="C127" i="141"/>
  <c r="B127" i="141"/>
  <c r="B126" i="141"/>
  <c r="C126" i="141" s="1"/>
  <c r="C125" i="141"/>
  <c r="B125" i="141"/>
  <c r="AB124" i="141"/>
  <c r="AB154" i="141" s="1"/>
  <c r="X124" i="141"/>
  <c r="U124" i="141"/>
  <c r="U122" i="141" s="1"/>
  <c r="B124" i="141"/>
  <c r="B128" i="141" s="1"/>
  <c r="X123" i="141"/>
  <c r="U123" i="141"/>
  <c r="X122" i="141"/>
  <c r="M121" i="141"/>
  <c r="L121" i="141"/>
  <c r="K121" i="141"/>
  <c r="J121" i="141"/>
  <c r="I121" i="141"/>
  <c r="H121" i="141"/>
  <c r="G121" i="141"/>
  <c r="F121" i="141"/>
  <c r="E121" i="141"/>
  <c r="D121" i="141"/>
  <c r="C121" i="141"/>
  <c r="B121" i="141"/>
  <c r="R120" i="141"/>
  <c r="AA124" i="141" s="1"/>
  <c r="W119" i="141"/>
  <c r="T119" i="141"/>
  <c r="W118" i="141"/>
  <c r="W123" i="141" s="1"/>
  <c r="T118" i="141"/>
  <c r="T123" i="141" s="1"/>
  <c r="W117" i="141"/>
  <c r="W122" i="141" s="1"/>
  <c r="M117" i="141"/>
  <c r="L117" i="141"/>
  <c r="K117" i="141"/>
  <c r="J117" i="141"/>
  <c r="I117" i="141"/>
  <c r="H117" i="141"/>
  <c r="G117" i="141"/>
  <c r="F117" i="141"/>
  <c r="E117" i="141"/>
  <c r="D117" i="141"/>
  <c r="C117" i="141"/>
  <c r="B117" i="141"/>
  <c r="W116" i="141"/>
  <c r="M114" i="141"/>
  <c r="L114" i="141"/>
  <c r="K114" i="141"/>
  <c r="J114" i="141"/>
  <c r="I114" i="141"/>
  <c r="H114" i="141"/>
  <c r="G114" i="141"/>
  <c r="F114" i="141"/>
  <c r="E114" i="141"/>
  <c r="D114" i="141"/>
  <c r="C114" i="141"/>
  <c r="B114" i="141"/>
  <c r="M111" i="141"/>
  <c r="L111" i="141"/>
  <c r="K111" i="141"/>
  <c r="J111" i="141"/>
  <c r="I111" i="141"/>
  <c r="H111" i="141"/>
  <c r="G111" i="141"/>
  <c r="F111" i="141"/>
  <c r="E111" i="141"/>
  <c r="D111" i="141"/>
  <c r="C111" i="141"/>
  <c r="B111" i="141"/>
  <c r="T109" i="141"/>
  <c r="T108" i="141"/>
  <c r="M108" i="141"/>
  <c r="L108" i="141"/>
  <c r="K108" i="141"/>
  <c r="J108" i="141"/>
  <c r="I108" i="141"/>
  <c r="H108" i="141"/>
  <c r="G108" i="141"/>
  <c r="F108" i="141"/>
  <c r="E108" i="141"/>
  <c r="D108" i="141"/>
  <c r="C108" i="141"/>
  <c r="B108" i="141"/>
  <c r="N108" i="141" s="1"/>
  <c r="O108" i="141" s="1"/>
  <c r="M105" i="141"/>
  <c r="L105" i="141"/>
  <c r="K105" i="141"/>
  <c r="J105" i="141"/>
  <c r="I105" i="141"/>
  <c r="H105" i="141"/>
  <c r="G105" i="141"/>
  <c r="F105" i="141"/>
  <c r="E105" i="141"/>
  <c r="D105" i="141"/>
  <c r="C105" i="141"/>
  <c r="B105" i="141"/>
  <c r="K102" i="141"/>
  <c r="G102" i="141"/>
  <c r="C102" i="141"/>
  <c r="M101" i="141"/>
  <c r="M119" i="141" s="1"/>
  <c r="L101" i="141"/>
  <c r="L119" i="141" s="1"/>
  <c r="K101" i="141"/>
  <c r="K119" i="141" s="1"/>
  <c r="J101" i="141"/>
  <c r="J119" i="141" s="1"/>
  <c r="I101" i="141"/>
  <c r="I119" i="141" s="1"/>
  <c r="H101" i="141"/>
  <c r="H119" i="141" s="1"/>
  <c r="G101" i="141"/>
  <c r="G119" i="141" s="1"/>
  <c r="F101" i="141"/>
  <c r="F119" i="141" s="1"/>
  <c r="E101" i="141"/>
  <c r="E119" i="141" s="1"/>
  <c r="D101" i="141"/>
  <c r="D119" i="141" s="1"/>
  <c r="C101" i="141"/>
  <c r="C119" i="141" s="1"/>
  <c r="B101" i="141"/>
  <c r="B119" i="141" s="1"/>
  <c r="N119" i="141" s="1"/>
  <c r="M100" i="141"/>
  <c r="M118" i="141" s="1"/>
  <c r="M120" i="141" s="1"/>
  <c r="L100" i="141"/>
  <c r="L118" i="141" s="1"/>
  <c r="L120" i="141" s="1"/>
  <c r="K100" i="141"/>
  <c r="K118" i="141" s="1"/>
  <c r="K120" i="141" s="1"/>
  <c r="J100" i="141"/>
  <c r="J118" i="141" s="1"/>
  <c r="I100" i="141"/>
  <c r="I118" i="141" s="1"/>
  <c r="I120" i="141" s="1"/>
  <c r="H100" i="141"/>
  <c r="H118" i="141" s="1"/>
  <c r="H120" i="141" s="1"/>
  <c r="G100" i="141"/>
  <c r="G118" i="141" s="1"/>
  <c r="G120" i="141" s="1"/>
  <c r="F100" i="141"/>
  <c r="F118" i="141" s="1"/>
  <c r="F120" i="141" s="1"/>
  <c r="F122" i="141" s="1"/>
  <c r="E100" i="141"/>
  <c r="E118" i="141" s="1"/>
  <c r="E120" i="141" s="1"/>
  <c r="D100" i="141"/>
  <c r="D118" i="141" s="1"/>
  <c r="D120" i="141" s="1"/>
  <c r="C100" i="141"/>
  <c r="C118" i="141" s="1"/>
  <c r="C120" i="141" s="1"/>
  <c r="B100" i="141"/>
  <c r="B118" i="141" s="1"/>
  <c r="AE94" i="141"/>
  <c r="AD94" i="141"/>
  <c r="AC94" i="141"/>
  <c r="AB94" i="141"/>
  <c r="AA94" i="141"/>
  <c r="Z94" i="141"/>
  <c r="Y94" i="141"/>
  <c r="X94" i="141"/>
  <c r="W94" i="141"/>
  <c r="V94" i="141"/>
  <c r="U94" i="141"/>
  <c r="T94" i="141"/>
  <c r="S94" i="141"/>
  <c r="R94" i="141"/>
  <c r="Q94" i="141"/>
  <c r="P94" i="141"/>
  <c r="O94" i="141"/>
  <c r="N94" i="141"/>
  <c r="M94" i="141"/>
  <c r="L94" i="141"/>
  <c r="K94" i="141"/>
  <c r="J94" i="141"/>
  <c r="I94" i="141"/>
  <c r="H94" i="141"/>
  <c r="G94" i="141"/>
  <c r="F94" i="141"/>
  <c r="E94" i="141"/>
  <c r="D94" i="141"/>
  <c r="BB94" i="141" s="1"/>
  <c r="C94" i="141"/>
  <c r="B94" i="141"/>
  <c r="BB93" i="141"/>
  <c r="BB92" i="141"/>
  <c r="BB91" i="141"/>
  <c r="BB90" i="141"/>
  <c r="BB89" i="141"/>
  <c r="BB88" i="141"/>
  <c r="BB87" i="141"/>
  <c r="BB86" i="141"/>
  <c r="BB85" i="141"/>
  <c r="BB84" i="141"/>
  <c r="BB83" i="141"/>
  <c r="BB82" i="141"/>
  <c r="BB81" i="141"/>
  <c r="BB80" i="141"/>
  <c r="BB79" i="141"/>
  <c r="BB78" i="141"/>
  <c r="BB77" i="141"/>
  <c r="BB76" i="141"/>
  <c r="BB75" i="141"/>
  <c r="BB74" i="141"/>
  <c r="BB73" i="141"/>
  <c r="BB72" i="141"/>
  <c r="BB71" i="141"/>
  <c r="BB70" i="141"/>
  <c r="BB69" i="141"/>
  <c r="BB68" i="141"/>
  <c r="BB67" i="141"/>
  <c r="BB66" i="141"/>
  <c r="BB65" i="141"/>
  <c r="BB64" i="141"/>
  <c r="BB63" i="141"/>
  <c r="BB62" i="141"/>
  <c r="BB61" i="141"/>
  <c r="BB60" i="141"/>
  <c r="BB59" i="141"/>
  <c r="BB58" i="141"/>
  <c r="BB57" i="141"/>
  <c r="BB56" i="141"/>
  <c r="BB55" i="141"/>
  <c r="BB54" i="141"/>
  <c r="BB53" i="141"/>
  <c r="BB52" i="141"/>
  <c r="BB51" i="141"/>
  <c r="BB50" i="141"/>
  <c r="BB49" i="141"/>
  <c r="BB48" i="141"/>
  <c r="BB47" i="141"/>
  <c r="BB46" i="141"/>
  <c r="BB45" i="141"/>
  <c r="BB44" i="141"/>
  <c r="BB43" i="141"/>
  <c r="BB42" i="141"/>
  <c r="BB41" i="141"/>
  <c r="BB40" i="141"/>
  <c r="BB39" i="141"/>
  <c r="BB38" i="141"/>
  <c r="BB37" i="141"/>
  <c r="BB36" i="141"/>
  <c r="BB35" i="141"/>
  <c r="BB34" i="141"/>
  <c r="BB33" i="141"/>
  <c r="BB32" i="141"/>
  <c r="BB31" i="141"/>
  <c r="BB30" i="141"/>
  <c r="BB29" i="141"/>
  <c r="BB28" i="141"/>
  <c r="BB27" i="141"/>
  <c r="BB26" i="141"/>
  <c r="BB25" i="141"/>
  <c r="BB24" i="141"/>
  <c r="BB23" i="141"/>
  <c r="BB22" i="141"/>
  <c r="BB21" i="141"/>
  <c r="BB20" i="141"/>
  <c r="BB19" i="141"/>
  <c r="BB18" i="141"/>
  <c r="BB17" i="141"/>
  <c r="BB16" i="141"/>
  <c r="BB15" i="141"/>
  <c r="BB14" i="141"/>
  <c r="BB13" i="141"/>
  <c r="BB12" i="141"/>
  <c r="BB11" i="141"/>
  <c r="BB10" i="141"/>
  <c r="BB9" i="141"/>
  <c r="BB8" i="141"/>
  <c r="BB7" i="141"/>
  <c r="BB6" i="141"/>
  <c r="BB5" i="141"/>
  <c r="BB4" i="141"/>
  <c r="BA2" i="141"/>
  <c r="AZ2" i="141"/>
  <c r="AY2" i="141"/>
  <c r="AX2" i="141"/>
  <c r="AW2" i="141"/>
  <c r="AV2" i="141"/>
  <c r="AU2" i="141"/>
  <c r="AT2" i="141"/>
  <c r="AS2" i="141"/>
  <c r="AR2" i="141"/>
  <c r="AQ2" i="141"/>
  <c r="AP2" i="141"/>
  <c r="AO2" i="141"/>
  <c r="AN2" i="141"/>
  <c r="AM2" i="141"/>
  <c r="AL2" i="141"/>
  <c r="AK2" i="141"/>
  <c r="AJ2" i="141"/>
  <c r="AI2" i="141"/>
  <c r="AH2" i="141"/>
  <c r="AG2" i="141"/>
  <c r="AF2" i="141"/>
  <c r="AE2" i="141"/>
  <c r="P107" i="141" s="1"/>
  <c r="P111" i="142" l="1"/>
  <c r="O102" i="142"/>
  <c r="G123" i="142"/>
  <c r="AD155" i="142"/>
  <c r="AB147" i="142"/>
  <c r="P112" i="142"/>
  <c r="O120" i="142" s="1"/>
  <c r="C136" i="142"/>
  <c r="C138" i="142" s="1"/>
  <c r="N120" i="142"/>
  <c r="AA155" i="142"/>
  <c r="AD154" i="142"/>
  <c r="T120" i="142"/>
  <c r="Z120" i="142" s="1"/>
  <c r="T122" i="142"/>
  <c r="T124" i="142" s="1"/>
  <c r="Z145" i="142"/>
  <c r="AA147" i="142" s="1"/>
  <c r="N118" i="141"/>
  <c r="B120" i="141"/>
  <c r="N120" i="141" s="1"/>
  <c r="AA152" i="141"/>
  <c r="AD145" i="141"/>
  <c r="W124" i="141"/>
  <c r="X126" i="141" s="1"/>
  <c r="AA154" i="141"/>
  <c r="AD124" i="141"/>
  <c r="AA128" i="141"/>
  <c r="B136" i="141"/>
  <c r="B138" i="141" s="1"/>
  <c r="J120" i="141"/>
  <c r="U111" i="141"/>
  <c r="W137" i="141"/>
  <c r="X149" i="141" s="1"/>
  <c r="T138" i="141"/>
  <c r="W141" i="141"/>
  <c r="N100" i="141"/>
  <c r="D102" i="141"/>
  <c r="H102" i="141"/>
  <c r="L102" i="141"/>
  <c r="T110" i="141"/>
  <c r="T111" i="141" s="1"/>
  <c r="V111" i="141" s="1"/>
  <c r="T117" i="141"/>
  <c r="W120" i="141"/>
  <c r="C124" i="141"/>
  <c r="C128" i="141" s="1"/>
  <c r="C134" i="141"/>
  <c r="N101" i="141"/>
  <c r="P108" i="141" s="1"/>
  <c r="E102" i="141"/>
  <c r="I102" i="141"/>
  <c r="M102" i="141"/>
  <c r="C130" i="141"/>
  <c r="C131" i="141" s="1"/>
  <c r="B102" i="141"/>
  <c r="F102" i="141"/>
  <c r="J102" i="141"/>
  <c r="N121" i="141"/>
  <c r="P112" i="140"/>
  <c r="P111" i="140"/>
  <c r="U111" i="138"/>
  <c r="U111" i="140"/>
  <c r="T110" i="140"/>
  <c r="T109" i="140"/>
  <c r="T108" i="140"/>
  <c r="P108" i="140"/>
  <c r="P107" i="140"/>
  <c r="P104" i="140"/>
  <c r="P103" i="140"/>
  <c r="BA2" i="140"/>
  <c r="AZ2" i="140"/>
  <c r="AY2" i="140"/>
  <c r="AX2" i="140"/>
  <c r="AW2" i="140"/>
  <c r="AV2" i="140"/>
  <c r="AU2" i="140"/>
  <c r="AT2" i="140"/>
  <c r="AS2" i="140"/>
  <c r="AR2" i="140"/>
  <c r="AQ2" i="140"/>
  <c r="AP2" i="140"/>
  <c r="AO2" i="140"/>
  <c r="AN2" i="140"/>
  <c r="AM2" i="140"/>
  <c r="AL2" i="140"/>
  <c r="AK2" i="140"/>
  <c r="AJ2" i="140"/>
  <c r="AI2" i="140"/>
  <c r="AH2" i="140"/>
  <c r="AG2" i="140"/>
  <c r="AF2" i="140"/>
  <c r="Z128" i="142" l="1"/>
  <c r="Z154" i="142"/>
  <c r="U126" i="142"/>
  <c r="AB126" i="142" s="1"/>
  <c r="Z124" i="142"/>
  <c r="AA126" i="142" s="1"/>
  <c r="F123" i="141"/>
  <c r="E123" i="141"/>
  <c r="T122" i="141"/>
  <c r="T124" i="141" s="1"/>
  <c r="T120" i="141"/>
  <c r="Z120" i="141" s="1"/>
  <c r="AA155" i="141"/>
  <c r="AD154" i="141"/>
  <c r="N102" i="141"/>
  <c r="C136" i="141"/>
  <c r="C138" i="141" s="1"/>
  <c r="T141" i="141"/>
  <c r="Z141" i="141" s="1"/>
  <c r="Z152" i="141" s="1"/>
  <c r="T143" i="141"/>
  <c r="T145" i="141" s="1"/>
  <c r="T137" i="141"/>
  <c r="U149" i="141" s="1"/>
  <c r="T134" i="141"/>
  <c r="T116" i="141" s="1"/>
  <c r="AD155" i="141"/>
  <c r="G123" i="141"/>
  <c r="P104" i="141"/>
  <c r="P112" i="141" s="1"/>
  <c r="O120" i="141" s="1"/>
  <c r="P103" i="141"/>
  <c r="AE94" i="140"/>
  <c r="AA157" i="142" l="1"/>
  <c r="Z155" i="142"/>
  <c r="AC126" i="142"/>
  <c r="AA156" i="142"/>
  <c r="U126" i="141"/>
  <c r="AB126" i="141" s="1"/>
  <c r="Z124" i="141"/>
  <c r="AA126" i="141" s="1"/>
  <c r="U147" i="141"/>
  <c r="AB147" i="141" s="1"/>
  <c r="Z145" i="141"/>
  <c r="AA147" i="141" s="1"/>
  <c r="Z128" i="141"/>
  <c r="Z154" i="141"/>
  <c r="P111" i="141"/>
  <c r="O102" i="141"/>
  <c r="AE2" i="140"/>
  <c r="L209" i="140"/>
  <c r="X150" i="140"/>
  <c r="U150" i="140"/>
  <c r="C150" i="140"/>
  <c r="U148" i="140"/>
  <c r="C147" i="140"/>
  <c r="C146" i="140"/>
  <c r="C151" i="140" s="1"/>
  <c r="AB145" i="140"/>
  <c r="X145" i="140"/>
  <c r="U145" i="140"/>
  <c r="AA145" i="140" s="1"/>
  <c r="X144" i="140"/>
  <c r="U144" i="140"/>
  <c r="X143" i="140"/>
  <c r="U143" i="140"/>
  <c r="R141" i="140"/>
  <c r="W140" i="140"/>
  <c r="T140" i="140"/>
  <c r="W139" i="140"/>
  <c r="W144" i="140" s="1"/>
  <c r="T139" i="140"/>
  <c r="T144" i="140" s="1"/>
  <c r="W138" i="140"/>
  <c r="U137" i="140"/>
  <c r="C137" i="140"/>
  <c r="B137" i="140"/>
  <c r="X136" i="140"/>
  <c r="X137" i="140" s="1"/>
  <c r="W136" i="140"/>
  <c r="U136" i="140"/>
  <c r="T136" i="140"/>
  <c r="W135" i="140"/>
  <c r="W134" i="140"/>
  <c r="V134" i="140" s="1"/>
  <c r="X133" i="140"/>
  <c r="W133" i="140"/>
  <c r="X148" i="140" s="1"/>
  <c r="U133" i="140"/>
  <c r="C133" i="140"/>
  <c r="B133" i="140" s="1"/>
  <c r="B134" i="140" s="1"/>
  <c r="W132" i="140"/>
  <c r="T132" i="140"/>
  <c r="B131" i="140"/>
  <c r="C130" i="140"/>
  <c r="C131" i="140" s="1"/>
  <c r="B130" i="140"/>
  <c r="B127" i="140"/>
  <c r="C127" i="140" s="1"/>
  <c r="B126" i="140"/>
  <c r="C126" i="140" s="1"/>
  <c r="B125" i="140"/>
  <c r="C125" i="140" s="1"/>
  <c r="AB124" i="140"/>
  <c r="AB154" i="140" s="1"/>
  <c r="X124" i="140"/>
  <c r="U124" i="140"/>
  <c r="U122" i="140" s="1"/>
  <c r="B124" i="140"/>
  <c r="C124" i="140" s="1"/>
  <c r="X123" i="140"/>
  <c r="U123" i="140"/>
  <c r="X122" i="140"/>
  <c r="M121" i="140"/>
  <c r="L121" i="140"/>
  <c r="K121" i="140"/>
  <c r="J121" i="140"/>
  <c r="I121" i="140"/>
  <c r="H121" i="140"/>
  <c r="G121" i="140"/>
  <c r="F121" i="140"/>
  <c r="E121" i="140"/>
  <c r="D121" i="140"/>
  <c r="C121" i="140"/>
  <c r="B121" i="140"/>
  <c r="R120" i="140"/>
  <c r="AA124" i="140" s="1"/>
  <c r="W119" i="140"/>
  <c r="T119" i="140"/>
  <c r="W118" i="140"/>
  <c r="W123" i="140" s="1"/>
  <c r="T118" i="140"/>
  <c r="T123" i="140" s="1"/>
  <c r="G118" i="140"/>
  <c r="F118" i="140"/>
  <c r="F120" i="140" s="1"/>
  <c r="E118" i="140"/>
  <c r="B118" i="140"/>
  <c r="B120" i="140" s="1"/>
  <c r="W117" i="140"/>
  <c r="W120" i="140" s="1"/>
  <c r="M117" i="140"/>
  <c r="L117" i="140"/>
  <c r="K117" i="140"/>
  <c r="J117" i="140"/>
  <c r="I117" i="140"/>
  <c r="H117" i="140"/>
  <c r="G117" i="140"/>
  <c r="F117" i="140"/>
  <c r="E117" i="140"/>
  <c r="D117" i="140"/>
  <c r="C117" i="140"/>
  <c r="B117" i="140"/>
  <c r="W116" i="140"/>
  <c r="W122" i="140" s="1"/>
  <c r="W124" i="140" s="1"/>
  <c r="X126" i="140" s="1"/>
  <c r="M114" i="140"/>
  <c r="L114" i="140"/>
  <c r="K114" i="140"/>
  <c r="J114" i="140"/>
  <c r="I114" i="140"/>
  <c r="H114" i="140"/>
  <c r="G114" i="140"/>
  <c r="F114" i="140"/>
  <c r="E114" i="140"/>
  <c r="D114" i="140"/>
  <c r="C114" i="140"/>
  <c r="B114" i="140"/>
  <c r="M111" i="140"/>
  <c r="L111" i="140"/>
  <c r="K111" i="140"/>
  <c r="J111" i="140"/>
  <c r="I111" i="140"/>
  <c r="H111" i="140"/>
  <c r="G111" i="140"/>
  <c r="F111" i="140"/>
  <c r="E111" i="140"/>
  <c r="D111" i="140"/>
  <c r="C111" i="140"/>
  <c r="B111" i="140"/>
  <c r="M108" i="140"/>
  <c r="L108" i="140"/>
  <c r="K108" i="140"/>
  <c r="J108" i="140"/>
  <c r="I108" i="140"/>
  <c r="H108" i="140"/>
  <c r="G108" i="140"/>
  <c r="F108" i="140"/>
  <c r="E108" i="140"/>
  <c r="D108" i="140"/>
  <c r="C108" i="140"/>
  <c r="B108" i="140"/>
  <c r="N108" i="140" s="1"/>
  <c r="O108" i="140" s="1"/>
  <c r="M105" i="140"/>
  <c r="L105" i="140"/>
  <c r="K105" i="140"/>
  <c r="J105" i="140"/>
  <c r="I105" i="140"/>
  <c r="H105" i="140"/>
  <c r="G105" i="140"/>
  <c r="F105" i="140"/>
  <c r="E105" i="140"/>
  <c r="D105" i="140"/>
  <c r="C105" i="140"/>
  <c r="B105" i="140"/>
  <c r="B102" i="140"/>
  <c r="M101" i="140"/>
  <c r="M119" i="140" s="1"/>
  <c r="L101" i="140"/>
  <c r="L119" i="140" s="1"/>
  <c r="K101" i="140"/>
  <c r="K119" i="140" s="1"/>
  <c r="J101" i="140"/>
  <c r="J119" i="140" s="1"/>
  <c r="I101" i="140"/>
  <c r="I119" i="140" s="1"/>
  <c r="H101" i="140"/>
  <c r="H119" i="140" s="1"/>
  <c r="G101" i="140"/>
  <c r="G102" i="140" s="1"/>
  <c r="F101" i="140"/>
  <c r="F119" i="140" s="1"/>
  <c r="E101" i="140"/>
  <c r="E119" i="140" s="1"/>
  <c r="D101" i="140"/>
  <c r="D119" i="140" s="1"/>
  <c r="C101" i="140"/>
  <c r="C119" i="140" s="1"/>
  <c r="B101" i="140"/>
  <c r="B119" i="140" s="1"/>
  <c r="M100" i="140"/>
  <c r="M102" i="140" s="1"/>
  <c r="L100" i="140"/>
  <c r="L118" i="140" s="1"/>
  <c r="K100" i="140"/>
  <c r="K118" i="140" s="1"/>
  <c r="J100" i="140"/>
  <c r="J102" i="140" s="1"/>
  <c r="I100" i="140"/>
  <c r="I118" i="140" s="1"/>
  <c r="H100" i="140"/>
  <c r="H102" i="140" s="1"/>
  <c r="G100" i="140"/>
  <c r="F100" i="140"/>
  <c r="E100" i="140"/>
  <c r="E102" i="140" s="1"/>
  <c r="D100" i="140"/>
  <c r="D118" i="140" s="1"/>
  <c r="C100" i="140"/>
  <c r="C118" i="140" s="1"/>
  <c r="B100" i="140"/>
  <c r="AD94" i="140"/>
  <c r="AC94" i="140"/>
  <c r="AB94" i="140"/>
  <c r="AA94" i="140"/>
  <c r="Z94" i="140"/>
  <c r="Y94" i="140"/>
  <c r="X94" i="140"/>
  <c r="W94" i="140"/>
  <c r="V94" i="140"/>
  <c r="U94" i="140"/>
  <c r="T94" i="140"/>
  <c r="S94" i="140"/>
  <c r="R94" i="140"/>
  <c r="Q94" i="140"/>
  <c r="P94" i="140"/>
  <c r="O94" i="140"/>
  <c r="N94" i="140"/>
  <c r="M94" i="140"/>
  <c r="L94" i="140"/>
  <c r="K94" i="140"/>
  <c r="J94" i="140"/>
  <c r="I94" i="140"/>
  <c r="H94" i="140"/>
  <c r="G94" i="140"/>
  <c r="F94" i="140"/>
  <c r="E94" i="140"/>
  <c r="D94" i="140"/>
  <c r="C94" i="140"/>
  <c r="B94" i="140"/>
  <c r="BB94" i="140" s="1"/>
  <c r="BB93" i="140"/>
  <c r="BB92" i="140"/>
  <c r="BB91" i="140"/>
  <c r="BB90" i="140"/>
  <c r="BB89" i="140"/>
  <c r="BB88" i="140"/>
  <c r="BB87" i="140"/>
  <c r="BB86" i="140"/>
  <c r="BB85" i="140"/>
  <c r="BB84" i="140"/>
  <c r="BB83" i="140"/>
  <c r="BB82" i="140"/>
  <c r="BB81" i="140"/>
  <c r="BB80" i="140"/>
  <c r="BB79" i="140"/>
  <c r="BB78" i="140"/>
  <c r="BB77" i="140"/>
  <c r="BB76" i="140"/>
  <c r="BB75" i="140"/>
  <c r="BB74" i="140"/>
  <c r="BB73" i="140"/>
  <c r="BB72" i="140"/>
  <c r="BB71" i="140"/>
  <c r="BB70" i="140"/>
  <c r="BB69" i="140"/>
  <c r="BB68" i="140"/>
  <c r="BB67" i="140"/>
  <c r="BB66" i="140"/>
  <c r="BB65" i="140"/>
  <c r="BB64" i="140"/>
  <c r="BB63" i="140"/>
  <c r="BB62" i="140"/>
  <c r="BB61" i="140"/>
  <c r="BB60" i="140"/>
  <c r="BB59" i="140"/>
  <c r="BB58" i="140"/>
  <c r="BB57" i="140"/>
  <c r="BB56" i="140"/>
  <c r="BB55" i="140"/>
  <c r="BB54" i="140"/>
  <c r="BB53" i="140"/>
  <c r="BB52" i="140"/>
  <c r="BB51" i="140"/>
  <c r="BB50" i="140"/>
  <c r="BB49" i="140"/>
  <c r="BB48" i="140"/>
  <c r="BB47" i="140"/>
  <c r="BB46" i="140"/>
  <c r="BB45" i="140"/>
  <c r="BB44" i="140"/>
  <c r="BB43" i="140"/>
  <c r="BB42" i="140"/>
  <c r="BB41" i="140"/>
  <c r="BB40" i="140"/>
  <c r="BB39" i="140"/>
  <c r="BB38" i="140"/>
  <c r="BB37" i="140"/>
  <c r="BB36" i="140"/>
  <c r="BB35" i="140"/>
  <c r="BB34" i="140"/>
  <c r="BB33" i="140"/>
  <c r="BB32" i="140"/>
  <c r="BB31" i="140"/>
  <c r="BB30" i="140"/>
  <c r="BB29" i="140"/>
  <c r="BB28" i="140"/>
  <c r="BB27" i="140"/>
  <c r="BB26" i="140"/>
  <c r="BB25" i="140"/>
  <c r="BB24" i="140"/>
  <c r="BB23" i="140"/>
  <c r="BB22" i="140"/>
  <c r="BB21" i="140"/>
  <c r="BB20" i="140"/>
  <c r="BB19" i="140"/>
  <c r="BB18" i="140"/>
  <c r="BB17" i="140"/>
  <c r="BB16" i="140"/>
  <c r="BB15" i="140"/>
  <c r="BB14" i="140"/>
  <c r="BB13" i="140"/>
  <c r="BB12" i="140"/>
  <c r="BB11" i="140"/>
  <c r="BB10" i="140"/>
  <c r="BB9" i="140"/>
  <c r="BB8" i="140"/>
  <c r="BB7" i="140"/>
  <c r="BB6" i="140"/>
  <c r="BB5" i="140"/>
  <c r="BB4" i="140"/>
  <c r="AA157" i="141" l="1"/>
  <c r="Z155" i="141"/>
  <c r="AC126" i="141"/>
  <c r="AA156" i="141"/>
  <c r="J118" i="140"/>
  <c r="M118" i="140"/>
  <c r="T138" i="140"/>
  <c r="T141" i="140" s="1"/>
  <c r="N100" i="140"/>
  <c r="I102" i="140"/>
  <c r="E120" i="140"/>
  <c r="AD124" i="140"/>
  <c r="AD155" i="140" s="1"/>
  <c r="AA128" i="140"/>
  <c r="AA154" i="140"/>
  <c r="I120" i="140"/>
  <c r="J120" i="140"/>
  <c r="C128" i="140"/>
  <c r="M120" i="140"/>
  <c r="C120" i="140"/>
  <c r="G123" i="140" s="1"/>
  <c r="K120" i="140"/>
  <c r="AA152" i="140"/>
  <c r="AD145" i="140"/>
  <c r="D120" i="140"/>
  <c r="L120" i="140"/>
  <c r="F122" i="140"/>
  <c r="W137" i="140"/>
  <c r="X149" i="140" s="1"/>
  <c r="D102" i="140"/>
  <c r="L102" i="140"/>
  <c r="T117" i="140"/>
  <c r="H118" i="140"/>
  <c r="H120" i="140" s="1"/>
  <c r="B128" i="140"/>
  <c r="B136" i="140" s="1"/>
  <c r="B138" i="140" s="1"/>
  <c r="C134" i="140"/>
  <c r="C102" i="140"/>
  <c r="K102" i="140"/>
  <c r="W143" i="140"/>
  <c r="W145" i="140" s="1"/>
  <c r="X147" i="140" s="1"/>
  <c r="N101" i="140"/>
  <c r="G119" i="140"/>
  <c r="G120" i="140" s="1"/>
  <c r="F102" i="140"/>
  <c r="T111" i="140"/>
  <c r="V111" i="140" s="1"/>
  <c r="W141" i="140"/>
  <c r="Z141" i="140" s="1"/>
  <c r="Z152" i="140" s="1"/>
  <c r="O102" i="139"/>
  <c r="T134" i="140" l="1"/>
  <c r="N102" i="140"/>
  <c r="N121" i="140"/>
  <c r="O102" i="140"/>
  <c r="N120" i="140"/>
  <c r="T143" i="140"/>
  <c r="T145" i="140" s="1"/>
  <c r="T137" i="140"/>
  <c r="U149" i="140" s="1"/>
  <c r="T116" i="140"/>
  <c r="T122" i="140" s="1"/>
  <c r="T124" i="140" s="1"/>
  <c r="O120" i="140"/>
  <c r="E123" i="140"/>
  <c r="T120" i="140"/>
  <c r="Z120" i="140" s="1"/>
  <c r="F123" i="140"/>
  <c r="C136" i="140"/>
  <c r="C138" i="140" s="1"/>
  <c r="N118" i="140"/>
  <c r="AA155" i="140"/>
  <c r="AD154" i="140"/>
  <c r="N119" i="140"/>
  <c r="I101" i="139"/>
  <c r="I100" i="139"/>
  <c r="H101" i="139"/>
  <c r="H100" i="139"/>
  <c r="G100" i="139"/>
  <c r="Z154" i="140" l="1"/>
  <c r="Z128" i="140"/>
  <c r="U147" i="140"/>
  <c r="AB147" i="140" s="1"/>
  <c r="Z145" i="140"/>
  <c r="AA147" i="140" s="1"/>
  <c r="U126" i="140"/>
  <c r="AB126" i="140" s="1"/>
  <c r="Z124" i="140"/>
  <c r="AA126" i="140" s="1"/>
  <c r="U111" i="139"/>
  <c r="T111" i="139"/>
  <c r="T110" i="139"/>
  <c r="T109" i="139"/>
  <c r="T108" i="139"/>
  <c r="L209" i="139"/>
  <c r="BA2" i="139"/>
  <c r="AZ2" i="139"/>
  <c r="AY2" i="139"/>
  <c r="AX2" i="139"/>
  <c r="AW2" i="139"/>
  <c r="AV2" i="139"/>
  <c r="AU2" i="139"/>
  <c r="AT2" i="139"/>
  <c r="AS2" i="139"/>
  <c r="AR2" i="139"/>
  <c r="AQ2" i="139"/>
  <c r="AP2" i="139"/>
  <c r="AO2" i="139"/>
  <c r="AN2" i="139"/>
  <c r="AM2" i="139"/>
  <c r="AL2" i="139"/>
  <c r="AK2" i="139"/>
  <c r="AJ2" i="139"/>
  <c r="AI2" i="139"/>
  <c r="AH2" i="139"/>
  <c r="AG2" i="139"/>
  <c r="AF2" i="139"/>
  <c r="AE2" i="139"/>
  <c r="AD2" i="139"/>
  <c r="AC2" i="139"/>
  <c r="AA157" i="140" l="1"/>
  <c r="Z155" i="140"/>
  <c r="AC126" i="140"/>
  <c r="AA156" i="140"/>
  <c r="AD94" i="139"/>
  <c r="AC94" i="139" l="1"/>
  <c r="X150" i="139" l="1"/>
  <c r="U150" i="139"/>
  <c r="C150" i="139"/>
  <c r="C147" i="139"/>
  <c r="C146" i="139"/>
  <c r="C151" i="139" s="1"/>
  <c r="AB145" i="139"/>
  <c r="X145" i="139"/>
  <c r="U145" i="139"/>
  <c r="U143" i="139" s="1"/>
  <c r="X144" i="139"/>
  <c r="U144" i="139"/>
  <c r="T144" i="139"/>
  <c r="X143" i="139"/>
  <c r="R141" i="139"/>
  <c r="W140" i="139"/>
  <c r="T140" i="139"/>
  <c r="W139" i="139"/>
  <c r="W144" i="139" s="1"/>
  <c r="T139" i="139"/>
  <c r="W138" i="139"/>
  <c r="X137" i="139"/>
  <c r="C137" i="139"/>
  <c r="B137" i="139" s="1"/>
  <c r="X136" i="139"/>
  <c r="W136" i="139"/>
  <c r="U136" i="139"/>
  <c r="U137" i="139" s="1"/>
  <c r="T136" i="139"/>
  <c r="W135" i="139"/>
  <c r="W134" i="139"/>
  <c r="W116" i="139" s="1"/>
  <c r="C134" i="139"/>
  <c r="X133" i="139"/>
  <c r="X148" i="139" s="1"/>
  <c r="W133" i="139"/>
  <c r="U133" i="139"/>
  <c r="U148" i="139" s="1"/>
  <c r="C133" i="139"/>
  <c r="B133" i="139" s="1"/>
  <c r="B134" i="139" s="1"/>
  <c r="W132" i="139"/>
  <c r="T132" i="139"/>
  <c r="B131" i="139"/>
  <c r="B130" i="139"/>
  <c r="C130" i="139" s="1"/>
  <c r="C131" i="139" s="1"/>
  <c r="B128" i="139"/>
  <c r="B136" i="139" s="1"/>
  <c r="B138" i="139" s="1"/>
  <c r="B127" i="139"/>
  <c r="C127" i="139" s="1"/>
  <c r="B126" i="139"/>
  <c r="C126" i="139" s="1"/>
  <c r="C125" i="139"/>
  <c r="B125" i="139"/>
  <c r="AB124" i="139"/>
  <c r="AB154" i="139" s="1"/>
  <c r="X124" i="139"/>
  <c r="X122" i="139" s="1"/>
  <c r="U124" i="139"/>
  <c r="U122" i="139" s="1"/>
  <c r="C124" i="139"/>
  <c r="B124" i="139"/>
  <c r="X123" i="139"/>
  <c r="U123" i="139"/>
  <c r="T123" i="139"/>
  <c r="G121" i="139"/>
  <c r="F121" i="139"/>
  <c r="E121" i="139"/>
  <c r="D121" i="139"/>
  <c r="C121" i="139"/>
  <c r="B121" i="139"/>
  <c r="R120" i="139"/>
  <c r="AA124" i="139" s="1"/>
  <c r="W119" i="139"/>
  <c r="T119" i="139"/>
  <c r="W118" i="139"/>
  <c r="W123" i="139" s="1"/>
  <c r="T118" i="139"/>
  <c r="J118" i="139"/>
  <c r="C118" i="139"/>
  <c r="C120" i="139" s="1"/>
  <c r="B118" i="139"/>
  <c r="B120" i="139" s="1"/>
  <c r="W117" i="139"/>
  <c r="W120" i="139" s="1"/>
  <c r="T117" i="139"/>
  <c r="T120" i="139" s="1"/>
  <c r="Z120" i="139" s="1"/>
  <c r="M117" i="139"/>
  <c r="L117" i="139"/>
  <c r="K117" i="139"/>
  <c r="J117" i="139"/>
  <c r="I117" i="139"/>
  <c r="H117" i="139"/>
  <c r="G117" i="139"/>
  <c r="F117" i="139"/>
  <c r="E117" i="139"/>
  <c r="D117" i="139"/>
  <c r="C117" i="139"/>
  <c r="B117" i="139"/>
  <c r="M114" i="139"/>
  <c r="L114" i="139"/>
  <c r="K114" i="139"/>
  <c r="J114" i="139"/>
  <c r="I114" i="139"/>
  <c r="H114" i="139"/>
  <c r="G114" i="139"/>
  <c r="F114" i="139"/>
  <c r="E114" i="139"/>
  <c r="D114" i="139"/>
  <c r="C114" i="139"/>
  <c r="B114" i="139"/>
  <c r="M111" i="139"/>
  <c r="L111" i="139"/>
  <c r="K111" i="139"/>
  <c r="J111" i="139"/>
  <c r="I111" i="139"/>
  <c r="H111" i="139"/>
  <c r="G111" i="139"/>
  <c r="F111" i="139"/>
  <c r="E111" i="139"/>
  <c r="D111" i="139"/>
  <c r="C111" i="139"/>
  <c r="B111" i="139"/>
  <c r="M108" i="139"/>
  <c r="L108" i="139"/>
  <c r="K108" i="139"/>
  <c r="J108" i="139"/>
  <c r="I108" i="139"/>
  <c r="H108" i="139"/>
  <c r="G108" i="139"/>
  <c r="F108" i="139"/>
  <c r="E108" i="139"/>
  <c r="D108" i="139"/>
  <c r="C108" i="139"/>
  <c r="B108" i="139"/>
  <c r="N108" i="139" s="1"/>
  <c r="O108" i="139" s="1"/>
  <c r="M105" i="139"/>
  <c r="L105" i="139"/>
  <c r="K105" i="139"/>
  <c r="J105" i="139"/>
  <c r="I105" i="139"/>
  <c r="H105" i="139"/>
  <c r="G105" i="139"/>
  <c r="F105" i="139"/>
  <c r="E105" i="139"/>
  <c r="D105" i="139"/>
  <c r="C105" i="139"/>
  <c r="B105" i="139"/>
  <c r="G102" i="139"/>
  <c r="F102" i="139"/>
  <c r="E102" i="139"/>
  <c r="D102" i="139"/>
  <c r="B102" i="139"/>
  <c r="M101" i="139"/>
  <c r="M119" i="139" s="1"/>
  <c r="L101" i="139"/>
  <c r="L119" i="139" s="1"/>
  <c r="K101" i="139"/>
  <c r="K119" i="139" s="1"/>
  <c r="J101" i="139"/>
  <c r="J119" i="139" s="1"/>
  <c r="I119" i="139"/>
  <c r="H119" i="139"/>
  <c r="G101" i="139"/>
  <c r="G119" i="139" s="1"/>
  <c r="F101" i="139"/>
  <c r="F119" i="139" s="1"/>
  <c r="E101" i="139"/>
  <c r="E119" i="139" s="1"/>
  <c r="D101" i="139"/>
  <c r="D119" i="139" s="1"/>
  <c r="C101" i="139"/>
  <c r="C119" i="139" s="1"/>
  <c r="B101" i="139"/>
  <c r="B119" i="139" s="1"/>
  <c r="M100" i="139"/>
  <c r="M118" i="139" s="1"/>
  <c r="M120" i="139" s="1"/>
  <c r="L100" i="139"/>
  <c r="L118" i="139" s="1"/>
  <c r="K100" i="139"/>
  <c r="K102" i="139" s="1"/>
  <c r="J100" i="139"/>
  <c r="J102" i="139" s="1"/>
  <c r="I118" i="139"/>
  <c r="H118" i="139"/>
  <c r="G118" i="139"/>
  <c r="G120" i="139" s="1"/>
  <c r="F100" i="139"/>
  <c r="E100" i="139"/>
  <c r="E118" i="139" s="1"/>
  <c r="E120" i="139" s="1"/>
  <c r="D100" i="139"/>
  <c r="D118" i="139" s="1"/>
  <c r="D120" i="139" s="1"/>
  <c r="C100" i="139"/>
  <c r="C102" i="139" s="1"/>
  <c r="B100" i="139"/>
  <c r="AB94" i="139"/>
  <c r="AA94" i="139"/>
  <c r="Z94" i="139"/>
  <c r="Y94" i="139"/>
  <c r="X94" i="139"/>
  <c r="W94" i="139"/>
  <c r="V94" i="139"/>
  <c r="U94" i="139"/>
  <c r="T94" i="139"/>
  <c r="S94" i="139"/>
  <c r="R94" i="139"/>
  <c r="Q94" i="139"/>
  <c r="P94" i="139"/>
  <c r="O94" i="139"/>
  <c r="N94" i="139"/>
  <c r="M94" i="139"/>
  <c r="L94" i="139"/>
  <c r="K94" i="139"/>
  <c r="J94" i="139"/>
  <c r="I94" i="139"/>
  <c r="H94" i="139"/>
  <c r="G94" i="139"/>
  <c r="F94" i="139"/>
  <c r="E94" i="139"/>
  <c r="D94" i="139"/>
  <c r="C94" i="139"/>
  <c r="B94" i="139"/>
  <c r="BB94" i="139" s="1"/>
  <c r="BB93" i="139"/>
  <c r="BB92" i="139"/>
  <c r="BB91" i="139"/>
  <c r="BB90" i="139"/>
  <c r="BB89" i="139"/>
  <c r="BB88" i="139"/>
  <c r="BB87" i="139"/>
  <c r="BB86" i="139"/>
  <c r="BB85" i="139"/>
  <c r="BB84" i="139"/>
  <c r="BB83" i="139"/>
  <c r="BB82" i="139"/>
  <c r="BB81" i="139"/>
  <c r="BB80" i="139"/>
  <c r="BB79" i="139"/>
  <c r="BB78" i="139"/>
  <c r="BB77" i="139"/>
  <c r="BB76" i="139"/>
  <c r="BB75" i="139"/>
  <c r="BB74" i="139"/>
  <c r="BB73" i="139"/>
  <c r="BB72" i="139"/>
  <c r="BB71" i="139"/>
  <c r="BB70" i="139"/>
  <c r="BB69" i="139"/>
  <c r="BB68" i="139"/>
  <c r="BB67" i="139"/>
  <c r="BB66" i="139"/>
  <c r="BB65" i="139"/>
  <c r="BB64" i="139"/>
  <c r="BB63" i="139"/>
  <c r="BB62" i="139"/>
  <c r="BB61" i="139"/>
  <c r="BB60" i="139"/>
  <c r="BB59" i="139"/>
  <c r="BB58" i="139"/>
  <c r="BB57" i="139"/>
  <c r="BB56" i="139"/>
  <c r="BB55" i="139"/>
  <c r="BB54" i="139"/>
  <c r="BB53" i="139"/>
  <c r="BB52" i="139"/>
  <c r="BB51" i="139"/>
  <c r="BB50" i="139"/>
  <c r="BB49" i="139"/>
  <c r="BB48" i="139"/>
  <c r="BB47" i="139"/>
  <c r="BB46" i="139"/>
  <c r="BB45" i="139"/>
  <c r="BB44" i="139"/>
  <c r="BB43" i="139"/>
  <c r="BB42" i="139"/>
  <c r="BB41" i="139"/>
  <c r="BB40" i="139"/>
  <c r="BB39" i="139"/>
  <c r="BB38" i="139"/>
  <c r="BB37" i="139"/>
  <c r="BB36" i="139"/>
  <c r="BB35" i="139"/>
  <c r="BB34" i="139"/>
  <c r="BB33" i="139"/>
  <c r="BB32" i="139"/>
  <c r="BB31" i="139"/>
  <c r="BB30" i="139"/>
  <c r="BB29" i="139"/>
  <c r="BB28" i="139"/>
  <c r="BB27" i="139"/>
  <c r="BB26" i="139"/>
  <c r="BB25" i="139"/>
  <c r="BB24" i="139"/>
  <c r="BB23" i="139"/>
  <c r="BB22" i="139"/>
  <c r="BB21" i="139"/>
  <c r="BB20" i="139"/>
  <c r="BB19" i="139"/>
  <c r="BB18" i="139"/>
  <c r="BB17" i="139"/>
  <c r="BB16" i="139"/>
  <c r="BB15" i="139"/>
  <c r="BB14" i="139"/>
  <c r="BB13" i="139"/>
  <c r="BB12" i="139"/>
  <c r="BB11" i="139"/>
  <c r="BB10" i="139"/>
  <c r="BB9" i="139"/>
  <c r="BB8" i="139"/>
  <c r="BB7" i="139"/>
  <c r="BB6" i="139"/>
  <c r="BB5" i="139"/>
  <c r="BB4" i="139"/>
  <c r="I120" i="139" l="1"/>
  <c r="K118" i="139"/>
  <c r="L102" i="139"/>
  <c r="W143" i="139"/>
  <c r="W145" i="139" s="1"/>
  <c r="X147" i="139" s="1"/>
  <c r="M102" i="139"/>
  <c r="W137" i="139"/>
  <c r="X149" i="139" s="1"/>
  <c r="L120" i="139"/>
  <c r="P107" i="139"/>
  <c r="N100" i="139"/>
  <c r="N119" i="139"/>
  <c r="J120" i="139"/>
  <c r="K120" i="139"/>
  <c r="AA154" i="139"/>
  <c r="AD124" i="139"/>
  <c r="AA128" i="139"/>
  <c r="H120" i="139"/>
  <c r="Z128" i="139"/>
  <c r="C128" i="139"/>
  <c r="C136" i="139" s="1"/>
  <c r="C138" i="139" s="1"/>
  <c r="H102" i="139"/>
  <c r="V111" i="139"/>
  <c r="W122" i="139"/>
  <c r="W124" i="139" s="1"/>
  <c r="X126" i="139" s="1"/>
  <c r="V134" i="139"/>
  <c r="AA145" i="139"/>
  <c r="N101" i="139"/>
  <c r="P108" i="139" s="1"/>
  <c r="I102" i="139"/>
  <c r="T138" i="139"/>
  <c r="W141" i="139"/>
  <c r="E123" i="139"/>
  <c r="F118" i="139"/>
  <c r="F120" i="139" s="1"/>
  <c r="F122" i="139" s="1"/>
  <c r="L204" i="138"/>
  <c r="K204" i="138"/>
  <c r="J204" i="138"/>
  <c r="P104" i="139" l="1"/>
  <c r="P112" i="139" s="1"/>
  <c r="O120" i="139" s="1"/>
  <c r="P103" i="139"/>
  <c r="N121" i="139"/>
  <c r="N102" i="139"/>
  <c r="P111" i="139" s="1"/>
  <c r="AD154" i="139"/>
  <c r="AA155" i="139"/>
  <c r="F123" i="139"/>
  <c r="N118" i="139"/>
  <c r="T143" i="139"/>
  <c r="T145" i="139" s="1"/>
  <c r="T141" i="139"/>
  <c r="Z141" i="139" s="1"/>
  <c r="T134" i="139"/>
  <c r="T116" i="139" s="1"/>
  <c r="T122" i="139" s="1"/>
  <c r="T124" i="139" s="1"/>
  <c r="N120" i="139"/>
  <c r="AA152" i="139"/>
  <c r="AD145" i="139"/>
  <c r="AD155" i="139" s="1"/>
  <c r="G123" i="139"/>
  <c r="T108" i="138"/>
  <c r="T110" i="138" s="1"/>
  <c r="T109" i="138"/>
  <c r="BA2" i="138"/>
  <c r="AZ2" i="138"/>
  <c r="AY2" i="138"/>
  <c r="AX2" i="138"/>
  <c r="AW2" i="138"/>
  <c r="AV2" i="138"/>
  <c r="AU2" i="138"/>
  <c r="AT2" i="138"/>
  <c r="AS2" i="138"/>
  <c r="AR2" i="138"/>
  <c r="AQ2" i="138"/>
  <c r="AP2" i="138"/>
  <c r="AO2" i="138"/>
  <c r="AN2" i="138"/>
  <c r="AM2" i="138"/>
  <c r="AL2" i="138"/>
  <c r="AK2" i="138"/>
  <c r="AJ2" i="138"/>
  <c r="AI2" i="138"/>
  <c r="AH2" i="138"/>
  <c r="AG2" i="138"/>
  <c r="AF2" i="138"/>
  <c r="AE2" i="138"/>
  <c r="AD2" i="138"/>
  <c r="AC2" i="138"/>
  <c r="AB2" i="138"/>
  <c r="AB94" i="138"/>
  <c r="X150" i="138"/>
  <c r="U150" i="138"/>
  <c r="C150" i="138"/>
  <c r="C147" i="138"/>
  <c r="C146" i="138"/>
  <c r="AB145" i="138"/>
  <c r="X145" i="138"/>
  <c r="U145" i="138"/>
  <c r="X144" i="138"/>
  <c r="U144" i="138"/>
  <c r="R141" i="138"/>
  <c r="W140" i="138"/>
  <c r="T140" i="138"/>
  <c r="W139" i="138"/>
  <c r="W144" i="138" s="1"/>
  <c r="T139" i="138"/>
  <c r="T144" i="138" s="1"/>
  <c r="W138" i="138"/>
  <c r="W141" i="138" s="1"/>
  <c r="C137" i="138"/>
  <c r="B137" i="138" s="1"/>
  <c r="X136" i="138"/>
  <c r="X137" i="138" s="1"/>
  <c r="W136" i="138"/>
  <c r="U136" i="138"/>
  <c r="U137" i="138" s="1"/>
  <c r="T136" i="138"/>
  <c r="W135" i="138"/>
  <c r="W134" i="138"/>
  <c r="X133" i="138"/>
  <c r="W133" i="138"/>
  <c r="U133" i="138"/>
  <c r="U148" i="138" s="1"/>
  <c r="C133" i="138"/>
  <c r="B133" i="138" s="1"/>
  <c r="B134" i="138" s="1"/>
  <c r="W132" i="138"/>
  <c r="T132" i="138"/>
  <c r="B130" i="138"/>
  <c r="C130" i="138" s="1"/>
  <c r="C131" i="138" s="1"/>
  <c r="B127" i="138"/>
  <c r="C127" i="138" s="1"/>
  <c r="B126" i="138"/>
  <c r="B125" i="138"/>
  <c r="C125" i="138" s="1"/>
  <c r="AB124" i="138"/>
  <c r="AB154" i="138" s="1"/>
  <c r="X124" i="138"/>
  <c r="U124" i="138"/>
  <c r="B124" i="138"/>
  <c r="C124" i="138" s="1"/>
  <c r="X123" i="138"/>
  <c r="U123" i="138"/>
  <c r="G121" i="138"/>
  <c r="F121" i="138"/>
  <c r="E121" i="138"/>
  <c r="D121" i="138"/>
  <c r="C121" i="138"/>
  <c r="B121" i="138"/>
  <c r="R120" i="138"/>
  <c r="W119" i="138"/>
  <c r="T119" i="138"/>
  <c r="W118" i="138"/>
  <c r="W123" i="138" s="1"/>
  <c r="T118" i="138"/>
  <c r="T123" i="138" s="1"/>
  <c r="W117" i="138"/>
  <c r="M117" i="138"/>
  <c r="L117" i="138"/>
  <c r="K117" i="138"/>
  <c r="J117" i="138"/>
  <c r="I117" i="138"/>
  <c r="H117" i="138"/>
  <c r="G117" i="138"/>
  <c r="F117" i="138"/>
  <c r="E117" i="138"/>
  <c r="D117" i="138"/>
  <c r="C117" i="138"/>
  <c r="B117" i="138"/>
  <c r="M114" i="138"/>
  <c r="L114" i="138"/>
  <c r="K114" i="138"/>
  <c r="J114" i="138"/>
  <c r="I114" i="138"/>
  <c r="H114" i="138"/>
  <c r="G114" i="138"/>
  <c r="F114" i="138"/>
  <c r="E114" i="138"/>
  <c r="D114" i="138"/>
  <c r="C114" i="138"/>
  <c r="B114" i="138"/>
  <c r="M111" i="138"/>
  <c r="L111" i="138"/>
  <c r="K111" i="138"/>
  <c r="J111" i="138"/>
  <c r="I111" i="138"/>
  <c r="H111" i="138"/>
  <c r="G111" i="138"/>
  <c r="F111" i="138"/>
  <c r="E111" i="138"/>
  <c r="D111" i="138"/>
  <c r="C111" i="138"/>
  <c r="B111" i="138"/>
  <c r="M108" i="138"/>
  <c r="L108" i="138"/>
  <c r="K108" i="138"/>
  <c r="J108" i="138"/>
  <c r="I108" i="138"/>
  <c r="H108" i="138"/>
  <c r="G108" i="138"/>
  <c r="F108" i="138"/>
  <c r="E108" i="138"/>
  <c r="D108" i="138"/>
  <c r="C108" i="138"/>
  <c r="B108" i="138"/>
  <c r="M105" i="138"/>
  <c r="L105" i="138"/>
  <c r="K105" i="138"/>
  <c r="J105" i="138"/>
  <c r="I105" i="138"/>
  <c r="H105" i="138"/>
  <c r="G105" i="138"/>
  <c r="F105" i="138"/>
  <c r="E105" i="138"/>
  <c r="D105" i="138"/>
  <c r="C105" i="138"/>
  <c r="B105" i="138"/>
  <c r="M101" i="138"/>
  <c r="M119" i="138" s="1"/>
  <c r="L101" i="138"/>
  <c r="L119" i="138" s="1"/>
  <c r="K101" i="138"/>
  <c r="K119" i="138" s="1"/>
  <c r="J101" i="138"/>
  <c r="I101" i="138"/>
  <c r="T138" i="138" s="1"/>
  <c r="H101" i="138"/>
  <c r="H119" i="138" s="1"/>
  <c r="G101" i="138"/>
  <c r="G119" i="138" s="1"/>
  <c r="F101" i="138"/>
  <c r="F119" i="138" s="1"/>
  <c r="E101" i="138"/>
  <c r="E119" i="138" s="1"/>
  <c r="D101" i="138"/>
  <c r="D119" i="138" s="1"/>
  <c r="C101" i="138"/>
  <c r="C119" i="138" s="1"/>
  <c r="B101" i="138"/>
  <c r="B102" i="138" s="1"/>
  <c r="M100" i="138"/>
  <c r="M118" i="138" s="1"/>
  <c r="L100" i="138"/>
  <c r="L118" i="138" s="1"/>
  <c r="K100" i="138"/>
  <c r="J100" i="138"/>
  <c r="J118" i="138" s="1"/>
  <c r="I100" i="138"/>
  <c r="I118" i="138" s="1"/>
  <c r="H100" i="138"/>
  <c r="G100" i="138"/>
  <c r="G118" i="138" s="1"/>
  <c r="F100" i="138"/>
  <c r="F118" i="138" s="1"/>
  <c r="F120" i="138" s="1"/>
  <c r="F122" i="138" s="1"/>
  <c r="E100" i="138"/>
  <c r="E118" i="138" s="1"/>
  <c r="D100" i="138"/>
  <c r="D118" i="138" s="1"/>
  <c r="C100" i="138"/>
  <c r="B100" i="138"/>
  <c r="B118" i="138" s="1"/>
  <c r="AA94" i="138"/>
  <c r="Z94" i="138"/>
  <c r="Y94" i="138"/>
  <c r="X94" i="138"/>
  <c r="W94" i="138"/>
  <c r="V94" i="138"/>
  <c r="U94" i="138"/>
  <c r="T94" i="138"/>
  <c r="S94" i="138"/>
  <c r="R94" i="138"/>
  <c r="Q94" i="138"/>
  <c r="P94" i="138"/>
  <c r="O94" i="138"/>
  <c r="N94" i="138"/>
  <c r="M94" i="138"/>
  <c r="L94" i="138"/>
  <c r="K94" i="138"/>
  <c r="J94" i="138"/>
  <c r="I94" i="138"/>
  <c r="H94" i="138"/>
  <c r="G94" i="138"/>
  <c r="F94" i="138"/>
  <c r="E94" i="138"/>
  <c r="D94" i="138"/>
  <c r="C94" i="138"/>
  <c r="B94" i="138"/>
  <c r="BB93" i="138"/>
  <c r="BB92" i="138"/>
  <c r="BB91" i="138"/>
  <c r="BB90" i="138"/>
  <c r="BB89" i="138"/>
  <c r="BB88" i="138"/>
  <c r="BB87" i="138"/>
  <c r="BB86" i="138"/>
  <c r="BB85" i="138"/>
  <c r="BB84" i="138"/>
  <c r="BB83" i="138"/>
  <c r="BB82" i="138"/>
  <c r="BB81" i="138"/>
  <c r="BB80" i="138"/>
  <c r="BB79" i="138"/>
  <c r="BB78" i="138"/>
  <c r="BB77" i="138"/>
  <c r="BB76" i="138"/>
  <c r="BB75" i="138"/>
  <c r="BB74" i="138"/>
  <c r="BB73" i="138"/>
  <c r="BB72" i="138"/>
  <c r="BB71" i="138"/>
  <c r="BB70" i="138"/>
  <c r="BB69" i="138"/>
  <c r="BB68" i="138"/>
  <c r="BB67" i="138"/>
  <c r="BB66" i="138"/>
  <c r="BB65" i="138"/>
  <c r="BB64" i="138"/>
  <c r="BB63" i="138"/>
  <c r="BB62" i="138"/>
  <c r="BB61" i="138"/>
  <c r="BB60" i="138"/>
  <c r="BB59" i="138"/>
  <c r="BB58" i="138"/>
  <c r="BB57" i="138"/>
  <c r="BB56" i="138"/>
  <c r="BB55" i="138"/>
  <c r="BB54" i="138"/>
  <c r="BB53" i="138"/>
  <c r="BB52" i="138"/>
  <c r="BB51" i="138"/>
  <c r="BB50" i="138"/>
  <c r="BB49" i="138"/>
  <c r="BB48" i="138"/>
  <c r="BB47" i="138"/>
  <c r="BB46" i="138"/>
  <c r="BB45" i="138"/>
  <c r="BB44" i="138"/>
  <c r="BB43" i="138"/>
  <c r="BB42" i="138"/>
  <c r="BB41" i="138"/>
  <c r="BB40" i="138"/>
  <c r="BB39" i="138"/>
  <c r="BB38" i="138"/>
  <c r="BB37" i="138"/>
  <c r="BB36" i="138"/>
  <c r="BB35" i="138"/>
  <c r="BB34" i="138"/>
  <c r="BB33" i="138"/>
  <c r="BB32" i="138"/>
  <c r="BB31" i="138"/>
  <c r="BB30" i="138"/>
  <c r="BB29" i="138"/>
  <c r="BB28" i="138"/>
  <c r="BB27" i="138"/>
  <c r="BB26" i="138"/>
  <c r="BB25" i="138"/>
  <c r="BB24" i="138"/>
  <c r="BB23" i="138"/>
  <c r="BB22" i="138"/>
  <c r="BB21" i="138"/>
  <c r="BB20" i="138"/>
  <c r="BB19" i="138"/>
  <c r="BB18" i="138"/>
  <c r="BB17" i="138"/>
  <c r="BB16" i="138"/>
  <c r="BB15" i="138"/>
  <c r="BB14" i="138"/>
  <c r="BB13" i="138"/>
  <c r="BB12" i="138"/>
  <c r="BB11" i="138"/>
  <c r="BB10" i="138"/>
  <c r="BB9" i="138"/>
  <c r="BB8" i="138"/>
  <c r="BB7" i="138"/>
  <c r="BB6" i="138"/>
  <c r="BB5" i="138"/>
  <c r="BB4" i="138"/>
  <c r="T137" i="139" l="1"/>
  <c r="U149" i="139" s="1"/>
  <c r="U147" i="139"/>
  <c r="AB147" i="139" s="1"/>
  <c r="Z145" i="139"/>
  <c r="AA147" i="139" s="1"/>
  <c r="Z124" i="139"/>
  <c r="AA126" i="139" s="1"/>
  <c r="U126" i="139"/>
  <c r="AB126" i="139" s="1"/>
  <c r="Z152" i="139"/>
  <c r="Z154" i="139"/>
  <c r="X148" i="138"/>
  <c r="U143" i="138"/>
  <c r="C102" i="138"/>
  <c r="K102" i="138"/>
  <c r="V134" i="138"/>
  <c r="X143" i="138"/>
  <c r="D120" i="138"/>
  <c r="B131" i="138"/>
  <c r="F102" i="138"/>
  <c r="J102" i="138"/>
  <c r="J119" i="138"/>
  <c r="C118" i="138"/>
  <c r="C120" i="138" s="1"/>
  <c r="M102" i="138"/>
  <c r="X122" i="138"/>
  <c r="E120" i="138"/>
  <c r="M120" i="138"/>
  <c r="P107" i="138"/>
  <c r="G120" i="138"/>
  <c r="U122" i="138"/>
  <c r="C151" i="138"/>
  <c r="N108" i="138"/>
  <c r="W120" i="138"/>
  <c r="AA124" i="138"/>
  <c r="AD124" i="138" s="1"/>
  <c r="E102" i="138"/>
  <c r="C134" i="138"/>
  <c r="W116" i="138"/>
  <c r="W122" i="138" s="1"/>
  <c r="W124" i="138" s="1"/>
  <c r="X126" i="138" s="1"/>
  <c r="I102" i="138"/>
  <c r="K118" i="138"/>
  <c r="K120" i="138" s="1"/>
  <c r="W137" i="138"/>
  <c r="X149" i="138" s="1"/>
  <c r="L120" i="138"/>
  <c r="W143" i="138"/>
  <c r="W145" i="138" s="1"/>
  <c r="X147" i="138" s="1"/>
  <c r="B128" i="138"/>
  <c r="BB94" i="138"/>
  <c r="H102" i="138"/>
  <c r="T134" i="138"/>
  <c r="T116" i="138" s="1"/>
  <c r="T141" i="138"/>
  <c r="Z141" i="138" s="1"/>
  <c r="Z152" i="138" s="1"/>
  <c r="AA128" i="138"/>
  <c r="AA154" i="138"/>
  <c r="C126" i="138"/>
  <c r="C128" i="138" s="1"/>
  <c r="N100" i="138"/>
  <c r="D102" i="138"/>
  <c r="L102" i="138"/>
  <c r="T117" i="138"/>
  <c r="H118" i="138"/>
  <c r="H120" i="138" s="1"/>
  <c r="I119" i="138"/>
  <c r="I120" i="138" s="1"/>
  <c r="T111" i="138"/>
  <c r="AA145" i="138"/>
  <c r="N101" i="138"/>
  <c r="B119" i="138"/>
  <c r="J120" i="138"/>
  <c r="G102" i="138"/>
  <c r="T109" i="137"/>
  <c r="T108" i="137"/>
  <c r="T110" i="137" s="1"/>
  <c r="BA2" i="137"/>
  <c r="AZ2" i="137"/>
  <c r="AY2" i="137"/>
  <c r="AX2" i="137"/>
  <c r="AW2" i="137"/>
  <c r="AV2" i="137"/>
  <c r="AU2" i="137"/>
  <c r="AT2" i="137"/>
  <c r="AS2" i="137"/>
  <c r="AR2" i="137"/>
  <c r="AQ2" i="137"/>
  <c r="AP2" i="137"/>
  <c r="AO2" i="137"/>
  <c r="AN2" i="137"/>
  <c r="AM2" i="137"/>
  <c r="AL2" i="137"/>
  <c r="AK2" i="137"/>
  <c r="AJ2" i="137"/>
  <c r="AI2" i="137"/>
  <c r="AH2" i="137"/>
  <c r="AG2" i="137"/>
  <c r="AF2" i="137"/>
  <c r="AE2" i="137"/>
  <c r="AD2" i="137"/>
  <c r="AC2" i="137"/>
  <c r="AB2" i="137"/>
  <c r="AB124" i="137"/>
  <c r="AB145" i="137"/>
  <c r="AA2" i="137"/>
  <c r="U111" i="137" s="1"/>
  <c r="AA94" i="137"/>
  <c r="AA157" i="139" l="1"/>
  <c r="Z155" i="139"/>
  <c r="AC126" i="139"/>
  <c r="AA156" i="139"/>
  <c r="AB154" i="137"/>
  <c r="B136" i="138"/>
  <c r="B138" i="138" s="1"/>
  <c r="V111" i="138"/>
  <c r="C136" i="138"/>
  <c r="C138" i="138" s="1"/>
  <c r="T143" i="138"/>
  <c r="T145" i="138" s="1"/>
  <c r="N102" i="138"/>
  <c r="O102" i="138" s="1"/>
  <c r="T137" i="138"/>
  <c r="U149" i="138" s="1"/>
  <c r="N121" i="138"/>
  <c r="AA152" i="138"/>
  <c r="AD145" i="138"/>
  <c r="AD155" i="138" s="1"/>
  <c r="N119" i="138"/>
  <c r="N118" i="138"/>
  <c r="T122" i="138"/>
  <c r="T124" i="138" s="1"/>
  <c r="T120" i="138"/>
  <c r="Z120" i="138" s="1"/>
  <c r="AA155" i="138"/>
  <c r="AD154" i="138"/>
  <c r="B120" i="138"/>
  <c r="U147" i="138" l="1"/>
  <c r="AB147" i="138" s="1"/>
  <c r="Z145" i="138"/>
  <c r="AA147" i="138" s="1"/>
  <c r="Z154" i="138"/>
  <c r="Z128" i="138"/>
  <c r="Z124" i="138"/>
  <c r="AA126" i="138" s="1"/>
  <c r="U126" i="138"/>
  <c r="AB126" i="138" s="1"/>
  <c r="N120" i="138"/>
  <c r="G123" i="138"/>
  <c r="E123" i="138"/>
  <c r="F123" i="138"/>
  <c r="X150" i="137"/>
  <c r="U150" i="137"/>
  <c r="C150" i="137"/>
  <c r="C147" i="137"/>
  <c r="C146" i="137"/>
  <c r="X145" i="137"/>
  <c r="U145" i="137"/>
  <c r="U143" i="137" s="1"/>
  <c r="X144" i="137"/>
  <c r="U144" i="137"/>
  <c r="T144" i="137"/>
  <c r="R141" i="137"/>
  <c r="W140" i="137"/>
  <c r="T140" i="137"/>
  <c r="W139" i="137"/>
  <c r="W144" i="137" s="1"/>
  <c r="T139" i="137"/>
  <c r="W138" i="137"/>
  <c r="X137" i="137"/>
  <c r="C137" i="137"/>
  <c r="B137" i="137"/>
  <c r="X136" i="137"/>
  <c r="W136" i="137"/>
  <c r="U136" i="137"/>
  <c r="U137" i="137" s="1"/>
  <c r="T136" i="137"/>
  <c r="W135" i="137"/>
  <c r="W134" i="137"/>
  <c r="V134" i="137" s="1"/>
  <c r="X133" i="137"/>
  <c r="W133" i="137"/>
  <c r="X148" i="137" s="1"/>
  <c r="U133" i="137"/>
  <c r="U148" i="137" s="1"/>
  <c r="C133" i="137"/>
  <c r="B133" i="137" s="1"/>
  <c r="B134" i="137" s="1"/>
  <c r="W132" i="137"/>
  <c r="T132" i="137"/>
  <c r="B131" i="137"/>
  <c r="B130" i="137"/>
  <c r="C130" i="137" s="1"/>
  <c r="C131" i="137" s="1"/>
  <c r="B127" i="137"/>
  <c r="C127" i="137" s="1"/>
  <c r="B126" i="137"/>
  <c r="B125" i="137"/>
  <c r="C125" i="137" s="1"/>
  <c r="X124" i="137"/>
  <c r="U124" i="137"/>
  <c r="B124" i="137"/>
  <c r="C124" i="137" s="1"/>
  <c r="X123" i="137"/>
  <c r="U123" i="137"/>
  <c r="G121" i="137"/>
  <c r="F121" i="137"/>
  <c r="E121" i="137"/>
  <c r="D121" i="137"/>
  <c r="C121" i="137"/>
  <c r="B121" i="137"/>
  <c r="R120" i="137"/>
  <c r="W119" i="137"/>
  <c r="T119" i="137"/>
  <c r="W118" i="137"/>
  <c r="W123" i="137" s="1"/>
  <c r="T118" i="137"/>
  <c r="T123" i="137" s="1"/>
  <c r="W117" i="137"/>
  <c r="M117" i="137"/>
  <c r="L117" i="137"/>
  <c r="K117" i="137"/>
  <c r="J117" i="137"/>
  <c r="I117" i="137"/>
  <c r="H117" i="137"/>
  <c r="G117" i="137"/>
  <c r="F117" i="137"/>
  <c r="E117" i="137"/>
  <c r="D117" i="137"/>
  <c r="C117" i="137"/>
  <c r="B117" i="137"/>
  <c r="M114" i="137"/>
  <c r="L114" i="137"/>
  <c r="K114" i="137"/>
  <c r="J114" i="137"/>
  <c r="I114" i="137"/>
  <c r="H114" i="137"/>
  <c r="G114" i="137"/>
  <c r="F114" i="137"/>
  <c r="E114" i="137"/>
  <c r="D114" i="137"/>
  <c r="C114" i="137"/>
  <c r="B114" i="137"/>
  <c r="M111" i="137"/>
  <c r="L111" i="137"/>
  <c r="K111" i="137"/>
  <c r="J111" i="137"/>
  <c r="I111" i="137"/>
  <c r="H111" i="137"/>
  <c r="G111" i="137"/>
  <c r="F111" i="137"/>
  <c r="E111" i="137"/>
  <c r="D111" i="137"/>
  <c r="C111" i="137"/>
  <c r="B111" i="137"/>
  <c r="M108" i="137"/>
  <c r="L108" i="137"/>
  <c r="K108" i="137"/>
  <c r="J108" i="137"/>
  <c r="I108" i="137"/>
  <c r="H108" i="137"/>
  <c r="G108" i="137"/>
  <c r="F108" i="137"/>
  <c r="E108" i="137"/>
  <c r="D108" i="137"/>
  <c r="C108" i="137"/>
  <c r="B108" i="137"/>
  <c r="N108" i="137" s="1"/>
  <c r="M105" i="137"/>
  <c r="L105" i="137"/>
  <c r="K105" i="137"/>
  <c r="J105" i="137"/>
  <c r="I105" i="137"/>
  <c r="H105" i="137"/>
  <c r="G105" i="137"/>
  <c r="F105" i="137"/>
  <c r="E105" i="137"/>
  <c r="D105" i="137"/>
  <c r="C105" i="137"/>
  <c r="B105" i="137"/>
  <c r="M101" i="137"/>
  <c r="M119" i="137" s="1"/>
  <c r="L101" i="137"/>
  <c r="L119" i="137" s="1"/>
  <c r="K101" i="137"/>
  <c r="K119" i="137" s="1"/>
  <c r="J101" i="137"/>
  <c r="J119" i="137" s="1"/>
  <c r="I101" i="137"/>
  <c r="I119" i="137" s="1"/>
  <c r="H101" i="137"/>
  <c r="H119" i="137" s="1"/>
  <c r="G101" i="137"/>
  <c r="G119" i="137" s="1"/>
  <c r="F101" i="137"/>
  <c r="F119" i="137" s="1"/>
  <c r="E101" i="137"/>
  <c r="E119" i="137" s="1"/>
  <c r="D101" i="137"/>
  <c r="D119" i="137" s="1"/>
  <c r="C101" i="137"/>
  <c r="C119" i="137" s="1"/>
  <c r="B101" i="137"/>
  <c r="B119" i="137" s="1"/>
  <c r="M100" i="137"/>
  <c r="M102" i="137" s="1"/>
  <c r="L100" i="137"/>
  <c r="L118" i="137" s="1"/>
  <c r="K100" i="137"/>
  <c r="J100" i="137"/>
  <c r="J118" i="137" s="1"/>
  <c r="I100" i="137"/>
  <c r="T117" i="137" s="1"/>
  <c r="T120" i="137" s="1"/>
  <c r="H100" i="137"/>
  <c r="H118" i="137" s="1"/>
  <c r="G100" i="137"/>
  <c r="G118" i="137" s="1"/>
  <c r="F100" i="137"/>
  <c r="E100" i="137"/>
  <c r="E102" i="137" s="1"/>
  <c r="D100" i="137"/>
  <c r="D118" i="137" s="1"/>
  <c r="C100" i="137"/>
  <c r="C102" i="137" s="1"/>
  <c r="B100" i="137"/>
  <c r="B102" i="137" s="1"/>
  <c r="Z94" i="137"/>
  <c r="Y94" i="137"/>
  <c r="X94" i="137"/>
  <c r="W94" i="137"/>
  <c r="V94" i="137"/>
  <c r="U94" i="137"/>
  <c r="T94" i="137"/>
  <c r="S94" i="137"/>
  <c r="R94" i="137"/>
  <c r="Q94" i="137"/>
  <c r="P94" i="137"/>
  <c r="O94" i="137"/>
  <c r="N94" i="137"/>
  <c r="M94" i="137"/>
  <c r="L94" i="137"/>
  <c r="K94" i="137"/>
  <c r="J94" i="137"/>
  <c r="I94" i="137"/>
  <c r="H94" i="137"/>
  <c r="G94" i="137"/>
  <c r="F94" i="137"/>
  <c r="E94" i="137"/>
  <c r="D94" i="137"/>
  <c r="C94" i="137"/>
  <c r="B94" i="137"/>
  <c r="BB93" i="137"/>
  <c r="BB92" i="137"/>
  <c r="BB91" i="137"/>
  <c r="BB90" i="137"/>
  <c r="BB89" i="137"/>
  <c r="BB88" i="137"/>
  <c r="BB87" i="137"/>
  <c r="BB86" i="137"/>
  <c r="BB85" i="137"/>
  <c r="BB84" i="137"/>
  <c r="BB83" i="137"/>
  <c r="BB82" i="137"/>
  <c r="BB81" i="137"/>
  <c r="BB80" i="137"/>
  <c r="BB79" i="137"/>
  <c r="BB78" i="137"/>
  <c r="BB77" i="137"/>
  <c r="BB76" i="137"/>
  <c r="BB75" i="137"/>
  <c r="BB74" i="137"/>
  <c r="BB73" i="137"/>
  <c r="BB72" i="137"/>
  <c r="BB71" i="137"/>
  <c r="BB70" i="137"/>
  <c r="BB69" i="137"/>
  <c r="BB68" i="137"/>
  <c r="BB67" i="137"/>
  <c r="BB66" i="137"/>
  <c r="BB65" i="137"/>
  <c r="BB64" i="137"/>
  <c r="BB63" i="137"/>
  <c r="BB62" i="137"/>
  <c r="BB61" i="137"/>
  <c r="BB60" i="137"/>
  <c r="BB59" i="137"/>
  <c r="BB58" i="137"/>
  <c r="BB57" i="137"/>
  <c r="BB56" i="137"/>
  <c r="BB55" i="137"/>
  <c r="BB54" i="137"/>
  <c r="BB53" i="137"/>
  <c r="BB52" i="137"/>
  <c r="BB51" i="137"/>
  <c r="BB50" i="137"/>
  <c r="BB49" i="137"/>
  <c r="BB48" i="137"/>
  <c r="BB47" i="137"/>
  <c r="BB46" i="137"/>
  <c r="BB45" i="137"/>
  <c r="BB44" i="137"/>
  <c r="BB43" i="137"/>
  <c r="BB42" i="137"/>
  <c r="BB41" i="137"/>
  <c r="BB40" i="137"/>
  <c r="BB39" i="137"/>
  <c r="BB38" i="137"/>
  <c r="BB37" i="137"/>
  <c r="BB36" i="137"/>
  <c r="BB35" i="137"/>
  <c r="BB34" i="137"/>
  <c r="BB33" i="137"/>
  <c r="BB32" i="137"/>
  <c r="BB31" i="137"/>
  <c r="BB30" i="137"/>
  <c r="BB29" i="137"/>
  <c r="BB28" i="137"/>
  <c r="BB27" i="137"/>
  <c r="BB26" i="137"/>
  <c r="BB25" i="137"/>
  <c r="BB24" i="137"/>
  <c r="BB23" i="137"/>
  <c r="BB22" i="137"/>
  <c r="BB21" i="137"/>
  <c r="BB20" i="137"/>
  <c r="BB19" i="137"/>
  <c r="BB18" i="137"/>
  <c r="BB17" i="137"/>
  <c r="BB16" i="137"/>
  <c r="BB15" i="137"/>
  <c r="BB14" i="137"/>
  <c r="BB13" i="137"/>
  <c r="BB12" i="137"/>
  <c r="BB11" i="137"/>
  <c r="BB10" i="137"/>
  <c r="BB9" i="137"/>
  <c r="BB8" i="137"/>
  <c r="BB7" i="137"/>
  <c r="BB6" i="137"/>
  <c r="BB5" i="137"/>
  <c r="BB4" i="137"/>
  <c r="BB94" i="137" l="1"/>
  <c r="B118" i="137"/>
  <c r="D102" i="137"/>
  <c r="E118" i="137"/>
  <c r="E120" i="137" s="1"/>
  <c r="AA124" i="137"/>
  <c r="AD124" i="137" s="1"/>
  <c r="X122" i="137"/>
  <c r="X143" i="137"/>
  <c r="C151" i="137"/>
  <c r="G120" i="137"/>
  <c r="C134" i="137"/>
  <c r="AC126" i="138"/>
  <c r="AA156" i="138"/>
  <c r="AA157" i="138"/>
  <c r="Z155" i="138"/>
  <c r="I118" i="137"/>
  <c r="I120" i="137" s="1"/>
  <c r="W137" i="137"/>
  <c r="X149" i="137" s="1"/>
  <c r="W143" i="137"/>
  <c r="W145" i="137" s="1"/>
  <c r="X147" i="137" s="1"/>
  <c r="J102" i="137"/>
  <c r="M118" i="137"/>
  <c r="M120" i="137" s="1"/>
  <c r="K102" i="137"/>
  <c r="L102" i="137"/>
  <c r="B128" i="137"/>
  <c r="B136" i="137" s="1"/>
  <c r="B138" i="137" s="1"/>
  <c r="J120" i="137"/>
  <c r="P107" i="137"/>
  <c r="H120" i="137"/>
  <c r="N100" i="137"/>
  <c r="B120" i="137"/>
  <c r="N119" i="137"/>
  <c r="E123" i="137"/>
  <c r="AA128" i="137"/>
  <c r="D120" i="137"/>
  <c r="L120" i="137"/>
  <c r="W120" i="137"/>
  <c r="Z120" i="137" s="1"/>
  <c r="F102" i="137"/>
  <c r="C126" i="137"/>
  <c r="C128" i="137" s="1"/>
  <c r="C136" i="137" s="1"/>
  <c r="C138" i="137" s="1"/>
  <c r="G102" i="137"/>
  <c r="W116" i="137"/>
  <c r="W122" i="137" s="1"/>
  <c r="W124" i="137" s="1"/>
  <c r="X126" i="137" s="1"/>
  <c r="C118" i="137"/>
  <c r="C120" i="137" s="1"/>
  <c r="K118" i="137"/>
  <c r="K120" i="137" s="1"/>
  <c r="U122" i="137"/>
  <c r="T111" i="137"/>
  <c r="V111" i="137" s="1"/>
  <c r="H102" i="137"/>
  <c r="AA145" i="137"/>
  <c r="AD145" i="137" s="1"/>
  <c r="T138" i="137"/>
  <c r="W141" i="137"/>
  <c r="N101" i="137"/>
  <c r="F118" i="137"/>
  <c r="F120" i="137" s="1"/>
  <c r="F122" i="137" s="1"/>
  <c r="I102" i="137"/>
  <c r="Z2" i="136"/>
  <c r="U111" i="136" s="1"/>
  <c r="T109" i="136"/>
  <c r="T110" i="136" s="1"/>
  <c r="T108" i="136"/>
  <c r="BA2" i="136"/>
  <c r="AZ2" i="136"/>
  <c r="AY2" i="136"/>
  <c r="AX2" i="136"/>
  <c r="AW2" i="136"/>
  <c r="AV2" i="136"/>
  <c r="AU2" i="136"/>
  <c r="AT2" i="136"/>
  <c r="AS2" i="136"/>
  <c r="AR2" i="136"/>
  <c r="AQ2" i="136"/>
  <c r="AP2" i="136"/>
  <c r="AO2" i="136"/>
  <c r="AN2" i="136"/>
  <c r="AM2" i="136"/>
  <c r="AL2" i="136"/>
  <c r="AK2" i="136"/>
  <c r="AJ2" i="136"/>
  <c r="AI2" i="136"/>
  <c r="AH2" i="136"/>
  <c r="AG2" i="136"/>
  <c r="AF2" i="136"/>
  <c r="AE2" i="136"/>
  <c r="AD2" i="136"/>
  <c r="AC2" i="136"/>
  <c r="AB2" i="136"/>
  <c r="AA2" i="136"/>
  <c r="Z94" i="136"/>
  <c r="H204" i="136"/>
  <c r="AB154" i="136"/>
  <c r="X150" i="136"/>
  <c r="U150" i="136"/>
  <c r="C150" i="136"/>
  <c r="C147" i="136"/>
  <c r="C146" i="136"/>
  <c r="C151" i="136" s="1"/>
  <c r="AB145" i="136"/>
  <c r="X145" i="136"/>
  <c r="U145" i="136"/>
  <c r="U143" i="136" s="1"/>
  <c r="X144" i="136"/>
  <c r="U144" i="136"/>
  <c r="R141" i="136"/>
  <c r="W140" i="136"/>
  <c r="T140" i="136"/>
  <c r="W139" i="136"/>
  <c r="W144" i="136" s="1"/>
  <c r="T139" i="136"/>
  <c r="T144" i="136" s="1"/>
  <c r="W138" i="136"/>
  <c r="W141" i="136" s="1"/>
  <c r="C137" i="136"/>
  <c r="B137" i="136" s="1"/>
  <c r="X136" i="136"/>
  <c r="X137" i="136" s="1"/>
  <c r="W136" i="136"/>
  <c r="U136" i="136"/>
  <c r="U137" i="136" s="1"/>
  <c r="T136" i="136"/>
  <c r="W135" i="136"/>
  <c r="W134" i="136"/>
  <c r="W116" i="136" s="1"/>
  <c r="X133" i="136"/>
  <c r="W133" i="136"/>
  <c r="X148" i="136" s="1"/>
  <c r="U133" i="136"/>
  <c r="U148" i="136" s="1"/>
  <c r="C133" i="136"/>
  <c r="C134" i="136" s="1"/>
  <c r="W132" i="136"/>
  <c r="T132" i="136"/>
  <c r="B130" i="136"/>
  <c r="B131" i="136" s="1"/>
  <c r="B127" i="136"/>
  <c r="C127" i="136" s="1"/>
  <c r="B126" i="136"/>
  <c r="C126" i="136" s="1"/>
  <c r="B125" i="136"/>
  <c r="C125" i="136" s="1"/>
  <c r="AB124" i="136"/>
  <c r="X124" i="136"/>
  <c r="U124" i="136"/>
  <c r="B124" i="136"/>
  <c r="X123" i="136"/>
  <c r="U123" i="136"/>
  <c r="R120" i="136"/>
  <c r="W119" i="136"/>
  <c r="T119" i="136"/>
  <c r="W118" i="136"/>
  <c r="W123" i="136" s="1"/>
  <c r="T118" i="136"/>
  <c r="T123" i="136" s="1"/>
  <c r="W117" i="136"/>
  <c r="T117" i="136"/>
  <c r="T120" i="136" s="1"/>
  <c r="M117" i="136"/>
  <c r="L117" i="136"/>
  <c r="K117" i="136"/>
  <c r="J117" i="136"/>
  <c r="I117" i="136"/>
  <c r="H117" i="136"/>
  <c r="G117" i="136"/>
  <c r="F117" i="136"/>
  <c r="E117" i="136"/>
  <c r="D117" i="136"/>
  <c r="C117" i="136"/>
  <c r="B117" i="136"/>
  <c r="M114" i="136"/>
  <c r="L114" i="136"/>
  <c r="K114" i="136"/>
  <c r="J114" i="136"/>
  <c r="I114" i="136"/>
  <c r="H114" i="136"/>
  <c r="G114" i="136"/>
  <c r="F114" i="136"/>
  <c r="E114" i="136"/>
  <c r="D114" i="136"/>
  <c r="C114" i="136"/>
  <c r="B114" i="136"/>
  <c r="M111" i="136"/>
  <c r="L111" i="136"/>
  <c r="K111" i="136"/>
  <c r="J111" i="136"/>
  <c r="I111" i="136"/>
  <c r="H111" i="136"/>
  <c r="G111" i="136"/>
  <c r="F111" i="136"/>
  <c r="E111" i="136"/>
  <c r="D111" i="136"/>
  <c r="C111" i="136"/>
  <c r="B111" i="136"/>
  <c r="M108" i="136"/>
  <c r="L108" i="136"/>
  <c r="K108" i="136"/>
  <c r="J108" i="136"/>
  <c r="I108" i="136"/>
  <c r="H108" i="136"/>
  <c r="G108" i="136"/>
  <c r="F108" i="136"/>
  <c r="E108" i="136"/>
  <c r="D108" i="136"/>
  <c r="C108" i="136"/>
  <c r="B108" i="136"/>
  <c r="M105" i="136"/>
  <c r="L105" i="136"/>
  <c r="K105" i="136"/>
  <c r="J105" i="136"/>
  <c r="I105" i="136"/>
  <c r="H105" i="136"/>
  <c r="G105" i="136"/>
  <c r="F105" i="136"/>
  <c r="E105" i="136"/>
  <c r="D105" i="136"/>
  <c r="C105" i="136"/>
  <c r="B105" i="136"/>
  <c r="M101" i="136"/>
  <c r="M119" i="136" s="1"/>
  <c r="L101" i="136"/>
  <c r="L119" i="136" s="1"/>
  <c r="K101" i="136"/>
  <c r="K119" i="136" s="1"/>
  <c r="J101" i="136"/>
  <c r="I101" i="136"/>
  <c r="T138" i="136" s="1"/>
  <c r="H101" i="136"/>
  <c r="H119" i="136" s="1"/>
  <c r="G101" i="136"/>
  <c r="G119" i="136" s="1"/>
  <c r="F101" i="136"/>
  <c r="F119" i="136" s="1"/>
  <c r="E101" i="136"/>
  <c r="E119" i="136" s="1"/>
  <c r="D101" i="136"/>
  <c r="D119" i="136" s="1"/>
  <c r="C101" i="136"/>
  <c r="C119" i="136" s="1"/>
  <c r="B101" i="136"/>
  <c r="M100" i="136"/>
  <c r="M118" i="136" s="1"/>
  <c r="L100" i="136"/>
  <c r="L118" i="136" s="1"/>
  <c r="K100" i="136"/>
  <c r="J100" i="136"/>
  <c r="J118" i="136" s="1"/>
  <c r="I100" i="136"/>
  <c r="H100" i="136"/>
  <c r="H118" i="136" s="1"/>
  <c r="G100" i="136"/>
  <c r="F100" i="136"/>
  <c r="F118" i="136" s="1"/>
  <c r="E100" i="136"/>
  <c r="E118" i="136" s="1"/>
  <c r="D100" i="136"/>
  <c r="D118" i="136" s="1"/>
  <c r="C100" i="136"/>
  <c r="C118" i="136" s="1"/>
  <c r="B100" i="136"/>
  <c r="B118" i="136" s="1"/>
  <c r="Y94" i="136"/>
  <c r="X94" i="136"/>
  <c r="W94" i="136"/>
  <c r="V94" i="136"/>
  <c r="U94" i="136"/>
  <c r="T94" i="136"/>
  <c r="S94" i="136"/>
  <c r="R94" i="136"/>
  <c r="Q94" i="136"/>
  <c r="P94" i="136"/>
  <c r="O94" i="136"/>
  <c r="N94" i="136"/>
  <c r="M94" i="136"/>
  <c r="L94" i="136"/>
  <c r="K94" i="136"/>
  <c r="J94" i="136"/>
  <c r="I94" i="136"/>
  <c r="H94" i="136"/>
  <c r="G94" i="136"/>
  <c r="F94" i="136"/>
  <c r="E94" i="136"/>
  <c r="D94" i="136"/>
  <c r="C94" i="136"/>
  <c r="B94" i="136"/>
  <c r="BB93" i="136"/>
  <c r="BB92" i="136"/>
  <c r="BB91" i="136"/>
  <c r="BB90" i="136"/>
  <c r="BB89" i="136"/>
  <c r="BB88" i="136"/>
  <c r="BB87" i="136"/>
  <c r="BB86" i="136"/>
  <c r="BB85" i="136"/>
  <c r="BB84" i="136"/>
  <c r="BB83" i="136"/>
  <c r="BB82" i="136"/>
  <c r="BB81" i="136"/>
  <c r="BB80" i="136"/>
  <c r="BB79" i="136"/>
  <c r="BB78" i="136"/>
  <c r="BB77" i="136"/>
  <c r="BB76" i="136"/>
  <c r="BB75" i="136"/>
  <c r="BB74" i="136"/>
  <c r="BB73" i="136"/>
  <c r="BB72" i="136"/>
  <c r="BB71" i="136"/>
  <c r="BB70" i="136"/>
  <c r="BB69" i="136"/>
  <c r="BB68" i="136"/>
  <c r="BB67" i="136"/>
  <c r="BB66" i="136"/>
  <c r="BB65" i="136"/>
  <c r="BB64" i="136"/>
  <c r="BB63" i="136"/>
  <c r="BB62" i="136"/>
  <c r="BB61" i="136"/>
  <c r="BB60" i="136"/>
  <c r="BB59" i="136"/>
  <c r="BB58" i="136"/>
  <c r="BB57" i="136"/>
  <c r="BB56" i="136"/>
  <c r="BB55" i="136"/>
  <c r="BB54" i="136"/>
  <c r="BB53" i="136"/>
  <c r="BB52" i="136"/>
  <c r="BB51" i="136"/>
  <c r="BB50" i="136"/>
  <c r="BB49" i="136"/>
  <c r="BB48" i="136"/>
  <c r="BB47" i="136"/>
  <c r="BB46" i="136"/>
  <c r="BB45" i="136"/>
  <c r="BB44" i="136"/>
  <c r="BB43" i="136"/>
  <c r="BB42" i="136"/>
  <c r="BB41" i="136"/>
  <c r="BB40" i="136"/>
  <c r="BB39" i="136"/>
  <c r="BB38" i="136"/>
  <c r="BB37" i="136"/>
  <c r="BB36" i="136"/>
  <c r="BB35" i="136"/>
  <c r="BB34" i="136"/>
  <c r="BB33" i="136"/>
  <c r="BB32" i="136"/>
  <c r="BB31" i="136"/>
  <c r="BB30" i="136"/>
  <c r="BB29" i="136"/>
  <c r="BB28" i="136"/>
  <c r="BB27" i="136"/>
  <c r="BB26" i="136"/>
  <c r="BB25" i="136"/>
  <c r="BB24" i="136"/>
  <c r="BB23" i="136"/>
  <c r="BB22" i="136"/>
  <c r="BB21" i="136"/>
  <c r="BB20" i="136"/>
  <c r="BB19" i="136"/>
  <c r="BB18" i="136"/>
  <c r="BB17" i="136"/>
  <c r="BB16" i="136"/>
  <c r="BB15" i="136"/>
  <c r="BB14" i="136"/>
  <c r="BB13" i="136"/>
  <c r="BB12" i="136"/>
  <c r="BB11" i="136"/>
  <c r="BB10" i="136"/>
  <c r="BB9" i="136"/>
  <c r="BB8" i="136"/>
  <c r="BB7" i="136"/>
  <c r="BB6" i="136"/>
  <c r="BB5" i="136"/>
  <c r="BB4" i="136"/>
  <c r="B133" i="136" l="1"/>
  <c r="B134" i="136" s="1"/>
  <c r="P108" i="138"/>
  <c r="G123" i="137"/>
  <c r="AD155" i="137"/>
  <c r="AA124" i="136"/>
  <c r="AA128" i="136" s="1"/>
  <c r="D120" i="136"/>
  <c r="L120" i="136"/>
  <c r="L102" i="136"/>
  <c r="X122" i="136"/>
  <c r="C102" i="136"/>
  <c r="K102" i="136"/>
  <c r="D102" i="136"/>
  <c r="E120" i="136"/>
  <c r="M120" i="136"/>
  <c r="N108" i="136"/>
  <c r="C130" i="136"/>
  <c r="C131" i="136" s="1"/>
  <c r="P103" i="137"/>
  <c r="P103" i="138"/>
  <c r="P104" i="138"/>
  <c r="P112" i="138" s="1"/>
  <c r="P121" i="138" s="1"/>
  <c r="C120" i="136"/>
  <c r="F120" i="136"/>
  <c r="B102" i="136"/>
  <c r="J102" i="136"/>
  <c r="U122" i="136"/>
  <c r="X143" i="136"/>
  <c r="N121" i="137"/>
  <c r="N102" i="137"/>
  <c r="Z128" i="137"/>
  <c r="N118" i="137"/>
  <c r="F123" i="137"/>
  <c r="T141" i="137"/>
  <c r="Z141" i="137" s="1"/>
  <c r="Z152" i="137" s="1"/>
  <c r="T134" i="137"/>
  <c r="T116" i="137" s="1"/>
  <c r="T122" i="137" s="1"/>
  <c r="T124" i="137" s="1"/>
  <c r="N120" i="137"/>
  <c r="AA152" i="137"/>
  <c r="AA154" i="137"/>
  <c r="AD154" i="137" s="1"/>
  <c r="P107" i="136"/>
  <c r="W122" i="136"/>
  <c r="W124" i="136" s="1"/>
  <c r="X126" i="136" s="1"/>
  <c r="B128" i="136"/>
  <c r="B136" i="136" s="1"/>
  <c r="B138" i="136" s="1"/>
  <c r="C124" i="136"/>
  <c r="C128" i="136" s="1"/>
  <c r="C136" i="136" s="1"/>
  <c r="C138" i="136" s="1"/>
  <c r="W143" i="136"/>
  <c r="K118" i="136"/>
  <c r="K120" i="136" s="1"/>
  <c r="I102" i="136"/>
  <c r="I118" i="136"/>
  <c r="BB94" i="136"/>
  <c r="G102" i="136"/>
  <c r="G118" i="136"/>
  <c r="G120" i="136" s="1"/>
  <c r="H120" i="136"/>
  <c r="T141" i="136"/>
  <c r="Z141" i="136" s="1"/>
  <c r="Z152" i="136" s="1"/>
  <c r="T111" i="136"/>
  <c r="V111" i="136" s="1"/>
  <c r="AD124" i="136"/>
  <c r="W145" i="136"/>
  <c r="X147" i="136" s="1"/>
  <c r="N100" i="136"/>
  <c r="P104" i="137" s="1"/>
  <c r="E102" i="136"/>
  <c r="W137" i="136"/>
  <c r="X149" i="136" s="1"/>
  <c r="F102" i="136"/>
  <c r="J119" i="136"/>
  <c r="J120" i="136" s="1"/>
  <c r="W120" i="136"/>
  <c r="Z120" i="136" s="1"/>
  <c r="M102" i="136"/>
  <c r="B119" i="136"/>
  <c r="H102" i="136"/>
  <c r="V134" i="136"/>
  <c r="T134" i="136" s="1"/>
  <c r="AA145" i="136"/>
  <c r="I119" i="136"/>
  <c r="I120" i="136" s="1"/>
  <c r="N101" i="136"/>
  <c r="P111" i="138" l="1"/>
  <c r="AA154" i="136"/>
  <c r="AD154" i="136" s="1"/>
  <c r="P108" i="137"/>
  <c r="P112" i="137" s="1"/>
  <c r="P121" i="137" s="1"/>
  <c r="O102" i="137"/>
  <c r="T143" i="137"/>
  <c r="T145" i="137" s="1"/>
  <c r="T137" i="137"/>
  <c r="U149" i="137" s="1"/>
  <c r="U147" i="137"/>
  <c r="AB147" i="137" s="1"/>
  <c r="Z145" i="137"/>
  <c r="AA147" i="137" s="1"/>
  <c r="Z154" i="137"/>
  <c r="AA155" i="137"/>
  <c r="U126" i="137"/>
  <c r="AB126" i="137" s="1"/>
  <c r="Z124" i="137"/>
  <c r="AA126" i="137" s="1"/>
  <c r="AC126" i="137" s="1"/>
  <c r="N119" i="136"/>
  <c r="N102" i="136"/>
  <c r="N118" i="136"/>
  <c r="T116" i="136"/>
  <c r="T122" i="136" s="1"/>
  <c r="T124" i="136" s="1"/>
  <c r="T143" i="136"/>
  <c r="T145" i="136" s="1"/>
  <c r="T137" i="136"/>
  <c r="U149" i="136" s="1"/>
  <c r="AD155" i="136"/>
  <c r="B120" i="136"/>
  <c r="AA152" i="136"/>
  <c r="AD145" i="136"/>
  <c r="Z154" i="136"/>
  <c r="Z128" i="136"/>
  <c r="T109" i="135"/>
  <c r="T108" i="135"/>
  <c r="T110" i="135" s="1"/>
  <c r="BA2" i="135"/>
  <c r="AZ2" i="135"/>
  <c r="AY2" i="135"/>
  <c r="AX2" i="135"/>
  <c r="AW2" i="135"/>
  <c r="AV2" i="135"/>
  <c r="AU2" i="135"/>
  <c r="AT2" i="135"/>
  <c r="AS2" i="135"/>
  <c r="AR2" i="135"/>
  <c r="AQ2" i="135"/>
  <c r="AP2" i="135"/>
  <c r="AO2" i="135"/>
  <c r="AN2" i="135"/>
  <c r="AM2" i="135"/>
  <c r="AL2" i="135"/>
  <c r="AK2" i="135"/>
  <c r="AJ2" i="135"/>
  <c r="AI2" i="135"/>
  <c r="AH2" i="135"/>
  <c r="AG2" i="135"/>
  <c r="AF2" i="135"/>
  <c r="AE2" i="135"/>
  <c r="AD2" i="135"/>
  <c r="AC2" i="135"/>
  <c r="AB2" i="135"/>
  <c r="AA2" i="135"/>
  <c r="Z2" i="135"/>
  <c r="Y94" i="135"/>
  <c r="Y2" i="135"/>
  <c r="U111" i="135" s="1"/>
  <c r="AA155" i="136" l="1"/>
  <c r="P111" i="137"/>
  <c r="AA156" i="137"/>
  <c r="AA157" i="137"/>
  <c r="Z155" i="137"/>
  <c r="O102" i="136"/>
  <c r="AA157" i="136"/>
  <c r="Z155" i="136"/>
  <c r="U147" i="136"/>
  <c r="AB147" i="136" s="1"/>
  <c r="Z145" i="136"/>
  <c r="AA147" i="136" s="1"/>
  <c r="N120" i="136"/>
  <c r="U126" i="136"/>
  <c r="AB126" i="136" s="1"/>
  <c r="Z124" i="136"/>
  <c r="AA126" i="136" s="1"/>
  <c r="H204" i="135"/>
  <c r="X150" i="135"/>
  <c r="U150" i="135"/>
  <c r="C150" i="135"/>
  <c r="C147" i="135"/>
  <c r="C146" i="135"/>
  <c r="AB145" i="135"/>
  <c r="X145" i="135"/>
  <c r="U145" i="135"/>
  <c r="X144" i="135"/>
  <c r="U144" i="135"/>
  <c r="R141" i="135"/>
  <c r="W140" i="135"/>
  <c r="T140" i="135"/>
  <c r="W139" i="135"/>
  <c r="W144" i="135" s="1"/>
  <c r="T139" i="135"/>
  <c r="T144" i="135" s="1"/>
  <c r="W138" i="135"/>
  <c r="C137" i="135"/>
  <c r="B137" i="135" s="1"/>
  <c r="X136" i="135"/>
  <c r="W136" i="135"/>
  <c r="U136" i="135"/>
  <c r="U137" i="135" s="1"/>
  <c r="T136" i="135"/>
  <c r="W135" i="135"/>
  <c r="W134" i="135"/>
  <c r="V134" i="135" s="1"/>
  <c r="X133" i="135"/>
  <c r="W133" i="135"/>
  <c r="X148" i="135" s="1"/>
  <c r="U133" i="135"/>
  <c r="U148" i="135" s="1"/>
  <c r="C133" i="135"/>
  <c r="B133" i="135" s="1"/>
  <c r="B134" i="135" s="1"/>
  <c r="W132" i="135"/>
  <c r="T132" i="135"/>
  <c r="B130" i="135"/>
  <c r="B131" i="135" s="1"/>
  <c r="B127" i="135"/>
  <c r="C127" i="135" s="1"/>
  <c r="B126" i="135"/>
  <c r="C126" i="135" s="1"/>
  <c r="B125" i="135"/>
  <c r="C125" i="135" s="1"/>
  <c r="AB124" i="135"/>
  <c r="AB154" i="135" s="1"/>
  <c r="X124" i="135"/>
  <c r="X122" i="135" s="1"/>
  <c r="U124" i="135"/>
  <c r="U122" i="135" s="1"/>
  <c r="B124" i="135"/>
  <c r="C124" i="135" s="1"/>
  <c r="X123" i="135"/>
  <c r="U123" i="135"/>
  <c r="R120" i="135"/>
  <c r="W119" i="135"/>
  <c r="T119" i="135"/>
  <c r="W118" i="135"/>
  <c r="W123" i="135" s="1"/>
  <c r="T118" i="135"/>
  <c r="T123" i="135" s="1"/>
  <c r="W117" i="135"/>
  <c r="M117" i="135"/>
  <c r="L117" i="135"/>
  <c r="K117" i="135"/>
  <c r="J117" i="135"/>
  <c r="I117" i="135"/>
  <c r="H117" i="135"/>
  <c r="G117" i="135"/>
  <c r="F117" i="135"/>
  <c r="E117" i="135"/>
  <c r="D117" i="135"/>
  <c r="C117" i="135"/>
  <c r="B117" i="135"/>
  <c r="M114" i="135"/>
  <c r="L114" i="135"/>
  <c r="K114" i="135"/>
  <c r="J114" i="135"/>
  <c r="I114" i="135"/>
  <c r="H114" i="135"/>
  <c r="G114" i="135"/>
  <c r="F114" i="135"/>
  <c r="E114" i="135"/>
  <c r="D114" i="135"/>
  <c r="C114" i="135"/>
  <c r="B114" i="135"/>
  <c r="M111" i="135"/>
  <c r="L111" i="135"/>
  <c r="K111" i="135"/>
  <c r="J111" i="135"/>
  <c r="I111" i="135"/>
  <c r="H111" i="135"/>
  <c r="G111" i="135"/>
  <c r="F111" i="135"/>
  <c r="E111" i="135"/>
  <c r="D111" i="135"/>
  <c r="C111" i="135"/>
  <c r="B111" i="135"/>
  <c r="M108" i="135"/>
  <c r="L108" i="135"/>
  <c r="K108" i="135"/>
  <c r="J108" i="135"/>
  <c r="I108" i="135"/>
  <c r="H108" i="135"/>
  <c r="G108" i="135"/>
  <c r="F108" i="135"/>
  <c r="E108" i="135"/>
  <c r="D108" i="135"/>
  <c r="C108" i="135"/>
  <c r="B108" i="135"/>
  <c r="M105" i="135"/>
  <c r="L105" i="135"/>
  <c r="K105" i="135"/>
  <c r="J105" i="135"/>
  <c r="I105" i="135"/>
  <c r="H105" i="135"/>
  <c r="G105" i="135"/>
  <c r="F105" i="135"/>
  <c r="E105" i="135"/>
  <c r="D105" i="135"/>
  <c r="C105" i="135"/>
  <c r="B105" i="135"/>
  <c r="M101" i="135"/>
  <c r="M119" i="135" s="1"/>
  <c r="L101" i="135"/>
  <c r="L119" i="135" s="1"/>
  <c r="K101" i="135"/>
  <c r="K119" i="135" s="1"/>
  <c r="J101" i="135"/>
  <c r="J119" i="135" s="1"/>
  <c r="I101" i="135"/>
  <c r="I119" i="135" s="1"/>
  <c r="H101" i="135"/>
  <c r="H119" i="135" s="1"/>
  <c r="G101" i="135"/>
  <c r="G119" i="135" s="1"/>
  <c r="F101" i="135"/>
  <c r="F119" i="135" s="1"/>
  <c r="E101" i="135"/>
  <c r="D101" i="135"/>
  <c r="D119" i="135" s="1"/>
  <c r="C101" i="135"/>
  <c r="C119" i="135" s="1"/>
  <c r="B101" i="135"/>
  <c r="B119" i="135" s="1"/>
  <c r="M100" i="135"/>
  <c r="M118" i="135" s="1"/>
  <c r="L100" i="135"/>
  <c r="L118" i="135" s="1"/>
  <c r="L120" i="135" s="1"/>
  <c r="K100" i="135"/>
  <c r="J100" i="135"/>
  <c r="I100" i="135"/>
  <c r="I102" i="135" s="1"/>
  <c r="H100" i="135"/>
  <c r="H102" i="135" s="1"/>
  <c r="G100" i="135"/>
  <c r="F100" i="135"/>
  <c r="F118" i="135" s="1"/>
  <c r="E100" i="135"/>
  <c r="E118" i="135" s="1"/>
  <c r="D100" i="135"/>
  <c r="D118" i="135" s="1"/>
  <c r="D120" i="135" s="1"/>
  <c r="C100" i="135"/>
  <c r="C102" i="135" s="1"/>
  <c r="B100" i="135"/>
  <c r="B102" i="135" s="1"/>
  <c r="X94" i="135"/>
  <c r="W94" i="135"/>
  <c r="V94" i="135"/>
  <c r="U94" i="135"/>
  <c r="T94" i="135"/>
  <c r="S94" i="135"/>
  <c r="R94" i="135"/>
  <c r="Q94" i="135"/>
  <c r="P94" i="135"/>
  <c r="O94" i="135"/>
  <c r="N94" i="135"/>
  <c r="M94" i="135"/>
  <c r="L94" i="135"/>
  <c r="K94" i="135"/>
  <c r="J94" i="135"/>
  <c r="I94" i="135"/>
  <c r="H94" i="135"/>
  <c r="G94" i="135"/>
  <c r="F94" i="135"/>
  <c r="E94" i="135"/>
  <c r="D94" i="135"/>
  <c r="C94" i="135"/>
  <c r="B94" i="135"/>
  <c r="BB93" i="135"/>
  <c r="BB92" i="135"/>
  <c r="BB91" i="135"/>
  <c r="BB90" i="135"/>
  <c r="BB89" i="135"/>
  <c r="BB88" i="135"/>
  <c r="BB87" i="135"/>
  <c r="BB86" i="135"/>
  <c r="BB85" i="135"/>
  <c r="BB84" i="135"/>
  <c r="BB83" i="135"/>
  <c r="BB82" i="135"/>
  <c r="BB81" i="135"/>
  <c r="BB80" i="135"/>
  <c r="BB79" i="135"/>
  <c r="BB78" i="135"/>
  <c r="BB77" i="135"/>
  <c r="BB76" i="135"/>
  <c r="BB75" i="135"/>
  <c r="BB74" i="135"/>
  <c r="BB73" i="135"/>
  <c r="BB72" i="135"/>
  <c r="BB71" i="135"/>
  <c r="BB70" i="135"/>
  <c r="BB69" i="135"/>
  <c r="BB68" i="135"/>
  <c r="BB67" i="135"/>
  <c r="BB66" i="135"/>
  <c r="BB65" i="135"/>
  <c r="BB64" i="135"/>
  <c r="BB63" i="135"/>
  <c r="BB62" i="135"/>
  <c r="BB61" i="135"/>
  <c r="BB60" i="135"/>
  <c r="BB59" i="135"/>
  <c r="BB58" i="135"/>
  <c r="BB57" i="135"/>
  <c r="BB56" i="135"/>
  <c r="BB55" i="135"/>
  <c r="BB54" i="135"/>
  <c r="BB53" i="135"/>
  <c r="BB52" i="135"/>
  <c r="BB51" i="135"/>
  <c r="BB50" i="135"/>
  <c r="BB49" i="135"/>
  <c r="BB48" i="135"/>
  <c r="BB47" i="135"/>
  <c r="BB46" i="135"/>
  <c r="BB45" i="135"/>
  <c r="BB44" i="135"/>
  <c r="BB43" i="135"/>
  <c r="BB42" i="135"/>
  <c r="BB41" i="135"/>
  <c r="BB40" i="135"/>
  <c r="BB39" i="135"/>
  <c r="BB38" i="135"/>
  <c r="BB37" i="135"/>
  <c r="BB36" i="135"/>
  <c r="BB35" i="135"/>
  <c r="BB34" i="135"/>
  <c r="BB33" i="135"/>
  <c r="BB32" i="135"/>
  <c r="BB31" i="135"/>
  <c r="BB30" i="135"/>
  <c r="BB29" i="135"/>
  <c r="BB28" i="135"/>
  <c r="BB27" i="135"/>
  <c r="BB26" i="135"/>
  <c r="BB25" i="135"/>
  <c r="BB24" i="135"/>
  <c r="BB23" i="135"/>
  <c r="BB22" i="135"/>
  <c r="BB21" i="135"/>
  <c r="BB20" i="135"/>
  <c r="BB19" i="135"/>
  <c r="BB18" i="135"/>
  <c r="BB17" i="135"/>
  <c r="BB16" i="135"/>
  <c r="BB15" i="135"/>
  <c r="BB14" i="135"/>
  <c r="BB13" i="135"/>
  <c r="BB12" i="135"/>
  <c r="BB11" i="135"/>
  <c r="BB10" i="135"/>
  <c r="BB9" i="135"/>
  <c r="BB8" i="135"/>
  <c r="BB7" i="135"/>
  <c r="BB6" i="135"/>
  <c r="BB5" i="135"/>
  <c r="BB4" i="135"/>
  <c r="AA124" i="135" l="1"/>
  <c r="H118" i="135"/>
  <c r="X143" i="135"/>
  <c r="AA145" i="135"/>
  <c r="BB94" i="135"/>
  <c r="C151" i="135"/>
  <c r="F120" i="135"/>
  <c r="T117" i="135"/>
  <c r="T120" i="135" s="1"/>
  <c r="U143" i="135"/>
  <c r="N108" i="135"/>
  <c r="W120" i="135"/>
  <c r="AA156" i="136"/>
  <c r="AC126" i="136"/>
  <c r="I118" i="135"/>
  <c r="J102" i="135"/>
  <c r="K102" i="135"/>
  <c r="W143" i="135"/>
  <c r="W145" i="135" s="1"/>
  <c r="X147" i="135" s="1"/>
  <c r="L102" i="135"/>
  <c r="M120" i="135"/>
  <c r="I120" i="135"/>
  <c r="T111" i="135"/>
  <c r="V111" i="135" s="1"/>
  <c r="G102" i="135"/>
  <c r="N101" i="135"/>
  <c r="G118" i="135"/>
  <c r="G120" i="135" s="1"/>
  <c r="AA154" i="135"/>
  <c r="AD124" i="135"/>
  <c r="AA128" i="135"/>
  <c r="H120" i="135"/>
  <c r="C128" i="135"/>
  <c r="AA152" i="135"/>
  <c r="AD145" i="135"/>
  <c r="N100" i="135"/>
  <c r="M102" i="135"/>
  <c r="W137" i="135"/>
  <c r="X149" i="135" s="1"/>
  <c r="F102" i="135"/>
  <c r="P107" i="135"/>
  <c r="B118" i="135"/>
  <c r="J118" i="135"/>
  <c r="J120" i="135" s="1"/>
  <c r="Z120" i="135"/>
  <c r="B128" i="135"/>
  <c r="B136" i="135" s="1"/>
  <c r="B138" i="135" s="1"/>
  <c r="C134" i="135"/>
  <c r="X137" i="135"/>
  <c r="D102" i="135"/>
  <c r="E102" i="135"/>
  <c r="W116" i="135"/>
  <c r="W122" i="135" s="1"/>
  <c r="W124" i="135" s="1"/>
  <c r="X126" i="135" s="1"/>
  <c r="C118" i="135"/>
  <c r="C120" i="135" s="1"/>
  <c r="K118" i="135"/>
  <c r="K120" i="135" s="1"/>
  <c r="E119" i="135"/>
  <c r="E120" i="135" s="1"/>
  <c r="T138" i="135"/>
  <c r="W141" i="135"/>
  <c r="C130" i="135"/>
  <c r="C131" i="135" s="1"/>
  <c r="T109" i="134"/>
  <c r="T108" i="134"/>
  <c r="T110" i="134" s="1"/>
  <c r="BA2" i="134"/>
  <c r="AZ2" i="134"/>
  <c r="AY2" i="134"/>
  <c r="AX2" i="134"/>
  <c r="AW2" i="134"/>
  <c r="AV2" i="134"/>
  <c r="AU2" i="134"/>
  <c r="AT2" i="134"/>
  <c r="AS2" i="134"/>
  <c r="AR2" i="134"/>
  <c r="AQ2" i="134"/>
  <c r="AP2" i="134"/>
  <c r="AO2" i="134"/>
  <c r="AN2" i="134"/>
  <c r="AM2" i="134"/>
  <c r="AL2" i="134"/>
  <c r="AK2" i="134"/>
  <c r="AJ2" i="134"/>
  <c r="AI2" i="134"/>
  <c r="AH2" i="134"/>
  <c r="AG2" i="134"/>
  <c r="AF2" i="134"/>
  <c r="AE2" i="134"/>
  <c r="AD2" i="134"/>
  <c r="AC2" i="134"/>
  <c r="AB2" i="134"/>
  <c r="AA2" i="134"/>
  <c r="Z2" i="134"/>
  <c r="Y2" i="134"/>
  <c r="X2" i="134"/>
  <c r="U111" i="134" s="1"/>
  <c r="X94" i="134"/>
  <c r="P103" i="136" l="1"/>
  <c r="P104" i="136"/>
  <c r="P112" i="136" s="1"/>
  <c r="P121" i="136" s="1"/>
  <c r="P108" i="136"/>
  <c r="N102" i="135"/>
  <c r="O102" i="135"/>
  <c r="T141" i="135"/>
  <c r="Z141" i="135" s="1"/>
  <c r="Z152" i="135" s="1"/>
  <c r="T134" i="135"/>
  <c r="T116" i="135" s="1"/>
  <c r="T122" i="135" s="1"/>
  <c r="T124" i="135" s="1"/>
  <c r="B120" i="135"/>
  <c r="N118" i="135"/>
  <c r="N119" i="135"/>
  <c r="Z128" i="135"/>
  <c r="C136" i="135"/>
  <c r="C138" i="135" s="1"/>
  <c r="AD155" i="135"/>
  <c r="AA155" i="135"/>
  <c r="AD154" i="135"/>
  <c r="H204" i="134"/>
  <c r="AB154" i="134"/>
  <c r="X150" i="134"/>
  <c r="U150" i="134"/>
  <c r="C150" i="134"/>
  <c r="C147" i="134"/>
  <c r="C146" i="134"/>
  <c r="AB145" i="134"/>
  <c r="X145" i="134"/>
  <c r="U145" i="134"/>
  <c r="U143" i="134" s="1"/>
  <c r="X144" i="134"/>
  <c r="U144" i="134"/>
  <c r="R141" i="134"/>
  <c r="W140" i="134"/>
  <c r="T140" i="134"/>
  <c r="W139" i="134"/>
  <c r="W144" i="134" s="1"/>
  <c r="T139" i="134"/>
  <c r="T144" i="134" s="1"/>
  <c r="W138" i="134"/>
  <c r="C137" i="134"/>
  <c r="B137" i="134" s="1"/>
  <c r="X136" i="134"/>
  <c r="X137" i="134" s="1"/>
  <c r="W136" i="134"/>
  <c r="U136" i="134"/>
  <c r="U137" i="134" s="1"/>
  <c r="T136" i="134"/>
  <c r="W135" i="134"/>
  <c r="W134" i="134"/>
  <c r="W143" i="134" s="1"/>
  <c r="X133" i="134"/>
  <c r="W133" i="134"/>
  <c r="U133" i="134"/>
  <c r="U148" i="134" s="1"/>
  <c r="C133" i="134"/>
  <c r="B133" i="134" s="1"/>
  <c r="B134" i="134" s="1"/>
  <c r="W132" i="134"/>
  <c r="T132" i="134"/>
  <c r="B130" i="134"/>
  <c r="C130" i="134" s="1"/>
  <c r="C131" i="134" s="1"/>
  <c r="B127" i="134"/>
  <c r="C127" i="134" s="1"/>
  <c r="B126" i="134"/>
  <c r="C126" i="134" s="1"/>
  <c r="B125" i="134"/>
  <c r="C125" i="134" s="1"/>
  <c r="AB124" i="134"/>
  <c r="X124" i="134"/>
  <c r="X122" i="134" s="1"/>
  <c r="U124" i="134"/>
  <c r="B124" i="134"/>
  <c r="C124" i="134" s="1"/>
  <c r="X123" i="134"/>
  <c r="U123" i="134"/>
  <c r="R120" i="134"/>
  <c r="W119" i="134"/>
  <c r="T119" i="134"/>
  <c r="W118" i="134"/>
  <c r="W123" i="134" s="1"/>
  <c r="T118" i="134"/>
  <c r="T123" i="134" s="1"/>
  <c r="W117" i="134"/>
  <c r="M117" i="134"/>
  <c r="L117" i="134"/>
  <c r="K117" i="134"/>
  <c r="J117" i="134"/>
  <c r="I117" i="134"/>
  <c r="H117" i="134"/>
  <c r="G117" i="134"/>
  <c r="F117" i="134"/>
  <c r="E117" i="134"/>
  <c r="D117" i="134"/>
  <c r="C117" i="134"/>
  <c r="B117" i="134"/>
  <c r="W116" i="134"/>
  <c r="M114" i="134"/>
  <c r="L114" i="134"/>
  <c r="K114" i="134"/>
  <c r="J114" i="134"/>
  <c r="I114" i="134"/>
  <c r="H114" i="134"/>
  <c r="G114" i="134"/>
  <c r="F114" i="134"/>
  <c r="E114" i="134"/>
  <c r="D114" i="134"/>
  <c r="C114" i="134"/>
  <c r="B114" i="134"/>
  <c r="M111" i="134"/>
  <c r="L111" i="134"/>
  <c r="K111" i="134"/>
  <c r="J111" i="134"/>
  <c r="I111" i="134"/>
  <c r="H111" i="134"/>
  <c r="G111" i="134"/>
  <c r="F111" i="134"/>
  <c r="E111" i="134"/>
  <c r="D111" i="134"/>
  <c r="C111" i="134"/>
  <c r="B111" i="134"/>
  <c r="M108" i="134"/>
  <c r="L108" i="134"/>
  <c r="K108" i="134"/>
  <c r="J108" i="134"/>
  <c r="I108" i="134"/>
  <c r="H108" i="134"/>
  <c r="G108" i="134"/>
  <c r="F108" i="134"/>
  <c r="E108" i="134"/>
  <c r="D108" i="134"/>
  <c r="O108" i="135" s="1"/>
  <c r="C108" i="134"/>
  <c r="B108" i="134"/>
  <c r="M105" i="134"/>
  <c r="L105" i="134"/>
  <c r="K105" i="134"/>
  <c r="J105" i="134"/>
  <c r="I105" i="134"/>
  <c r="H105" i="134"/>
  <c r="G105" i="134"/>
  <c r="F105" i="134"/>
  <c r="E105" i="134"/>
  <c r="D105" i="134"/>
  <c r="C105" i="134"/>
  <c r="B105" i="134"/>
  <c r="E102" i="134"/>
  <c r="D102" i="134"/>
  <c r="M101" i="134"/>
  <c r="M119" i="134" s="1"/>
  <c r="L101" i="134"/>
  <c r="L119" i="134" s="1"/>
  <c r="K101" i="134"/>
  <c r="K119" i="134" s="1"/>
  <c r="J101" i="134"/>
  <c r="J102" i="134" s="1"/>
  <c r="I101" i="134"/>
  <c r="T138" i="134" s="1"/>
  <c r="H101" i="134"/>
  <c r="H119" i="134" s="1"/>
  <c r="G101" i="134"/>
  <c r="G119" i="134" s="1"/>
  <c r="F101" i="134"/>
  <c r="F119" i="134" s="1"/>
  <c r="E101" i="134"/>
  <c r="E119" i="134" s="1"/>
  <c r="D101" i="134"/>
  <c r="D119" i="134" s="1"/>
  <c r="C101" i="134"/>
  <c r="C119" i="134" s="1"/>
  <c r="B101" i="134"/>
  <c r="B102" i="134" s="1"/>
  <c r="M100" i="134"/>
  <c r="M118" i="134" s="1"/>
  <c r="L100" i="134"/>
  <c r="L118" i="134" s="1"/>
  <c r="K100" i="134"/>
  <c r="J100" i="134"/>
  <c r="J118" i="134" s="1"/>
  <c r="I100" i="134"/>
  <c r="I102" i="134" s="1"/>
  <c r="H100" i="134"/>
  <c r="H102" i="134" s="1"/>
  <c r="G100" i="134"/>
  <c r="G118" i="134" s="1"/>
  <c r="F100" i="134"/>
  <c r="F118" i="134" s="1"/>
  <c r="F120" i="134" s="1"/>
  <c r="E100" i="134"/>
  <c r="E118" i="134" s="1"/>
  <c r="E120" i="134" s="1"/>
  <c r="D100" i="134"/>
  <c r="D118" i="134" s="1"/>
  <c r="D120" i="134" s="1"/>
  <c r="C100" i="134"/>
  <c r="B100" i="134"/>
  <c r="B118" i="134" s="1"/>
  <c r="W94" i="134"/>
  <c r="V94" i="134"/>
  <c r="U94" i="134"/>
  <c r="T94" i="134"/>
  <c r="S94" i="134"/>
  <c r="R94" i="134"/>
  <c r="Q94" i="134"/>
  <c r="P94" i="134"/>
  <c r="O94" i="134"/>
  <c r="N94" i="134"/>
  <c r="M94" i="134"/>
  <c r="L94" i="134"/>
  <c r="K94" i="134"/>
  <c r="J94" i="134"/>
  <c r="I94" i="134"/>
  <c r="H94" i="134"/>
  <c r="G94" i="134"/>
  <c r="F94" i="134"/>
  <c r="E94" i="134"/>
  <c r="D94" i="134"/>
  <c r="C94" i="134"/>
  <c r="B94" i="134"/>
  <c r="BB93" i="134"/>
  <c r="BB92" i="134"/>
  <c r="BB91" i="134"/>
  <c r="BB90" i="134"/>
  <c r="BB89" i="134"/>
  <c r="BB88" i="134"/>
  <c r="BB87" i="134"/>
  <c r="BB86" i="134"/>
  <c r="BB85" i="134"/>
  <c r="BB84" i="134"/>
  <c r="BB83" i="134"/>
  <c r="BB82" i="134"/>
  <c r="BB81" i="134"/>
  <c r="BB80" i="134"/>
  <c r="BB79" i="134"/>
  <c r="BB78" i="134"/>
  <c r="BB77" i="134"/>
  <c r="BB76" i="134"/>
  <c r="BB75" i="134"/>
  <c r="BB74" i="134"/>
  <c r="BB73" i="134"/>
  <c r="BB72" i="134"/>
  <c r="BB71" i="134"/>
  <c r="BB70" i="134"/>
  <c r="BB69" i="134"/>
  <c r="BB68" i="134"/>
  <c r="BB67" i="134"/>
  <c r="BB66" i="134"/>
  <c r="BB65" i="134"/>
  <c r="BB64" i="134"/>
  <c r="BB63" i="134"/>
  <c r="BB62" i="134"/>
  <c r="BB61" i="134"/>
  <c r="BB60" i="134"/>
  <c r="BB59" i="134"/>
  <c r="BB58" i="134"/>
  <c r="BB57" i="134"/>
  <c r="BB56" i="134"/>
  <c r="BB55" i="134"/>
  <c r="BB54" i="134"/>
  <c r="BB53" i="134"/>
  <c r="BB52" i="134"/>
  <c r="BB51" i="134"/>
  <c r="BB50" i="134"/>
  <c r="BB49" i="134"/>
  <c r="BB48" i="134"/>
  <c r="BB47" i="134"/>
  <c r="BB46" i="134"/>
  <c r="BB45" i="134"/>
  <c r="BB44" i="134"/>
  <c r="BB43" i="134"/>
  <c r="BB42" i="134"/>
  <c r="BB41" i="134"/>
  <c r="BB40" i="134"/>
  <c r="BB39" i="134"/>
  <c r="BB38" i="134"/>
  <c r="BB37" i="134"/>
  <c r="BB36" i="134"/>
  <c r="BB35" i="134"/>
  <c r="BB34" i="134"/>
  <c r="BB33" i="134"/>
  <c r="BB32" i="134"/>
  <c r="BB31" i="134"/>
  <c r="BB30" i="134"/>
  <c r="BB29" i="134"/>
  <c r="BB28" i="134"/>
  <c r="BB27" i="134"/>
  <c r="BB26" i="134"/>
  <c r="BB25" i="134"/>
  <c r="BB24" i="134"/>
  <c r="BB23" i="134"/>
  <c r="BB22" i="134"/>
  <c r="BB21" i="134"/>
  <c r="BB20" i="134"/>
  <c r="BB19" i="134"/>
  <c r="BB18" i="134"/>
  <c r="BB17" i="134"/>
  <c r="BB16" i="134"/>
  <c r="BB15" i="134"/>
  <c r="BB14" i="134"/>
  <c r="BB13" i="134"/>
  <c r="BB12" i="134"/>
  <c r="BB11" i="134"/>
  <c r="BB10" i="134"/>
  <c r="BB9" i="134"/>
  <c r="BB8" i="134"/>
  <c r="BB7" i="134"/>
  <c r="BB6" i="134"/>
  <c r="BB5" i="134"/>
  <c r="BB4" i="134"/>
  <c r="C102" i="134" l="1"/>
  <c r="BB94" i="134"/>
  <c r="B131" i="134"/>
  <c r="P111" i="136"/>
  <c r="U122" i="134"/>
  <c r="W141" i="134"/>
  <c r="X143" i="134"/>
  <c r="N108" i="134"/>
  <c r="O108" i="138"/>
  <c r="O120" i="138" s="1"/>
  <c r="P120" i="138" s="1"/>
  <c r="O108" i="137"/>
  <c r="O120" i="137" s="1"/>
  <c r="P120" i="137" s="1"/>
  <c r="O108" i="136"/>
  <c r="AA124" i="134"/>
  <c r="W120" i="134"/>
  <c r="C151" i="134"/>
  <c r="AA145" i="134"/>
  <c r="AA154" i="134" s="1"/>
  <c r="C134" i="134"/>
  <c r="N120" i="135"/>
  <c r="U126" i="135"/>
  <c r="AB126" i="135" s="1"/>
  <c r="Z124" i="135"/>
  <c r="AA126" i="135" s="1"/>
  <c r="Z154" i="135"/>
  <c r="T137" i="135"/>
  <c r="U149" i="135" s="1"/>
  <c r="T143" i="135"/>
  <c r="T145" i="135" s="1"/>
  <c r="I118" i="134"/>
  <c r="W137" i="134"/>
  <c r="X149" i="134" s="1"/>
  <c r="K102" i="134"/>
  <c r="L102" i="134"/>
  <c r="H118" i="134"/>
  <c r="H120" i="134" s="1"/>
  <c r="M120" i="134"/>
  <c r="M102" i="134"/>
  <c r="T117" i="134"/>
  <c r="T120" i="134" s="1"/>
  <c r="X148" i="134"/>
  <c r="P107" i="134"/>
  <c r="G120" i="134"/>
  <c r="AD124" i="134"/>
  <c r="AA128" i="134"/>
  <c r="C128" i="134"/>
  <c r="C136" i="134" s="1"/>
  <c r="C138" i="134" s="1"/>
  <c r="AD145" i="134"/>
  <c r="W145" i="134"/>
  <c r="X147" i="134" s="1"/>
  <c r="T141" i="134"/>
  <c r="Z141" i="134" s="1"/>
  <c r="Z152" i="134" s="1"/>
  <c r="L120" i="134"/>
  <c r="N100" i="134"/>
  <c r="B128" i="134"/>
  <c r="B136" i="134" s="1"/>
  <c r="B138" i="134" s="1"/>
  <c r="G102" i="134"/>
  <c r="C118" i="134"/>
  <c r="K118" i="134"/>
  <c r="K120" i="134" s="1"/>
  <c r="T111" i="134"/>
  <c r="V111" i="134" s="1"/>
  <c r="W122" i="134"/>
  <c r="W124" i="134" s="1"/>
  <c r="X126" i="134" s="1"/>
  <c r="V134" i="134"/>
  <c r="T134" i="134" s="1"/>
  <c r="I119" i="134"/>
  <c r="B119" i="134"/>
  <c r="J119" i="134"/>
  <c r="J120" i="134" s="1"/>
  <c r="F102" i="134"/>
  <c r="N101" i="134"/>
  <c r="AA152" i="134" l="1"/>
  <c r="Z120" i="134"/>
  <c r="Z128" i="134" s="1"/>
  <c r="I120" i="134"/>
  <c r="P104" i="135"/>
  <c r="P112" i="135" s="1"/>
  <c r="P121" i="135" s="1"/>
  <c r="P103" i="135"/>
  <c r="P108" i="135"/>
  <c r="O120" i="136"/>
  <c r="P120" i="136" s="1"/>
  <c r="AA157" i="135"/>
  <c r="Z155" i="135"/>
  <c r="U147" i="135"/>
  <c r="AB147" i="135" s="1"/>
  <c r="Z145" i="135"/>
  <c r="AA147" i="135" s="1"/>
  <c r="AA156" i="135" s="1"/>
  <c r="AC126" i="135"/>
  <c r="N102" i="134"/>
  <c r="T116" i="134"/>
  <c r="T122" i="134" s="1"/>
  <c r="T124" i="134" s="1"/>
  <c r="T143" i="134"/>
  <c r="T145" i="134" s="1"/>
  <c r="T137" i="134"/>
  <c r="U149" i="134" s="1"/>
  <c r="O102" i="134"/>
  <c r="N118" i="134"/>
  <c r="C120" i="134"/>
  <c r="B120" i="134"/>
  <c r="N119" i="134"/>
  <c r="Z154" i="134"/>
  <c r="AD155" i="134"/>
  <c r="AA155" i="134"/>
  <c r="AD154" i="134"/>
  <c r="H204" i="133"/>
  <c r="P111" i="135" l="1"/>
  <c r="U126" i="134"/>
  <c r="AB126" i="134" s="1"/>
  <c r="Z124" i="134"/>
  <c r="AA126" i="134" s="1"/>
  <c r="U147" i="134"/>
  <c r="AB147" i="134" s="1"/>
  <c r="Z145" i="134"/>
  <c r="AA147" i="134" s="1"/>
  <c r="AA157" i="134"/>
  <c r="Z155" i="134"/>
  <c r="N120" i="134"/>
  <c r="O120" i="135" s="1"/>
  <c r="P120" i="135" s="1"/>
  <c r="AC126" i="134" l="1"/>
  <c r="AA156" i="134"/>
  <c r="T109" i="133" l="1"/>
  <c r="T108" i="133"/>
  <c r="T110" i="133" s="1"/>
  <c r="BA2" i="133" l="1"/>
  <c r="AZ2" i="133"/>
  <c r="AY2" i="133"/>
  <c r="AX2" i="133"/>
  <c r="AW2" i="133"/>
  <c r="AV2" i="133"/>
  <c r="AU2" i="133"/>
  <c r="AT2" i="133"/>
  <c r="AS2" i="133"/>
  <c r="AR2" i="133"/>
  <c r="AQ2" i="133"/>
  <c r="AP2" i="133"/>
  <c r="AO2" i="133"/>
  <c r="AN2" i="133"/>
  <c r="AM2" i="133"/>
  <c r="AL2" i="133"/>
  <c r="AK2" i="133"/>
  <c r="AJ2" i="133"/>
  <c r="AI2" i="133"/>
  <c r="AH2" i="133"/>
  <c r="AG2" i="133"/>
  <c r="AF2" i="133"/>
  <c r="AE2" i="133"/>
  <c r="AD2" i="133"/>
  <c r="AC2" i="133"/>
  <c r="AB2" i="133"/>
  <c r="AA2" i="133"/>
  <c r="Z2" i="133"/>
  <c r="Y2" i="133"/>
  <c r="X2" i="133"/>
  <c r="W94" i="133"/>
  <c r="W2" i="133" l="1"/>
  <c r="U111" i="133" s="1"/>
  <c r="X150" i="133"/>
  <c r="U150" i="133"/>
  <c r="C150" i="133"/>
  <c r="C147" i="133"/>
  <c r="C146" i="133"/>
  <c r="AB145" i="133"/>
  <c r="X145" i="133"/>
  <c r="U145" i="133"/>
  <c r="X144" i="133"/>
  <c r="U144" i="133"/>
  <c r="U143" i="133" s="1"/>
  <c r="X143" i="133"/>
  <c r="R141" i="133"/>
  <c r="AA145" i="133" s="1"/>
  <c r="AA152" i="133" s="1"/>
  <c r="W140" i="133"/>
  <c r="T140" i="133"/>
  <c r="W139" i="133"/>
  <c r="W144" i="133" s="1"/>
  <c r="T139" i="133"/>
  <c r="T144" i="133" s="1"/>
  <c r="W138" i="133"/>
  <c r="W143" i="133" s="1"/>
  <c r="C137" i="133"/>
  <c r="B137" i="133" s="1"/>
  <c r="X136" i="133"/>
  <c r="X137" i="133" s="1"/>
  <c r="W136" i="133"/>
  <c r="U136" i="133"/>
  <c r="U137" i="133" s="1"/>
  <c r="T136" i="133"/>
  <c r="W135" i="133"/>
  <c r="W134" i="133"/>
  <c r="X133" i="133"/>
  <c r="W133" i="133"/>
  <c r="U133" i="133"/>
  <c r="U148" i="133" s="1"/>
  <c r="C133" i="133"/>
  <c r="C134" i="133" s="1"/>
  <c r="B133" i="133"/>
  <c r="B134" i="133" s="1"/>
  <c r="W132" i="133"/>
  <c r="W137" i="133" s="1"/>
  <c r="T132" i="133"/>
  <c r="B130" i="133"/>
  <c r="C130" i="133" s="1"/>
  <c r="C131" i="133" s="1"/>
  <c r="B127" i="133"/>
  <c r="C127" i="133" s="1"/>
  <c r="B126" i="133"/>
  <c r="C126" i="133" s="1"/>
  <c r="B125" i="133"/>
  <c r="C125" i="133" s="1"/>
  <c r="AB124" i="133"/>
  <c r="AB154" i="133" s="1"/>
  <c r="X124" i="133"/>
  <c r="U124" i="133"/>
  <c r="U122" i="133" s="1"/>
  <c r="B124" i="133"/>
  <c r="C124" i="133" s="1"/>
  <c r="X123" i="133"/>
  <c r="U123" i="133"/>
  <c r="R120" i="133"/>
  <c r="W119" i="133"/>
  <c r="T119" i="133"/>
  <c r="W118" i="133"/>
  <c r="W123" i="133" s="1"/>
  <c r="T118" i="133"/>
  <c r="T123" i="133" s="1"/>
  <c r="W117" i="133"/>
  <c r="M117" i="133"/>
  <c r="L117" i="133"/>
  <c r="K117" i="133"/>
  <c r="J117" i="133"/>
  <c r="I117" i="133"/>
  <c r="H117" i="133"/>
  <c r="G117" i="133"/>
  <c r="F117" i="133"/>
  <c r="E117" i="133"/>
  <c r="D117" i="133"/>
  <c r="C117" i="133"/>
  <c r="B117" i="133"/>
  <c r="W116" i="133"/>
  <c r="M114" i="133"/>
  <c r="L114" i="133"/>
  <c r="K114" i="133"/>
  <c r="J114" i="133"/>
  <c r="I114" i="133"/>
  <c r="H114" i="133"/>
  <c r="G114" i="133"/>
  <c r="F114" i="133"/>
  <c r="E114" i="133"/>
  <c r="D114" i="133"/>
  <c r="C114" i="133"/>
  <c r="B114" i="133"/>
  <c r="M111" i="133"/>
  <c r="L111" i="133"/>
  <c r="K111" i="133"/>
  <c r="J111" i="133"/>
  <c r="I111" i="133"/>
  <c r="H111" i="133"/>
  <c r="G111" i="133"/>
  <c r="F111" i="133"/>
  <c r="E111" i="133"/>
  <c r="D111" i="133"/>
  <c r="C111" i="133"/>
  <c r="B111" i="133"/>
  <c r="M108" i="133"/>
  <c r="L108" i="133"/>
  <c r="K108" i="133"/>
  <c r="J108" i="133"/>
  <c r="I108" i="133"/>
  <c r="H108" i="133"/>
  <c r="G108" i="133"/>
  <c r="F108" i="133"/>
  <c r="E108" i="133"/>
  <c r="D108" i="133"/>
  <c r="C108" i="133"/>
  <c r="B108" i="133"/>
  <c r="M105" i="133"/>
  <c r="L105" i="133"/>
  <c r="K105" i="133"/>
  <c r="J105" i="133"/>
  <c r="I105" i="133"/>
  <c r="H105" i="133"/>
  <c r="G105" i="133"/>
  <c r="F105" i="133"/>
  <c r="E105" i="133"/>
  <c r="D105" i="133"/>
  <c r="C105" i="133"/>
  <c r="B105" i="133"/>
  <c r="M101" i="133"/>
  <c r="M119" i="133" s="1"/>
  <c r="L101" i="133"/>
  <c r="L119" i="133" s="1"/>
  <c r="K101" i="133"/>
  <c r="K119" i="133" s="1"/>
  <c r="J101" i="133"/>
  <c r="J119" i="133" s="1"/>
  <c r="I101" i="133"/>
  <c r="T138" i="133" s="1"/>
  <c r="H101" i="133"/>
  <c r="H119" i="133" s="1"/>
  <c r="G101" i="133"/>
  <c r="G119" i="133" s="1"/>
  <c r="F101" i="133"/>
  <c r="F119" i="133" s="1"/>
  <c r="E101" i="133"/>
  <c r="E119" i="133" s="1"/>
  <c r="D101" i="133"/>
  <c r="D119" i="133" s="1"/>
  <c r="C101" i="133"/>
  <c r="C119" i="133" s="1"/>
  <c r="B101" i="133"/>
  <c r="M100" i="133"/>
  <c r="M118" i="133" s="1"/>
  <c r="L100" i="133"/>
  <c r="L118" i="133" s="1"/>
  <c r="L120" i="133" s="1"/>
  <c r="K100" i="133"/>
  <c r="K102" i="133" s="1"/>
  <c r="J100" i="133"/>
  <c r="J118" i="133" s="1"/>
  <c r="J120" i="133" s="1"/>
  <c r="I100" i="133"/>
  <c r="I102" i="133" s="1"/>
  <c r="H100" i="133"/>
  <c r="G100" i="133"/>
  <c r="G118" i="133" s="1"/>
  <c r="F100" i="133"/>
  <c r="F118" i="133" s="1"/>
  <c r="E100" i="133"/>
  <c r="E118" i="133" s="1"/>
  <c r="D100" i="133"/>
  <c r="D118" i="133" s="1"/>
  <c r="D120" i="133" s="1"/>
  <c r="C100" i="133"/>
  <c r="C118" i="133" s="1"/>
  <c r="C120" i="133" s="1"/>
  <c r="B100" i="133"/>
  <c r="B118" i="133" s="1"/>
  <c r="V94" i="133"/>
  <c r="U94" i="133"/>
  <c r="T94" i="133"/>
  <c r="S94" i="133"/>
  <c r="R94" i="133"/>
  <c r="Q94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C94" i="133"/>
  <c r="B94" i="133"/>
  <c r="BB93" i="133"/>
  <c r="BB92" i="133"/>
  <c r="BB91" i="133"/>
  <c r="BB90" i="133"/>
  <c r="BB89" i="133"/>
  <c r="BB88" i="133"/>
  <c r="BB87" i="133"/>
  <c r="BB86" i="133"/>
  <c r="BB85" i="133"/>
  <c r="BB84" i="133"/>
  <c r="BB83" i="133"/>
  <c r="BB82" i="133"/>
  <c r="BB81" i="133"/>
  <c r="BB80" i="133"/>
  <c r="BB79" i="133"/>
  <c r="BB78" i="133"/>
  <c r="BB77" i="133"/>
  <c r="BB76" i="133"/>
  <c r="BB75" i="133"/>
  <c r="BB74" i="133"/>
  <c r="BB73" i="133"/>
  <c r="BB72" i="133"/>
  <c r="BB71" i="133"/>
  <c r="BB70" i="133"/>
  <c r="BB69" i="133"/>
  <c r="BB68" i="133"/>
  <c r="BB67" i="133"/>
  <c r="BB66" i="133"/>
  <c r="BB65" i="133"/>
  <c r="BB64" i="133"/>
  <c r="BB63" i="133"/>
  <c r="BB62" i="133"/>
  <c r="BB61" i="133"/>
  <c r="BB60" i="133"/>
  <c r="BB59" i="133"/>
  <c r="BB58" i="133"/>
  <c r="BB57" i="133"/>
  <c r="BB56" i="133"/>
  <c r="BB55" i="133"/>
  <c r="BB54" i="133"/>
  <c r="BB53" i="133"/>
  <c r="BB52" i="133"/>
  <c r="BB51" i="133"/>
  <c r="BB50" i="133"/>
  <c r="BB49" i="133"/>
  <c r="BB48" i="133"/>
  <c r="BB47" i="133"/>
  <c r="BB46" i="133"/>
  <c r="BB45" i="133"/>
  <c r="BB44" i="133"/>
  <c r="BB43" i="133"/>
  <c r="BB42" i="133"/>
  <c r="BB41" i="133"/>
  <c r="BB40" i="133"/>
  <c r="BB39" i="133"/>
  <c r="BB38" i="133"/>
  <c r="BB37" i="133"/>
  <c r="BB36" i="133"/>
  <c r="BB35" i="133"/>
  <c r="BB34" i="133"/>
  <c r="BB33" i="133"/>
  <c r="BB32" i="133"/>
  <c r="BB31" i="133"/>
  <c r="BB30" i="133"/>
  <c r="BB29" i="133"/>
  <c r="BB28" i="133"/>
  <c r="BB27" i="133"/>
  <c r="BB26" i="133"/>
  <c r="BB25" i="133"/>
  <c r="BB24" i="133"/>
  <c r="BB23" i="133"/>
  <c r="BB22" i="133"/>
  <c r="BB21" i="133"/>
  <c r="BB20" i="133"/>
  <c r="BB19" i="133"/>
  <c r="BB18" i="133"/>
  <c r="BB17" i="133"/>
  <c r="BB16" i="133"/>
  <c r="BB15" i="133"/>
  <c r="BB14" i="133"/>
  <c r="BB13" i="133"/>
  <c r="BB12" i="133"/>
  <c r="BB11" i="133"/>
  <c r="BB10" i="133"/>
  <c r="BB9" i="133"/>
  <c r="BB8" i="133"/>
  <c r="BB7" i="133"/>
  <c r="BB6" i="133"/>
  <c r="BB5" i="133"/>
  <c r="BB4" i="133"/>
  <c r="V134" i="133" l="1"/>
  <c r="B102" i="133"/>
  <c r="C102" i="133"/>
  <c r="W120" i="133"/>
  <c r="F102" i="133"/>
  <c r="J102" i="133"/>
  <c r="X148" i="133"/>
  <c r="BB94" i="133"/>
  <c r="N108" i="133"/>
  <c r="W122" i="133"/>
  <c r="W124" i="133" s="1"/>
  <c r="X126" i="133" s="1"/>
  <c r="X122" i="133"/>
  <c r="W141" i="133"/>
  <c r="C151" i="133"/>
  <c r="W145" i="133"/>
  <c r="X147" i="133" s="1"/>
  <c r="H102" i="133"/>
  <c r="C128" i="133"/>
  <c r="C136" i="133" s="1"/>
  <c r="C138" i="133" s="1"/>
  <c r="N100" i="133"/>
  <c r="K118" i="133"/>
  <c r="K120" i="133" s="1"/>
  <c r="N101" i="133"/>
  <c r="G120" i="133"/>
  <c r="G102" i="133"/>
  <c r="P107" i="133"/>
  <c r="E120" i="133"/>
  <c r="T141" i="133"/>
  <c r="Z141" i="133" s="1"/>
  <c r="Z152" i="133" s="1"/>
  <c r="T134" i="133"/>
  <c r="T116" i="133" s="1"/>
  <c r="X149" i="133"/>
  <c r="F120" i="133"/>
  <c r="M120" i="133"/>
  <c r="B120" i="133"/>
  <c r="AA124" i="133"/>
  <c r="B131" i="133"/>
  <c r="D102" i="133"/>
  <c r="L102" i="133"/>
  <c r="T117" i="133"/>
  <c r="H118" i="133"/>
  <c r="H120" i="133" s="1"/>
  <c r="I119" i="133"/>
  <c r="B128" i="133"/>
  <c r="E102" i="133"/>
  <c r="M102" i="133"/>
  <c r="I118" i="133"/>
  <c r="B119" i="133"/>
  <c r="T111" i="133"/>
  <c r="V111" i="133" s="1"/>
  <c r="AD145" i="133"/>
  <c r="G101" i="132"/>
  <c r="G100" i="132"/>
  <c r="P108" i="134" l="1"/>
  <c r="P103" i="134"/>
  <c r="P104" i="134"/>
  <c r="P112" i="134" s="1"/>
  <c r="P121" i="134" s="1"/>
  <c r="N102" i="133"/>
  <c r="I120" i="133"/>
  <c r="N120" i="133" s="1"/>
  <c r="O102" i="133"/>
  <c r="T137" i="133"/>
  <c r="U149" i="133" s="1"/>
  <c r="B136" i="133"/>
  <c r="B138" i="133" s="1"/>
  <c r="N118" i="133"/>
  <c r="T143" i="133"/>
  <c r="T145" i="133" s="1"/>
  <c r="T122" i="133"/>
  <c r="T124" i="133" s="1"/>
  <c r="T120" i="133"/>
  <c r="Z120" i="133" s="1"/>
  <c r="AD124" i="133"/>
  <c r="AD155" i="133" s="1"/>
  <c r="AA128" i="133"/>
  <c r="AA154" i="133"/>
  <c r="N119" i="133"/>
  <c r="T109" i="132"/>
  <c r="T108" i="132"/>
  <c r="T110" i="132" s="1"/>
  <c r="W2" i="132"/>
  <c r="BA2" i="132"/>
  <c r="AZ2" i="132"/>
  <c r="AY2" i="132"/>
  <c r="AX2" i="132"/>
  <c r="AW2" i="132"/>
  <c r="AV2" i="132"/>
  <c r="AU2" i="132"/>
  <c r="AT2" i="132"/>
  <c r="AS2" i="132"/>
  <c r="AR2" i="132"/>
  <c r="AQ2" i="132"/>
  <c r="AP2" i="132"/>
  <c r="AO2" i="132"/>
  <c r="AN2" i="132"/>
  <c r="AM2" i="132"/>
  <c r="AL2" i="132"/>
  <c r="AK2" i="132"/>
  <c r="AJ2" i="132"/>
  <c r="AI2" i="132"/>
  <c r="AH2" i="132"/>
  <c r="AG2" i="132"/>
  <c r="AF2" i="132"/>
  <c r="AE2" i="132"/>
  <c r="AD2" i="132"/>
  <c r="AC2" i="132"/>
  <c r="AB2" i="132"/>
  <c r="AA2" i="132"/>
  <c r="Z2" i="132"/>
  <c r="Y2" i="132"/>
  <c r="X2" i="132"/>
  <c r="P111" i="134" l="1"/>
  <c r="U126" i="133"/>
  <c r="AB126" i="133" s="1"/>
  <c r="Z124" i="133"/>
  <c r="AA126" i="133" s="1"/>
  <c r="U147" i="133"/>
  <c r="AB147" i="133" s="1"/>
  <c r="Z145" i="133"/>
  <c r="AA147" i="133" s="1"/>
  <c r="Z154" i="133"/>
  <c r="Z128" i="133"/>
  <c r="AA155" i="133"/>
  <c r="AD154" i="133"/>
  <c r="V2" i="132"/>
  <c r="V94" i="132"/>
  <c r="AC126" i="133" l="1"/>
  <c r="AA156" i="133"/>
  <c r="AA157" i="133"/>
  <c r="Z155" i="133"/>
  <c r="P107" i="132"/>
  <c r="U111" i="132"/>
  <c r="X150" i="132"/>
  <c r="U150" i="132"/>
  <c r="C150" i="132"/>
  <c r="C147" i="132"/>
  <c r="C146" i="132"/>
  <c r="AB145" i="132"/>
  <c r="X145" i="132"/>
  <c r="U145" i="132"/>
  <c r="U143" i="132" s="1"/>
  <c r="X144" i="132"/>
  <c r="U144" i="132"/>
  <c r="R141" i="132"/>
  <c r="W140" i="132"/>
  <c r="T140" i="132"/>
  <c r="W139" i="132"/>
  <c r="W144" i="132" s="1"/>
  <c r="T139" i="132"/>
  <c r="T144" i="132" s="1"/>
  <c r="W138" i="132"/>
  <c r="C137" i="132"/>
  <c r="B137" i="132" s="1"/>
  <c r="X136" i="132"/>
  <c r="X137" i="132" s="1"/>
  <c r="W136" i="132"/>
  <c r="U136" i="132"/>
  <c r="U137" i="132" s="1"/>
  <c r="T136" i="132"/>
  <c r="W135" i="132"/>
  <c r="W134" i="132"/>
  <c r="X133" i="132"/>
  <c r="W133" i="132"/>
  <c r="X148" i="132" s="1"/>
  <c r="U133" i="132"/>
  <c r="U148" i="132" s="1"/>
  <c r="C133" i="132"/>
  <c r="B133" i="132" s="1"/>
  <c r="B134" i="132" s="1"/>
  <c r="W132" i="132"/>
  <c r="T132" i="132"/>
  <c r="B130" i="132"/>
  <c r="C130" i="132" s="1"/>
  <c r="C131" i="132" s="1"/>
  <c r="B127" i="132"/>
  <c r="C127" i="132" s="1"/>
  <c r="B126" i="132"/>
  <c r="C126" i="132" s="1"/>
  <c r="B125" i="132"/>
  <c r="C125" i="132" s="1"/>
  <c r="AB124" i="132"/>
  <c r="AB154" i="132" s="1"/>
  <c r="X124" i="132"/>
  <c r="X122" i="132" s="1"/>
  <c r="U124" i="132"/>
  <c r="B124" i="132"/>
  <c r="C124" i="132" s="1"/>
  <c r="X123" i="132"/>
  <c r="U123" i="132"/>
  <c r="R120" i="132"/>
  <c r="W119" i="132"/>
  <c r="T119" i="132"/>
  <c r="W118" i="132"/>
  <c r="W123" i="132" s="1"/>
  <c r="T118" i="132"/>
  <c r="T123" i="132" s="1"/>
  <c r="W117" i="132"/>
  <c r="M117" i="132"/>
  <c r="L117" i="132"/>
  <c r="K117" i="132"/>
  <c r="J117" i="132"/>
  <c r="I117" i="132"/>
  <c r="H117" i="132"/>
  <c r="G117" i="132"/>
  <c r="F117" i="132"/>
  <c r="E117" i="132"/>
  <c r="D117" i="132"/>
  <c r="C117" i="132"/>
  <c r="B117" i="132"/>
  <c r="W116" i="132"/>
  <c r="M114" i="132"/>
  <c r="L114" i="132"/>
  <c r="K114" i="132"/>
  <c r="J114" i="132"/>
  <c r="I114" i="132"/>
  <c r="H114" i="132"/>
  <c r="G114" i="132"/>
  <c r="F114" i="132"/>
  <c r="E114" i="132"/>
  <c r="D114" i="132"/>
  <c r="C114" i="132"/>
  <c r="B114" i="132"/>
  <c r="M111" i="132"/>
  <c r="L111" i="132"/>
  <c r="K111" i="132"/>
  <c r="J111" i="132"/>
  <c r="I111" i="132"/>
  <c r="H111" i="132"/>
  <c r="G111" i="132"/>
  <c r="F111" i="132"/>
  <c r="E111" i="132"/>
  <c r="D111" i="132"/>
  <c r="C111" i="132"/>
  <c r="B111" i="132"/>
  <c r="M108" i="132"/>
  <c r="L108" i="132"/>
  <c r="K108" i="132"/>
  <c r="J108" i="132"/>
  <c r="I108" i="132"/>
  <c r="H108" i="132"/>
  <c r="G108" i="132"/>
  <c r="F108" i="132"/>
  <c r="E108" i="132"/>
  <c r="D108" i="132"/>
  <c r="C108" i="132"/>
  <c r="B108" i="132"/>
  <c r="M105" i="132"/>
  <c r="L105" i="132"/>
  <c r="K105" i="132"/>
  <c r="J105" i="132"/>
  <c r="I105" i="132"/>
  <c r="H105" i="132"/>
  <c r="G105" i="132"/>
  <c r="F105" i="132"/>
  <c r="E105" i="132"/>
  <c r="D105" i="132"/>
  <c r="C105" i="132"/>
  <c r="B105" i="132"/>
  <c r="M101" i="132"/>
  <c r="M119" i="132" s="1"/>
  <c r="L101" i="132"/>
  <c r="K101" i="132"/>
  <c r="K119" i="132" s="1"/>
  <c r="J101" i="132"/>
  <c r="J119" i="132" s="1"/>
  <c r="I101" i="132"/>
  <c r="I119" i="132" s="1"/>
  <c r="H101" i="132"/>
  <c r="G119" i="132"/>
  <c r="F101" i="132"/>
  <c r="F119" i="132" s="1"/>
  <c r="E101" i="132"/>
  <c r="E119" i="132" s="1"/>
  <c r="D101" i="132"/>
  <c r="C101" i="132"/>
  <c r="C119" i="132" s="1"/>
  <c r="B101" i="132"/>
  <c r="M100" i="132"/>
  <c r="M118" i="132" s="1"/>
  <c r="L100" i="132"/>
  <c r="L118" i="132" s="1"/>
  <c r="K100" i="132"/>
  <c r="K102" i="132" s="1"/>
  <c r="J100" i="132"/>
  <c r="J118" i="132" s="1"/>
  <c r="I100" i="132"/>
  <c r="H100" i="132"/>
  <c r="H118" i="132" s="1"/>
  <c r="F100" i="132"/>
  <c r="E100" i="132"/>
  <c r="E118" i="132" s="1"/>
  <c r="D100" i="132"/>
  <c r="D118" i="132" s="1"/>
  <c r="C100" i="132"/>
  <c r="C118" i="132" s="1"/>
  <c r="B100" i="132"/>
  <c r="B118" i="132" s="1"/>
  <c r="U94" i="132"/>
  <c r="T94" i="132"/>
  <c r="S94" i="132"/>
  <c r="R94" i="132"/>
  <c r="Q94" i="132"/>
  <c r="P94" i="132"/>
  <c r="O94" i="132"/>
  <c r="N94" i="132"/>
  <c r="M94" i="132"/>
  <c r="L94" i="132"/>
  <c r="K94" i="132"/>
  <c r="J94" i="132"/>
  <c r="I94" i="132"/>
  <c r="H94" i="132"/>
  <c r="G94" i="132"/>
  <c r="F94" i="132"/>
  <c r="E94" i="132"/>
  <c r="D94" i="132"/>
  <c r="C94" i="132"/>
  <c r="B94" i="132"/>
  <c r="BB93" i="132"/>
  <c r="BB92" i="132"/>
  <c r="BB91" i="132"/>
  <c r="BB90" i="132"/>
  <c r="BB89" i="132"/>
  <c r="BB88" i="132"/>
  <c r="BB87" i="132"/>
  <c r="BB86" i="132"/>
  <c r="BB85" i="132"/>
  <c r="BB84" i="132"/>
  <c r="BB83" i="132"/>
  <c r="BB82" i="132"/>
  <c r="BB81" i="132"/>
  <c r="BB80" i="132"/>
  <c r="BB79" i="132"/>
  <c r="BB78" i="132"/>
  <c r="BB77" i="132"/>
  <c r="BB76" i="132"/>
  <c r="BB75" i="132"/>
  <c r="BB74" i="132"/>
  <c r="BB73" i="132"/>
  <c r="BB72" i="132"/>
  <c r="BB71" i="132"/>
  <c r="BB70" i="132"/>
  <c r="BB69" i="132"/>
  <c r="BB68" i="132"/>
  <c r="BB67" i="132"/>
  <c r="BB66" i="132"/>
  <c r="BB65" i="132"/>
  <c r="BB64" i="132"/>
  <c r="BB63" i="132"/>
  <c r="BB62" i="132"/>
  <c r="BB61" i="132"/>
  <c r="BB60" i="132"/>
  <c r="BB59" i="132"/>
  <c r="BB58" i="132"/>
  <c r="BB57" i="132"/>
  <c r="BB56" i="132"/>
  <c r="BB55" i="132"/>
  <c r="BB54" i="132"/>
  <c r="BB53" i="132"/>
  <c r="BB52" i="132"/>
  <c r="BB51" i="132"/>
  <c r="BB50" i="132"/>
  <c r="BB49" i="132"/>
  <c r="BB48" i="132"/>
  <c r="BB47" i="132"/>
  <c r="BB46" i="132"/>
  <c r="BB45" i="132"/>
  <c r="BB44" i="132"/>
  <c r="BB43" i="132"/>
  <c r="BB42" i="132"/>
  <c r="BB41" i="132"/>
  <c r="BB40" i="132"/>
  <c r="BB39" i="132"/>
  <c r="BB38" i="132"/>
  <c r="BB37" i="132"/>
  <c r="BB36" i="132"/>
  <c r="BB35" i="132"/>
  <c r="BB34" i="132"/>
  <c r="BB33" i="132"/>
  <c r="BB32" i="132"/>
  <c r="BB31" i="132"/>
  <c r="BB30" i="132"/>
  <c r="BB29" i="132"/>
  <c r="BB28" i="132"/>
  <c r="BB27" i="132"/>
  <c r="BB26" i="132"/>
  <c r="BB25" i="132"/>
  <c r="BB24" i="132"/>
  <c r="BB23" i="132"/>
  <c r="BB22" i="132"/>
  <c r="BB21" i="132"/>
  <c r="BB20" i="132"/>
  <c r="BB19" i="132"/>
  <c r="BB18" i="132"/>
  <c r="BB17" i="132"/>
  <c r="BB16" i="132"/>
  <c r="BB15" i="132"/>
  <c r="BB14" i="132"/>
  <c r="BB13" i="132"/>
  <c r="BB12" i="132"/>
  <c r="BB11" i="132"/>
  <c r="BB10" i="132"/>
  <c r="BB9" i="132"/>
  <c r="BB8" i="132"/>
  <c r="BB7" i="132"/>
  <c r="BB6" i="132"/>
  <c r="BB5" i="132"/>
  <c r="BB4" i="132"/>
  <c r="X143" i="132" l="1"/>
  <c r="C102" i="132"/>
  <c r="AA145" i="132"/>
  <c r="C151" i="132"/>
  <c r="AA124" i="132"/>
  <c r="AA154" i="132" s="1"/>
  <c r="U122" i="132"/>
  <c r="E120" i="132"/>
  <c r="BB94" i="132"/>
  <c r="G102" i="132"/>
  <c r="N108" i="132"/>
  <c r="W141" i="132"/>
  <c r="D102" i="132"/>
  <c r="L102" i="132"/>
  <c r="G118" i="132"/>
  <c r="G120" i="132" s="1"/>
  <c r="T138" i="132"/>
  <c r="I102" i="132"/>
  <c r="K118" i="132"/>
  <c r="K120" i="132" s="1"/>
  <c r="H102" i="132"/>
  <c r="W122" i="132"/>
  <c r="W124" i="132" s="1"/>
  <c r="X126" i="132" s="1"/>
  <c r="C128" i="132"/>
  <c r="V134" i="132"/>
  <c r="N101" i="132"/>
  <c r="F102" i="132"/>
  <c r="AD124" i="132"/>
  <c r="J120" i="132"/>
  <c r="M120" i="132"/>
  <c r="T111" i="132"/>
  <c r="V111" i="132" s="1"/>
  <c r="C120" i="132"/>
  <c r="AA152" i="132"/>
  <c r="AD145" i="132"/>
  <c r="D119" i="132"/>
  <c r="D120" i="132" s="1"/>
  <c r="L119" i="132"/>
  <c r="L120" i="132" s="1"/>
  <c r="B102" i="132"/>
  <c r="J102" i="132"/>
  <c r="F118" i="132"/>
  <c r="F120" i="132" s="1"/>
  <c r="B131" i="132"/>
  <c r="N100" i="132"/>
  <c r="T117" i="132"/>
  <c r="B128" i="132"/>
  <c r="C134" i="132"/>
  <c r="W137" i="132"/>
  <c r="X149" i="132" s="1"/>
  <c r="W143" i="132"/>
  <c r="W145" i="132" s="1"/>
  <c r="X147" i="132" s="1"/>
  <c r="E102" i="132"/>
  <c r="M102" i="132"/>
  <c r="I118" i="132"/>
  <c r="I120" i="132" s="1"/>
  <c r="B119" i="132"/>
  <c r="W120" i="132"/>
  <c r="H119" i="132"/>
  <c r="H120" i="132" s="1"/>
  <c r="P103" i="133" l="1"/>
  <c r="P104" i="133"/>
  <c r="T134" i="132"/>
  <c r="T116" i="132" s="1"/>
  <c r="P108" i="133"/>
  <c r="AA128" i="132"/>
  <c r="T141" i="132"/>
  <c r="Z141" i="132" s="1"/>
  <c r="Z152" i="132" s="1"/>
  <c r="B136" i="132"/>
  <c r="B138" i="132" s="1"/>
  <c r="AD155" i="132"/>
  <c r="C136" i="132"/>
  <c r="C138" i="132" s="1"/>
  <c r="N118" i="132"/>
  <c r="N119" i="132"/>
  <c r="T137" i="132"/>
  <c r="U149" i="132" s="1"/>
  <c r="T143" i="132"/>
  <c r="T145" i="132" s="1"/>
  <c r="N102" i="132"/>
  <c r="T122" i="132"/>
  <c r="T124" i="132" s="1"/>
  <c r="T120" i="132"/>
  <c r="Z120" i="132" s="1"/>
  <c r="B120" i="132"/>
  <c r="N120" i="132" s="1"/>
  <c r="AA155" i="132"/>
  <c r="AD154" i="132"/>
  <c r="F100" i="131"/>
  <c r="P111" i="133" l="1"/>
  <c r="P112" i="133"/>
  <c r="U147" i="132"/>
  <c r="AB147" i="132" s="1"/>
  <c r="Z145" i="132"/>
  <c r="AA147" i="132" s="1"/>
  <c r="Z154" i="132"/>
  <c r="Z128" i="132"/>
  <c r="U126" i="132"/>
  <c r="AB126" i="132" s="1"/>
  <c r="Z124" i="132"/>
  <c r="AA126" i="132" s="1"/>
  <c r="O102" i="132"/>
  <c r="T109" i="131"/>
  <c r="T108" i="131"/>
  <c r="T110" i="131" s="1"/>
  <c r="BA2" i="131"/>
  <c r="AZ2" i="131"/>
  <c r="AY2" i="131"/>
  <c r="AX2" i="131"/>
  <c r="AW2" i="131"/>
  <c r="AV2" i="131"/>
  <c r="AU2" i="131"/>
  <c r="AT2" i="131"/>
  <c r="AS2" i="131"/>
  <c r="AR2" i="131"/>
  <c r="AQ2" i="131"/>
  <c r="AP2" i="131"/>
  <c r="AO2" i="131"/>
  <c r="AN2" i="131"/>
  <c r="AM2" i="131"/>
  <c r="AL2" i="131"/>
  <c r="AK2" i="131"/>
  <c r="AJ2" i="131"/>
  <c r="AI2" i="131"/>
  <c r="AH2" i="131"/>
  <c r="AG2" i="131"/>
  <c r="AF2" i="131"/>
  <c r="AE2" i="131"/>
  <c r="AD2" i="131"/>
  <c r="AC2" i="131"/>
  <c r="AB2" i="131"/>
  <c r="AA2" i="131"/>
  <c r="Z2" i="131"/>
  <c r="Y2" i="131"/>
  <c r="X2" i="131"/>
  <c r="W2" i="131"/>
  <c r="V2" i="131"/>
  <c r="P121" i="133" l="1"/>
  <c r="AC126" i="132"/>
  <c r="AA156" i="132"/>
  <c r="AA157" i="132"/>
  <c r="Z155" i="132"/>
  <c r="U94" i="131"/>
  <c r="U2" i="131" l="1"/>
  <c r="X150" i="131"/>
  <c r="U150" i="131"/>
  <c r="C150" i="131"/>
  <c r="C147" i="131"/>
  <c r="C146" i="131"/>
  <c r="AB145" i="131"/>
  <c r="X145" i="131"/>
  <c r="U145" i="131"/>
  <c r="X144" i="131"/>
  <c r="X143" i="131" s="1"/>
  <c r="U144" i="131"/>
  <c r="U143" i="131" s="1"/>
  <c r="R141" i="131"/>
  <c r="W140" i="131"/>
  <c r="T140" i="131"/>
  <c r="W139" i="131"/>
  <c r="W144" i="131" s="1"/>
  <c r="T139" i="131"/>
  <c r="T144" i="131" s="1"/>
  <c r="W138" i="131"/>
  <c r="U137" i="131"/>
  <c r="C137" i="131"/>
  <c r="B137" i="131"/>
  <c r="X136" i="131"/>
  <c r="X137" i="131" s="1"/>
  <c r="W136" i="131"/>
  <c r="U136" i="131"/>
  <c r="T136" i="131"/>
  <c r="W135" i="131"/>
  <c r="W134" i="131"/>
  <c r="V134" i="131" s="1"/>
  <c r="X133" i="131"/>
  <c r="W133" i="131"/>
  <c r="X148" i="131" s="1"/>
  <c r="U133" i="131"/>
  <c r="U148" i="131" s="1"/>
  <c r="C133" i="131"/>
  <c r="B133" i="131" s="1"/>
  <c r="B134" i="131" s="1"/>
  <c r="W132" i="131"/>
  <c r="T132" i="131"/>
  <c r="B130" i="131"/>
  <c r="B131" i="131" s="1"/>
  <c r="B127" i="131"/>
  <c r="C127" i="131" s="1"/>
  <c r="B126" i="131"/>
  <c r="C126" i="131" s="1"/>
  <c r="B125" i="131"/>
  <c r="C125" i="131" s="1"/>
  <c r="AB124" i="131"/>
  <c r="X124" i="131"/>
  <c r="X122" i="131" s="1"/>
  <c r="U124" i="131"/>
  <c r="B124" i="131"/>
  <c r="C124" i="131" s="1"/>
  <c r="X123" i="131"/>
  <c r="U123" i="131"/>
  <c r="R120" i="131"/>
  <c r="W119" i="131"/>
  <c r="T119" i="131"/>
  <c r="W118" i="131"/>
  <c r="W123" i="131" s="1"/>
  <c r="T118" i="131"/>
  <c r="T123" i="131" s="1"/>
  <c r="W117" i="131"/>
  <c r="M117" i="131"/>
  <c r="L117" i="131"/>
  <c r="K117" i="131"/>
  <c r="J117" i="131"/>
  <c r="I117" i="131"/>
  <c r="H117" i="131"/>
  <c r="G117" i="131"/>
  <c r="F117" i="131"/>
  <c r="E117" i="131"/>
  <c r="D117" i="131"/>
  <c r="C117" i="131"/>
  <c r="B117" i="131"/>
  <c r="W116" i="131"/>
  <c r="M114" i="131"/>
  <c r="L114" i="131"/>
  <c r="K114" i="131"/>
  <c r="J114" i="131"/>
  <c r="I114" i="131"/>
  <c r="H114" i="131"/>
  <c r="G114" i="131"/>
  <c r="F114" i="131"/>
  <c r="E114" i="131"/>
  <c r="D114" i="131"/>
  <c r="C114" i="131"/>
  <c r="B114" i="131"/>
  <c r="M111" i="131"/>
  <c r="L111" i="131"/>
  <c r="K111" i="131"/>
  <c r="J111" i="131"/>
  <c r="I111" i="131"/>
  <c r="H111" i="131"/>
  <c r="G111" i="131"/>
  <c r="F111" i="131"/>
  <c r="E111" i="131"/>
  <c r="D111" i="131"/>
  <c r="C111" i="131"/>
  <c r="B111" i="131"/>
  <c r="M108" i="131"/>
  <c r="L108" i="131"/>
  <c r="K108" i="131"/>
  <c r="J108" i="131"/>
  <c r="I108" i="131"/>
  <c r="H108" i="131"/>
  <c r="G108" i="131"/>
  <c r="F108" i="131"/>
  <c r="E108" i="131"/>
  <c r="D108" i="131"/>
  <c r="C108" i="131"/>
  <c r="B108" i="131"/>
  <c r="M105" i="131"/>
  <c r="L105" i="131"/>
  <c r="K105" i="131"/>
  <c r="J105" i="131"/>
  <c r="I105" i="131"/>
  <c r="H105" i="131"/>
  <c r="G105" i="131"/>
  <c r="F105" i="131"/>
  <c r="E105" i="131"/>
  <c r="D105" i="131"/>
  <c r="C105" i="131"/>
  <c r="B105" i="131"/>
  <c r="M101" i="131"/>
  <c r="M119" i="131" s="1"/>
  <c r="L101" i="131"/>
  <c r="L119" i="131" s="1"/>
  <c r="K101" i="131"/>
  <c r="K119" i="131" s="1"/>
  <c r="J101" i="131"/>
  <c r="J119" i="131" s="1"/>
  <c r="I101" i="131"/>
  <c r="I119" i="131" s="1"/>
  <c r="H101" i="131"/>
  <c r="H119" i="131" s="1"/>
  <c r="G101" i="131"/>
  <c r="F101" i="131"/>
  <c r="E101" i="131"/>
  <c r="E119" i="131" s="1"/>
  <c r="D101" i="131"/>
  <c r="D119" i="131" s="1"/>
  <c r="C101" i="131"/>
  <c r="C119" i="131" s="1"/>
  <c r="B101" i="131"/>
  <c r="B119" i="131" s="1"/>
  <c r="M100" i="131"/>
  <c r="M102" i="131" s="1"/>
  <c r="L100" i="131"/>
  <c r="L118" i="131" s="1"/>
  <c r="K100" i="131"/>
  <c r="K118" i="131" s="1"/>
  <c r="J100" i="131"/>
  <c r="J102" i="131" s="1"/>
  <c r="I100" i="131"/>
  <c r="I118" i="131" s="1"/>
  <c r="H100" i="131"/>
  <c r="G100" i="131"/>
  <c r="G118" i="131" s="1"/>
  <c r="F118" i="131"/>
  <c r="E100" i="131"/>
  <c r="E102" i="131" s="1"/>
  <c r="D100" i="131"/>
  <c r="D118" i="131" s="1"/>
  <c r="C100" i="131"/>
  <c r="C118" i="131" s="1"/>
  <c r="B100" i="131"/>
  <c r="B102" i="131" s="1"/>
  <c r="T94" i="131"/>
  <c r="S94" i="131"/>
  <c r="R94" i="131"/>
  <c r="Q94" i="131"/>
  <c r="P94" i="131"/>
  <c r="O94" i="131"/>
  <c r="N94" i="131"/>
  <c r="M94" i="131"/>
  <c r="L94" i="131"/>
  <c r="K94" i="131"/>
  <c r="J94" i="131"/>
  <c r="I94" i="131"/>
  <c r="H94" i="131"/>
  <c r="G94" i="131"/>
  <c r="F94" i="131"/>
  <c r="E94" i="131"/>
  <c r="D94" i="131"/>
  <c r="C94" i="131"/>
  <c r="B94" i="131"/>
  <c r="BB93" i="131"/>
  <c r="BB92" i="131"/>
  <c r="BB91" i="131"/>
  <c r="BB90" i="131"/>
  <c r="BB89" i="131"/>
  <c r="BB88" i="131"/>
  <c r="BB87" i="131"/>
  <c r="BB86" i="131"/>
  <c r="BB85" i="131"/>
  <c r="BB84" i="131"/>
  <c r="BB83" i="131"/>
  <c r="BB82" i="131"/>
  <c r="BB81" i="131"/>
  <c r="BB80" i="131"/>
  <c r="BB79" i="131"/>
  <c r="BB78" i="131"/>
  <c r="BB77" i="131"/>
  <c r="BB76" i="131"/>
  <c r="BB75" i="131"/>
  <c r="BB74" i="131"/>
  <c r="BB73" i="131"/>
  <c r="BB72" i="131"/>
  <c r="BB71" i="131"/>
  <c r="BB70" i="131"/>
  <c r="BB69" i="131"/>
  <c r="BB68" i="131"/>
  <c r="BB67" i="131"/>
  <c r="BB66" i="131"/>
  <c r="BB65" i="131"/>
  <c r="BB64" i="131"/>
  <c r="BB63" i="131"/>
  <c r="BB62" i="131"/>
  <c r="BB61" i="131"/>
  <c r="BB60" i="131"/>
  <c r="BB59" i="131"/>
  <c r="BB58" i="131"/>
  <c r="BB57" i="131"/>
  <c r="BB56" i="131"/>
  <c r="BB55" i="131"/>
  <c r="BB54" i="131"/>
  <c r="BB53" i="131"/>
  <c r="BB52" i="131"/>
  <c r="BB51" i="131"/>
  <c r="BB50" i="131"/>
  <c r="BB49" i="131"/>
  <c r="BB48" i="131"/>
  <c r="BB47" i="131"/>
  <c r="BB46" i="131"/>
  <c r="BB45" i="131"/>
  <c r="BB44" i="131"/>
  <c r="BB43" i="131"/>
  <c r="BB42" i="131"/>
  <c r="BB41" i="131"/>
  <c r="BB40" i="131"/>
  <c r="BB39" i="131"/>
  <c r="BB38" i="131"/>
  <c r="BB37" i="131"/>
  <c r="BB36" i="131"/>
  <c r="BB35" i="131"/>
  <c r="BB34" i="131"/>
  <c r="BB33" i="131"/>
  <c r="BB32" i="131"/>
  <c r="BB31" i="131"/>
  <c r="BB30" i="131"/>
  <c r="BB29" i="131"/>
  <c r="BB28" i="131"/>
  <c r="BB27" i="131"/>
  <c r="BB26" i="131"/>
  <c r="BB25" i="131"/>
  <c r="BB24" i="131"/>
  <c r="BB23" i="131"/>
  <c r="BB22" i="131"/>
  <c r="BB21" i="131"/>
  <c r="BB20" i="131"/>
  <c r="BB19" i="131"/>
  <c r="BB18" i="131"/>
  <c r="BB17" i="131"/>
  <c r="BB16" i="131"/>
  <c r="BB15" i="131"/>
  <c r="BB14" i="131"/>
  <c r="BB13" i="131"/>
  <c r="BB12" i="131"/>
  <c r="BB11" i="131"/>
  <c r="BB10" i="131"/>
  <c r="BB9" i="131"/>
  <c r="BB8" i="131"/>
  <c r="BB7" i="131"/>
  <c r="BB6" i="131"/>
  <c r="BB5" i="131"/>
  <c r="BB4" i="131"/>
  <c r="AB154" i="131" l="1"/>
  <c r="C151" i="131"/>
  <c r="N108" i="131"/>
  <c r="O108" i="134"/>
  <c r="O120" i="134" s="1"/>
  <c r="P120" i="134" s="1"/>
  <c r="O108" i="133"/>
  <c r="O108" i="132"/>
  <c r="AA124" i="131"/>
  <c r="W120" i="131"/>
  <c r="BB94" i="131"/>
  <c r="B118" i="131"/>
  <c r="E118" i="131"/>
  <c r="E120" i="131" s="1"/>
  <c r="AA145" i="131"/>
  <c r="D120" i="131"/>
  <c r="U122" i="131"/>
  <c r="P107" i="131"/>
  <c r="U111" i="131"/>
  <c r="C130" i="131"/>
  <c r="C131" i="131" s="1"/>
  <c r="H102" i="131"/>
  <c r="L120" i="131"/>
  <c r="K120" i="131"/>
  <c r="W122" i="131"/>
  <c r="T138" i="131"/>
  <c r="T141" i="131" s="1"/>
  <c r="J118" i="131"/>
  <c r="N101" i="131"/>
  <c r="P108" i="132" s="1"/>
  <c r="M118" i="131"/>
  <c r="G102" i="131"/>
  <c r="I102" i="131"/>
  <c r="F102" i="131"/>
  <c r="N100" i="131"/>
  <c r="AA152" i="131"/>
  <c r="AD145" i="131"/>
  <c r="B120" i="131"/>
  <c r="C120" i="131"/>
  <c r="I120" i="131"/>
  <c r="W124" i="131"/>
  <c r="X126" i="131" s="1"/>
  <c r="AD124" i="131"/>
  <c r="AA128" i="131"/>
  <c r="AA154" i="131"/>
  <c r="C128" i="131"/>
  <c r="G119" i="131"/>
  <c r="G120" i="131" s="1"/>
  <c r="K102" i="131"/>
  <c r="C102" i="131"/>
  <c r="D102" i="131"/>
  <c r="L102" i="131"/>
  <c r="T117" i="131"/>
  <c r="H118" i="131"/>
  <c r="B128" i="131"/>
  <c r="B136" i="131" s="1"/>
  <c r="B138" i="131" s="1"/>
  <c r="C134" i="131"/>
  <c r="F119" i="131"/>
  <c r="F120" i="131" s="1"/>
  <c r="W137" i="131"/>
  <c r="X149" i="131" s="1"/>
  <c r="W143" i="131"/>
  <c r="W145" i="131" s="1"/>
  <c r="X147" i="131" s="1"/>
  <c r="T111" i="131"/>
  <c r="W141" i="131"/>
  <c r="P104" i="132" l="1"/>
  <c r="P112" i="132" s="1"/>
  <c r="P103" i="132"/>
  <c r="V111" i="131"/>
  <c r="C136" i="131"/>
  <c r="C138" i="131" s="1"/>
  <c r="Z141" i="131"/>
  <c r="Z152" i="131" s="1"/>
  <c r="M120" i="131"/>
  <c r="J120" i="131"/>
  <c r="H120" i="131"/>
  <c r="T134" i="131"/>
  <c r="T116" i="131" s="1"/>
  <c r="T122" i="131" s="1"/>
  <c r="T124" i="131" s="1"/>
  <c r="N118" i="131"/>
  <c r="N102" i="131"/>
  <c r="P111" i="132" s="1"/>
  <c r="T120" i="131"/>
  <c r="Z120" i="131" s="1"/>
  <c r="AA155" i="131"/>
  <c r="AD154" i="131"/>
  <c r="N119" i="131"/>
  <c r="AD155" i="131"/>
  <c r="O120" i="132" l="1"/>
  <c r="P120" i="132" s="1"/>
  <c r="N120" i="131"/>
  <c r="O120" i="133" s="1"/>
  <c r="P120" i="133" s="1"/>
  <c r="T143" i="131"/>
  <c r="T145" i="131" s="1"/>
  <c r="Z145" i="131" s="1"/>
  <c r="AA147" i="131" s="1"/>
  <c r="T137" i="131"/>
  <c r="U149" i="131" s="1"/>
  <c r="O102" i="131"/>
  <c r="U126" i="131"/>
  <c r="AB126" i="131" s="1"/>
  <c r="Z124" i="131"/>
  <c r="AA126" i="131" s="1"/>
  <c r="Z154" i="131"/>
  <c r="Z128" i="131"/>
  <c r="U147" i="131" l="1"/>
  <c r="AB147" i="131" s="1"/>
  <c r="AA156" i="131"/>
  <c r="AC126" i="131"/>
  <c r="Z155" i="131"/>
  <c r="AA157" i="131"/>
  <c r="T109" i="130" l="1"/>
  <c r="T108" i="130"/>
  <c r="T110" i="130" s="1"/>
  <c r="T94" i="130"/>
  <c r="X150" i="130" l="1"/>
  <c r="U150" i="130"/>
  <c r="C150" i="130"/>
  <c r="C147" i="130"/>
  <c r="C146" i="130"/>
  <c r="AB145" i="130"/>
  <c r="X145" i="130"/>
  <c r="U145" i="130"/>
  <c r="U143" i="130" s="1"/>
  <c r="X144" i="130"/>
  <c r="X143" i="130" s="1"/>
  <c r="U144" i="130"/>
  <c r="R141" i="130"/>
  <c r="W140" i="130"/>
  <c r="T140" i="130"/>
  <c r="W139" i="130"/>
  <c r="W144" i="130" s="1"/>
  <c r="T139" i="130"/>
  <c r="T144" i="130" s="1"/>
  <c r="W137" i="130"/>
  <c r="U137" i="130"/>
  <c r="C137" i="130"/>
  <c r="B137" i="130" s="1"/>
  <c r="X136" i="130"/>
  <c r="X137" i="130" s="1"/>
  <c r="W136" i="130"/>
  <c r="U136" i="130"/>
  <c r="T136" i="130"/>
  <c r="W135" i="130"/>
  <c r="W134" i="130"/>
  <c r="W116" i="130" s="1"/>
  <c r="X133" i="130"/>
  <c r="W133" i="130"/>
  <c r="U133" i="130"/>
  <c r="U148" i="130" s="1"/>
  <c r="C133" i="130"/>
  <c r="B133" i="130" s="1"/>
  <c r="B134" i="130" s="1"/>
  <c r="W132" i="130"/>
  <c r="T132" i="130"/>
  <c r="B130" i="130"/>
  <c r="C130" i="130" s="1"/>
  <c r="C131" i="130" s="1"/>
  <c r="B127" i="130"/>
  <c r="C127" i="130" s="1"/>
  <c r="B126" i="130"/>
  <c r="C126" i="130" s="1"/>
  <c r="B125" i="130"/>
  <c r="C125" i="130" s="1"/>
  <c r="AB124" i="130"/>
  <c r="X124" i="130"/>
  <c r="X122" i="130" s="1"/>
  <c r="U124" i="130"/>
  <c r="B124" i="130"/>
  <c r="C124" i="130" s="1"/>
  <c r="X123" i="130"/>
  <c r="W123" i="130"/>
  <c r="U123" i="130"/>
  <c r="R120" i="130"/>
  <c r="W119" i="130"/>
  <c r="T119" i="130"/>
  <c r="W118" i="130"/>
  <c r="T118" i="130"/>
  <c r="T123" i="130" s="1"/>
  <c r="M117" i="130"/>
  <c r="L117" i="130"/>
  <c r="K117" i="130"/>
  <c r="J117" i="130"/>
  <c r="I117" i="130"/>
  <c r="H117" i="130"/>
  <c r="G117" i="130"/>
  <c r="F117" i="130"/>
  <c r="E117" i="130"/>
  <c r="D117" i="130"/>
  <c r="C117" i="130"/>
  <c r="B117" i="130"/>
  <c r="M114" i="130"/>
  <c r="L114" i="130"/>
  <c r="K114" i="130"/>
  <c r="J114" i="130"/>
  <c r="I114" i="130"/>
  <c r="H114" i="130"/>
  <c r="G114" i="130"/>
  <c r="F114" i="130"/>
  <c r="E114" i="130"/>
  <c r="D114" i="130"/>
  <c r="C114" i="130"/>
  <c r="B114" i="130"/>
  <c r="M111" i="130"/>
  <c r="L111" i="130"/>
  <c r="K111" i="130"/>
  <c r="J111" i="130"/>
  <c r="I111" i="130"/>
  <c r="H111" i="130"/>
  <c r="G111" i="130"/>
  <c r="F111" i="130"/>
  <c r="E111" i="130"/>
  <c r="D111" i="130"/>
  <c r="C111" i="130"/>
  <c r="B111" i="130"/>
  <c r="M108" i="130"/>
  <c r="L108" i="130"/>
  <c r="K108" i="130"/>
  <c r="J108" i="130"/>
  <c r="I108" i="130"/>
  <c r="H108" i="130"/>
  <c r="G108" i="130"/>
  <c r="F108" i="130"/>
  <c r="E108" i="130"/>
  <c r="D108" i="130"/>
  <c r="C108" i="130"/>
  <c r="B108" i="130"/>
  <c r="M105" i="130"/>
  <c r="L105" i="130"/>
  <c r="K105" i="130"/>
  <c r="J105" i="130"/>
  <c r="I105" i="130"/>
  <c r="H105" i="130"/>
  <c r="G105" i="130"/>
  <c r="F105" i="130"/>
  <c r="E105" i="130"/>
  <c r="D105" i="130"/>
  <c r="C105" i="130"/>
  <c r="B105" i="130"/>
  <c r="G101" i="130"/>
  <c r="G119" i="130" s="1"/>
  <c r="E101" i="130"/>
  <c r="E119" i="130" s="1"/>
  <c r="D101" i="130"/>
  <c r="D119" i="130" s="1"/>
  <c r="C101" i="130"/>
  <c r="C119" i="130" s="1"/>
  <c r="B101" i="130"/>
  <c r="E100" i="130"/>
  <c r="E118" i="130" s="1"/>
  <c r="E120" i="130" s="1"/>
  <c r="D100" i="130"/>
  <c r="D118" i="130" s="1"/>
  <c r="C100" i="130"/>
  <c r="C118" i="130" s="1"/>
  <c r="B100" i="130"/>
  <c r="B118" i="130" s="1"/>
  <c r="S94" i="130"/>
  <c r="R94" i="130"/>
  <c r="Q94" i="130"/>
  <c r="P94" i="130"/>
  <c r="O94" i="130"/>
  <c r="N94" i="130"/>
  <c r="M94" i="130"/>
  <c r="L94" i="130"/>
  <c r="K94" i="130"/>
  <c r="J94" i="130"/>
  <c r="I94" i="130"/>
  <c r="H94" i="130"/>
  <c r="G94" i="130"/>
  <c r="F94" i="130"/>
  <c r="E94" i="130"/>
  <c r="D94" i="130"/>
  <c r="C94" i="130"/>
  <c r="B94" i="130"/>
  <c r="M101" i="130"/>
  <c r="M119" i="130" s="1"/>
  <c r="L101" i="130"/>
  <c r="L119" i="130" s="1"/>
  <c r="K101" i="130"/>
  <c r="K119" i="130" s="1"/>
  <c r="W138" i="130"/>
  <c r="I101" i="130"/>
  <c r="F101" i="130"/>
  <c r="F119" i="130" s="1"/>
  <c r="BB92" i="130"/>
  <c r="BB91" i="130"/>
  <c r="BB90" i="130"/>
  <c r="BB89" i="130"/>
  <c r="BB88" i="130"/>
  <c r="BB87" i="130"/>
  <c r="BB86" i="130"/>
  <c r="BB85" i="130"/>
  <c r="BB84" i="130"/>
  <c r="BB83" i="130"/>
  <c r="BB82" i="130"/>
  <c r="BB81" i="130"/>
  <c r="BB80" i="130"/>
  <c r="BB79" i="130"/>
  <c r="BB78" i="130"/>
  <c r="BB77" i="130"/>
  <c r="BB76" i="130"/>
  <c r="BB75" i="130"/>
  <c r="BB74" i="130"/>
  <c r="BB73" i="130"/>
  <c r="BB72" i="130"/>
  <c r="BB71" i="130"/>
  <c r="BB70" i="130"/>
  <c r="BB69" i="130"/>
  <c r="BB68" i="130"/>
  <c r="BB67" i="130"/>
  <c r="BB66" i="130"/>
  <c r="BB65" i="130"/>
  <c r="BB64" i="130"/>
  <c r="BB63" i="130"/>
  <c r="BB62" i="130"/>
  <c r="BB61" i="130"/>
  <c r="BB60" i="130"/>
  <c r="BB59" i="130"/>
  <c r="BB58" i="130"/>
  <c r="BB57" i="130"/>
  <c r="BB56" i="130"/>
  <c r="BB55" i="130"/>
  <c r="BB54" i="130"/>
  <c r="BB53" i="130"/>
  <c r="BB52" i="130"/>
  <c r="BB51" i="130"/>
  <c r="BB50" i="130"/>
  <c r="BB49" i="130"/>
  <c r="BB48" i="130"/>
  <c r="BB47" i="130"/>
  <c r="BB46" i="130"/>
  <c r="BB45" i="130"/>
  <c r="BB44" i="130"/>
  <c r="BB43" i="130"/>
  <c r="BB42" i="130"/>
  <c r="BB41" i="130"/>
  <c r="BB40" i="130"/>
  <c r="BB39" i="130"/>
  <c r="BB38" i="130"/>
  <c r="BB37" i="130"/>
  <c r="BB36" i="130"/>
  <c r="BB35" i="130"/>
  <c r="BB34" i="130"/>
  <c r="BB33" i="130"/>
  <c r="BB32" i="130"/>
  <c r="BB31" i="130"/>
  <c r="M100" i="130"/>
  <c r="K100" i="130"/>
  <c r="J100" i="130"/>
  <c r="H100" i="130"/>
  <c r="G100" i="130"/>
  <c r="BB30" i="130"/>
  <c r="BB29" i="130"/>
  <c r="BB28" i="130"/>
  <c r="BB27" i="130"/>
  <c r="BB26" i="130"/>
  <c r="BB25" i="130"/>
  <c r="BB24" i="130"/>
  <c r="BB23" i="130"/>
  <c r="BB22" i="130"/>
  <c r="BB21" i="130"/>
  <c r="BB20" i="130"/>
  <c r="BB19" i="130"/>
  <c r="BB18" i="130"/>
  <c r="BB17" i="130"/>
  <c r="BB16" i="130"/>
  <c r="BB15" i="130"/>
  <c r="BB14" i="130"/>
  <c r="BB13" i="130"/>
  <c r="BB12" i="130"/>
  <c r="BB11" i="130"/>
  <c r="BB10" i="130"/>
  <c r="BB9" i="130"/>
  <c r="BB8" i="130"/>
  <c r="BB7" i="130"/>
  <c r="BB6" i="130"/>
  <c r="BB5" i="130"/>
  <c r="BB4" i="130"/>
  <c r="B102" i="130" l="1"/>
  <c r="U122" i="130"/>
  <c r="C120" i="130"/>
  <c r="AA124" i="130"/>
  <c r="X148" i="130"/>
  <c r="C151" i="130"/>
  <c r="D120" i="130"/>
  <c r="C102" i="130"/>
  <c r="N108" i="130"/>
  <c r="B128" i="130"/>
  <c r="T111" i="130"/>
  <c r="C134" i="130"/>
  <c r="AB154" i="130"/>
  <c r="X149" i="130"/>
  <c r="B131" i="130"/>
  <c r="J118" i="130"/>
  <c r="W141" i="130"/>
  <c r="V134" i="130"/>
  <c r="W143" i="130"/>
  <c r="W145" i="130" s="1"/>
  <c r="X147" i="130" s="1"/>
  <c r="AD124" i="130"/>
  <c r="AA128" i="130"/>
  <c r="H118" i="130"/>
  <c r="G102" i="130"/>
  <c r="G118" i="130"/>
  <c r="G120" i="130" s="1"/>
  <c r="C128" i="130"/>
  <c r="K118" i="130"/>
  <c r="K120" i="130" s="1"/>
  <c r="K102" i="130"/>
  <c r="T138" i="130"/>
  <c r="I119" i="130"/>
  <c r="M118" i="130"/>
  <c r="M120" i="130" s="1"/>
  <c r="M102" i="130"/>
  <c r="H101" i="130"/>
  <c r="H119" i="130" s="1"/>
  <c r="BB94" i="130"/>
  <c r="F100" i="130"/>
  <c r="D102" i="130"/>
  <c r="BB93" i="130"/>
  <c r="J101" i="130"/>
  <c r="J119" i="130" s="1"/>
  <c r="W117" i="130"/>
  <c r="AA145" i="130"/>
  <c r="L100" i="130"/>
  <c r="I100" i="130"/>
  <c r="E102" i="130"/>
  <c r="B119" i="130"/>
  <c r="B120" i="130" s="1"/>
  <c r="B136" i="130" l="1"/>
  <c r="B138" i="130" s="1"/>
  <c r="N100" i="130"/>
  <c r="C136" i="130"/>
  <c r="C138" i="130" s="1"/>
  <c r="W122" i="130"/>
  <c r="W124" i="130" s="1"/>
  <c r="X126" i="130" s="1"/>
  <c r="W120" i="130"/>
  <c r="T141" i="130"/>
  <c r="Z141" i="130" s="1"/>
  <c r="Z152" i="130" s="1"/>
  <c r="T134" i="130"/>
  <c r="T116" i="130" s="1"/>
  <c r="I102" i="130"/>
  <c r="I118" i="130"/>
  <c r="I120" i="130" s="1"/>
  <c r="T117" i="130"/>
  <c r="AA152" i="130"/>
  <c r="AD145" i="130"/>
  <c r="AD155" i="130" s="1"/>
  <c r="H120" i="130"/>
  <c r="H102" i="130"/>
  <c r="N101" i="130"/>
  <c r="L118" i="130"/>
  <c r="L120" i="130" s="1"/>
  <c r="L102" i="130"/>
  <c r="F118" i="130"/>
  <c r="F102" i="130"/>
  <c r="AA154" i="130"/>
  <c r="J120" i="130"/>
  <c r="N119" i="130"/>
  <c r="J102" i="130"/>
  <c r="P108" i="131" l="1"/>
  <c r="P103" i="131"/>
  <c r="P104" i="131"/>
  <c r="P112" i="131" s="1"/>
  <c r="N102" i="130"/>
  <c r="T137" i="130"/>
  <c r="U149" i="130" s="1"/>
  <c r="T143" i="130"/>
  <c r="T145" i="130" s="1"/>
  <c r="T122" i="130"/>
  <c r="T124" i="130" s="1"/>
  <c r="T120" i="130"/>
  <c r="Z120" i="130" s="1"/>
  <c r="AA155" i="130"/>
  <c r="AD154" i="130"/>
  <c r="F120" i="130"/>
  <c r="N118" i="130"/>
  <c r="T109" i="128"/>
  <c r="T108" i="128"/>
  <c r="T110" i="128" s="1"/>
  <c r="T109" i="129"/>
  <c r="T108" i="129"/>
  <c r="T110" i="129" s="1"/>
  <c r="BA94" i="129"/>
  <c r="AS94" i="129"/>
  <c r="AK94" i="129"/>
  <c r="AC94" i="129"/>
  <c r="U94" i="129"/>
  <c r="BA93" i="129"/>
  <c r="BA2" i="130" s="1"/>
  <c r="AZ93" i="129"/>
  <c r="AZ2" i="130" s="1"/>
  <c r="AY93" i="129"/>
  <c r="AY2" i="130" s="1"/>
  <c r="AX93" i="129"/>
  <c r="AX2" i="130" s="1"/>
  <c r="AW93" i="129"/>
  <c r="AW2" i="130" s="1"/>
  <c r="AV93" i="129"/>
  <c r="AV2" i="130" s="1"/>
  <c r="AU93" i="129"/>
  <c r="AU2" i="130" s="1"/>
  <c r="AT93" i="129"/>
  <c r="AT2" i="130" s="1"/>
  <c r="AS93" i="129"/>
  <c r="AS2" i="130" s="1"/>
  <c r="AR93" i="129"/>
  <c r="AR2" i="130" s="1"/>
  <c r="AQ93" i="129"/>
  <c r="AQ2" i="130" s="1"/>
  <c r="AP93" i="129"/>
  <c r="AP2" i="130" s="1"/>
  <c r="AO93" i="129"/>
  <c r="AO2" i="130" s="1"/>
  <c r="AN93" i="129"/>
  <c r="AN2" i="130" s="1"/>
  <c r="AM93" i="129"/>
  <c r="AM2" i="130" s="1"/>
  <c r="AL93" i="129"/>
  <c r="AL2" i="130" s="1"/>
  <c r="AK93" i="129"/>
  <c r="AK2" i="130" s="1"/>
  <c r="AJ93" i="129"/>
  <c r="AJ2" i="130" s="1"/>
  <c r="AI93" i="129"/>
  <c r="AI2" i="130" s="1"/>
  <c r="AH93" i="129"/>
  <c r="AH2" i="130" s="1"/>
  <c r="AG93" i="129"/>
  <c r="AG2" i="130" s="1"/>
  <c r="AF93" i="129"/>
  <c r="AF2" i="130" s="1"/>
  <c r="AE93" i="129"/>
  <c r="AE2" i="130" s="1"/>
  <c r="AD93" i="129"/>
  <c r="AD2" i="130" s="1"/>
  <c r="AC93" i="129"/>
  <c r="AC2" i="130" s="1"/>
  <c r="AB93" i="129"/>
  <c r="AB2" i="130" s="1"/>
  <c r="AA93" i="129"/>
  <c r="AA2" i="130" s="1"/>
  <c r="Z93" i="129"/>
  <c r="Z2" i="130" s="1"/>
  <c r="Y93" i="129"/>
  <c r="Y2" i="130" s="1"/>
  <c r="X93" i="129"/>
  <c r="X2" i="130" s="1"/>
  <c r="W93" i="129"/>
  <c r="W2" i="130" s="1"/>
  <c r="V93" i="129"/>
  <c r="V2" i="130" s="1"/>
  <c r="U93" i="129"/>
  <c r="U2" i="130" s="1"/>
  <c r="BA30" i="129"/>
  <c r="AZ30" i="129"/>
  <c r="AZ94" i="129" s="1"/>
  <c r="AY30" i="129"/>
  <c r="AY94" i="129" s="1"/>
  <c r="AX30" i="129"/>
  <c r="AX94" i="129" s="1"/>
  <c r="AW30" i="129"/>
  <c r="AW94" i="129" s="1"/>
  <c r="AV30" i="129"/>
  <c r="AV94" i="129" s="1"/>
  <c r="AU30" i="129"/>
  <c r="AU94" i="129" s="1"/>
  <c r="AT30" i="129"/>
  <c r="AT94" i="129" s="1"/>
  <c r="AS30" i="129"/>
  <c r="AR30" i="129"/>
  <c r="AR94" i="129" s="1"/>
  <c r="AQ30" i="129"/>
  <c r="AQ94" i="129" s="1"/>
  <c r="AP30" i="129"/>
  <c r="AP94" i="129" s="1"/>
  <c r="AO30" i="129"/>
  <c r="AO94" i="129" s="1"/>
  <c r="AN30" i="129"/>
  <c r="AN94" i="129" s="1"/>
  <c r="AM30" i="129"/>
  <c r="AM94" i="129" s="1"/>
  <c r="AL30" i="129"/>
  <c r="AL94" i="129" s="1"/>
  <c r="AK30" i="129"/>
  <c r="AJ30" i="129"/>
  <c r="AJ94" i="129" s="1"/>
  <c r="AI30" i="129"/>
  <c r="AI94" i="129" s="1"/>
  <c r="AH30" i="129"/>
  <c r="AH94" i="129" s="1"/>
  <c r="AG30" i="129"/>
  <c r="AG94" i="129" s="1"/>
  <c r="AF30" i="129"/>
  <c r="AF94" i="129" s="1"/>
  <c r="AE30" i="129"/>
  <c r="AE94" i="129" s="1"/>
  <c r="AD30" i="129"/>
  <c r="AD94" i="129" s="1"/>
  <c r="AC30" i="129"/>
  <c r="AB30" i="129"/>
  <c r="AB94" i="129" s="1"/>
  <c r="AA30" i="129"/>
  <c r="AA94" i="129" s="1"/>
  <c r="Z30" i="129"/>
  <c r="Z94" i="129" s="1"/>
  <c r="Y30" i="129"/>
  <c r="Y94" i="129" s="1"/>
  <c r="X30" i="129"/>
  <c r="X94" i="129" s="1"/>
  <c r="W30" i="129"/>
  <c r="W94" i="129" s="1"/>
  <c r="V30" i="129"/>
  <c r="V94" i="129" s="1"/>
  <c r="U30" i="129"/>
  <c r="T93" i="129"/>
  <c r="T2" i="130" s="1"/>
  <c r="T30" i="129"/>
  <c r="T94" i="129" s="1"/>
  <c r="P107" i="130" l="1"/>
  <c r="U111" i="130"/>
  <c r="V111" i="130" s="1"/>
  <c r="P111" i="131"/>
  <c r="O102" i="130"/>
  <c r="Z154" i="130"/>
  <c r="Z128" i="130"/>
  <c r="U126" i="130"/>
  <c r="AB126" i="130" s="1"/>
  <c r="Z124" i="130"/>
  <c r="AA126" i="130" s="1"/>
  <c r="U147" i="130"/>
  <c r="AB147" i="130" s="1"/>
  <c r="Z145" i="130"/>
  <c r="AA147" i="130" s="1"/>
  <c r="N120" i="130"/>
  <c r="X150" i="129"/>
  <c r="U150" i="129"/>
  <c r="C150" i="129"/>
  <c r="C147" i="129"/>
  <c r="C146" i="129"/>
  <c r="AB145" i="129"/>
  <c r="X145" i="129"/>
  <c r="X143" i="129" s="1"/>
  <c r="U145" i="129"/>
  <c r="X144" i="129"/>
  <c r="U144" i="129"/>
  <c r="T144" i="129"/>
  <c r="R141" i="129"/>
  <c r="W140" i="129"/>
  <c r="T140" i="129"/>
  <c r="W139" i="129"/>
  <c r="W144" i="129" s="1"/>
  <c r="T139" i="129"/>
  <c r="U137" i="129"/>
  <c r="C137" i="129"/>
  <c r="B137" i="129" s="1"/>
  <c r="X136" i="129"/>
  <c r="X137" i="129" s="1"/>
  <c r="W136" i="129"/>
  <c r="U136" i="129"/>
  <c r="T136" i="129"/>
  <c r="W135" i="129"/>
  <c r="W134" i="129"/>
  <c r="X133" i="129"/>
  <c r="W133" i="129"/>
  <c r="U133" i="129"/>
  <c r="U148" i="129" s="1"/>
  <c r="C133" i="129"/>
  <c r="C134" i="129" s="1"/>
  <c r="W132" i="129"/>
  <c r="T132" i="129"/>
  <c r="B130" i="129"/>
  <c r="C130" i="129" s="1"/>
  <c r="C131" i="129" s="1"/>
  <c r="B127" i="129"/>
  <c r="C127" i="129" s="1"/>
  <c r="B126" i="129"/>
  <c r="C126" i="129" s="1"/>
  <c r="B125" i="129"/>
  <c r="C125" i="129" s="1"/>
  <c r="AB124" i="129"/>
  <c r="AB154" i="129" s="1"/>
  <c r="X124" i="129"/>
  <c r="X122" i="129" s="1"/>
  <c r="U124" i="129"/>
  <c r="B124" i="129"/>
  <c r="C124" i="129" s="1"/>
  <c r="X123" i="129"/>
  <c r="U123" i="129"/>
  <c r="R120" i="129"/>
  <c r="W119" i="129"/>
  <c r="T119" i="129"/>
  <c r="W118" i="129"/>
  <c r="W123" i="129" s="1"/>
  <c r="T118" i="129"/>
  <c r="T123" i="129" s="1"/>
  <c r="M117" i="129"/>
  <c r="L117" i="129"/>
  <c r="K117" i="129"/>
  <c r="J117" i="129"/>
  <c r="I117" i="129"/>
  <c r="H117" i="129"/>
  <c r="G117" i="129"/>
  <c r="F117" i="129"/>
  <c r="E117" i="129"/>
  <c r="D117" i="129"/>
  <c r="C117" i="129"/>
  <c r="B117" i="129"/>
  <c r="W116" i="129"/>
  <c r="M114" i="129"/>
  <c r="L114" i="129"/>
  <c r="K114" i="129"/>
  <c r="J114" i="129"/>
  <c r="I114" i="129"/>
  <c r="H114" i="129"/>
  <c r="G114" i="129"/>
  <c r="F114" i="129"/>
  <c r="E114" i="129"/>
  <c r="D114" i="129"/>
  <c r="C114" i="129"/>
  <c r="B114" i="129"/>
  <c r="M111" i="129"/>
  <c r="L111" i="129"/>
  <c r="K111" i="129"/>
  <c r="J111" i="129"/>
  <c r="I111" i="129"/>
  <c r="H111" i="129"/>
  <c r="G111" i="129"/>
  <c r="F111" i="129"/>
  <c r="E111" i="129"/>
  <c r="D111" i="129"/>
  <c r="C111" i="129"/>
  <c r="B111" i="129"/>
  <c r="M108" i="129"/>
  <c r="L108" i="129"/>
  <c r="K108" i="129"/>
  <c r="J108" i="129"/>
  <c r="I108" i="129"/>
  <c r="H108" i="129"/>
  <c r="G108" i="129"/>
  <c r="F108" i="129"/>
  <c r="E108" i="129"/>
  <c r="D108" i="129"/>
  <c r="C108" i="129"/>
  <c r="B108" i="129"/>
  <c r="M105" i="129"/>
  <c r="L105" i="129"/>
  <c r="K105" i="129"/>
  <c r="J105" i="129"/>
  <c r="I105" i="129"/>
  <c r="H105" i="129"/>
  <c r="G105" i="129"/>
  <c r="F105" i="129"/>
  <c r="E105" i="129"/>
  <c r="D105" i="129"/>
  <c r="C105" i="129"/>
  <c r="B105" i="129"/>
  <c r="E101" i="129"/>
  <c r="E119" i="129" s="1"/>
  <c r="D101" i="129"/>
  <c r="D119" i="129" s="1"/>
  <c r="C101" i="129"/>
  <c r="C119" i="129" s="1"/>
  <c r="B101" i="129"/>
  <c r="E100" i="129"/>
  <c r="E118" i="129" s="1"/>
  <c r="D100" i="129"/>
  <c r="D118" i="129" s="1"/>
  <c r="C100" i="129"/>
  <c r="C118" i="129" s="1"/>
  <c r="B100" i="129"/>
  <c r="B118" i="129" s="1"/>
  <c r="R94" i="129"/>
  <c r="Q94" i="129"/>
  <c r="P94" i="129"/>
  <c r="O94" i="129"/>
  <c r="N94" i="129"/>
  <c r="M94" i="129"/>
  <c r="L94" i="129"/>
  <c r="K94" i="129"/>
  <c r="J94" i="129"/>
  <c r="I94" i="129"/>
  <c r="H94" i="129"/>
  <c r="G94" i="129"/>
  <c r="F94" i="129"/>
  <c r="E94" i="129"/>
  <c r="D94" i="129"/>
  <c r="C94" i="129"/>
  <c r="B94" i="129"/>
  <c r="BB92" i="129"/>
  <c r="BB91" i="129"/>
  <c r="BB90" i="129"/>
  <c r="BB89" i="129"/>
  <c r="BB88" i="129"/>
  <c r="BB87" i="129"/>
  <c r="BB86" i="129"/>
  <c r="BB85" i="129"/>
  <c r="BB84" i="129"/>
  <c r="BB83" i="129"/>
  <c r="BB82" i="129"/>
  <c r="BB81" i="129"/>
  <c r="BB80" i="129"/>
  <c r="BB79" i="129"/>
  <c r="BB78" i="129"/>
  <c r="BB77" i="129"/>
  <c r="BB76" i="129"/>
  <c r="BB75" i="129"/>
  <c r="BB74" i="129"/>
  <c r="BB73" i="129"/>
  <c r="BB72" i="129"/>
  <c r="BB71" i="129"/>
  <c r="BB70" i="129"/>
  <c r="BB69" i="129"/>
  <c r="BB68" i="129"/>
  <c r="BB67" i="129"/>
  <c r="BB66" i="129"/>
  <c r="BB65" i="129"/>
  <c r="BB64" i="129"/>
  <c r="BB63" i="129"/>
  <c r="BB62" i="129"/>
  <c r="BB61" i="129"/>
  <c r="BB60" i="129"/>
  <c r="BB59" i="129"/>
  <c r="BB58" i="129"/>
  <c r="BB57" i="129"/>
  <c r="BB56" i="129"/>
  <c r="BB55" i="129"/>
  <c r="BB54" i="129"/>
  <c r="BB53" i="129"/>
  <c r="BB52" i="129"/>
  <c r="BB51" i="129"/>
  <c r="BB50" i="129"/>
  <c r="BB49" i="129"/>
  <c r="BB48" i="129"/>
  <c r="BB47" i="129"/>
  <c r="BB46" i="129"/>
  <c r="BB45" i="129"/>
  <c r="BB44" i="129"/>
  <c r="BB43" i="129"/>
  <c r="BB42" i="129"/>
  <c r="BB41" i="129"/>
  <c r="BB40" i="129"/>
  <c r="BB39" i="129"/>
  <c r="BB38" i="129"/>
  <c r="BB37" i="129"/>
  <c r="BB36" i="129"/>
  <c r="BB35" i="129"/>
  <c r="BB34" i="129"/>
  <c r="BB33" i="129"/>
  <c r="BB32" i="129"/>
  <c r="BB31" i="129"/>
  <c r="H100" i="129"/>
  <c r="BB29" i="129"/>
  <c r="BB28" i="129"/>
  <c r="BB27" i="129"/>
  <c r="BB26" i="129"/>
  <c r="BB25" i="129"/>
  <c r="BB24" i="129"/>
  <c r="BB23" i="129"/>
  <c r="BB22" i="129"/>
  <c r="BB21" i="129"/>
  <c r="BB20" i="129"/>
  <c r="BB19" i="129"/>
  <c r="BB18" i="129"/>
  <c r="BB17" i="129"/>
  <c r="BB16" i="129"/>
  <c r="BB15" i="129"/>
  <c r="BB14" i="129"/>
  <c r="BB13" i="129"/>
  <c r="BB12" i="129"/>
  <c r="BB11" i="129"/>
  <c r="BB10" i="129"/>
  <c r="BB9" i="129"/>
  <c r="BB8" i="129"/>
  <c r="BB7" i="129"/>
  <c r="BB6" i="129"/>
  <c r="BB5" i="129"/>
  <c r="BB4" i="129"/>
  <c r="X148" i="129" l="1"/>
  <c r="AA124" i="129"/>
  <c r="U143" i="129"/>
  <c r="O108" i="131"/>
  <c r="O120" i="131" s="1"/>
  <c r="P120" i="131" s="1"/>
  <c r="O108" i="130"/>
  <c r="U122" i="129"/>
  <c r="B133" i="129"/>
  <c r="B134" i="129" s="1"/>
  <c r="B131" i="129"/>
  <c r="AC126" i="130"/>
  <c r="AA156" i="130"/>
  <c r="AA157" i="130"/>
  <c r="Z155" i="130"/>
  <c r="E120" i="129"/>
  <c r="C151" i="129"/>
  <c r="M100" i="129"/>
  <c r="B102" i="129"/>
  <c r="W137" i="129"/>
  <c r="X149" i="129" s="1"/>
  <c r="C128" i="129"/>
  <c r="C136" i="129" s="1"/>
  <c r="C138" i="129" s="1"/>
  <c r="I101" i="129"/>
  <c r="I119" i="129" s="1"/>
  <c r="K101" i="129"/>
  <c r="K119" i="129" s="1"/>
  <c r="M101" i="129"/>
  <c r="M119" i="129" s="1"/>
  <c r="G101" i="129"/>
  <c r="G119" i="129" s="1"/>
  <c r="J100" i="129"/>
  <c r="J118" i="129" s="1"/>
  <c r="F101" i="129"/>
  <c r="F119" i="129" s="1"/>
  <c r="D120" i="129"/>
  <c r="BB30" i="129"/>
  <c r="C102" i="129"/>
  <c r="N108" i="129"/>
  <c r="W138" i="129"/>
  <c r="V134" i="129" s="1"/>
  <c r="L101" i="129"/>
  <c r="L119" i="129" s="1"/>
  <c r="F100" i="129"/>
  <c r="BB93" i="129"/>
  <c r="K100" i="129"/>
  <c r="K118" i="129" s="1"/>
  <c r="S94" i="129"/>
  <c r="M118" i="129"/>
  <c r="AD124" i="129"/>
  <c r="AA128" i="129"/>
  <c r="C120" i="129"/>
  <c r="H118" i="129"/>
  <c r="H101" i="129"/>
  <c r="H119" i="129" s="1"/>
  <c r="B128" i="129"/>
  <c r="B136" i="129" s="1"/>
  <c r="B138" i="129" s="1"/>
  <c r="J101" i="129"/>
  <c r="J119" i="129" s="1"/>
  <c r="W117" i="129"/>
  <c r="B119" i="129"/>
  <c r="T111" i="129"/>
  <c r="AA145" i="129"/>
  <c r="D102" i="129"/>
  <c r="I100" i="129"/>
  <c r="L100" i="129"/>
  <c r="G100" i="129"/>
  <c r="E102" i="129"/>
  <c r="BA93" i="128"/>
  <c r="BA2" i="129" s="1"/>
  <c r="AZ93" i="128"/>
  <c r="AZ2" i="129" s="1"/>
  <c r="AY93" i="128"/>
  <c r="AY2" i="129" s="1"/>
  <c r="AX93" i="128"/>
  <c r="AX2" i="129" s="1"/>
  <c r="AW93" i="128"/>
  <c r="AW2" i="129" s="1"/>
  <c r="AV93" i="128"/>
  <c r="AV2" i="129" s="1"/>
  <c r="AU93" i="128"/>
  <c r="AU2" i="129" s="1"/>
  <c r="AT93" i="128"/>
  <c r="AT2" i="129" s="1"/>
  <c r="AS93" i="128"/>
  <c r="AS2" i="129" s="1"/>
  <c r="AR93" i="128"/>
  <c r="AR2" i="129" s="1"/>
  <c r="AQ93" i="128"/>
  <c r="AQ2" i="129" s="1"/>
  <c r="AP93" i="128"/>
  <c r="AP2" i="129" s="1"/>
  <c r="AO93" i="128"/>
  <c r="AN93" i="128"/>
  <c r="AN2" i="129" s="1"/>
  <c r="AM93" i="128"/>
  <c r="AM2" i="129" s="1"/>
  <c r="AL93" i="128"/>
  <c r="AL2" i="129" s="1"/>
  <c r="AK93" i="128"/>
  <c r="AK2" i="129" s="1"/>
  <c r="AJ93" i="128"/>
  <c r="AJ2" i="129" s="1"/>
  <c r="AI93" i="128"/>
  <c r="AI2" i="129" s="1"/>
  <c r="AH93" i="128"/>
  <c r="AH2" i="129" s="1"/>
  <c r="AG93" i="128"/>
  <c r="AG2" i="129" s="1"/>
  <c r="AF93" i="128"/>
  <c r="AF2" i="129" s="1"/>
  <c r="AE93" i="128"/>
  <c r="AE2" i="129" s="1"/>
  <c r="AD93" i="128"/>
  <c r="AD2" i="129" s="1"/>
  <c r="AC93" i="128"/>
  <c r="AC2" i="129" s="1"/>
  <c r="AB93" i="128"/>
  <c r="AB2" i="129" s="1"/>
  <c r="AA93" i="128"/>
  <c r="AA2" i="129" s="1"/>
  <c r="Z93" i="128"/>
  <c r="Z2" i="129" s="1"/>
  <c r="Y93" i="128"/>
  <c r="Y2" i="129" s="1"/>
  <c r="X93" i="128"/>
  <c r="X2" i="129" s="1"/>
  <c r="W93" i="128"/>
  <c r="W2" i="129" s="1"/>
  <c r="V93" i="128"/>
  <c r="V2" i="129" s="1"/>
  <c r="U93" i="128"/>
  <c r="U2" i="129" s="1"/>
  <c r="T93" i="128"/>
  <c r="T2" i="129" s="1"/>
  <c r="S93" i="128"/>
  <c r="S2" i="129" s="1"/>
  <c r="U111" i="129" s="1"/>
  <c r="BA30" i="128"/>
  <c r="AZ30" i="128"/>
  <c r="AY30" i="128"/>
  <c r="AX30" i="128"/>
  <c r="AW30" i="128"/>
  <c r="AV30" i="128"/>
  <c r="AU30" i="128"/>
  <c r="AT30" i="128"/>
  <c r="AS30" i="128"/>
  <c r="AR30" i="128"/>
  <c r="AQ30" i="128"/>
  <c r="AP30" i="128"/>
  <c r="AO30" i="128"/>
  <c r="AN30" i="128"/>
  <c r="AM30" i="128"/>
  <c r="AL30" i="128"/>
  <c r="AK30" i="128"/>
  <c r="AJ30" i="128"/>
  <c r="AI30" i="128"/>
  <c r="AH30" i="128"/>
  <c r="AG30" i="128"/>
  <c r="AF30" i="128"/>
  <c r="AE30" i="128"/>
  <c r="AD30" i="128"/>
  <c r="AC30" i="128"/>
  <c r="AB30" i="128"/>
  <c r="AA30" i="128"/>
  <c r="Z30" i="128"/>
  <c r="Y30" i="128"/>
  <c r="X30" i="128"/>
  <c r="W30" i="128"/>
  <c r="V30" i="128"/>
  <c r="U30" i="128"/>
  <c r="T30" i="128"/>
  <c r="S30" i="128"/>
  <c r="BB30" i="128" l="1"/>
  <c r="AO94" i="128"/>
  <c r="AO2" i="129"/>
  <c r="V111" i="129"/>
  <c r="M120" i="129"/>
  <c r="K102" i="129"/>
  <c r="K120" i="129"/>
  <c r="N100" i="129"/>
  <c r="W141" i="129"/>
  <c r="W143" i="129"/>
  <c r="W145" i="129" s="1"/>
  <c r="X147" i="129" s="1"/>
  <c r="T138" i="129"/>
  <c r="T141" i="129" s="1"/>
  <c r="Z141" i="129" s="1"/>
  <c r="Z152" i="129" s="1"/>
  <c r="P107" i="129"/>
  <c r="BB94" i="129"/>
  <c r="N119" i="129"/>
  <c r="M102" i="129"/>
  <c r="F102" i="129"/>
  <c r="F118" i="129"/>
  <c r="F120" i="129" s="1"/>
  <c r="H120" i="129"/>
  <c r="N101" i="129"/>
  <c r="P108" i="130" s="1"/>
  <c r="W122" i="129"/>
  <c r="W124" i="129" s="1"/>
  <c r="X126" i="129" s="1"/>
  <c r="W120" i="129"/>
  <c r="L118" i="129"/>
  <c r="L120" i="129" s="1"/>
  <c r="L102" i="129"/>
  <c r="J120" i="129"/>
  <c r="AA152" i="129"/>
  <c r="AD145" i="129"/>
  <c r="AD155" i="129" s="1"/>
  <c r="J102" i="129"/>
  <c r="AA154" i="129"/>
  <c r="B120" i="129"/>
  <c r="G102" i="129"/>
  <c r="G118" i="129"/>
  <c r="I102" i="129"/>
  <c r="I118" i="129"/>
  <c r="I120" i="129" s="1"/>
  <c r="T117" i="129"/>
  <c r="H102" i="129"/>
  <c r="AG94" i="128"/>
  <c r="T94" i="128"/>
  <c r="AB94" i="128"/>
  <c r="AJ94" i="128"/>
  <c r="AR94" i="128"/>
  <c r="AZ94" i="128"/>
  <c r="AW94" i="128"/>
  <c r="U94" i="128"/>
  <c r="AC94" i="128"/>
  <c r="AK94" i="128"/>
  <c r="AS94" i="128"/>
  <c r="BA94" i="128"/>
  <c r="Y94" i="128"/>
  <c r="V94" i="128"/>
  <c r="AD94" i="128"/>
  <c r="AL94" i="128"/>
  <c r="AT94" i="128"/>
  <c r="W94" i="128"/>
  <c r="AE94" i="128"/>
  <c r="AM94" i="128"/>
  <c r="AU94" i="128"/>
  <c r="X94" i="128"/>
  <c r="AF94" i="128"/>
  <c r="AN94" i="128"/>
  <c r="AV94" i="128"/>
  <c r="BB93" i="128"/>
  <c r="Z94" i="128"/>
  <c r="AH94" i="128"/>
  <c r="AP94" i="128"/>
  <c r="AX94" i="128"/>
  <c r="S94" i="128"/>
  <c r="AA94" i="128"/>
  <c r="AI94" i="128"/>
  <c r="AQ94" i="128"/>
  <c r="AY94" i="128"/>
  <c r="X150" i="128"/>
  <c r="U150" i="128"/>
  <c r="C150" i="128"/>
  <c r="C147" i="128"/>
  <c r="C146" i="128"/>
  <c r="AB145" i="128"/>
  <c r="X145" i="128"/>
  <c r="X143" i="128" s="1"/>
  <c r="U145" i="128"/>
  <c r="X144" i="128"/>
  <c r="U144" i="128"/>
  <c r="R141" i="128"/>
  <c r="W140" i="128"/>
  <c r="T140" i="128"/>
  <c r="W139" i="128"/>
  <c r="W144" i="128" s="1"/>
  <c r="T139" i="128"/>
  <c r="T144" i="128" s="1"/>
  <c r="C137" i="128"/>
  <c r="B137" i="128" s="1"/>
  <c r="X136" i="128"/>
  <c r="X137" i="128" s="1"/>
  <c r="W136" i="128"/>
  <c r="U136" i="128"/>
  <c r="U137" i="128" s="1"/>
  <c r="T136" i="128"/>
  <c r="W135" i="128"/>
  <c r="W134" i="128"/>
  <c r="W116" i="128" s="1"/>
  <c r="X133" i="128"/>
  <c r="W133" i="128"/>
  <c r="U133" i="128"/>
  <c r="U148" i="128" s="1"/>
  <c r="C133" i="128"/>
  <c r="B133" i="128" s="1"/>
  <c r="B134" i="128" s="1"/>
  <c r="W132" i="128"/>
  <c r="T132" i="128"/>
  <c r="B130" i="128"/>
  <c r="C130" i="128" s="1"/>
  <c r="C131" i="128" s="1"/>
  <c r="B127" i="128"/>
  <c r="C127" i="128" s="1"/>
  <c r="B126" i="128"/>
  <c r="C126" i="128" s="1"/>
  <c r="B125" i="128"/>
  <c r="C125" i="128" s="1"/>
  <c r="AB124" i="128"/>
  <c r="AB154" i="128" s="1"/>
  <c r="X124" i="128"/>
  <c r="X122" i="128" s="1"/>
  <c r="U124" i="128"/>
  <c r="U122" i="128" s="1"/>
  <c r="B124" i="128"/>
  <c r="C124" i="128" s="1"/>
  <c r="X123" i="128"/>
  <c r="U123" i="128"/>
  <c r="R120" i="128"/>
  <c r="W119" i="128"/>
  <c r="T119" i="128"/>
  <c r="W118" i="128"/>
  <c r="W123" i="128" s="1"/>
  <c r="T118" i="128"/>
  <c r="T123" i="128" s="1"/>
  <c r="M117" i="128"/>
  <c r="L117" i="128"/>
  <c r="K117" i="128"/>
  <c r="J117" i="128"/>
  <c r="I117" i="128"/>
  <c r="H117" i="128"/>
  <c r="G117" i="128"/>
  <c r="F117" i="128"/>
  <c r="E117" i="128"/>
  <c r="D117" i="128"/>
  <c r="C117" i="128"/>
  <c r="B117" i="128"/>
  <c r="M114" i="128"/>
  <c r="L114" i="128"/>
  <c r="K114" i="128"/>
  <c r="J114" i="128"/>
  <c r="I114" i="128"/>
  <c r="H114" i="128"/>
  <c r="G114" i="128"/>
  <c r="F114" i="128"/>
  <c r="E114" i="128"/>
  <c r="D114" i="128"/>
  <c r="C114" i="128"/>
  <c r="B114" i="128"/>
  <c r="M111" i="128"/>
  <c r="L111" i="128"/>
  <c r="K111" i="128"/>
  <c r="J111" i="128"/>
  <c r="I111" i="128"/>
  <c r="H111" i="128"/>
  <c r="G111" i="128"/>
  <c r="F111" i="128"/>
  <c r="E111" i="128"/>
  <c r="D111" i="128"/>
  <c r="C111" i="128"/>
  <c r="B111" i="128"/>
  <c r="M108" i="128"/>
  <c r="L108" i="128"/>
  <c r="K108" i="128"/>
  <c r="J108" i="128"/>
  <c r="I108" i="128"/>
  <c r="H108" i="128"/>
  <c r="G108" i="128"/>
  <c r="F108" i="128"/>
  <c r="E108" i="128"/>
  <c r="D108" i="128"/>
  <c r="C108" i="128"/>
  <c r="B108" i="128"/>
  <c r="M105" i="128"/>
  <c r="L105" i="128"/>
  <c r="K105" i="128"/>
  <c r="J105" i="128"/>
  <c r="I105" i="128"/>
  <c r="H105" i="128"/>
  <c r="G105" i="128"/>
  <c r="F105" i="128"/>
  <c r="E105" i="128"/>
  <c r="D105" i="128"/>
  <c r="C105" i="128"/>
  <c r="B105" i="128"/>
  <c r="E101" i="128"/>
  <c r="E119" i="128" s="1"/>
  <c r="D101" i="128"/>
  <c r="D119" i="128" s="1"/>
  <c r="C101" i="128"/>
  <c r="C119" i="128" s="1"/>
  <c r="B101" i="128"/>
  <c r="E100" i="128"/>
  <c r="E118" i="128" s="1"/>
  <c r="D100" i="128"/>
  <c r="D118" i="128" s="1"/>
  <c r="C100" i="128"/>
  <c r="C118" i="128" s="1"/>
  <c r="B100" i="128"/>
  <c r="Q94" i="128"/>
  <c r="P94" i="128"/>
  <c r="O94" i="128"/>
  <c r="N94" i="128"/>
  <c r="M94" i="128"/>
  <c r="L94" i="128"/>
  <c r="K94" i="128"/>
  <c r="J94" i="128"/>
  <c r="I94" i="128"/>
  <c r="H94" i="128"/>
  <c r="G94" i="128"/>
  <c r="F94" i="128"/>
  <c r="E94" i="128"/>
  <c r="D94" i="128"/>
  <c r="C94" i="128"/>
  <c r="B94" i="128"/>
  <c r="J101" i="128"/>
  <c r="J119" i="128" s="1"/>
  <c r="BB92" i="128"/>
  <c r="BB91" i="128"/>
  <c r="BB90" i="128"/>
  <c r="BB89" i="128"/>
  <c r="BB88" i="128"/>
  <c r="BB87" i="128"/>
  <c r="BB86" i="128"/>
  <c r="BB85" i="128"/>
  <c r="BB84" i="128"/>
  <c r="BB83" i="128"/>
  <c r="BB82" i="128"/>
  <c r="BB81" i="128"/>
  <c r="BB80" i="128"/>
  <c r="BB79" i="128"/>
  <c r="BB78" i="128"/>
  <c r="BB77" i="128"/>
  <c r="BB76" i="128"/>
  <c r="BB75" i="128"/>
  <c r="BB74" i="128"/>
  <c r="BB73" i="128"/>
  <c r="BB72" i="128"/>
  <c r="BB71" i="128"/>
  <c r="BB70" i="128"/>
  <c r="BB69" i="128"/>
  <c r="BB68" i="128"/>
  <c r="BB67" i="128"/>
  <c r="BB66" i="128"/>
  <c r="BB65" i="128"/>
  <c r="BB64" i="128"/>
  <c r="BB63" i="128"/>
  <c r="BB62" i="128"/>
  <c r="BB61" i="128"/>
  <c r="BB60" i="128"/>
  <c r="BB59" i="128"/>
  <c r="BB58" i="128"/>
  <c r="BB57" i="128"/>
  <c r="BB56" i="128"/>
  <c r="BB55" i="128"/>
  <c r="BB54" i="128"/>
  <c r="BB53" i="128"/>
  <c r="BB52" i="128"/>
  <c r="BB51" i="128"/>
  <c r="BB50" i="128"/>
  <c r="BB49" i="128"/>
  <c r="BB48" i="128"/>
  <c r="BB47" i="128"/>
  <c r="BB46" i="128"/>
  <c r="BB45" i="128"/>
  <c r="BB44" i="128"/>
  <c r="BB43" i="128"/>
  <c r="BB42" i="128"/>
  <c r="BB41" i="128"/>
  <c r="BB40" i="128"/>
  <c r="BB39" i="128"/>
  <c r="BB38" i="128"/>
  <c r="BB37" i="128"/>
  <c r="BB36" i="128"/>
  <c r="BB35" i="128"/>
  <c r="BB34" i="128"/>
  <c r="BB33" i="128"/>
  <c r="BB32" i="128"/>
  <c r="BB31" i="128"/>
  <c r="BB29" i="128"/>
  <c r="BB28" i="128"/>
  <c r="BB27" i="128"/>
  <c r="BB26" i="128"/>
  <c r="BB25" i="128"/>
  <c r="BB24" i="128"/>
  <c r="BB23" i="128"/>
  <c r="BB22" i="128"/>
  <c r="BB21" i="128"/>
  <c r="BB20" i="128"/>
  <c r="BB19" i="128"/>
  <c r="BB18" i="128"/>
  <c r="BB17" i="128"/>
  <c r="BB16" i="128"/>
  <c r="BB15" i="128"/>
  <c r="BB14" i="128"/>
  <c r="BB13" i="128"/>
  <c r="BB12" i="128"/>
  <c r="BB11" i="128"/>
  <c r="BB10" i="128"/>
  <c r="BB9" i="128"/>
  <c r="BB8" i="128"/>
  <c r="BB7" i="128"/>
  <c r="BB6" i="128"/>
  <c r="BB5" i="128"/>
  <c r="BB4" i="128"/>
  <c r="D120" i="128" l="1"/>
  <c r="AA124" i="128"/>
  <c r="X148" i="128"/>
  <c r="U143" i="128"/>
  <c r="P104" i="130"/>
  <c r="P112" i="130" s="1"/>
  <c r="P103" i="130"/>
  <c r="B118" i="128"/>
  <c r="B120" i="128" s="1"/>
  <c r="T134" i="129"/>
  <c r="T116" i="129" s="1"/>
  <c r="T122" i="129" s="1"/>
  <c r="T124" i="129" s="1"/>
  <c r="N102" i="129"/>
  <c r="P111" i="130" s="1"/>
  <c r="T137" i="129"/>
  <c r="U149" i="129" s="1"/>
  <c r="AA155" i="129"/>
  <c r="AD154" i="129"/>
  <c r="O102" i="129"/>
  <c r="T120" i="129"/>
  <c r="Z120" i="129" s="1"/>
  <c r="G120" i="129"/>
  <c r="N120" i="129" s="1"/>
  <c r="N118" i="129"/>
  <c r="W137" i="128"/>
  <c r="X149" i="128" s="1"/>
  <c r="F101" i="128"/>
  <c r="W138" i="128"/>
  <c r="V134" i="128" s="1"/>
  <c r="E120" i="128"/>
  <c r="N108" i="128"/>
  <c r="C120" i="128"/>
  <c r="I101" i="128"/>
  <c r="T138" i="128" s="1"/>
  <c r="K101" i="128"/>
  <c r="K119" i="128" s="1"/>
  <c r="E102" i="128"/>
  <c r="G101" i="128"/>
  <c r="G119" i="128" s="1"/>
  <c r="L101" i="128"/>
  <c r="L119" i="128" s="1"/>
  <c r="R94" i="128"/>
  <c r="BB94" i="128" s="1"/>
  <c r="M101" i="128"/>
  <c r="M119" i="128" s="1"/>
  <c r="C151" i="128"/>
  <c r="C128" i="128"/>
  <c r="I100" i="128"/>
  <c r="I118" i="128" s="1"/>
  <c r="H100" i="128"/>
  <c r="H118" i="128" s="1"/>
  <c r="M100" i="128"/>
  <c r="J100" i="128"/>
  <c r="J118" i="128" s="1"/>
  <c r="J120" i="128" s="1"/>
  <c r="T111" i="128"/>
  <c r="AD124" i="128"/>
  <c r="AA128" i="128"/>
  <c r="K100" i="128"/>
  <c r="L100" i="128"/>
  <c r="B102" i="128"/>
  <c r="B131" i="128"/>
  <c r="H101" i="128"/>
  <c r="H119" i="128" s="1"/>
  <c r="C102" i="128"/>
  <c r="F100" i="128"/>
  <c r="N100" i="128" s="1"/>
  <c r="D102" i="128"/>
  <c r="B128" i="128"/>
  <c r="C134" i="128"/>
  <c r="G100" i="128"/>
  <c r="W117" i="128"/>
  <c r="B119" i="128"/>
  <c r="AA145" i="128"/>
  <c r="AA154" i="128" s="1"/>
  <c r="O120" i="130" l="1"/>
  <c r="P120" i="130" s="1"/>
  <c r="P103" i="129"/>
  <c r="P104" i="129"/>
  <c r="T143" i="129"/>
  <c r="T145" i="129" s="1"/>
  <c r="U147" i="129" s="1"/>
  <c r="AB147" i="129" s="1"/>
  <c r="U126" i="129"/>
  <c r="AB126" i="129" s="1"/>
  <c r="Z124" i="129"/>
  <c r="AA126" i="129" s="1"/>
  <c r="Z154" i="129"/>
  <c r="Z128" i="129"/>
  <c r="F119" i="128"/>
  <c r="N101" i="128"/>
  <c r="P108" i="129" s="1"/>
  <c r="W143" i="128"/>
  <c r="W145" i="128" s="1"/>
  <c r="X147" i="128" s="1"/>
  <c r="W141" i="128"/>
  <c r="M102" i="128"/>
  <c r="I119" i="128"/>
  <c r="I120" i="128" s="1"/>
  <c r="C136" i="128"/>
  <c r="C138" i="128" s="1"/>
  <c r="H120" i="128"/>
  <c r="H102" i="128"/>
  <c r="M118" i="128"/>
  <c r="M120" i="128" s="1"/>
  <c r="I102" i="128"/>
  <c r="T117" i="128"/>
  <c r="T120" i="128" s="1"/>
  <c r="J102" i="128"/>
  <c r="AA155" i="128"/>
  <c r="AD154" i="128"/>
  <c r="K118" i="128"/>
  <c r="K120" i="128" s="1"/>
  <c r="K102" i="128"/>
  <c r="F102" i="128"/>
  <c r="F118" i="128"/>
  <c r="W122" i="128"/>
  <c r="W124" i="128" s="1"/>
  <c r="X126" i="128" s="1"/>
  <c r="W120" i="128"/>
  <c r="G102" i="128"/>
  <c r="G118" i="128"/>
  <c r="G120" i="128" s="1"/>
  <c r="AA152" i="128"/>
  <c r="AD145" i="128"/>
  <c r="AD155" i="128" s="1"/>
  <c r="L118" i="128"/>
  <c r="L120" i="128" s="1"/>
  <c r="L102" i="128"/>
  <c r="T141" i="128"/>
  <c r="Z141" i="128" s="1"/>
  <c r="Z152" i="128" s="1"/>
  <c r="T134" i="128"/>
  <c r="T116" i="128" s="1"/>
  <c r="B136" i="128"/>
  <c r="B138" i="128" s="1"/>
  <c r="Z145" i="129" l="1"/>
  <c r="AA147" i="129" s="1"/>
  <c r="N102" i="128"/>
  <c r="P111" i="129" s="1"/>
  <c r="P112" i="129"/>
  <c r="AA157" i="129"/>
  <c r="Z155" i="129"/>
  <c r="AC126" i="129"/>
  <c r="AA156" i="129"/>
  <c r="N119" i="128"/>
  <c r="T122" i="128"/>
  <c r="T124" i="128" s="1"/>
  <c r="U126" i="128" s="1"/>
  <c r="AB126" i="128" s="1"/>
  <c r="T137" i="128"/>
  <c r="U149" i="128" s="1"/>
  <c r="Z120" i="128"/>
  <c r="F120" i="128"/>
  <c r="N118" i="128"/>
  <c r="T143" i="128"/>
  <c r="T145" i="128" s="1"/>
  <c r="O102" i="128" l="1"/>
  <c r="Z124" i="128"/>
  <c r="AA126" i="128" s="1"/>
  <c r="AC126" i="128" s="1"/>
  <c r="N120" i="128"/>
  <c r="Z154" i="128"/>
  <c r="Z128" i="128"/>
  <c r="U147" i="128"/>
  <c r="AB147" i="128" s="1"/>
  <c r="Z145" i="128"/>
  <c r="AA147" i="128" s="1"/>
  <c r="AA156" i="128" l="1"/>
  <c r="AA157" i="128"/>
  <c r="Z155" i="128"/>
  <c r="BA93" i="126" l="1"/>
  <c r="BA2" i="128" s="1"/>
  <c r="AZ93" i="126"/>
  <c r="AZ2" i="128" s="1"/>
  <c r="AY93" i="126"/>
  <c r="AY2" i="128" s="1"/>
  <c r="AX93" i="126"/>
  <c r="AX2" i="128" s="1"/>
  <c r="AW93" i="126"/>
  <c r="AV93" i="126"/>
  <c r="AV2" i="128" s="1"/>
  <c r="AU93" i="126"/>
  <c r="AU2" i="128" s="1"/>
  <c r="AT93" i="126"/>
  <c r="AT2" i="128" s="1"/>
  <c r="AS93" i="126"/>
  <c r="AR93" i="126"/>
  <c r="AQ93" i="126"/>
  <c r="AQ2" i="128" s="1"/>
  <c r="AP93" i="126"/>
  <c r="AP2" i="128" s="1"/>
  <c r="AO93" i="126"/>
  <c r="AO2" i="128" s="1"/>
  <c r="AN93" i="126"/>
  <c r="AN2" i="126" s="1"/>
  <c r="AM93" i="126"/>
  <c r="AM2" i="128" s="1"/>
  <c r="AL93" i="126"/>
  <c r="AK93" i="126"/>
  <c r="AK2" i="128" s="1"/>
  <c r="AJ93" i="126"/>
  <c r="AI93" i="126"/>
  <c r="AI2" i="128" s="1"/>
  <c r="AH93" i="126"/>
  <c r="AH2" i="128" s="1"/>
  <c r="AG93" i="126"/>
  <c r="AG2" i="128" s="1"/>
  <c r="AF93" i="126"/>
  <c r="AF2" i="126" s="1"/>
  <c r="AE93" i="126"/>
  <c r="AE2" i="128" s="1"/>
  <c r="AD93" i="126"/>
  <c r="AD2" i="128" s="1"/>
  <c r="AC93" i="126"/>
  <c r="AC2" i="128" s="1"/>
  <c r="AB93" i="126"/>
  <c r="AA93" i="126"/>
  <c r="Z93" i="126"/>
  <c r="Z2" i="128" s="1"/>
  <c r="Y93" i="126"/>
  <c r="Y2" i="128" s="1"/>
  <c r="X93" i="126"/>
  <c r="X2" i="128" s="1"/>
  <c r="W93" i="126"/>
  <c r="V93" i="126"/>
  <c r="U93" i="126"/>
  <c r="U2" i="128" s="1"/>
  <c r="T93" i="126"/>
  <c r="S93" i="126"/>
  <c r="S2" i="128" s="1"/>
  <c r="BA30" i="126"/>
  <c r="AZ30" i="126"/>
  <c r="AY30" i="126"/>
  <c r="AX30" i="126"/>
  <c r="AW30" i="126"/>
  <c r="AV30" i="126"/>
  <c r="AU30" i="126"/>
  <c r="AT30" i="126"/>
  <c r="AS30" i="126"/>
  <c r="AR30" i="126"/>
  <c r="AQ30" i="126"/>
  <c r="AP30" i="126"/>
  <c r="AO30" i="126"/>
  <c r="AN30" i="126"/>
  <c r="AM30" i="126"/>
  <c r="AL30" i="126"/>
  <c r="AK30" i="126"/>
  <c r="AJ30" i="126"/>
  <c r="AI30" i="126"/>
  <c r="AH30" i="126"/>
  <c r="AG30" i="126"/>
  <c r="AF30" i="126"/>
  <c r="AE30" i="126"/>
  <c r="AD30" i="126"/>
  <c r="AC30" i="126"/>
  <c r="AB30" i="126"/>
  <c r="AA30" i="126"/>
  <c r="H100" i="126" s="1"/>
  <c r="Z30" i="126"/>
  <c r="Y30" i="126"/>
  <c r="X30" i="126"/>
  <c r="W30" i="126"/>
  <c r="V30" i="126"/>
  <c r="U30" i="126"/>
  <c r="X150" i="126"/>
  <c r="U150" i="126"/>
  <c r="C150" i="126"/>
  <c r="C147" i="126"/>
  <c r="C146" i="126"/>
  <c r="AB145" i="126"/>
  <c r="X145" i="126"/>
  <c r="U145" i="126"/>
  <c r="X144" i="126"/>
  <c r="X143" i="126" s="1"/>
  <c r="U144" i="126"/>
  <c r="U143" i="126" s="1"/>
  <c r="R141" i="126"/>
  <c r="W140" i="126"/>
  <c r="T140" i="126"/>
  <c r="W139" i="126"/>
  <c r="W144" i="126" s="1"/>
  <c r="T139" i="126"/>
  <c r="T144" i="126" s="1"/>
  <c r="U137" i="126"/>
  <c r="C137" i="126"/>
  <c r="B137" i="126" s="1"/>
  <c r="X136" i="126"/>
  <c r="X137" i="126" s="1"/>
  <c r="W136" i="126"/>
  <c r="U136" i="126"/>
  <c r="T136" i="126"/>
  <c r="W135" i="126"/>
  <c r="W134" i="126"/>
  <c r="C134" i="126"/>
  <c r="X133" i="126"/>
  <c r="W133" i="126"/>
  <c r="X148" i="126" s="1"/>
  <c r="U133" i="126"/>
  <c r="U148" i="126" s="1"/>
  <c r="C133" i="126"/>
  <c r="B133" i="126" s="1"/>
  <c r="B134" i="126" s="1"/>
  <c r="W132" i="126"/>
  <c r="T132" i="126"/>
  <c r="B130" i="126"/>
  <c r="C130" i="126" s="1"/>
  <c r="C131" i="126" s="1"/>
  <c r="B127" i="126"/>
  <c r="C127" i="126" s="1"/>
  <c r="B126" i="126"/>
  <c r="C126" i="126" s="1"/>
  <c r="B125" i="126"/>
  <c r="AB124" i="126"/>
  <c r="AB154" i="126" s="1"/>
  <c r="X124" i="126"/>
  <c r="U124" i="126"/>
  <c r="B124" i="126"/>
  <c r="C124" i="126" s="1"/>
  <c r="X123" i="126"/>
  <c r="U123" i="126"/>
  <c r="R120" i="126"/>
  <c r="W119" i="126"/>
  <c r="T119" i="126"/>
  <c r="W118" i="126"/>
  <c r="W123" i="126" s="1"/>
  <c r="T118" i="126"/>
  <c r="T123" i="126" s="1"/>
  <c r="M117" i="126"/>
  <c r="L117" i="126"/>
  <c r="K117" i="126"/>
  <c r="J117" i="126"/>
  <c r="I117" i="126"/>
  <c r="H117" i="126"/>
  <c r="G117" i="126"/>
  <c r="F117" i="126"/>
  <c r="E117" i="126"/>
  <c r="D117" i="126"/>
  <c r="C117" i="126"/>
  <c r="B117" i="126"/>
  <c r="M114" i="126"/>
  <c r="L114" i="126"/>
  <c r="K114" i="126"/>
  <c r="J114" i="126"/>
  <c r="I114" i="126"/>
  <c r="H114" i="126"/>
  <c r="G114" i="126"/>
  <c r="F114" i="126"/>
  <c r="E114" i="126"/>
  <c r="D114" i="126"/>
  <c r="C114" i="126"/>
  <c r="B114" i="126"/>
  <c r="M111" i="126"/>
  <c r="L111" i="126"/>
  <c r="K111" i="126"/>
  <c r="J111" i="126"/>
  <c r="I111" i="126"/>
  <c r="H111" i="126"/>
  <c r="G111" i="126"/>
  <c r="F111" i="126"/>
  <c r="E111" i="126"/>
  <c r="D111" i="126"/>
  <c r="C111" i="126"/>
  <c r="B111" i="126"/>
  <c r="T109" i="126"/>
  <c r="T108" i="126"/>
  <c r="T110" i="126" s="1"/>
  <c r="M108" i="126"/>
  <c r="L108" i="126"/>
  <c r="K108" i="126"/>
  <c r="J108" i="126"/>
  <c r="I108" i="126"/>
  <c r="H108" i="126"/>
  <c r="G108" i="126"/>
  <c r="F108" i="126"/>
  <c r="E108" i="126"/>
  <c r="D108" i="126"/>
  <c r="C108" i="126"/>
  <c r="B108" i="126"/>
  <c r="M105" i="126"/>
  <c r="L105" i="126"/>
  <c r="K105" i="126"/>
  <c r="J105" i="126"/>
  <c r="I105" i="126"/>
  <c r="H105" i="126"/>
  <c r="G105" i="126"/>
  <c r="F105" i="126"/>
  <c r="E105" i="126"/>
  <c r="D105" i="126"/>
  <c r="C105" i="126"/>
  <c r="B105" i="126"/>
  <c r="E101" i="126"/>
  <c r="E119" i="126" s="1"/>
  <c r="D101" i="126"/>
  <c r="D119" i="126" s="1"/>
  <c r="C101" i="126"/>
  <c r="C119" i="126" s="1"/>
  <c r="B101" i="126"/>
  <c r="B119" i="126" s="1"/>
  <c r="E100" i="126"/>
  <c r="E118" i="126" s="1"/>
  <c r="D100" i="126"/>
  <c r="D118" i="126" s="1"/>
  <c r="C100" i="126"/>
  <c r="C118" i="126" s="1"/>
  <c r="B100" i="126"/>
  <c r="B118" i="126" s="1"/>
  <c r="Q94" i="126"/>
  <c r="P94" i="126"/>
  <c r="O94" i="126"/>
  <c r="N94" i="126"/>
  <c r="M94" i="126"/>
  <c r="L94" i="126"/>
  <c r="K94" i="126"/>
  <c r="J94" i="126"/>
  <c r="I94" i="126"/>
  <c r="H94" i="126"/>
  <c r="G94" i="126"/>
  <c r="F94" i="126"/>
  <c r="E94" i="126"/>
  <c r="D94" i="126"/>
  <c r="C94" i="126"/>
  <c r="B94" i="126"/>
  <c r="R93" i="126"/>
  <c r="R2" i="126" s="1"/>
  <c r="BB92" i="126"/>
  <c r="BB91" i="126"/>
  <c r="BB90" i="126"/>
  <c r="BB89" i="126"/>
  <c r="BB88" i="126"/>
  <c r="BB87" i="126"/>
  <c r="BB86" i="126"/>
  <c r="BB85" i="126"/>
  <c r="BB84" i="126"/>
  <c r="BB83" i="126"/>
  <c r="BB82" i="126"/>
  <c r="BB81" i="126"/>
  <c r="BB80" i="126"/>
  <c r="BB79" i="126"/>
  <c r="BB78" i="126"/>
  <c r="BB77" i="126"/>
  <c r="BB76" i="126"/>
  <c r="BB75" i="126"/>
  <c r="BB74" i="126"/>
  <c r="BB73" i="126"/>
  <c r="BB72" i="126"/>
  <c r="BB71" i="126"/>
  <c r="BB70" i="126"/>
  <c r="BB69" i="126"/>
  <c r="BB68" i="126"/>
  <c r="BB67" i="126"/>
  <c r="BB66" i="126"/>
  <c r="BB65" i="126"/>
  <c r="BB64" i="126"/>
  <c r="BB63" i="126"/>
  <c r="BB62" i="126"/>
  <c r="BB61" i="126"/>
  <c r="BB60" i="126"/>
  <c r="BB59" i="126"/>
  <c r="BB58" i="126"/>
  <c r="BB57" i="126"/>
  <c r="BB56" i="126"/>
  <c r="BB55" i="126"/>
  <c r="BB54" i="126"/>
  <c r="BB53" i="126"/>
  <c r="BB52" i="126"/>
  <c r="BB51" i="126"/>
  <c r="BB50" i="126"/>
  <c r="BB49" i="126"/>
  <c r="BB48" i="126"/>
  <c r="BB47" i="126"/>
  <c r="BB46" i="126"/>
  <c r="BB45" i="126"/>
  <c r="BB44" i="126"/>
  <c r="BB43" i="126"/>
  <c r="BB42" i="126"/>
  <c r="BB41" i="126"/>
  <c r="BB40" i="126"/>
  <c r="BB39" i="126"/>
  <c r="BB38" i="126"/>
  <c r="BB37" i="126"/>
  <c r="BB36" i="126"/>
  <c r="BB35" i="126"/>
  <c r="BB34" i="126"/>
  <c r="BB33" i="126"/>
  <c r="BB32" i="126"/>
  <c r="BB31" i="126"/>
  <c r="T30" i="126"/>
  <c r="S30" i="126"/>
  <c r="R30" i="126"/>
  <c r="BB29" i="126"/>
  <c r="BB28" i="126"/>
  <c r="BB27" i="126"/>
  <c r="BB26" i="126"/>
  <c r="BB25" i="126"/>
  <c r="BB24" i="126"/>
  <c r="BB23" i="126"/>
  <c r="BB22" i="126"/>
  <c r="BB21" i="126"/>
  <c r="BB20" i="126"/>
  <c r="BB19" i="126"/>
  <c r="BB18" i="126"/>
  <c r="BB17" i="126"/>
  <c r="BB16" i="126"/>
  <c r="BB15" i="126"/>
  <c r="BB14" i="126"/>
  <c r="BB13" i="126"/>
  <c r="BB12" i="126"/>
  <c r="BB11" i="126"/>
  <c r="BB10" i="126"/>
  <c r="BB9" i="126"/>
  <c r="BB8" i="126"/>
  <c r="BB7" i="126"/>
  <c r="BB6" i="126"/>
  <c r="BB5" i="126"/>
  <c r="BB4" i="126"/>
  <c r="BA2" i="126"/>
  <c r="AY2" i="126"/>
  <c r="AX2" i="126"/>
  <c r="AW2" i="126"/>
  <c r="AU2" i="126"/>
  <c r="AT2" i="126"/>
  <c r="AS2" i="126"/>
  <c r="AQ2" i="126"/>
  <c r="AP2" i="126"/>
  <c r="AM2" i="126"/>
  <c r="AL2" i="126"/>
  <c r="AI2" i="126"/>
  <c r="AH2" i="126"/>
  <c r="AG2" i="126"/>
  <c r="AE2" i="126"/>
  <c r="AD2" i="126"/>
  <c r="AC2" i="126"/>
  <c r="AA2" i="126"/>
  <c r="Z2" i="126"/>
  <c r="W2" i="126"/>
  <c r="U2" i="126"/>
  <c r="S2" i="126"/>
  <c r="Q2" i="126"/>
  <c r="U111" i="126" s="1"/>
  <c r="AO2" i="126" l="1"/>
  <c r="AK2" i="126"/>
  <c r="AA124" i="126"/>
  <c r="Y2" i="126"/>
  <c r="AV2" i="126"/>
  <c r="X122" i="126"/>
  <c r="B131" i="126"/>
  <c r="J100" i="126"/>
  <c r="W117" i="126"/>
  <c r="W120" i="126" s="1"/>
  <c r="L100" i="126"/>
  <c r="X2" i="126"/>
  <c r="AA94" i="126"/>
  <c r="G100" i="126"/>
  <c r="G118" i="126" s="1"/>
  <c r="T94" i="126"/>
  <c r="AB94" i="126"/>
  <c r="AJ94" i="126"/>
  <c r="AR94" i="126"/>
  <c r="C151" i="126"/>
  <c r="I100" i="126"/>
  <c r="K100" i="126"/>
  <c r="M100" i="126"/>
  <c r="M102" i="126" s="1"/>
  <c r="F100" i="126"/>
  <c r="F118" i="126" s="1"/>
  <c r="AS2" i="128"/>
  <c r="L101" i="126"/>
  <c r="L119" i="126" s="1"/>
  <c r="Z94" i="126"/>
  <c r="AH94" i="126"/>
  <c r="AP94" i="126"/>
  <c r="AX94" i="126"/>
  <c r="V2" i="126"/>
  <c r="V2" i="128"/>
  <c r="W138" i="126"/>
  <c r="W141" i="126" s="1"/>
  <c r="AL2" i="128"/>
  <c r="S94" i="126"/>
  <c r="AI94" i="126"/>
  <c r="AQ94" i="126"/>
  <c r="AY94" i="126"/>
  <c r="W2" i="128"/>
  <c r="G101" i="126"/>
  <c r="G102" i="126" s="1"/>
  <c r="AZ94" i="126"/>
  <c r="R2" i="128"/>
  <c r="U111" i="128" s="1"/>
  <c r="V111" i="128" s="1"/>
  <c r="F101" i="126"/>
  <c r="AF2" i="128"/>
  <c r="I101" i="126"/>
  <c r="AN2" i="128"/>
  <c r="K101" i="126"/>
  <c r="K102" i="126" s="1"/>
  <c r="U94" i="126"/>
  <c r="AC94" i="126"/>
  <c r="AK94" i="126"/>
  <c r="AS94" i="126"/>
  <c r="BA94" i="126"/>
  <c r="AW2" i="128"/>
  <c r="M101" i="126"/>
  <c r="M119" i="126" s="1"/>
  <c r="V94" i="126"/>
  <c r="AD94" i="126"/>
  <c r="AL94" i="126"/>
  <c r="AT94" i="126"/>
  <c r="W94" i="126"/>
  <c r="AE94" i="126"/>
  <c r="AM94" i="126"/>
  <c r="AU94" i="126"/>
  <c r="AA2" i="128"/>
  <c r="H101" i="126"/>
  <c r="H119" i="126" s="1"/>
  <c r="X94" i="126"/>
  <c r="AF94" i="126"/>
  <c r="AN94" i="126"/>
  <c r="AV94" i="126"/>
  <c r="T2" i="126"/>
  <c r="T2" i="128"/>
  <c r="AB2" i="126"/>
  <c r="AB2" i="128"/>
  <c r="AJ2" i="126"/>
  <c r="AJ2" i="128"/>
  <c r="J101" i="126"/>
  <c r="AR2" i="126"/>
  <c r="AR2" i="128"/>
  <c r="Y94" i="126"/>
  <c r="AG94" i="126"/>
  <c r="AO94" i="126"/>
  <c r="AW94" i="126"/>
  <c r="I118" i="126"/>
  <c r="I119" i="126"/>
  <c r="L118" i="126"/>
  <c r="K118" i="126"/>
  <c r="H118" i="126"/>
  <c r="J119" i="126"/>
  <c r="AZ2" i="126"/>
  <c r="J118" i="126"/>
  <c r="J120" i="126" s="1"/>
  <c r="B102" i="126"/>
  <c r="B128" i="126"/>
  <c r="B136" i="126" s="1"/>
  <c r="B138" i="126" s="1"/>
  <c r="I102" i="126"/>
  <c r="N108" i="126"/>
  <c r="T117" i="126"/>
  <c r="T120" i="126" s="1"/>
  <c r="Z120" i="126" s="1"/>
  <c r="D120" i="126"/>
  <c r="E102" i="126"/>
  <c r="F119" i="126"/>
  <c r="W116" i="126"/>
  <c r="W122" i="126" s="1"/>
  <c r="W124" i="126" s="1"/>
  <c r="X126" i="126" s="1"/>
  <c r="R94" i="126"/>
  <c r="BB93" i="126"/>
  <c r="BB30" i="126"/>
  <c r="B120" i="126"/>
  <c r="E120" i="126"/>
  <c r="AD124" i="126"/>
  <c r="AA128" i="126"/>
  <c r="C120" i="126"/>
  <c r="C125" i="126"/>
  <c r="C128" i="126" s="1"/>
  <c r="C136" i="126" s="1"/>
  <c r="C138" i="126" s="1"/>
  <c r="C102" i="126"/>
  <c r="W137" i="126"/>
  <c r="X149" i="126" s="1"/>
  <c r="U122" i="126"/>
  <c r="AA145" i="126"/>
  <c r="AA154" i="126" s="1"/>
  <c r="D102" i="126"/>
  <c r="T138" i="126"/>
  <c r="T111" i="126"/>
  <c r="L102" i="126" l="1"/>
  <c r="H120" i="126"/>
  <c r="H102" i="126"/>
  <c r="M118" i="126"/>
  <c r="M120" i="126" s="1"/>
  <c r="P107" i="126"/>
  <c r="K119" i="126"/>
  <c r="V134" i="126"/>
  <c r="G119" i="126"/>
  <c r="G120" i="126" s="1"/>
  <c r="W143" i="126"/>
  <c r="W145" i="126" s="1"/>
  <c r="X147" i="126" s="1"/>
  <c r="P107" i="128"/>
  <c r="I120" i="126"/>
  <c r="L120" i="126"/>
  <c r="K120" i="126"/>
  <c r="J102" i="126"/>
  <c r="BB94" i="126"/>
  <c r="F102" i="126"/>
  <c r="N101" i="126"/>
  <c r="N100" i="126"/>
  <c r="F120" i="126"/>
  <c r="AA155" i="126"/>
  <c r="AD154" i="126"/>
  <c r="T141" i="126"/>
  <c r="Z141" i="126" s="1"/>
  <c r="Z152" i="126" s="1"/>
  <c r="T134" i="126"/>
  <c r="T116" i="126" s="1"/>
  <c r="T122" i="126" s="1"/>
  <c r="T124" i="126" s="1"/>
  <c r="Z128" i="126"/>
  <c r="AA152" i="126"/>
  <c r="AD145" i="126"/>
  <c r="AD155" i="126" s="1"/>
  <c r="V111" i="126"/>
  <c r="N119" i="126" l="1"/>
  <c r="P104" i="128"/>
  <c r="P103" i="128"/>
  <c r="T137" i="126"/>
  <c r="U149" i="126" s="1"/>
  <c r="P108" i="128"/>
  <c r="P112" i="128" s="1"/>
  <c r="T143" i="126"/>
  <c r="T145" i="126" s="1"/>
  <c r="Z145" i="126" s="1"/>
  <c r="AA147" i="126" s="1"/>
  <c r="N102" i="126"/>
  <c r="N118" i="126"/>
  <c r="N120" i="126"/>
  <c r="U126" i="126"/>
  <c r="AB126" i="126" s="1"/>
  <c r="Z124" i="126"/>
  <c r="AA126" i="126" s="1"/>
  <c r="Z154" i="126"/>
  <c r="U147" i="126" l="1"/>
  <c r="AB147" i="126" s="1"/>
  <c r="P111" i="128"/>
  <c r="O102" i="126"/>
  <c r="AA157" i="126"/>
  <c r="Z155" i="126"/>
  <c r="AA156" i="126"/>
  <c r="AC126" i="126"/>
  <c r="S30" i="125" l="1"/>
  <c r="R30" i="125"/>
  <c r="V93" i="125"/>
  <c r="U93" i="125"/>
  <c r="T93" i="125"/>
  <c r="S93" i="125"/>
  <c r="V30" i="125"/>
  <c r="U30" i="125"/>
  <c r="T30" i="125"/>
  <c r="B101" i="125"/>
  <c r="E101" i="125"/>
  <c r="U94" i="125" l="1"/>
  <c r="V94" i="125"/>
  <c r="T94" i="125"/>
  <c r="S94" i="125"/>
  <c r="R93" i="125"/>
  <c r="R94" i="125" s="1"/>
  <c r="R2" i="125" l="1"/>
  <c r="T109" i="125"/>
  <c r="T109" i="124"/>
  <c r="T108" i="125"/>
  <c r="T110" i="125" s="1"/>
  <c r="T108" i="124"/>
  <c r="T108" i="123"/>
  <c r="BA2" i="125" l="1"/>
  <c r="AZ2" i="125"/>
  <c r="AY2" i="125"/>
  <c r="AX2" i="125"/>
  <c r="AW2" i="125"/>
  <c r="AV2" i="125"/>
  <c r="AU2" i="125"/>
  <c r="AT2" i="125"/>
  <c r="AS2" i="125"/>
  <c r="AR2" i="125"/>
  <c r="AQ2" i="125"/>
  <c r="AP2" i="125"/>
  <c r="AO2" i="125"/>
  <c r="AN2" i="125"/>
  <c r="AM2" i="125"/>
  <c r="AL2" i="125"/>
  <c r="AK2" i="125"/>
  <c r="AJ2" i="125"/>
  <c r="AI2" i="125"/>
  <c r="AH2" i="125"/>
  <c r="AG2" i="125"/>
  <c r="AF2" i="125"/>
  <c r="AE2" i="125"/>
  <c r="AD2" i="125"/>
  <c r="AC2" i="125"/>
  <c r="AB2" i="125"/>
  <c r="AA2" i="125"/>
  <c r="Z2" i="125"/>
  <c r="Y2" i="125"/>
  <c r="X2" i="125"/>
  <c r="W2" i="125"/>
  <c r="V2" i="125"/>
  <c r="U2" i="125"/>
  <c r="T2" i="125"/>
  <c r="S2" i="125"/>
  <c r="Q94" i="125" l="1"/>
  <c r="Q2" i="125" l="1"/>
  <c r="U111" i="125" l="1"/>
  <c r="P107" i="125"/>
  <c r="X150" i="125"/>
  <c r="U150" i="125"/>
  <c r="C150" i="125"/>
  <c r="C147" i="125"/>
  <c r="C146" i="125"/>
  <c r="AB145" i="125"/>
  <c r="X145" i="125"/>
  <c r="U145" i="125"/>
  <c r="X144" i="125"/>
  <c r="U144" i="125"/>
  <c r="T144" i="125"/>
  <c r="X143" i="125"/>
  <c r="U143" i="125"/>
  <c r="R141" i="125"/>
  <c r="W140" i="125"/>
  <c r="T140" i="125"/>
  <c r="W139" i="125"/>
  <c r="W144" i="125" s="1"/>
  <c r="T139" i="125"/>
  <c r="W138" i="125"/>
  <c r="C137" i="125"/>
  <c r="B137" i="125" s="1"/>
  <c r="X136" i="125"/>
  <c r="X137" i="125" s="1"/>
  <c r="W136" i="125"/>
  <c r="U136" i="125"/>
  <c r="U137" i="125" s="1"/>
  <c r="T136" i="125"/>
  <c r="W135" i="125"/>
  <c r="W134" i="125"/>
  <c r="W116" i="125" s="1"/>
  <c r="X133" i="125"/>
  <c r="W133" i="125"/>
  <c r="U133" i="125"/>
  <c r="U148" i="125" s="1"/>
  <c r="C133" i="125"/>
  <c r="B133" i="125" s="1"/>
  <c r="B134" i="125" s="1"/>
  <c r="W132" i="125"/>
  <c r="T132" i="125"/>
  <c r="B130" i="125"/>
  <c r="C130" i="125" s="1"/>
  <c r="C131" i="125" s="1"/>
  <c r="B127" i="125"/>
  <c r="B126" i="125"/>
  <c r="C126" i="125" s="1"/>
  <c r="B125" i="125"/>
  <c r="C125" i="125" s="1"/>
  <c r="AB124" i="125"/>
  <c r="X124" i="125"/>
  <c r="U124" i="125"/>
  <c r="B124" i="125"/>
  <c r="C124" i="125" s="1"/>
  <c r="X123" i="125"/>
  <c r="U123" i="125"/>
  <c r="R120" i="125"/>
  <c r="AA124" i="125" s="1"/>
  <c r="W119" i="125"/>
  <c r="T119" i="125"/>
  <c r="W118" i="125"/>
  <c r="W123" i="125" s="1"/>
  <c r="T118" i="125"/>
  <c r="T123" i="125" s="1"/>
  <c r="W117" i="125"/>
  <c r="M117" i="125"/>
  <c r="L117" i="125"/>
  <c r="K117" i="125"/>
  <c r="J117" i="125"/>
  <c r="I117" i="125"/>
  <c r="H117" i="125"/>
  <c r="G117" i="125"/>
  <c r="F117" i="125"/>
  <c r="E117" i="125"/>
  <c r="D117" i="125"/>
  <c r="C117" i="125"/>
  <c r="B117" i="125"/>
  <c r="M114" i="125"/>
  <c r="L114" i="125"/>
  <c r="K114" i="125"/>
  <c r="J114" i="125"/>
  <c r="I114" i="125"/>
  <c r="H114" i="125"/>
  <c r="G114" i="125"/>
  <c r="F114" i="125"/>
  <c r="E114" i="125"/>
  <c r="D114" i="125"/>
  <c r="C114" i="125"/>
  <c r="B114" i="125"/>
  <c r="M111" i="125"/>
  <c r="L111" i="125"/>
  <c r="K111" i="125"/>
  <c r="J111" i="125"/>
  <c r="I111" i="125"/>
  <c r="H111" i="125"/>
  <c r="G111" i="125"/>
  <c r="F111" i="125"/>
  <c r="E111" i="125"/>
  <c r="D111" i="125"/>
  <c r="C111" i="125"/>
  <c r="B111" i="125"/>
  <c r="M108" i="125"/>
  <c r="L108" i="125"/>
  <c r="K108" i="125"/>
  <c r="J108" i="125"/>
  <c r="I108" i="125"/>
  <c r="H108" i="125"/>
  <c r="G108" i="125"/>
  <c r="F108" i="125"/>
  <c r="E108" i="125"/>
  <c r="D108" i="125"/>
  <c r="C108" i="125"/>
  <c r="B108" i="125"/>
  <c r="M105" i="125"/>
  <c r="L105" i="125"/>
  <c r="K105" i="125"/>
  <c r="J105" i="125"/>
  <c r="I105" i="125"/>
  <c r="H105" i="125"/>
  <c r="G105" i="125"/>
  <c r="F105" i="125"/>
  <c r="E105" i="125"/>
  <c r="D105" i="125"/>
  <c r="C105" i="125"/>
  <c r="B105" i="125"/>
  <c r="M101" i="125"/>
  <c r="M119" i="125" s="1"/>
  <c r="L101" i="125"/>
  <c r="L119" i="125" s="1"/>
  <c r="K101" i="125"/>
  <c r="K119" i="125" s="1"/>
  <c r="J101" i="125"/>
  <c r="J119" i="125" s="1"/>
  <c r="I101" i="125"/>
  <c r="T138" i="125" s="1"/>
  <c r="H101" i="125"/>
  <c r="H119" i="125" s="1"/>
  <c r="G101" i="125"/>
  <c r="F101" i="125"/>
  <c r="F119" i="125" s="1"/>
  <c r="E119" i="125"/>
  <c r="D101" i="125"/>
  <c r="D119" i="125" s="1"/>
  <c r="C101" i="125"/>
  <c r="C119" i="125" s="1"/>
  <c r="M100" i="125"/>
  <c r="M118" i="125" s="1"/>
  <c r="L100" i="125"/>
  <c r="L118" i="125" s="1"/>
  <c r="L120" i="125" s="1"/>
  <c r="K100" i="125"/>
  <c r="K118" i="125" s="1"/>
  <c r="J100" i="125"/>
  <c r="J118" i="125" s="1"/>
  <c r="I100" i="125"/>
  <c r="T117" i="125" s="1"/>
  <c r="H100" i="125"/>
  <c r="G100" i="125"/>
  <c r="G118" i="125" s="1"/>
  <c r="F100" i="125"/>
  <c r="E100" i="125"/>
  <c r="E118" i="125" s="1"/>
  <c r="D100" i="125"/>
  <c r="D118" i="125" s="1"/>
  <c r="D120" i="125" s="1"/>
  <c r="C100" i="125"/>
  <c r="C118" i="125" s="1"/>
  <c r="B100" i="125"/>
  <c r="B102" i="125" s="1"/>
  <c r="P94" i="125"/>
  <c r="O94" i="125"/>
  <c r="N94" i="125"/>
  <c r="M94" i="125"/>
  <c r="L94" i="125"/>
  <c r="K94" i="125"/>
  <c r="J94" i="125"/>
  <c r="I94" i="125"/>
  <c r="H94" i="125"/>
  <c r="G94" i="125"/>
  <c r="F94" i="125"/>
  <c r="E94" i="125"/>
  <c r="D94" i="125"/>
  <c r="C94" i="125"/>
  <c r="B94" i="125"/>
  <c r="BB93" i="125"/>
  <c r="BB92" i="125"/>
  <c r="BB91" i="125"/>
  <c r="BB90" i="125"/>
  <c r="BB89" i="125"/>
  <c r="BB88" i="125"/>
  <c r="BB87" i="125"/>
  <c r="BB86" i="125"/>
  <c r="BB85" i="125"/>
  <c r="BB84" i="125"/>
  <c r="BB83" i="125"/>
  <c r="BB82" i="125"/>
  <c r="BB81" i="125"/>
  <c r="BB80" i="125"/>
  <c r="BB79" i="125"/>
  <c r="BB78" i="125"/>
  <c r="BB77" i="125"/>
  <c r="BB76" i="125"/>
  <c r="BB75" i="125"/>
  <c r="BB74" i="125"/>
  <c r="BB73" i="125"/>
  <c r="BB72" i="125"/>
  <c r="BB71" i="125"/>
  <c r="BB70" i="125"/>
  <c r="BB69" i="125"/>
  <c r="BB68" i="125"/>
  <c r="BB67" i="125"/>
  <c r="BB66" i="125"/>
  <c r="BB65" i="125"/>
  <c r="BB64" i="125"/>
  <c r="BB63" i="125"/>
  <c r="BB62" i="125"/>
  <c r="BB61" i="125"/>
  <c r="BB60" i="125"/>
  <c r="BB59" i="125"/>
  <c r="BB58" i="125"/>
  <c r="BB57" i="125"/>
  <c r="BB56" i="125"/>
  <c r="BB55" i="125"/>
  <c r="BB54" i="125"/>
  <c r="BB53" i="125"/>
  <c r="BB52" i="125"/>
  <c r="BB51" i="125"/>
  <c r="BB50" i="125"/>
  <c r="BB49" i="125"/>
  <c r="BB48" i="125"/>
  <c r="BB47" i="125"/>
  <c r="BB46" i="125"/>
  <c r="BB45" i="125"/>
  <c r="BB44" i="125"/>
  <c r="BB43" i="125"/>
  <c r="BB42" i="125"/>
  <c r="BB41" i="125"/>
  <c r="BB40" i="125"/>
  <c r="BB39" i="125"/>
  <c r="BB38" i="125"/>
  <c r="BB37" i="125"/>
  <c r="BB36" i="125"/>
  <c r="BB35" i="125"/>
  <c r="BB34" i="125"/>
  <c r="BB33" i="125"/>
  <c r="BB32" i="125"/>
  <c r="BB31" i="125"/>
  <c r="BB30" i="125"/>
  <c r="BB29" i="125"/>
  <c r="BB28" i="125"/>
  <c r="BB27" i="125"/>
  <c r="BB26" i="125"/>
  <c r="BB25" i="125"/>
  <c r="BB24" i="125"/>
  <c r="BB23" i="125"/>
  <c r="BB22" i="125"/>
  <c r="BB21" i="125"/>
  <c r="BB20" i="125"/>
  <c r="BB19" i="125"/>
  <c r="BB18" i="125"/>
  <c r="BB17" i="125"/>
  <c r="BB16" i="125"/>
  <c r="BB15" i="125"/>
  <c r="BB14" i="125"/>
  <c r="BB13" i="125"/>
  <c r="BB12" i="125"/>
  <c r="BB11" i="125"/>
  <c r="BB10" i="125"/>
  <c r="BB9" i="125"/>
  <c r="BB8" i="125"/>
  <c r="BB7" i="125"/>
  <c r="BB6" i="125"/>
  <c r="BB5" i="125"/>
  <c r="BB4" i="125"/>
  <c r="X148" i="125" l="1"/>
  <c r="AB154" i="125"/>
  <c r="E120" i="125"/>
  <c r="M120" i="125"/>
  <c r="U122" i="125"/>
  <c r="X122" i="125"/>
  <c r="N101" i="125"/>
  <c r="B118" i="125"/>
  <c r="N100" i="125"/>
  <c r="BB94" i="125"/>
  <c r="C120" i="125"/>
  <c r="F102" i="125"/>
  <c r="W137" i="125"/>
  <c r="X149" i="125" s="1"/>
  <c r="V134" i="125"/>
  <c r="T134" i="125" s="1"/>
  <c r="T116" i="125" s="1"/>
  <c r="T122" i="125" s="1"/>
  <c r="T124" i="125" s="1"/>
  <c r="U126" i="125" s="1"/>
  <c r="B131" i="125"/>
  <c r="C134" i="125"/>
  <c r="C151" i="125"/>
  <c r="C102" i="125"/>
  <c r="J102" i="125"/>
  <c r="N108" i="125"/>
  <c r="W143" i="125"/>
  <c r="W145" i="125" s="1"/>
  <c r="X147" i="125" s="1"/>
  <c r="K102" i="125"/>
  <c r="W122" i="125"/>
  <c r="W124" i="125" s="1"/>
  <c r="X126" i="125" s="1"/>
  <c r="B128" i="125"/>
  <c r="F118" i="125"/>
  <c r="F120" i="125" s="1"/>
  <c r="H102" i="125"/>
  <c r="I102" i="125"/>
  <c r="H118" i="125"/>
  <c r="H120" i="125" s="1"/>
  <c r="J120" i="125"/>
  <c r="K120" i="125"/>
  <c r="G102" i="125"/>
  <c r="AD124" i="125"/>
  <c r="AA128" i="125"/>
  <c r="T141" i="125"/>
  <c r="G119" i="125"/>
  <c r="G120" i="125" s="1"/>
  <c r="C127" i="125"/>
  <c r="C128" i="125" s="1"/>
  <c r="L102" i="125"/>
  <c r="T120" i="125"/>
  <c r="E102" i="125"/>
  <c r="M102" i="125"/>
  <c r="I118" i="125"/>
  <c r="B119" i="125"/>
  <c r="W120" i="125"/>
  <c r="D102" i="125"/>
  <c r="T111" i="125"/>
  <c r="V111" i="125" s="1"/>
  <c r="AA145" i="125"/>
  <c r="I119" i="125"/>
  <c r="W141" i="125"/>
  <c r="T110" i="124"/>
  <c r="BA2" i="124"/>
  <c r="AZ2" i="124"/>
  <c r="AY2" i="124"/>
  <c r="AX2" i="124"/>
  <c r="AW2" i="124"/>
  <c r="AV2" i="124"/>
  <c r="AU2" i="124"/>
  <c r="AT2" i="124"/>
  <c r="AS2" i="124"/>
  <c r="AR2" i="124"/>
  <c r="AQ2" i="124"/>
  <c r="AP2" i="124"/>
  <c r="AO2" i="124"/>
  <c r="AN2" i="124"/>
  <c r="AM2" i="124"/>
  <c r="AL2" i="124"/>
  <c r="AK2" i="124"/>
  <c r="AJ2" i="124"/>
  <c r="AI2" i="124"/>
  <c r="AH2" i="124"/>
  <c r="AG2" i="124"/>
  <c r="AF2" i="124"/>
  <c r="AE2" i="124"/>
  <c r="AD2" i="124"/>
  <c r="AC2" i="124"/>
  <c r="AB2" i="124"/>
  <c r="AA2" i="124"/>
  <c r="Z2" i="124"/>
  <c r="Y2" i="124"/>
  <c r="X2" i="124"/>
  <c r="W2" i="124"/>
  <c r="V2" i="124"/>
  <c r="U2" i="124"/>
  <c r="T2" i="124"/>
  <c r="S2" i="124"/>
  <c r="R2" i="124"/>
  <c r="Q2" i="124"/>
  <c r="P94" i="124"/>
  <c r="P2" i="124"/>
  <c r="U111" i="124" s="1"/>
  <c r="Z141" i="125" l="1"/>
  <c r="Z152" i="125" s="1"/>
  <c r="B136" i="125"/>
  <c r="B138" i="125" s="1"/>
  <c r="Z120" i="125"/>
  <c r="Z154" i="125" s="1"/>
  <c r="C136" i="125"/>
  <c r="C138" i="125" s="1"/>
  <c r="N118" i="125"/>
  <c r="N102" i="125"/>
  <c r="O102" i="125" s="1"/>
  <c r="T143" i="125"/>
  <c r="T145" i="125" s="1"/>
  <c r="U147" i="125" s="1"/>
  <c r="AB147" i="125" s="1"/>
  <c r="N119" i="125"/>
  <c r="AB126" i="125"/>
  <c r="AA152" i="125"/>
  <c r="AD145" i="125"/>
  <c r="AD155" i="125" s="1"/>
  <c r="I120" i="125"/>
  <c r="T137" i="125"/>
  <c r="U149" i="125" s="1"/>
  <c r="B120" i="125"/>
  <c r="AA154" i="125"/>
  <c r="Z124" i="125"/>
  <c r="AA126" i="125" s="1"/>
  <c r="X150" i="124"/>
  <c r="U150" i="124"/>
  <c r="C146" i="124"/>
  <c r="AB145" i="124"/>
  <c r="X145" i="124"/>
  <c r="U145" i="124"/>
  <c r="X144" i="124"/>
  <c r="U144" i="124"/>
  <c r="R141" i="124"/>
  <c r="W140" i="124"/>
  <c r="T140" i="124"/>
  <c r="W139" i="124"/>
  <c r="W144" i="124" s="1"/>
  <c r="T139" i="124"/>
  <c r="T144" i="124" s="1"/>
  <c r="W138" i="124"/>
  <c r="C137" i="124"/>
  <c r="B137" i="124" s="1"/>
  <c r="X136" i="124"/>
  <c r="X137" i="124" s="1"/>
  <c r="W136" i="124"/>
  <c r="U136" i="124"/>
  <c r="U137" i="124" s="1"/>
  <c r="T136" i="124"/>
  <c r="W135" i="124"/>
  <c r="W134" i="124"/>
  <c r="V134" i="124" s="1"/>
  <c r="X133" i="124"/>
  <c r="W133" i="124"/>
  <c r="U133" i="124"/>
  <c r="U148" i="124" s="1"/>
  <c r="C133" i="124"/>
  <c r="C134" i="124" s="1"/>
  <c r="W132" i="124"/>
  <c r="T132" i="124"/>
  <c r="B130" i="124"/>
  <c r="C130" i="124" s="1"/>
  <c r="C131" i="124" s="1"/>
  <c r="B127" i="124"/>
  <c r="C127" i="124" s="1"/>
  <c r="B126" i="124"/>
  <c r="C126" i="124" s="1"/>
  <c r="B125" i="124"/>
  <c r="C125" i="124" s="1"/>
  <c r="AB124" i="124"/>
  <c r="X124" i="124"/>
  <c r="U124" i="124"/>
  <c r="B124" i="124"/>
  <c r="X123" i="124"/>
  <c r="U123" i="124"/>
  <c r="R120" i="124"/>
  <c r="W119" i="124"/>
  <c r="T119" i="124"/>
  <c r="W118" i="124"/>
  <c r="W123" i="124" s="1"/>
  <c r="T118" i="124"/>
  <c r="T123" i="124" s="1"/>
  <c r="W117" i="124"/>
  <c r="M117" i="124"/>
  <c r="L117" i="124"/>
  <c r="K117" i="124"/>
  <c r="J117" i="124"/>
  <c r="I117" i="124"/>
  <c r="H117" i="124"/>
  <c r="G117" i="124"/>
  <c r="F117" i="124"/>
  <c r="E117" i="124"/>
  <c r="D117" i="124"/>
  <c r="C117" i="124"/>
  <c r="B117" i="124"/>
  <c r="M114" i="124"/>
  <c r="L114" i="124"/>
  <c r="K114" i="124"/>
  <c r="J114" i="124"/>
  <c r="I114" i="124"/>
  <c r="H114" i="124"/>
  <c r="G114" i="124"/>
  <c r="F114" i="124"/>
  <c r="E114" i="124"/>
  <c r="D114" i="124"/>
  <c r="C114" i="124"/>
  <c r="B114" i="124"/>
  <c r="M111" i="124"/>
  <c r="L111" i="124"/>
  <c r="K111" i="124"/>
  <c r="J111" i="124"/>
  <c r="I111" i="124"/>
  <c r="H111" i="124"/>
  <c r="G111" i="124"/>
  <c r="F111" i="124"/>
  <c r="E111" i="124"/>
  <c r="D111" i="124"/>
  <c r="C111" i="124"/>
  <c r="B111" i="124"/>
  <c r="M108" i="124"/>
  <c r="L108" i="124"/>
  <c r="K108" i="124"/>
  <c r="J108" i="124"/>
  <c r="I108" i="124"/>
  <c r="H108" i="124"/>
  <c r="G108" i="124"/>
  <c r="F108" i="124"/>
  <c r="E108" i="124"/>
  <c r="D108" i="124"/>
  <c r="C108" i="124"/>
  <c r="B108" i="124"/>
  <c r="O108" i="125" s="1"/>
  <c r="M105" i="124"/>
  <c r="L105" i="124"/>
  <c r="K105" i="124"/>
  <c r="J105" i="124"/>
  <c r="I105" i="124"/>
  <c r="H105" i="124"/>
  <c r="G105" i="124"/>
  <c r="F105" i="124"/>
  <c r="E105" i="124"/>
  <c r="D105" i="124"/>
  <c r="C105" i="124"/>
  <c r="B105" i="124"/>
  <c r="M101" i="124"/>
  <c r="M119" i="124" s="1"/>
  <c r="L101" i="124"/>
  <c r="L119" i="124" s="1"/>
  <c r="K101" i="124"/>
  <c r="K119" i="124" s="1"/>
  <c r="J101" i="124"/>
  <c r="J119" i="124" s="1"/>
  <c r="I101" i="124"/>
  <c r="I119" i="124" s="1"/>
  <c r="H101" i="124"/>
  <c r="H119" i="124" s="1"/>
  <c r="G101" i="124"/>
  <c r="G119" i="124" s="1"/>
  <c r="F101" i="124"/>
  <c r="E101" i="124"/>
  <c r="E119" i="124" s="1"/>
  <c r="D101" i="124"/>
  <c r="D119" i="124" s="1"/>
  <c r="C101" i="124"/>
  <c r="C119" i="124" s="1"/>
  <c r="B101" i="124"/>
  <c r="B119" i="124" s="1"/>
  <c r="M100" i="124"/>
  <c r="M118" i="124" s="1"/>
  <c r="L100" i="124"/>
  <c r="L118" i="124" s="1"/>
  <c r="K100" i="124"/>
  <c r="J100" i="124"/>
  <c r="J118" i="124" s="1"/>
  <c r="I100" i="124"/>
  <c r="T117" i="124" s="1"/>
  <c r="H100" i="124"/>
  <c r="H118" i="124" s="1"/>
  <c r="G100" i="124"/>
  <c r="G118" i="124" s="1"/>
  <c r="F100" i="124"/>
  <c r="F118" i="124" s="1"/>
  <c r="E100" i="124"/>
  <c r="E118" i="124" s="1"/>
  <c r="D100" i="124"/>
  <c r="D118" i="124" s="1"/>
  <c r="C100" i="124"/>
  <c r="C118" i="124" s="1"/>
  <c r="B100" i="124"/>
  <c r="B118" i="124" s="1"/>
  <c r="O94" i="124"/>
  <c r="N94" i="124"/>
  <c r="M94" i="124"/>
  <c r="L94" i="124"/>
  <c r="K94" i="124"/>
  <c r="J94" i="124"/>
  <c r="I94" i="124"/>
  <c r="H94" i="124"/>
  <c r="G94" i="124"/>
  <c r="F94" i="124"/>
  <c r="E94" i="124"/>
  <c r="D94" i="124"/>
  <c r="C94" i="124"/>
  <c r="B94" i="124"/>
  <c r="BB93" i="124"/>
  <c r="BB92" i="124"/>
  <c r="BB91" i="124"/>
  <c r="BB90" i="124"/>
  <c r="BB89" i="124"/>
  <c r="BB88" i="124"/>
  <c r="BB87" i="124"/>
  <c r="BB86" i="124"/>
  <c r="BB85" i="124"/>
  <c r="BB84" i="124"/>
  <c r="BB83" i="124"/>
  <c r="BB82" i="124"/>
  <c r="BB81" i="124"/>
  <c r="BB80" i="124"/>
  <c r="BB79" i="124"/>
  <c r="BB78" i="124"/>
  <c r="BB77" i="124"/>
  <c r="BB76" i="124"/>
  <c r="BB75" i="124"/>
  <c r="BB74" i="124"/>
  <c r="BB73" i="124"/>
  <c r="BB72" i="124"/>
  <c r="BB71" i="124"/>
  <c r="BB70" i="124"/>
  <c r="BB69" i="124"/>
  <c r="BB68" i="124"/>
  <c r="BB67" i="124"/>
  <c r="BB66" i="124"/>
  <c r="BB65" i="124"/>
  <c r="BB64" i="124"/>
  <c r="BB63" i="124"/>
  <c r="BB62" i="124"/>
  <c r="BB61" i="124"/>
  <c r="BB60" i="124"/>
  <c r="BB59" i="124"/>
  <c r="BB58" i="124"/>
  <c r="BB57" i="124"/>
  <c r="BB56" i="124"/>
  <c r="BB55" i="124"/>
  <c r="BB54" i="124"/>
  <c r="BB53" i="124"/>
  <c r="BB52" i="124"/>
  <c r="BB51" i="124"/>
  <c r="BB50" i="124"/>
  <c r="BB49" i="124"/>
  <c r="BB48" i="124"/>
  <c r="BB47" i="124"/>
  <c r="BB46" i="124"/>
  <c r="BB45" i="124"/>
  <c r="BB44" i="124"/>
  <c r="BB43" i="124"/>
  <c r="BB42" i="124"/>
  <c r="BB41" i="124"/>
  <c r="BB40" i="124"/>
  <c r="BB39" i="124"/>
  <c r="BB38" i="124"/>
  <c r="BB37" i="124"/>
  <c r="BB36" i="124"/>
  <c r="BB35" i="124"/>
  <c r="BB34" i="124"/>
  <c r="BB33" i="124"/>
  <c r="BB32" i="124"/>
  <c r="BB31" i="124"/>
  <c r="BB30" i="124"/>
  <c r="BB29" i="124"/>
  <c r="BB28" i="124"/>
  <c r="BB27" i="124"/>
  <c r="BB26" i="124"/>
  <c r="BB25" i="124"/>
  <c r="BB24" i="124"/>
  <c r="BB23" i="124"/>
  <c r="BB22" i="124"/>
  <c r="BB21" i="124"/>
  <c r="BB20" i="124"/>
  <c r="BB19" i="124"/>
  <c r="BB18" i="124"/>
  <c r="BB17" i="124"/>
  <c r="BB16" i="124"/>
  <c r="BB15" i="124"/>
  <c r="BB14" i="124"/>
  <c r="BB13" i="124"/>
  <c r="BB12" i="124"/>
  <c r="BB11" i="124"/>
  <c r="BB10" i="124"/>
  <c r="BB9" i="124"/>
  <c r="BB8" i="124"/>
  <c r="BB7" i="124"/>
  <c r="BB6" i="124"/>
  <c r="BB5" i="124"/>
  <c r="BB4" i="124"/>
  <c r="P107" i="124"/>
  <c r="C147" i="124"/>
  <c r="C150" i="124"/>
  <c r="BB94" i="124" l="1"/>
  <c r="M120" i="124"/>
  <c r="O108" i="129"/>
  <c r="O120" i="129" s="1"/>
  <c r="P120" i="129" s="1"/>
  <c r="O108" i="128"/>
  <c r="O120" i="128" s="1"/>
  <c r="P120" i="128" s="1"/>
  <c r="O108" i="126"/>
  <c r="Z128" i="125"/>
  <c r="Z145" i="125"/>
  <c r="AA147" i="125" s="1"/>
  <c r="AA156" i="125" s="1"/>
  <c r="AA155" i="125"/>
  <c r="AD154" i="125"/>
  <c r="N120" i="125"/>
  <c r="AC126" i="125"/>
  <c r="AA157" i="125"/>
  <c r="Z155" i="125"/>
  <c r="X143" i="124"/>
  <c r="U143" i="124"/>
  <c r="AA124" i="124"/>
  <c r="AA128" i="124" s="1"/>
  <c r="U122" i="124"/>
  <c r="X122" i="124"/>
  <c r="C120" i="124"/>
  <c r="X148" i="124"/>
  <c r="B128" i="124"/>
  <c r="N108" i="124"/>
  <c r="W120" i="124"/>
  <c r="W141" i="124"/>
  <c r="B131" i="124"/>
  <c r="T138" i="124"/>
  <c r="N100" i="124"/>
  <c r="J102" i="124"/>
  <c r="B102" i="124"/>
  <c r="D120" i="124"/>
  <c r="C102" i="124"/>
  <c r="K102" i="124"/>
  <c r="H102" i="124"/>
  <c r="I118" i="124"/>
  <c r="AB154" i="124"/>
  <c r="E120" i="124"/>
  <c r="L120" i="124"/>
  <c r="I102" i="124"/>
  <c r="W116" i="124"/>
  <c r="W122" i="124" s="1"/>
  <c r="W124" i="124" s="1"/>
  <c r="X126" i="124" s="1"/>
  <c r="F102" i="124"/>
  <c r="H120" i="124"/>
  <c r="G120" i="124"/>
  <c r="K118" i="124"/>
  <c r="K120" i="124" s="1"/>
  <c r="W143" i="124"/>
  <c r="W145" i="124" s="1"/>
  <c r="X147" i="124" s="1"/>
  <c r="C151" i="124"/>
  <c r="J120" i="124"/>
  <c r="B120" i="124"/>
  <c r="T120" i="124"/>
  <c r="B133" i="124"/>
  <c r="B134" i="124" s="1"/>
  <c r="AA145" i="124"/>
  <c r="AA154" i="124" s="1"/>
  <c r="E102" i="124"/>
  <c r="D102" i="124"/>
  <c r="L102" i="124"/>
  <c r="F119" i="124"/>
  <c r="F120" i="124" s="1"/>
  <c r="N101" i="124"/>
  <c r="M102" i="124"/>
  <c r="T111" i="124"/>
  <c r="V111" i="124" s="1"/>
  <c r="C124" i="124"/>
  <c r="C128" i="124" s="1"/>
  <c r="C136" i="124" s="1"/>
  <c r="C138" i="124" s="1"/>
  <c r="AD124" i="124"/>
  <c r="G102" i="124"/>
  <c r="W137" i="124"/>
  <c r="X149" i="124" s="1"/>
  <c r="T106" i="123"/>
  <c r="T109" i="123"/>
  <c r="T110" i="123" s="1"/>
  <c r="T105" i="123"/>
  <c r="BA2" i="123"/>
  <c r="AZ2" i="123"/>
  <c r="AY2" i="123"/>
  <c r="AX2" i="123"/>
  <c r="AW2" i="123"/>
  <c r="AV2" i="123"/>
  <c r="AU2" i="123"/>
  <c r="AT2" i="123"/>
  <c r="AS2" i="123"/>
  <c r="AR2" i="123"/>
  <c r="AQ2" i="123"/>
  <c r="AP2" i="123"/>
  <c r="AO2" i="123"/>
  <c r="AN2" i="123"/>
  <c r="AM2" i="123"/>
  <c r="AL2" i="123"/>
  <c r="AK2" i="123"/>
  <c r="AJ2" i="123"/>
  <c r="AI2" i="123"/>
  <c r="AH2" i="123"/>
  <c r="AG2" i="123"/>
  <c r="AF2" i="123"/>
  <c r="AE2" i="123"/>
  <c r="AD2" i="123"/>
  <c r="AC2" i="123"/>
  <c r="AB2" i="123"/>
  <c r="AA2" i="123"/>
  <c r="Z2" i="123"/>
  <c r="Y2" i="123"/>
  <c r="X2" i="123"/>
  <c r="W2" i="123"/>
  <c r="V2" i="123"/>
  <c r="U2" i="123"/>
  <c r="T2" i="123"/>
  <c r="S2" i="123"/>
  <c r="R2" i="123"/>
  <c r="Q2" i="123"/>
  <c r="P2" i="123"/>
  <c r="BB4" i="123"/>
  <c r="BB5" i="123"/>
  <c r="BB6" i="123"/>
  <c r="BB7" i="123"/>
  <c r="BB8" i="123"/>
  <c r="BB9" i="123"/>
  <c r="BB10" i="123"/>
  <c r="BB11" i="123"/>
  <c r="BB12" i="123"/>
  <c r="BB13" i="123"/>
  <c r="BB14" i="123"/>
  <c r="BB15" i="123"/>
  <c r="BB16" i="123"/>
  <c r="BB17" i="123"/>
  <c r="BB18" i="123"/>
  <c r="BB19" i="123"/>
  <c r="BB20" i="123"/>
  <c r="BB21" i="123"/>
  <c r="BB22" i="123"/>
  <c r="BB23" i="123"/>
  <c r="BB24" i="123"/>
  <c r="BB25" i="123"/>
  <c r="BB26" i="123"/>
  <c r="BB27" i="123"/>
  <c r="BB28" i="123"/>
  <c r="BB29" i="123"/>
  <c r="BB30" i="123"/>
  <c r="BB31" i="123"/>
  <c r="BB32" i="123"/>
  <c r="BB33" i="123"/>
  <c r="BB34" i="123"/>
  <c r="BB35" i="123"/>
  <c r="BB36" i="123"/>
  <c r="BB37" i="123"/>
  <c r="BB38" i="123"/>
  <c r="BB39" i="123"/>
  <c r="BB40" i="123"/>
  <c r="BB41" i="123"/>
  <c r="BB42" i="123"/>
  <c r="BB43" i="123"/>
  <c r="BB44" i="123"/>
  <c r="BB45" i="123"/>
  <c r="BB46" i="123"/>
  <c r="BB47" i="123"/>
  <c r="BB48" i="123"/>
  <c r="BB49" i="123"/>
  <c r="BB50" i="123"/>
  <c r="BB51" i="123"/>
  <c r="BB52" i="123"/>
  <c r="BB53" i="123"/>
  <c r="BB54" i="123"/>
  <c r="BB55" i="123"/>
  <c r="BB56" i="123"/>
  <c r="BB57" i="123"/>
  <c r="BB58" i="123"/>
  <c r="BB59" i="123"/>
  <c r="BB60" i="123"/>
  <c r="BB61" i="123"/>
  <c r="BB62" i="123"/>
  <c r="BB63" i="123"/>
  <c r="BB64" i="123"/>
  <c r="BB65" i="123"/>
  <c r="BB66" i="123"/>
  <c r="BB67" i="123"/>
  <c r="BB68" i="123"/>
  <c r="BB69" i="123"/>
  <c r="BB70" i="123"/>
  <c r="BB71" i="123"/>
  <c r="BB72" i="123"/>
  <c r="BB73" i="123"/>
  <c r="BB74" i="123"/>
  <c r="BB75" i="123"/>
  <c r="BB76" i="123"/>
  <c r="BB77" i="123"/>
  <c r="BB78" i="123"/>
  <c r="BB79" i="123"/>
  <c r="BB80" i="123"/>
  <c r="BB81" i="123"/>
  <c r="BB82" i="123"/>
  <c r="BB83" i="123"/>
  <c r="BB84" i="123"/>
  <c r="BB85" i="123"/>
  <c r="BB86" i="123"/>
  <c r="BB87" i="123"/>
  <c r="BB88" i="123"/>
  <c r="BB89" i="123"/>
  <c r="BB90" i="123"/>
  <c r="BB91" i="123"/>
  <c r="BB92" i="123"/>
  <c r="BB93" i="123"/>
  <c r="O94" i="123"/>
  <c r="P108" i="126" l="1"/>
  <c r="P112" i="126" s="1"/>
  <c r="O120" i="126" s="1"/>
  <c r="P120" i="126" s="1"/>
  <c r="P108" i="125"/>
  <c r="P104" i="126"/>
  <c r="P103" i="126"/>
  <c r="P103" i="125"/>
  <c r="P104" i="125"/>
  <c r="P112" i="125" s="1"/>
  <c r="O120" i="125" s="1"/>
  <c r="P120" i="125" s="1"/>
  <c r="N118" i="124"/>
  <c r="Z120" i="124"/>
  <c r="Z128" i="124" s="1"/>
  <c r="B136" i="124"/>
  <c r="B138" i="124" s="1"/>
  <c r="T141" i="124"/>
  <c r="Z141" i="124" s="1"/>
  <c r="Z152" i="124" s="1"/>
  <c r="T134" i="124"/>
  <c r="T116" i="124" s="1"/>
  <c r="T122" i="124" s="1"/>
  <c r="T124" i="124" s="1"/>
  <c r="N119" i="124"/>
  <c r="I120" i="124"/>
  <c r="N120" i="124" s="1"/>
  <c r="T104" i="123"/>
  <c r="N102" i="124"/>
  <c r="AD154" i="124"/>
  <c r="AA155" i="124"/>
  <c r="AA152" i="124"/>
  <c r="AD145" i="124"/>
  <c r="AD155" i="124" s="1"/>
  <c r="U126" i="124"/>
  <c r="AB126" i="124" s="1"/>
  <c r="Z124" i="124"/>
  <c r="AA126" i="124" s="1"/>
  <c r="O2" i="123"/>
  <c r="U111" i="123" s="1"/>
  <c r="X150" i="123"/>
  <c r="U150" i="123"/>
  <c r="C146" i="123"/>
  <c r="AB145" i="123"/>
  <c r="X145" i="123"/>
  <c r="U145" i="123"/>
  <c r="X144" i="123"/>
  <c r="U144" i="123"/>
  <c r="R141" i="123"/>
  <c r="W140" i="123"/>
  <c r="T140" i="123"/>
  <c r="W139" i="123"/>
  <c r="W144" i="123" s="1"/>
  <c r="T139" i="123"/>
  <c r="T144" i="123" s="1"/>
  <c r="W138" i="123"/>
  <c r="C137" i="123"/>
  <c r="B137" i="123" s="1"/>
  <c r="X136" i="123"/>
  <c r="X137" i="123" s="1"/>
  <c r="W136" i="123"/>
  <c r="U136" i="123"/>
  <c r="U137" i="123" s="1"/>
  <c r="T136" i="123"/>
  <c r="W135" i="123"/>
  <c r="W134" i="123"/>
  <c r="W116" i="123" s="1"/>
  <c r="X133" i="123"/>
  <c r="W133" i="123"/>
  <c r="W137" i="123" s="1"/>
  <c r="U133" i="123"/>
  <c r="U148" i="123" s="1"/>
  <c r="C133" i="123"/>
  <c r="C134" i="123" s="1"/>
  <c r="W132" i="123"/>
  <c r="T132" i="123"/>
  <c r="B130" i="123"/>
  <c r="C130" i="123" s="1"/>
  <c r="C131" i="123" s="1"/>
  <c r="B127" i="123"/>
  <c r="C127" i="123" s="1"/>
  <c r="B126" i="123"/>
  <c r="C126" i="123" s="1"/>
  <c r="B125" i="123"/>
  <c r="C125" i="123" s="1"/>
  <c r="AB124" i="123"/>
  <c r="X124" i="123"/>
  <c r="U124" i="123"/>
  <c r="B124" i="123"/>
  <c r="C124" i="123" s="1"/>
  <c r="X123" i="123"/>
  <c r="X122" i="123" s="1"/>
  <c r="U123" i="123"/>
  <c r="R120" i="123"/>
  <c r="W119" i="123"/>
  <c r="T119" i="123"/>
  <c r="W118" i="123"/>
  <c r="W123" i="123" s="1"/>
  <c r="T118" i="123"/>
  <c r="T123" i="123" s="1"/>
  <c r="W117" i="123"/>
  <c r="M117" i="123"/>
  <c r="L117" i="123"/>
  <c r="K117" i="123"/>
  <c r="J117" i="123"/>
  <c r="I117" i="123"/>
  <c r="H117" i="123"/>
  <c r="G117" i="123"/>
  <c r="F117" i="123"/>
  <c r="E117" i="123"/>
  <c r="D117" i="123"/>
  <c r="C117" i="123"/>
  <c r="B117" i="123"/>
  <c r="M114" i="123"/>
  <c r="L114" i="123"/>
  <c r="K114" i="123"/>
  <c r="J114" i="123"/>
  <c r="I114" i="123"/>
  <c r="H114" i="123"/>
  <c r="G114" i="123"/>
  <c r="F114" i="123"/>
  <c r="E114" i="123"/>
  <c r="D114" i="123"/>
  <c r="C114" i="123"/>
  <c r="B114" i="123"/>
  <c r="M111" i="123"/>
  <c r="L111" i="123"/>
  <c r="K111" i="123"/>
  <c r="J111" i="123"/>
  <c r="I111" i="123"/>
  <c r="H111" i="123"/>
  <c r="G111" i="123"/>
  <c r="F111" i="123"/>
  <c r="E111" i="123"/>
  <c r="D111" i="123"/>
  <c r="C111" i="123"/>
  <c r="B111" i="123"/>
  <c r="M108" i="123"/>
  <c r="L108" i="123"/>
  <c r="K108" i="123"/>
  <c r="J108" i="123"/>
  <c r="I108" i="123"/>
  <c r="H108" i="123"/>
  <c r="G108" i="123"/>
  <c r="F108" i="123"/>
  <c r="E108" i="123"/>
  <c r="D108" i="123"/>
  <c r="C108" i="123"/>
  <c r="B108" i="123"/>
  <c r="M105" i="123"/>
  <c r="L105" i="123"/>
  <c r="K105" i="123"/>
  <c r="J105" i="123"/>
  <c r="I105" i="123"/>
  <c r="H105" i="123"/>
  <c r="G105" i="123"/>
  <c r="F105" i="123"/>
  <c r="E105" i="123"/>
  <c r="D105" i="123"/>
  <c r="C105" i="123"/>
  <c r="B105" i="123"/>
  <c r="M101" i="123"/>
  <c r="M119" i="123" s="1"/>
  <c r="L101" i="123"/>
  <c r="L119" i="123" s="1"/>
  <c r="K101" i="123"/>
  <c r="K119" i="123" s="1"/>
  <c r="J101" i="123"/>
  <c r="J119" i="123" s="1"/>
  <c r="I101" i="123"/>
  <c r="T138" i="123" s="1"/>
  <c r="H101" i="123"/>
  <c r="H119" i="123" s="1"/>
  <c r="G101" i="123"/>
  <c r="G119" i="123" s="1"/>
  <c r="F101" i="123"/>
  <c r="F119" i="123" s="1"/>
  <c r="E101" i="123"/>
  <c r="E119" i="123" s="1"/>
  <c r="D101" i="123"/>
  <c r="D119" i="123" s="1"/>
  <c r="C101" i="123"/>
  <c r="C119" i="123" s="1"/>
  <c r="B101" i="123"/>
  <c r="M100" i="123"/>
  <c r="M118" i="123" s="1"/>
  <c r="L100" i="123"/>
  <c r="L118" i="123" s="1"/>
  <c r="K100" i="123"/>
  <c r="J100" i="123"/>
  <c r="J118" i="123" s="1"/>
  <c r="I100" i="123"/>
  <c r="H100" i="123"/>
  <c r="G100" i="123"/>
  <c r="G118" i="123" s="1"/>
  <c r="F100" i="123"/>
  <c r="F118" i="123" s="1"/>
  <c r="E100" i="123"/>
  <c r="E118" i="123" s="1"/>
  <c r="D100" i="123"/>
  <c r="D118" i="123" s="1"/>
  <c r="C100" i="123"/>
  <c r="C102" i="123" s="1"/>
  <c r="B100" i="123"/>
  <c r="B102" i="123" s="1"/>
  <c r="N94" i="123"/>
  <c r="M94" i="123"/>
  <c r="L94" i="123"/>
  <c r="K94" i="123"/>
  <c r="J94" i="123"/>
  <c r="I94" i="123"/>
  <c r="H94" i="123"/>
  <c r="G94" i="123"/>
  <c r="F94" i="123"/>
  <c r="E94" i="123"/>
  <c r="D94" i="123"/>
  <c r="C94" i="123"/>
  <c r="B94" i="123"/>
  <c r="C147" i="123"/>
  <c r="C150" i="123"/>
  <c r="O108" i="124" l="1"/>
  <c r="O102" i="124"/>
  <c r="P111" i="126"/>
  <c r="P111" i="125"/>
  <c r="L120" i="123"/>
  <c r="Z154" i="124"/>
  <c r="Z155" i="124" s="1"/>
  <c r="X143" i="123"/>
  <c r="B133" i="123"/>
  <c r="B134" i="123" s="1"/>
  <c r="X148" i="123"/>
  <c r="B131" i="123"/>
  <c r="U122" i="123"/>
  <c r="AB154" i="123"/>
  <c r="B118" i="123"/>
  <c r="U143" i="123"/>
  <c r="T143" i="124"/>
  <c r="T145" i="124" s="1"/>
  <c r="T137" i="124"/>
  <c r="U149" i="124" s="1"/>
  <c r="AC126" i="124"/>
  <c r="C151" i="123"/>
  <c r="BB94" i="123"/>
  <c r="M120" i="123"/>
  <c r="W120" i="123"/>
  <c r="C118" i="123"/>
  <c r="N108" i="123"/>
  <c r="F120" i="123"/>
  <c r="K102" i="123"/>
  <c r="F102" i="123"/>
  <c r="J102" i="123"/>
  <c r="K118" i="123"/>
  <c r="K120" i="123" s="1"/>
  <c r="J120" i="123"/>
  <c r="V134" i="123"/>
  <c r="T134" i="123" s="1"/>
  <c r="T116" i="123" s="1"/>
  <c r="W122" i="123"/>
  <c r="W124" i="123" s="1"/>
  <c r="X126" i="123" s="1"/>
  <c r="X149" i="123"/>
  <c r="W143" i="123"/>
  <c r="W145" i="123" s="1"/>
  <c r="X147" i="123" s="1"/>
  <c r="H102" i="123"/>
  <c r="I102" i="123"/>
  <c r="E120" i="123"/>
  <c r="N101" i="123"/>
  <c r="P108" i="124" s="1"/>
  <c r="P107" i="123"/>
  <c r="C128" i="123"/>
  <c r="C136" i="123" s="1"/>
  <c r="C138" i="123" s="1"/>
  <c r="D120" i="123"/>
  <c r="T141" i="123"/>
  <c r="C120" i="123"/>
  <c r="G120" i="123"/>
  <c r="N100" i="123"/>
  <c r="D102" i="123"/>
  <c r="L102" i="123"/>
  <c r="T117" i="123"/>
  <c r="H118" i="123"/>
  <c r="H120" i="123" s="1"/>
  <c r="I119" i="123"/>
  <c r="B128" i="123"/>
  <c r="B136" i="123" s="1"/>
  <c r="B138" i="123" s="1"/>
  <c r="E102" i="123"/>
  <c r="M102" i="123"/>
  <c r="I118" i="123"/>
  <c r="B119" i="123"/>
  <c r="AA124" i="123"/>
  <c r="AA145" i="123"/>
  <c r="T111" i="123"/>
  <c r="V111" i="123" s="1"/>
  <c r="G102" i="123"/>
  <c r="W141" i="123"/>
  <c r="P104" i="124" l="1"/>
  <c r="P103" i="124"/>
  <c r="AA157" i="124"/>
  <c r="U147" i="124"/>
  <c r="AB147" i="124" s="1"/>
  <c r="Z145" i="124"/>
  <c r="AA147" i="124" s="1"/>
  <c r="AA156" i="124" s="1"/>
  <c r="N119" i="123"/>
  <c r="Z141" i="123"/>
  <c r="Z152" i="123" s="1"/>
  <c r="N102" i="123"/>
  <c r="P111" i="124" s="1"/>
  <c r="AA152" i="123"/>
  <c r="AD145" i="123"/>
  <c r="AD124" i="123"/>
  <c r="AA128" i="123"/>
  <c r="AA154" i="123"/>
  <c r="T137" i="123"/>
  <c r="U149" i="123" s="1"/>
  <c r="T143" i="123"/>
  <c r="T145" i="123" s="1"/>
  <c r="T122" i="123"/>
  <c r="T124" i="123" s="1"/>
  <c r="T120" i="123"/>
  <c r="Z120" i="123" s="1"/>
  <c r="N118" i="123"/>
  <c r="I120" i="123"/>
  <c r="B120" i="123"/>
  <c r="O102" i="123" l="1"/>
  <c r="AD155" i="123"/>
  <c r="U147" i="123"/>
  <c r="AB147" i="123" s="1"/>
  <c r="Z145" i="123"/>
  <c r="AA147" i="123" s="1"/>
  <c r="N120" i="123"/>
  <c r="AA155" i="123"/>
  <c r="AD154" i="123"/>
  <c r="Z154" i="123"/>
  <c r="Z128" i="123"/>
  <c r="U126" i="123"/>
  <c r="AB126" i="123" s="1"/>
  <c r="Z124" i="123"/>
  <c r="AA126" i="123" s="1"/>
  <c r="AA157" i="123" l="1"/>
  <c r="Z155" i="123"/>
  <c r="AC126" i="123"/>
  <c r="AA156" i="123"/>
  <c r="T109" i="122" l="1"/>
  <c r="T108" i="122"/>
  <c r="BA2" i="122"/>
  <c r="AZ2" i="122"/>
  <c r="AY2" i="122"/>
  <c r="AX2" i="122"/>
  <c r="AW2" i="122"/>
  <c r="AV2" i="122"/>
  <c r="AU2" i="122"/>
  <c r="AT2" i="122"/>
  <c r="AS2" i="122"/>
  <c r="AR2" i="122"/>
  <c r="AQ2" i="122"/>
  <c r="AP2" i="122"/>
  <c r="AO2" i="122"/>
  <c r="AN2" i="122"/>
  <c r="AM2" i="122"/>
  <c r="AL2" i="122"/>
  <c r="AK2" i="122"/>
  <c r="AJ2" i="122"/>
  <c r="AI2" i="122"/>
  <c r="AH2" i="122"/>
  <c r="AG2" i="122"/>
  <c r="AF2" i="122"/>
  <c r="AE2" i="122"/>
  <c r="AD2" i="122"/>
  <c r="AC2" i="122"/>
  <c r="AB2" i="122"/>
  <c r="AA2" i="122"/>
  <c r="Z2" i="122"/>
  <c r="Y2" i="122"/>
  <c r="X2" i="122"/>
  <c r="W2" i="122"/>
  <c r="V2" i="122"/>
  <c r="U2" i="122"/>
  <c r="T2" i="122"/>
  <c r="S2" i="122"/>
  <c r="R2" i="122"/>
  <c r="Q2" i="122"/>
  <c r="P2" i="122"/>
  <c r="O2" i="122"/>
  <c r="N94" i="122"/>
  <c r="N2" i="122"/>
  <c r="U111" i="122" s="1"/>
  <c r="P107" i="122" l="1"/>
  <c r="T110" i="122"/>
  <c r="T111" i="122" s="1"/>
  <c r="X150" i="122"/>
  <c r="U150" i="122"/>
  <c r="C146" i="122"/>
  <c r="AB145" i="122"/>
  <c r="X145" i="122"/>
  <c r="U145" i="122"/>
  <c r="X144" i="122"/>
  <c r="U144" i="122"/>
  <c r="R141" i="122"/>
  <c r="W140" i="122"/>
  <c r="T140" i="122"/>
  <c r="W139" i="122"/>
  <c r="W144" i="122" s="1"/>
  <c r="T139" i="122"/>
  <c r="T144" i="122" s="1"/>
  <c r="W138" i="122"/>
  <c r="C137" i="122"/>
  <c r="B137" i="122" s="1"/>
  <c r="X136" i="122"/>
  <c r="X137" i="122" s="1"/>
  <c r="W136" i="122"/>
  <c r="U136" i="122"/>
  <c r="U137" i="122" s="1"/>
  <c r="T136" i="122"/>
  <c r="W135" i="122"/>
  <c r="W134" i="122"/>
  <c r="V134" i="122" s="1"/>
  <c r="X133" i="122"/>
  <c r="W133" i="122"/>
  <c r="U133" i="122"/>
  <c r="U148" i="122" s="1"/>
  <c r="C133" i="122"/>
  <c r="B133" i="122" s="1"/>
  <c r="B134" i="122" s="1"/>
  <c r="W132" i="122"/>
  <c r="T132" i="122"/>
  <c r="B130" i="122"/>
  <c r="C130" i="122" s="1"/>
  <c r="C131" i="122" s="1"/>
  <c r="B127" i="122"/>
  <c r="C127" i="122" s="1"/>
  <c r="B126" i="122"/>
  <c r="C126" i="122" s="1"/>
  <c r="B125" i="122"/>
  <c r="C125" i="122" s="1"/>
  <c r="AB124" i="122"/>
  <c r="X124" i="122"/>
  <c r="U124" i="122"/>
  <c r="B124" i="122"/>
  <c r="B128" i="122" s="1"/>
  <c r="X123" i="122"/>
  <c r="U123" i="122"/>
  <c r="R120" i="122"/>
  <c r="W119" i="122"/>
  <c r="T119" i="122"/>
  <c r="W118" i="122"/>
  <c r="W123" i="122" s="1"/>
  <c r="T118" i="122"/>
  <c r="T123" i="122" s="1"/>
  <c r="W117" i="122"/>
  <c r="M117" i="122"/>
  <c r="L117" i="122"/>
  <c r="K117" i="122"/>
  <c r="J117" i="122"/>
  <c r="I117" i="122"/>
  <c r="H117" i="122"/>
  <c r="G117" i="122"/>
  <c r="F117" i="122"/>
  <c r="E117" i="122"/>
  <c r="D117" i="122"/>
  <c r="C117" i="122"/>
  <c r="B117" i="122"/>
  <c r="W116" i="122"/>
  <c r="M114" i="122"/>
  <c r="L114" i="122"/>
  <c r="K114" i="122"/>
  <c r="J114" i="122"/>
  <c r="I114" i="122"/>
  <c r="H114" i="122"/>
  <c r="G114" i="122"/>
  <c r="F114" i="122"/>
  <c r="E114" i="122"/>
  <c r="D114" i="122"/>
  <c r="C114" i="122"/>
  <c r="B114" i="122"/>
  <c r="M111" i="122"/>
  <c r="L111" i="122"/>
  <c r="K111" i="122"/>
  <c r="J111" i="122"/>
  <c r="I111" i="122"/>
  <c r="H111" i="122"/>
  <c r="G111" i="122"/>
  <c r="F111" i="122"/>
  <c r="E111" i="122"/>
  <c r="D111" i="122"/>
  <c r="C111" i="122"/>
  <c r="B111" i="122"/>
  <c r="M108" i="122"/>
  <c r="L108" i="122"/>
  <c r="K108" i="122"/>
  <c r="J108" i="122"/>
  <c r="I108" i="122"/>
  <c r="H108" i="122"/>
  <c r="G108" i="122"/>
  <c r="F108" i="122"/>
  <c r="E108" i="122"/>
  <c r="D108" i="122"/>
  <c r="C108" i="122"/>
  <c r="B108" i="122"/>
  <c r="M105" i="122"/>
  <c r="L105" i="122"/>
  <c r="K105" i="122"/>
  <c r="J105" i="122"/>
  <c r="I105" i="122"/>
  <c r="H105" i="122"/>
  <c r="G105" i="122"/>
  <c r="F105" i="122"/>
  <c r="E105" i="122"/>
  <c r="D105" i="122"/>
  <c r="C105" i="122"/>
  <c r="B105" i="122"/>
  <c r="M101" i="122"/>
  <c r="M119" i="122" s="1"/>
  <c r="L101" i="122"/>
  <c r="L119" i="122" s="1"/>
  <c r="K101" i="122"/>
  <c r="K119" i="122" s="1"/>
  <c r="J101" i="122"/>
  <c r="J119" i="122" s="1"/>
  <c r="I101" i="122"/>
  <c r="I119" i="122" s="1"/>
  <c r="H101" i="122"/>
  <c r="H119" i="122" s="1"/>
  <c r="G101" i="122"/>
  <c r="F101" i="122"/>
  <c r="F119" i="122" s="1"/>
  <c r="E101" i="122"/>
  <c r="E119" i="122" s="1"/>
  <c r="D101" i="122"/>
  <c r="C101" i="122"/>
  <c r="C119" i="122" s="1"/>
  <c r="B101" i="122"/>
  <c r="B119" i="122" s="1"/>
  <c r="M100" i="122"/>
  <c r="L100" i="122"/>
  <c r="K100" i="122"/>
  <c r="K118" i="122" s="1"/>
  <c r="K120" i="122" s="1"/>
  <c r="J100" i="122"/>
  <c r="J118" i="122" s="1"/>
  <c r="I100" i="122"/>
  <c r="H100" i="122"/>
  <c r="H118" i="122" s="1"/>
  <c r="G100" i="122"/>
  <c r="G118" i="122" s="1"/>
  <c r="F100" i="122"/>
  <c r="F118" i="122" s="1"/>
  <c r="E100" i="122"/>
  <c r="D100" i="122"/>
  <c r="C100" i="122"/>
  <c r="C118" i="122" s="1"/>
  <c r="C120" i="122" s="1"/>
  <c r="B100" i="122"/>
  <c r="B118" i="122" s="1"/>
  <c r="M94" i="122"/>
  <c r="L94" i="122"/>
  <c r="K94" i="122"/>
  <c r="J94" i="122"/>
  <c r="I94" i="122"/>
  <c r="H94" i="122"/>
  <c r="G94" i="122"/>
  <c r="F94" i="122"/>
  <c r="E94" i="122"/>
  <c r="D94" i="122"/>
  <c r="C94" i="122"/>
  <c r="B94" i="122"/>
  <c r="BB93" i="122"/>
  <c r="BB92" i="122"/>
  <c r="BB91" i="122"/>
  <c r="BB90" i="122"/>
  <c r="BB89" i="122"/>
  <c r="BB88" i="122"/>
  <c r="BB87" i="122"/>
  <c r="BB86" i="122"/>
  <c r="BB85" i="122"/>
  <c r="BB84" i="122"/>
  <c r="BB83" i="122"/>
  <c r="BB82" i="122"/>
  <c r="BB81" i="122"/>
  <c r="BB80" i="122"/>
  <c r="BB79" i="122"/>
  <c r="BB78" i="122"/>
  <c r="BB77" i="122"/>
  <c r="BB76" i="122"/>
  <c r="BB75" i="122"/>
  <c r="BB74" i="122"/>
  <c r="BB73" i="122"/>
  <c r="BB72" i="122"/>
  <c r="BB71" i="122"/>
  <c r="BB70" i="122"/>
  <c r="BB69" i="122"/>
  <c r="BB68" i="122"/>
  <c r="BB67" i="122"/>
  <c r="BB66" i="122"/>
  <c r="BB65" i="122"/>
  <c r="BB64" i="122"/>
  <c r="BB63" i="122"/>
  <c r="BB62" i="122"/>
  <c r="BB61" i="122"/>
  <c r="BB60" i="122"/>
  <c r="BB59" i="122"/>
  <c r="BB58" i="122"/>
  <c r="BB57" i="122"/>
  <c r="BB56" i="122"/>
  <c r="BB55" i="122"/>
  <c r="BB54" i="122"/>
  <c r="BB53" i="122"/>
  <c r="BB52" i="122"/>
  <c r="BB51" i="122"/>
  <c r="BB50" i="122"/>
  <c r="BB49" i="122"/>
  <c r="BB48" i="122"/>
  <c r="BB47" i="122"/>
  <c r="BB46" i="122"/>
  <c r="BB45" i="122"/>
  <c r="BB44" i="122"/>
  <c r="BB43" i="122"/>
  <c r="BB42" i="122"/>
  <c r="BB41" i="122"/>
  <c r="BB40" i="122"/>
  <c r="BB39" i="122"/>
  <c r="BB38" i="122"/>
  <c r="BB37" i="122"/>
  <c r="BB36" i="122"/>
  <c r="BB35" i="122"/>
  <c r="BB34" i="122"/>
  <c r="BB33" i="122"/>
  <c r="BB32" i="122"/>
  <c r="BB31" i="122"/>
  <c r="BB30" i="122"/>
  <c r="BB29" i="122"/>
  <c r="BB28" i="122"/>
  <c r="BB27" i="122"/>
  <c r="BB26" i="122"/>
  <c r="BB25" i="122"/>
  <c r="BB24" i="122"/>
  <c r="BB23" i="122"/>
  <c r="BB22" i="122"/>
  <c r="BB21" i="122"/>
  <c r="BB20" i="122"/>
  <c r="BB19" i="122"/>
  <c r="BB18" i="122"/>
  <c r="BB17" i="122"/>
  <c r="BB16" i="122"/>
  <c r="BB15" i="122"/>
  <c r="BB14" i="122"/>
  <c r="BB13" i="122"/>
  <c r="BB12" i="122"/>
  <c r="BB11" i="122"/>
  <c r="BB10" i="122"/>
  <c r="BB9" i="122"/>
  <c r="BB8" i="122"/>
  <c r="BB7" i="122"/>
  <c r="BB6" i="122"/>
  <c r="BB5" i="122"/>
  <c r="BB4" i="122"/>
  <c r="C150" i="122"/>
  <c r="C147" i="122"/>
  <c r="G102" i="122" l="1"/>
  <c r="U143" i="122"/>
  <c r="U122" i="122"/>
  <c r="X122" i="122"/>
  <c r="X148" i="122"/>
  <c r="AB154" i="122"/>
  <c r="D102" i="122"/>
  <c r="L102" i="122"/>
  <c r="AA124" i="122"/>
  <c r="AA128" i="122" s="1"/>
  <c r="AA145" i="122"/>
  <c r="AA152" i="122" s="1"/>
  <c r="E102" i="122"/>
  <c r="M102" i="122"/>
  <c r="W122" i="122"/>
  <c r="W124" i="122" s="1"/>
  <c r="X126" i="122" s="1"/>
  <c r="X143" i="122"/>
  <c r="N108" i="122"/>
  <c r="O108" i="123"/>
  <c r="C151" i="122"/>
  <c r="L118" i="122"/>
  <c r="W141" i="122"/>
  <c r="C124" i="122"/>
  <c r="C128" i="122" s="1"/>
  <c r="W137" i="122"/>
  <c r="X149" i="122" s="1"/>
  <c r="T138" i="122"/>
  <c r="T141" i="122" s="1"/>
  <c r="M118" i="122"/>
  <c r="V111" i="122"/>
  <c r="H120" i="122"/>
  <c r="I102" i="122"/>
  <c r="J120" i="122"/>
  <c r="F120" i="122"/>
  <c r="H102" i="122"/>
  <c r="N101" i="122"/>
  <c r="E118" i="122"/>
  <c r="E120" i="122" s="1"/>
  <c r="BB94" i="122"/>
  <c r="D118" i="122"/>
  <c r="B120" i="122"/>
  <c r="L120" i="122"/>
  <c r="M120" i="122"/>
  <c r="B102" i="122"/>
  <c r="B131" i="122"/>
  <c r="B136" i="122" s="1"/>
  <c r="B138" i="122" s="1"/>
  <c r="C102" i="122"/>
  <c r="K102" i="122"/>
  <c r="G119" i="122"/>
  <c r="G120" i="122" s="1"/>
  <c r="W143" i="122"/>
  <c r="W145" i="122" s="1"/>
  <c r="X147" i="122" s="1"/>
  <c r="N100" i="122"/>
  <c r="T117" i="122"/>
  <c r="C134" i="122"/>
  <c r="J102" i="122"/>
  <c r="I118" i="122"/>
  <c r="I120" i="122" s="1"/>
  <c r="W120" i="122"/>
  <c r="F102" i="122"/>
  <c r="D119" i="122"/>
  <c r="N119" i="122" s="1"/>
  <c r="T109" i="121"/>
  <c r="T108" i="121"/>
  <c r="T110" i="121" s="1"/>
  <c r="M94" i="121"/>
  <c r="T134" i="122" l="1"/>
  <c r="C136" i="122"/>
  <c r="C138" i="122" s="1"/>
  <c r="AD124" i="122"/>
  <c r="AD145" i="122"/>
  <c r="AD155" i="122" s="1"/>
  <c r="AA154" i="122"/>
  <c r="D120" i="122"/>
  <c r="P112" i="124"/>
  <c r="O120" i="124" s="1"/>
  <c r="P120" i="124" s="1"/>
  <c r="P104" i="123"/>
  <c r="P103" i="123"/>
  <c r="P108" i="123"/>
  <c r="Z141" i="122"/>
  <c r="Z152" i="122" s="1"/>
  <c r="T143" i="122"/>
  <c r="T145" i="122" s="1"/>
  <c r="T137" i="122"/>
  <c r="U149" i="122" s="1"/>
  <c r="T116" i="122"/>
  <c r="T122" i="122" s="1"/>
  <c r="T124" i="122" s="1"/>
  <c r="AA155" i="122"/>
  <c r="AD154" i="122"/>
  <c r="N118" i="122"/>
  <c r="T120" i="122"/>
  <c r="Z120" i="122" s="1"/>
  <c r="N102" i="122"/>
  <c r="N120" i="122"/>
  <c r="BA2" i="121"/>
  <c r="AZ2" i="121"/>
  <c r="AY2" i="121"/>
  <c r="AX2" i="121"/>
  <c r="AW2" i="121"/>
  <c r="AV2" i="121"/>
  <c r="AU2" i="121"/>
  <c r="AT2" i="121"/>
  <c r="AS2" i="121"/>
  <c r="AR2" i="121"/>
  <c r="AQ2" i="121"/>
  <c r="AP2" i="121"/>
  <c r="AO2" i="121"/>
  <c r="AN2" i="121"/>
  <c r="AM2" i="121"/>
  <c r="AL2" i="121"/>
  <c r="AK2" i="121"/>
  <c r="AJ2" i="121"/>
  <c r="AI2" i="121"/>
  <c r="AH2" i="121"/>
  <c r="AG2" i="121"/>
  <c r="AF2" i="121"/>
  <c r="AE2" i="121"/>
  <c r="AD2" i="121"/>
  <c r="AC2" i="121"/>
  <c r="AB2" i="121"/>
  <c r="AA2" i="121"/>
  <c r="Z2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U111" i="121" s="1"/>
  <c r="P111" i="123" l="1"/>
  <c r="P112" i="123"/>
  <c r="O102" i="122"/>
  <c r="Z154" i="122"/>
  <c r="Z128" i="122"/>
  <c r="U147" i="122"/>
  <c r="AB147" i="122" s="1"/>
  <c r="Z145" i="122"/>
  <c r="AA147" i="122" s="1"/>
  <c r="U126" i="122"/>
  <c r="AB126" i="122" s="1"/>
  <c r="Z124" i="122"/>
  <c r="AA126" i="122" s="1"/>
  <c r="X150" i="121"/>
  <c r="U150" i="121"/>
  <c r="C146" i="121"/>
  <c r="AB145" i="121"/>
  <c r="X145" i="121"/>
  <c r="U145" i="121"/>
  <c r="X144" i="121"/>
  <c r="U144" i="121"/>
  <c r="R141" i="121"/>
  <c r="W140" i="121"/>
  <c r="T140" i="121"/>
  <c r="W139" i="121"/>
  <c r="W144" i="121" s="1"/>
  <c r="T139" i="121"/>
  <c r="T144" i="121" s="1"/>
  <c r="W138" i="121"/>
  <c r="C137" i="121"/>
  <c r="B137" i="121" s="1"/>
  <c r="X136" i="121"/>
  <c r="X137" i="121" s="1"/>
  <c r="W136" i="121"/>
  <c r="U136" i="121"/>
  <c r="U137" i="121" s="1"/>
  <c r="T136" i="121"/>
  <c r="W135" i="121"/>
  <c r="W134" i="121"/>
  <c r="W116" i="121" s="1"/>
  <c r="X133" i="121"/>
  <c r="W133" i="121"/>
  <c r="U133" i="121"/>
  <c r="U148" i="121" s="1"/>
  <c r="C133" i="121"/>
  <c r="B133" i="121" s="1"/>
  <c r="B134" i="121" s="1"/>
  <c r="W132" i="121"/>
  <c r="T132" i="121"/>
  <c r="B130" i="121"/>
  <c r="C130" i="121" s="1"/>
  <c r="C131" i="121" s="1"/>
  <c r="B127" i="121"/>
  <c r="C127" i="121" s="1"/>
  <c r="B126" i="121"/>
  <c r="B125" i="121"/>
  <c r="C125" i="121" s="1"/>
  <c r="AB124" i="121"/>
  <c r="X124" i="121"/>
  <c r="U124" i="121"/>
  <c r="B124" i="121"/>
  <c r="C124" i="121" s="1"/>
  <c r="X123" i="121"/>
  <c r="U123" i="121"/>
  <c r="R120" i="121"/>
  <c r="W119" i="121"/>
  <c r="T119" i="121"/>
  <c r="W118" i="121"/>
  <c r="W123" i="121" s="1"/>
  <c r="T118" i="121"/>
  <c r="T123" i="121" s="1"/>
  <c r="W117" i="121"/>
  <c r="W120" i="121" s="1"/>
  <c r="M117" i="121"/>
  <c r="L117" i="121"/>
  <c r="K117" i="121"/>
  <c r="J117" i="121"/>
  <c r="I117" i="121"/>
  <c r="H117" i="121"/>
  <c r="G117" i="121"/>
  <c r="F117" i="121"/>
  <c r="E117" i="121"/>
  <c r="D117" i="121"/>
  <c r="C117" i="121"/>
  <c r="B117" i="121"/>
  <c r="M114" i="121"/>
  <c r="L114" i="121"/>
  <c r="K114" i="121"/>
  <c r="J114" i="121"/>
  <c r="I114" i="121"/>
  <c r="H114" i="121"/>
  <c r="G114" i="121"/>
  <c r="F114" i="121"/>
  <c r="E114" i="121"/>
  <c r="D114" i="121"/>
  <c r="C114" i="121"/>
  <c r="B114" i="121"/>
  <c r="M111" i="121"/>
  <c r="L111" i="121"/>
  <c r="K111" i="121"/>
  <c r="J111" i="121"/>
  <c r="I111" i="121"/>
  <c r="H111" i="121"/>
  <c r="G111" i="121"/>
  <c r="F111" i="121"/>
  <c r="E111" i="121"/>
  <c r="D111" i="121"/>
  <c r="C111" i="121"/>
  <c r="B111" i="121"/>
  <c r="M108" i="121"/>
  <c r="L108" i="121"/>
  <c r="K108" i="121"/>
  <c r="J108" i="121"/>
  <c r="I108" i="121"/>
  <c r="H108" i="121"/>
  <c r="G108" i="121"/>
  <c r="F108" i="121"/>
  <c r="E108" i="121"/>
  <c r="D108" i="121"/>
  <c r="C108" i="121"/>
  <c r="B108" i="121"/>
  <c r="M105" i="121"/>
  <c r="L105" i="121"/>
  <c r="K105" i="121"/>
  <c r="J105" i="121"/>
  <c r="I105" i="121"/>
  <c r="H105" i="121"/>
  <c r="G105" i="121"/>
  <c r="F105" i="121"/>
  <c r="E105" i="121"/>
  <c r="D105" i="121"/>
  <c r="C105" i="121"/>
  <c r="B105" i="121"/>
  <c r="M101" i="121"/>
  <c r="M119" i="121" s="1"/>
  <c r="L101" i="121"/>
  <c r="L119" i="121" s="1"/>
  <c r="K101" i="121"/>
  <c r="K119" i="121" s="1"/>
  <c r="J101" i="121"/>
  <c r="J119" i="121" s="1"/>
  <c r="I101" i="121"/>
  <c r="H101" i="121"/>
  <c r="G101" i="121"/>
  <c r="G119" i="121" s="1"/>
  <c r="F101" i="121"/>
  <c r="F119" i="121" s="1"/>
  <c r="E101" i="121"/>
  <c r="E119" i="121" s="1"/>
  <c r="D101" i="121"/>
  <c r="D119" i="121" s="1"/>
  <c r="C101" i="121"/>
  <c r="C119" i="121" s="1"/>
  <c r="B101" i="121"/>
  <c r="M100" i="121"/>
  <c r="M118" i="121" s="1"/>
  <c r="L100" i="121"/>
  <c r="L118" i="121" s="1"/>
  <c r="K100" i="121"/>
  <c r="K118" i="121" s="1"/>
  <c r="J100" i="121"/>
  <c r="J118" i="121" s="1"/>
  <c r="I100" i="121"/>
  <c r="T117" i="121" s="1"/>
  <c r="H100" i="121"/>
  <c r="H118" i="121" s="1"/>
  <c r="G100" i="121"/>
  <c r="G118" i="121" s="1"/>
  <c r="G120" i="121" s="1"/>
  <c r="F100" i="121"/>
  <c r="F102" i="121" s="1"/>
  <c r="E100" i="121"/>
  <c r="E118" i="121" s="1"/>
  <c r="D100" i="121"/>
  <c r="D118" i="121" s="1"/>
  <c r="C100" i="121"/>
  <c r="C118" i="121" s="1"/>
  <c r="B100" i="121"/>
  <c r="B118" i="121" s="1"/>
  <c r="L94" i="121"/>
  <c r="K94" i="121"/>
  <c r="J94" i="121"/>
  <c r="I94" i="121"/>
  <c r="H94" i="121"/>
  <c r="G94" i="121"/>
  <c r="F94" i="121"/>
  <c r="E94" i="121"/>
  <c r="D94" i="121"/>
  <c r="C94" i="121"/>
  <c r="B94" i="121"/>
  <c r="BB93" i="121"/>
  <c r="BB92" i="121"/>
  <c r="BB91" i="121"/>
  <c r="BB90" i="121"/>
  <c r="BB89" i="121"/>
  <c r="BB88" i="121"/>
  <c r="BB87" i="121"/>
  <c r="BB86" i="121"/>
  <c r="BB85" i="121"/>
  <c r="BB84" i="121"/>
  <c r="BB83" i="121"/>
  <c r="BB82" i="121"/>
  <c r="BB81" i="121"/>
  <c r="BB80" i="121"/>
  <c r="BB79" i="121"/>
  <c r="BB78" i="121"/>
  <c r="BB77" i="121"/>
  <c r="BB76" i="121"/>
  <c r="BB75" i="121"/>
  <c r="BB74" i="121"/>
  <c r="BB73" i="121"/>
  <c r="BB72" i="121"/>
  <c r="BB71" i="121"/>
  <c r="BB70" i="121"/>
  <c r="BB69" i="121"/>
  <c r="BB68" i="121"/>
  <c r="BB67" i="121"/>
  <c r="BB66" i="121"/>
  <c r="BB65" i="121"/>
  <c r="BB64" i="121"/>
  <c r="BB63" i="121"/>
  <c r="BB62" i="121"/>
  <c r="BB61" i="121"/>
  <c r="BB60" i="121"/>
  <c r="BB59" i="121"/>
  <c r="BB58" i="121"/>
  <c r="BB57" i="121"/>
  <c r="BB56" i="121"/>
  <c r="BB55" i="121"/>
  <c r="BB54" i="121"/>
  <c r="BB53" i="121"/>
  <c r="BB52" i="121"/>
  <c r="BB51" i="121"/>
  <c r="BB50" i="121"/>
  <c r="BB49" i="121"/>
  <c r="BB48" i="121"/>
  <c r="BB47" i="121"/>
  <c r="BB46" i="121"/>
  <c r="BB45" i="121"/>
  <c r="BB44" i="121"/>
  <c r="BB43" i="121"/>
  <c r="BB42" i="121"/>
  <c r="BB41" i="121"/>
  <c r="BB40" i="121"/>
  <c r="BB39" i="121"/>
  <c r="BB38" i="121"/>
  <c r="BB37" i="121"/>
  <c r="BB36" i="121"/>
  <c r="BB35" i="121"/>
  <c r="BB34" i="121"/>
  <c r="BB33" i="121"/>
  <c r="BB32" i="121"/>
  <c r="BB31" i="121"/>
  <c r="BB30" i="121"/>
  <c r="BB29" i="121"/>
  <c r="BB28" i="121"/>
  <c r="BB27" i="121"/>
  <c r="BB26" i="121"/>
  <c r="BB25" i="121"/>
  <c r="BB24" i="121"/>
  <c r="BB23" i="121"/>
  <c r="BB22" i="121"/>
  <c r="BB21" i="121"/>
  <c r="BB20" i="121"/>
  <c r="BB19" i="121"/>
  <c r="BB18" i="121"/>
  <c r="BB17" i="121"/>
  <c r="BB16" i="121"/>
  <c r="BB15" i="121"/>
  <c r="BB14" i="121"/>
  <c r="BB13" i="121"/>
  <c r="BB12" i="121"/>
  <c r="BB11" i="121"/>
  <c r="BB10" i="121"/>
  <c r="BB9" i="121"/>
  <c r="BB8" i="121"/>
  <c r="BB7" i="121"/>
  <c r="BB6" i="121"/>
  <c r="BB5" i="121"/>
  <c r="BB4" i="121"/>
  <c r="C147" i="121"/>
  <c r="C150" i="121"/>
  <c r="D120" i="121" l="1"/>
  <c r="X143" i="121"/>
  <c r="B131" i="121"/>
  <c r="C134" i="121"/>
  <c r="BB94" i="121"/>
  <c r="P120" i="123"/>
  <c r="B102" i="121"/>
  <c r="U122" i="121"/>
  <c r="W141" i="121"/>
  <c r="C102" i="121"/>
  <c r="N108" i="121"/>
  <c r="X122" i="121"/>
  <c r="AB154" i="121"/>
  <c r="U143" i="121"/>
  <c r="O120" i="123"/>
  <c r="C151" i="121"/>
  <c r="AC126" i="122"/>
  <c r="AA156" i="122"/>
  <c r="AA157" i="122"/>
  <c r="Z155" i="122"/>
  <c r="W137" i="121"/>
  <c r="X149" i="121" s="1"/>
  <c r="F118" i="121"/>
  <c r="F120" i="121" s="1"/>
  <c r="G102" i="121"/>
  <c r="I118" i="121"/>
  <c r="L120" i="121"/>
  <c r="H102" i="121"/>
  <c r="J102" i="121"/>
  <c r="E120" i="121"/>
  <c r="M120" i="121"/>
  <c r="I102" i="121"/>
  <c r="K102" i="121"/>
  <c r="N101" i="121"/>
  <c r="T111" i="121"/>
  <c r="V111" i="121" s="1"/>
  <c r="B128" i="121"/>
  <c r="B136" i="121" s="1"/>
  <c r="B138" i="121" s="1"/>
  <c r="X148" i="121"/>
  <c r="J120" i="121"/>
  <c r="C120" i="121"/>
  <c r="K120" i="121"/>
  <c r="H119" i="121"/>
  <c r="H120" i="121" s="1"/>
  <c r="W143" i="121"/>
  <c r="W145" i="121" s="1"/>
  <c r="X147" i="121" s="1"/>
  <c r="N100" i="121"/>
  <c r="D102" i="121"/>
  <c r="L102" i="121"/>
  <c r="I119" i="121"/>
  <c r="T120" i="121"/>
  <c r="Z120" i="121" s="1"/>
  <c r="C126" i="121"/>
  <c r="C128" i="121" s="1"/>
  <c r="C136" i="121" s="1"/>
  <c r="C138" i="121" s="1"/>
  <c r="E102" i="121"/>
  <c r="B119" i="121"/>
  <c r="M102" i="121"/>
  <c r="P107" i="121"/>
  <c r="W122" i="121"/>
  <c r="W124" i="121" s="1"/>
  <c r="X126" i="121" s="1"/>
  <c r="AA124" i="121"/>
  <c r="V134" i="121"/>
  <c r="AA145" i="121"/>
  <c r="T138" i="121"/>
  <c r="T109" i="120"/>
  <c r="T108" i="120"/>
  <c r="T110" i="120" s="1"/>
  <c r="BA2" i="120"/>
  <c r="AZ2" i="120"/>
  <c r="AY2" i="120"/>
  <c r="AX2" i="120"/>
  <c r="AW2" i="120"/>
  <c r="AV2" i="120"/>
  <c r="AU2" i="120"/>
  <c r="AT2" i="120"/>
  <c r="AS2" i="120"/>
  <c r="AR2" i="120"/>
  <c r="AQ2" i="120"/>
  <c r="AP2" i="120"/>
  <c r="AO2" i="120"/>
  <c r="AN2" i="120"/>
  <c r="AM2" i="120"/>
  <c r="AL2" i="120"/>
  <c r="AK2" i="120"/>
  <c r="AJ2" i="120"/>
  <c r="AI2" i="120"/>
  <c r="AH2" i="120"/>
  <c r="AG2" i="120"/>
  <c r="AF2" i="120"/>
  <c r="AE2" i="120"/>
  <c r="AD2" i="120"/>
  <c r="AC2" i="120"/>
  <c r="AB2" i="120"/>
  <c r="AA2" i="120"/>
  <c r="Z2" i="120"/>
  <c r="Y2" i="120"/>
  <c r="X2" i="120"/>
  <c r="W2" i="120"/>
  <c r="V2" i="120"/>
  <c r="U2" i="120"/>
  <c r="T2" i="120"/>
  <c r="S2" i="120"/>
  <c r="R2" i="120"/>
  <c r="Q2" i="120"/>
  <c r="P2" i="120"/>
  <c r="O2" i="120"/>
  <c r="N2" i="120"/>
  <c r="M2" i="120"/>
  <c r="L2" i="120"/>
  <c r="U111" i="120" s="1"/>
  <c r="P108" i="122" l="1"/>
  <c r="N118" i="121"/>
  <c r="P104" i="122"/>
  <c r="P112" i="122" s="1"/>
  <c r="P103" i="122"/>
  <c r="I120" i="121"/>
  <c r="N119" i="121"/>
  <c r="N102" i="121"/>
  <c r="AD124" i="121"/>
  <c r="AA128" i="121"/>
  <c r="AA154" i="121"/>
  <c r="AA152" i="121"/>
  <c r="AD145" i="121"/>
  <c r="Z128" i="121"/>
  <c r="B120" i="121"/>
  <c r="T141" i="121"/>
  <c r="Z141" i="121" s="1"/>
  <c r="Z152" i="121" s="1"/>
  <c r="T134" i="121"/>
  <c r="T116" i="121" s="1"/>
  <c r="T122" i="121" s="1"/>
  <c r="T124" i="121" s="1"/>
  <c r="L94" i="120"/>
  <c r="P111" i="122" l="1"/>
  <c r="O102" i="121"/>
  <c r="U126" i="121"/>
  <c r="AB126" i="121" s="1"/>
  <c r="Z124" i="121"/>
  <c r="AA126" i="121" s="1"/>
  <c r="T143" i="121"/>
  <c r="T145" i="121" s="1"/>
  <c r="N120" i="121"/>
  <c r="T137" i="121"/>
  <c r="U149" i="121" s="1"/>
  <c r="AA155" i="121"/>
  <c r="AD154" i="121"/>
  <c r="AD155" i="121"/>
  <c r="Z154" i="121"/>
  <c r="X150" i="120"/>
  <c r="U150" i="120"/>
  <c r="C146" i="120"/>
  <c r="AB145" i="120"/>
  <c r="X145" i="120"/>
  <c r="U145" i="120"/>
  <c r="X144" i="120"/>
  <c r="U144" i="120"/>
  <c r="R141" i="120"/>
  <c r="W140" i="120"/>
  <c r="T140" i="120"/>
  <c r="W139" i="120"/>
  <c r="W144" i="120" s="1"/>
  <c r="T139" i="120"/>
  <c r="T144" i="120" s="1"/>
  <c r="W138" i="120"/>
  <c r="C137" i="120"/>
  <c r="B137" i="120" s="1"/>
  <c r="X136" i="120"/>
  <c r="X137" i="120" s="1"/>
  <c r="W136" i="120"/>
  <c r="U136" i="120"/>
  <c r="U137" i="120" s="1"/>
  <c r="T136" i="120"/>
  <c r="W135" i="120"/>
  <c r="W134" i="120"/>
  <c r="V134" i="120" s="1"/>
  <c r="X133" i="120"/>
  <c r="W133" i="120"/>
  <c r="X148" i="120" s="1"/>
  <c r="U133" i="120"/>
  <c r="U148" i="120" s="1"/>
  <c r="C133" i="120"/>
  <c r="B133" i="120" s="1"/>
  <c r="B134" i="120" s="1"/>
  <c r="W132" i="120"/>
  <c r="T132" i="120"/>
  <c r="B130" i="120"/>
  <c r="C130" i="120" s="1"/>
  <c r="C131" i="120" s="1"/>
  <c r="B127" i="120"/>
  <c r="C127" i="120" s="1"/>
  <c r="B126" i="120"/>
  <c r="C126" i="120" s="1"/>
  <c r="B125" i="120"/>
  <c r="C125" i="120" s="1"/>
  <c r="AB124" i="120"/>
  <c r="X124" i="120"/>
  <c r="U124" i="120"/>
  <c r="U122" i="120" s="1"/>
  <c r="B124" i="120"/>
  <c r="C124" i="120" s="1"/>
  <c r="X123" i="120"/>
  <c r="W123" i="120"/>
  <c r="U123" i="120"/>
  <c r="R120" i="120"/>
  <c r="W119" i="120"/>
  <c r="T119" i="120"/>
  <c r="W118" i="120"/>
  <c r="T118" i="120"/>
  <c r="T123" i="120" s="1"/>
  <c r="W117" i="120"/>
  <c r="M117" i="120"/>
  <c r="L117" i="120"/>
  <c r="K117" i="120"/>
  <c r="J117" i="120"/>
  <c r="I117" i="120"/>
  <c r="H117" i="120"/>
  <c r="G117" i="120"/>
  <c r="F117" i="120"/>
  <c r="E117" i="120"/>
  <c r="D117" i="120"/>
  <c r="C117" i="120"/>
  <c r="B117" i="120"/>
  <c r="M114" i="120"/>
  <c r="L114" i="120"/>
  <c r="K114" i="120"/>
  <c r="J114" i="120"/>
  <c r="I114" i="120"/>
  <c r="H114" i="120"/>
  <c r="G114" i="120"/>
  <c r="F114" i="120"/>
  <c r="E114" i="120"/>
  <c r="D114" i="120"/>
  <c r="C114" i="120"/>
  <c r="B114" i="120"/>
  <c r="M111" i="120"/>
  <c r="L111" i="120"/>
  <c r="K111" i="120"/>
  <c r="J111" i="120"/>
  <c r="I111" i="120"/>
  <c r="H111" i="120"/>
  <c r="G111" i="120"/>
  <c r="F111" i="120"/>
  <c r="E111" i="120"/>
  <c r="D111" i="120"/>
  <c r="C111" i="120"/>
  <c r="B111" i="120"/>
  <c r="M108" i="120"/>
  <c r="L108" i="120"/>
  <c r="K108" i="120"/>
  <c r="J108" i="120"/>
  <c r="I108" i="120"/>
  <c r="H108" i="120"/>
  <c r="G108" i="120"/>
  <c r="F108" i="120"/>
  <c r="E108" i="120"/>
  <c r="D108" i="120"/>
  <c r="C108" i="120"/>
  <c r="B108" i="120"/>
  <c r="M105" i="120"/>
  <c r="L105" i="120"/>
  <c r="K105" i="120"/>
  <c r="J105" i="120"/>
  <c r="I105" i="120"/>
  <c r="H105" i="120"/>
  <c r="G105" i="120"/>
  <c r="F105" i="120"/>
  <c r="E105" i="120"/>
  <c r="D105" i="120"/>
  <c r="C105" i="120"/>
  <c r="B105" i="120"/>
  <c r="M101" i="120"/>
  <c r="M119" i="120" s="1"/>
  <c r="L101" i="120"/>
  <c r="L119" i="120" s="1"/>
  <c r="K101" i="120"/>
  <c r="K119" i="120" s="1"/>
  <c r="J101" i="120"/>
  <c r="J119" i="120" s="1"/>
  <c r="I101" i="120"/>
  <c r="I119" i="120" s="1"/>
  <c r="H101" i="120"/>
  <c r="G101" i="120"/>
  <c r="F101" i="120"/>
  <c r="F119" i="120" s="1"/>
  <c r="E101" i="120"/>
  <c r="E119" i="120" s="1"/>
  <c r="D101" i="120"/>
  <c r="C101" i="120"/>
  <c r="C119" i="120" s="1"/>
  <c r="B101" i="120"/>
  <c r="B119" i="120" s="1"/>
  <c r="M100" i="120"/>
  <c r="M118" i="120" s="1"/>
  <c r="L100" i="120"/>
  <c r="L118" i="120" s="1"/>
  <c r="K100" i="120"/>
  <c r="K118" i="120" s="1"/>
  <c r="J100" i="120"/>
  <c r="J118" i="120" s="1"/>
  <c r="I100" i="120"/>
  <c r="H100" i="120"/>
  <c r="H118" i="120" s="1"/>
  <c r="G100" i="120"/>
  <c r="G118" i="120" s="1"/>
  <c r="F100" i="120"/>
  <c r="F118" i="120" s="1"/>
  <c r="E100" i="120"/>
  <c r="E118" i="120" s="1"/>
  <c r="D100" i="120"/>
  <c r="D118" i="120" s="1"/>
  <c r="C100" i="120"/>
  <c r="C118" i="120" s="1"/>
  <c r="B100" i="120"/>
  <c r="B118" i="120" s="1"/>
  <c r="K94" i="120"/>
  <c r="J94" i="120"/>
  <c r="I94" i="120"/>
  <c r="H94" i="120"/>
  <c r="G94" i="120"/>
  <c r="F94" i="120"/>
  <c r="E94" i="120"/>
  <c r="D94" i="120"/>
  <c r="C94" i="120"/>
  <c r="B94" i="120"/>
  <c r="BB93" i="120"/>
  <c r="BB92" i="120"/>
  <c r="BB91" i="120"/>
  <c r="BB90" i="120"/>
  <c r="BB89" i="120"/>
  <c r="BB88" i="120"/>
  <c r="BB87" i="120"/>
  <c r="BB86" i="120"/>
  <c r="BB85" i="120"/>
  <c r="BB84" i="120"/>
  <c r="BB83" i="120"/>
  <c r="BB82" i="120"/>
  <c r="BB81" i="120"/>
  <c r="BB80" i="120"/>
  <c r="BB79" i="120"/>
  <c r="BB78" i="120"/>
  <c r="BB77" i="120"/>
  <c r="BB76" i="120"/>
  <c r="BB75" i="120"/>
  <c r="BB74" i="120"/>
  <c r="BB73" i="120"/>
  <c r="BB72" i="120"/>
  <c r="BB71" i="120"/>
  <c r="BB70" i="120"/>
  <c r="BB69" i="120"/>
  <c r="BB68" i="120"/>
  <c r="BB67" i="120"/>
  <c r="BB66" i="120"/>
  <c r="BB65" i="120"/>
  <c r="BB64" i="120"/>
  <c r="BB63" i="120"/>
  <c r="BB62" i="120"/>
  <c r="BB61" i="120"/>
  <c r="BB60" i="120"/>
  <c r="BB59" i="120"/>
  <c r="BB58" i="120"/>
  <c r="BB57" i="120"/>
  <c r="BB56" i="120"/>
  <c r="BB55" i="120"/>
  <c r="BB54" i="120"/>
  <c r="BB53" i="120"/>
  <c r="BB52" i="120"/>
  <c r="BB51" i="120"/>
  <c r="BB50" i="120"/>
  <c r="BB49" i="120"/>
  <c r="BB48" i="120"/>
  <c r="BB47" i="120"/>
  <c r="BB46" i="120"/>
  <c r="BB45" i="120"/>
  <c r="BB44" i="120"/>
  <c r="BB43" i="120"/>
  <c r="BB42" i="120"/>
  <c r="BB41" i="120"/>
  <c r="BB40" i="120"/>
  <c r="BB39" i="120"/>
  <c r="BB38" i="120"/>
  <c r="BB37" i="120"/>
  <c r="BB36" i="120"/>
  <c r="BB35" i="120"/>
  <c r="BB34" i="120"/>
  <c r="BB33" i="120"/>
  <c r="BB32" i="120"/>
  <c r="BB31" i="120"/>
  <c r="BB30" i="120"/>
  <c r="BB29" i="120"/>
  <c r="BB28" i="120"/>
  <c r="BB27" i="120"/>
  <c r="BB26" i="120"/>
  <c r="BB25" i="120"/>
  <c r="BB24" i="120"/>
  <c r="BB23" i="120"/>
  <c r="BB22" i="120"/>
  <c r="BB21" i="120"/>
  <c r="BB20" i="120"/>
  <c r="BB19" i="120"/>
  <c r="BB18" i="120"/>
  <c r="BB17" i="120"/>
  <c r="BB16" i="120"/>
  <c r="BB15" i="120"/>
  <c r="BB14" i="120"/>
  <c r="BB13" i="120"/>
  <c r="BB12" i="120"/>
  <c r="BB11" i="120"/>
  <c r="BB10" i="120"/>
  <c r="BB9" i="120"/>
  <c r="BB8" i="120"/>
  <c r="BB7" i="120"/>
  <c r="BB6" i="120"/>
  <c r="BB5" i="120"/>
  <c r="BB4" i="120"/>
  <c r="C147" i="120"/>
  <c r="C150" i="120"/>
  <c r="K102" i="120" l="1"/>
  <c r="N108" i="120"/>
  <c r="X122" i="120"/>
  <c r="X143" i="120"/>
  <c r="AA124" i="120"/>
  <c r="AD124" i="120" s="1"/>
  <c r="AB154" i="120"/>
  <c r="O108" i="122"/>
  <c r="O120" i="122" s="1"/>
  <c r="P120" i="122" s="1"/>
  <c r="O108" i="121"/>
  <c r="BB94" i="120"/>
  <c r="B102" i="120"/>
  <c r="W143" i="120"/>
  <c r="U143" i="120"/>
  <c r="C102" i="120"/>
  <c r="B131" i="120"/>
  <c r="C151" i="120"/>
  <c r="AA157" i="121"/>
  <c r="Z155" i="121"/>
  <c r="U147" i="121"/>
  <c r="AB147" i="121" s="1"/>
  <c r="Z145" i="121"/>
  <c r="AA147" i="121" s="1"/>
  <c r="AA156" i="121" s="1"/>
  <c r="AC126" i="121"/>
  <c r="N101" i="120"/>
  <c r="W116" i="120"/>
  <c r="W122" i="120" s="1"/>
  <c r="W124" i="120" s="1"/>
  <c r="X126" i="120" s="1"/>
  <c r="I102" i="120"/>
  <c r="J120" i="120"/>
  <c r="G102" i="120"/>
  <c r="H102" i="120"/>
  <c r="J102" i="120"/>
  <c r="W137" i="120"/>
  <c r="X149" i="120" s="1"/>
  <c r="T138" i="120"/>
  <c r="T141" i="120" s="1"/>
  <c r="K120" i="120"/>
  <c r="L120" i="120"/>
  <c r="E120" i="120"/>
  <c r="C128" i="120"/>
  <c r="W145" i="120"/>
  <c r="X147" i="120" s="1"/>
  <c r="B120" i="120"/>
  <c r="C120" i="120"/>
  <c r="M120" i="120"/>
  <c r="T111" i="120"/>
  <c r="V111" i="120" s="1"/>
  <c r="F120" i="120"/>
  <c r="H119" i="120"/>
  <c r="H120" i="120" s="1"/>
  <c r="N100" i="120"/>
  <c r="D102" i="120"/>
  <c r="L102" i="120"/>
  <c r="T117" i="120"/>
  <c r="B128" i="120"/>
  <c r="C134" i="120"/>
  <c r="E102" i="120"/>
  <c r="M102" i="120"/>
  <c r="I118" i="120"/>
  <c r="I120" i="120" s="1"/>
  <c r="W120" i="120"/>
  <c r="F102" i="120"/>
  <c r="P107" i="120"/>
  <c r="AA145" i="120"/>
  <c r="G119" i="120"/>
  <c r="G120" i="120" s="1"/>
  <c r="D119" i="120"/>
  <c r="W141" i="120"/>
  <c r="T109" i="119"/>
  <c r="BA2" i="119"/>
  <c r="AZ2" i="119"/>
  <c r="AY2" i="119"/>
  <c r="AX2" i="119"/>
  <c r="AW2" i="119"/>
  <c r="AV2" i="119"/>
  <c r="AU2" i="119"/>
  <c r="AT2" i="119"/>
  <c r="AS2" i="119"/>
  <c r="AR2" i="119"/>
  <c r="AQ2" i="119"/>
  <c r="AP2" i="119"/>
  <c r="AO2" i="119"/>
  <c r="AN2" i="119"/>
  <c r="AM2" i="119"/>
  <c r="AL2" i="119"/>
  <c r="AK2" i="119"/>
  <c r="AJ2" i="119"/>
  <c r="AI2" i="119"/>
  <c r="AH2" i="119"/>
  <c r="AG2" i="119"/>
  <c r="AF2" i="119"/>
  <c r="AE2" i="119"/>
  <c r="AD2" i="119"/>
  <c r="AC2" i="119"/>
  <c r="AB2" i="119"/>
  <c r="AA2" i="119"/>
  <c r="Z2" i="119"/>
  <c r="Y2" i="119"/>
  <c r="X2" i="119"/>
  <c r="W2" i="119"/>
  <c r="V2" i="119"/>
  <c r="U2" i="119"/>
  <c r="T2" i="119"/>
  <c r="S2" i="119"/>
  <c r="R2" i="119"/>
  <c r="Q2" i="119"/>
  <c r="O2" i="119"/>
  <c r="N2" i="119"/>
  <c r="M2" i="119"/>
  <c r="L2" i="119"/>
  <c r="K2" i="119"/>
  <c r="U111" i="119" s="1"/>
  <c r="K94" i="119"/>
  <c r="Z141" i="120" l="1"/>
  <c r="Z152" i="120" s="1"/>
  <c r="AA154" i="120"/>
  <c r="B136" i="120"/>
  <c r="B138" i="120" s="1"/>
  <c r="P103" i="121"/>
  <c r="P104" i="121"/>
  <c r="P108" i="121"/>
  <c r="N102" i="120"/>
  <c r="N119" i="120"/>
  <c r="AA128" i="120"/>
  <c r="T134" i="120"/>
  <c r="AA155" i="120"/>
  <c r="AD154" i="120"/>
  <c r="T120" i="120"/>
  <c r="Z120" i="120" s="1"/>
  <c r="AA152" i="120"/>
  <c r="AD145" i="120"/>
  <c r="AD155" i="120" s="1"/>
  <c r="N118" i="120"/>
  <c r="C136" i="120"/>
  <c r="C138" i="120" s="1"/>
  <c r="D120" i="120"/>
  <c r="X150" i="119"/>
  <c r="U150" i="119"/>
  <c r="C146" i="119"/>
  <c r="AB145" i="119"/>
  <c r="X145" i="119"/>
  <c r="U145" i="119"/>
  <c r="X144" i="119"/>
  <c r="U144" i="119"/>
  <c r="R141" i="119"/>
  <c r="W140" i="119"/>
  <c r="T140" i="119"/>
  <c r="W139" i="119"/>
  <c r="W144" i="119" s="1"/>
  <c r="T139" i="119"/>
  <c r="T144" i="119" s="1"/>
  <c r="W138" i="119"/>
  <c r="C137" i="119"/>
  <c r="B137" i="119" s="1"/>
  <c r="X136" i="119"/>
  <c r="X137" i="119" s="1"/>
  <c r="W136" i="119"/>
  <c r="U136" i="119"/>
  <c r="U137" i="119" s="1"/>
  <c r="T136" i="119"/>
  <c r="W135" i="119"/>
  <c r="W134" i="119"/>
  <c r="W137" i="119" s="1"/>
  <c r="X133" i="119"/>
  <c r="W133" i="119"/>
  <c r="U133" i="119"/>
  <c r="U148" i="119" s="1"/>
  <c r="C133" i="119"/>
  <c r="C134" i="119" s="1"/>
  <c r="W132" i="119"/>
  <c r="T132" i="119"/>
  <c r="B130" i="119"/>
  <c r="C130" i="119" s="1"/>
  <c r="C131" i="119" s="1"/>
  <c r="B127" i="119"/>
  <c r="C127" i="119" s="1"/>
  <c r="B126" i="119"/>
  <c r="C126" i="119" s="1"/>
  <c r="B125" i="119"/>
  <c r="C125" i="119" s="1"/>
  <c r="AB124" i="119"/>
  <c r="X124" i="119"/>
  <c r="U124" i="119"/>
  <c r="B124" i="119"/>
  <c r="X123" i="119"/>
  <c r="X122" i="119" s="1"/>
  <c r="U123" i="119"/>
  <c r="R120" i="119"/>
  <c r="W119" i="119"/>
  <c r="T119" i="119"/>
  <c r="W118" i="119"/>
  <c r="W123" i="119" s="1"/>
  <c r="T118" i="119"/>
  <c r="T123" i="119" s="1"/>
  <c r="G118" i="119"/>
  <c r="W117" i="119"/>
  <c r="M117" i="119"/>
  <c r="L117" i="119"/>
  <c r="K117" i="119"/>
  <c r="J117" i="119"/>
  <c r="I117" i="119"/>
  <c r="H117" i="119"/>
  <c r="G117" i="119"/>
  <c r="F117" i="119"/>
  <c r="E117" i="119"/>
  <c r="D117" i="119"/>
  <c r="C117" i="119"/>
  <c r="B117" i="119"/>
  <c r="W116" i="119"/>
  <c r="M114" i="119"/>
  <c r="L114" i="119"/>
  <c r="K114" i="119"/>
  <c r="J114" i="119"/>
  <c r="I114" i="119"/>
  <c r="H114" i="119"/>
  <c r="G114" i="119"/>
  <c r="F114" i="119"/>
  <c r="E114" i="119"/>
  <c r="D114" i="119"/>
  <c r="C114" i="119"/>
  <c r="B114" i="119"/>
  <c r="M111" i="119"/>
  <c r="L111" i="119"/>
  <c r="K111" i="119"/>
  <c r="J111" i="119"/>
  <c r="I111" i="119"/>
  <c r="H111" i="119"/>
  <c r="G111" i="119"/>
  <c r="F111" i="119"/>
  <c r="E111" i="119"/>
  <c r="D111" i="119"/>
  <c r="C111" i="119"/>
  <c r="B111" i="119"/>
  <c r="M108" i="119"/>
  <c r="L108" i="119"/>
  <c r="K108" i="119"/>
  <c r="J108" i="119"/>
  <c r="I108" i="119"/>
  <c r="H108" i="119"/>
  <c r="G108" i="119"/>
  <c r="F108" i="119"/>
  <c r="E108" i="119"/>
  <c r="D108" i="119"/>
  <c r="C108" i="119"/>
  <c r="B108" i="119"/>
  <c r="M105" i="119"/>
  <c r="L105" i="119"/>
  <c r="K105" i="119"/>
  <c r="J105" i="119"/>
  <c r="I105" i="119"/>
  <c r="H105" i="119"/>
  <c r="G105" i="119"/>
  <c r="F105" i="119"/>
  <c r="E105" i="119"/>
  <c r="D105" i="119"/>
  <c r="C105" i="119"/>
  <c r="B105" i="119"/>
  <c r="I102" i="119"/>
  <c r="M101" i="119"/>
  <c r="M119" i="119" s="1"/>
  <c r="L101" i="119"/>
  <c r="L119" i="119" s="1"/>
  <c r="K101" i="119"/>
  <c r="K119" i="119" s="1"/>
  <c r="J101" i="119"/>
  <c r="J119" i="119" s="1"/>
  <c r="I101" i="119"/>
  <c r="T138" i="119" s="1"/>
  <c r="H101" i="119"/>
  <c r="H119" i="119" s="1"/>
  <c r="G101" i="119"/>
  <c r="G119" i="119" s="1"/>
  <c r="F101" i="119"/>
  <c r="F119" i="119" s="1"/>
  <c r="D101" i="119"/>
  <c r="D119" i="119" s="1"/>
  <c r="C101" i="119"/>
  <c r="C119" i="119" s="1"/>
  <c r="B101" i="119"/>
  <c r="B119" i="119" s="1"/>
  <c r="M100" i="119"/>
  <c r="M118" i="119" s="1"/>
  <c r="L100" i="119"/>
  <c r="L118" i="119" s="1"/>
  <c r="K100" i="119"/>
  <c r="K118" i="119" s="1"/>
  <c r="J100" i="119"/>
  <c r="J118" i="119" s="1"/>
  <c r="I100" i="119"/>
  <c r="T117" i="119" s="1"/>
  <c r="H100" i="119"/>
  <c r="H118" i="119" s="1"/>
  <c r="G100" i="119"/>
  <c r="F100" i="119"/>
  <c r="F118" i="119" s="1"/>
  <c r="E100" i="119"/>
  <c r="E118" i="119" s="1"/>
  <c r="D100" i="119"/>
  <c r="D118" i="119" s="1"/>
  <c r="C100" i="119"/>
  <c r="C118" i="119" s="1"/>
  <c r="B100" i="119"/>
  <c r="B118" i="119" s="1"/>
  <c r="J94" i="119"/>
  <c r="I94" i="119"/>
  <c r="H94" i="119"/>
  <c r="G94" i="119"/>
  <c r="F94" i="119"/>
  <c r="E94" i="119"/>
  <c r="D94" i="119"/>
  <c r="C94" i="119"/>
  <c r="B94" i="119"/>
  <c r="E101" i="119"/>
  <c r="BB92" i="119"/>
  <c r="BB91" i="119"/>
  <c r="BB90" i="119"/>
  <c r="BB89" i="119"/>
  <c r="BB88" i="119"/>
  <c r="BB87" i="119"/>
  <c r="BB86" i="119"/>
  <c r="BB85" i="119"/>
  <c r="BB84" i="119"/>
  <c r="BB83" i="119"/>
  <c r="BB82" i="119"/>
  <c r="BB81" i="119"/>
  <c r="BB80" i="119"/>
  <c r="BB79" i="119"/>
  <c r="BB78" i="119"/>
  <c r="BB77" i="119"/>
  <c r="BB76" i="119"/>
  <c r="BB75" i="119"/>
  <c r="BB74" i="119"/>
  <c r="BB73" i="119"/>
  <c r="BB72" i="119"/>
  <c r="BB71" i="119"/>
  <c r="BB70" i="119"/>
  <c r="BB69" i="119"/>
  <c r="BB68" i="119"/>
  <c r="BB67" i="119"/>
  <c r="BB66" i="119"/>
  <c r="BB65" i="119"/>
  <c r="BB64" i="119"/>
  <c r="BB63" i="119"/>
  <c r="BB62" i="119"/>
  <c r="BB61" i="119"/>
  <c r="BB60" i="119"/>
  <c r="BB59" i="119"/>
  <c r="BB58" i="119"/>
  <c r="BB57" i="119"/>
  <c r="BB56" i="119"/>
  <c r="BB55" i="119"/>
  <c r="BB54" i="119"/>
  <c r="BB53" i="119"/>
  <c r="BB52" i="119"/>
  <c r="BB51" i="119"/>
  <c r="BB50" i="119"/>
  <c r="BB49" i="119"/>
  <c r="BB48" i="119"/>
  <c r="BB47" i="119"/>
  <c r="BB46" i="119"/>
  <c r="BB45" i="119"/>
  <c r="BB44" i="119"/>
  <c r="BB43" i="119"/>
  <c r="BB42" i="119"/>
  <c r="BB41" i="119"/>
  <c r="BB40" i="119"/>
  <c r="BB39" i="119"/>
  <c r="BB38" i="119"/>
  <c r="BB37" i="119"/>
  <c r="BB36" i="119"/>
  <c r="BB35" i="119"/>
  <c r="BB34" i="119"/>
  <c r="BB33" i="119"/>
  <c r="BB32" i="119"/>
  <c r="BB31" i="119"/>
  <c r="BB30" i="119"/>
  <c r="BB29" i="119"/>
  <c r="BB28" i="119"/>
  <c r="BB27" i="119"/>
  <c r="BB26" i="119"/>
  <c r="BB25" i="119"/>
  <c r="BB24" i="119"/>
  <c r="BB23" i="119"/>
  <c r="BB22" i="119"/>
  <c r="BB21" i="119"/>
  <c r="BB20" i="119"/>
  <c r="BB19" i="119"/>
  <c r="BB18" i="119"/>
  <c r="BB17" i="119"/>
  <c r="BB16" i="119"/>
  <c r="BB15" i="119"/>
  <c r="BB14" i="119"/>
  <c r="BB13" i="119"/>
  <c r="BB12" i="119"/>
  <c r="BB11" i="119"/>
  <c r="BB10" i="119"/>
  <c r="BB9" i="119"/>
  <c r="BB8" i="119"/>
  <c r="BB7" i="119"/>
  <c r="BB6" i="119"/>
  <c r="BB5" i="119"/>
  <c r="BB4" i="119"/>
  <c r="C147" i="119"/>
  <c r="C150" i="119"/>
  <c r="B102" i="119" l="1"/>
  <c r="J102" i="119"/>
  <c r="W143" i="119"/>
  <c r="AA124" i="119"/>
  <c r="X143" i="119"/>
  <c r="BB94" i="119"/>
  <c r="O108" i="120"/>
  <c r="P111" i="121"/>
  <c r="C102" i="119"/>
  <c r="X148" i="119"/>
  <c r="B131" i="119"/>
  <c r="P112" i="121"/>
  <c r="W141" i="119"/>
  <c r="O102" i="120"/>
  <c r="D120" i="119"/>
  <c r="N108" i="119"/>
  <c r="U122" i="119"/>
  <c r="F120" i="119"/>
  <c r="U143" i="119"/>
  <c r="G102" i="119"/>
  <c r="AB154" i="119"/>
  <c r="B133" i="119"/>
  <c r="B134" i="119" s="1"/>
  <c r="C151" i="119"/>
  <c r="T143" i="120"/>
  <c r="T145" i="120" s="1"/>
  <c r="T137" i="120"/>
  <c r="U149" i="120" s="1"/>
  <c r="T116" i="120"/>
  <c r="T122" i="120" s="1"/>
  <c r="T124" i="120" s="1"/>
  <c r="U126" i="120" s="1"/>
  <c r="AB126" i="120" s="1"/>
  <c r="Z154" i="120"/>
  <c r="Z128" i="120"/>
  <c r="N120" i="120"/>
  <c r="L120" i="119"/>
  <c r="W122" i="119"/>
  <c r="W124" i="119" s="1"/>
  <c r="X126" i="119" s="1"/>
  <c r="B128" i="119"/>
  <c r="X149" i="119"/>
  <c r="K120" i="119"/>
  <c r="K102" i="119"/>
  <c r="C124" i="119"/>
  <c r="C128" i="119" s="1"/>
  <c r="C136" i="119" s="1"/>
  <c r="C138" i="119" s="1"/>
  <c r="I118" i="119"/>
  <c r="H120" i="119"/>
  <c r="N101" i="119"/>
  <c r="E119" i="119"/>
  <c r="E120" i="119" s="1"/>
  <c r="T120" i="119"/>
  <c r="AD124" i="119"/>
  <c r="AA128" i="119"/>
  <c r="N118" i="119"/>
  <c r="B120" i="119"/>
  <c r="J120" i="119"/>
  <c r="C120" i="119"/>
  <c r="T141" i="119"/>
  <c r="Z141" i="119" s="1"/>
  <c r="Z152" i="119" s="1"/>
  <c r="M120" i="119"/>
  <c r="G120" i="119"/>
  <c r="W145" i="119"/>
  <c r="X147" i="119" s="1"/>
  <c r="BB93" i="119"/>
  <c r="N100" i="119"/>
  <c r="D102" i="119"/>
  <c r="L102" i="119"/>
  <c r="I119" i="119"/>
  <c r="I120" i="119" s="1"/>
  <c r="E102" i="119"/>
  <c r="M102" i="119"/>
  <c r="W120" i="119"/>
  <c r="F102" i="119"/>
  <c r="P107" i="119"/>
  <c r="V134" i="119"/>
  <c r="T134" i="119" s="1"/>
  <c r="AA145" i="119"/>
  <c r="H102" i="119"/>
  <c r="P94" i="118"/>
  <c r="P93" i="118"/>
  <c r="P2" i="119" s="1"/>
  <c r="P49" i="118"/>
  <c r="T108" i="119" s="1"/>
  <c r="T110" i="119" s="1"/>
  <c r="D101" i="118"/>
  <c r="D101" i="117"/>
  <c r="T109" i="118"/>
  <c r="Z120" i="119" l="1"/>
  <c r="B136" i="119"/>
  <c r="B138" i="119" s="1"/>
  <c r="O120" i="121"/>
  <c r="P120" i="121" s="1"/>
  <c r="P104" i="120"/>
  <c r="P103" i="120"/>
  <c r="P108" i="120"/>
  <c r="T111" i="119"/>
  <c r="V111" i="119" s="1"/>
  <c r="Z124" i="120"/>
  <c r="AA126" i="120" s="1"/>
  <c r="AC126" i="120" s="1"/>
  <c r="T108" i="118"/>
  <c r="T110" i="118" s="1"/>
  <c r="E101" i="118"/>
  <c r="U147" i="120"/>
  <c r="AB147" i="120" s="1"/>
  <c r="Z145" i="120"/>
  <c r="AA147" i="120" s="1"/>
  <c r="AA157" i="120"/>
  <c r="Z155" i="120"/>
  <c r="N102" i="119"/>
  <c r="T116" i="119"/>
  <c r="T122" i="119" s="1"/>
  <c r="T124" i="119" s="1"/>
  <c r="T143" i="119"/>
  <c r="T145" i="119" s="1"/>
  <c r="T137" i="119"/>
  <c r="U149" i="119" s="1"/>
  <c r="Z154" i="119"/>
  <c r="Z128" i="119"/>
  <c r="N119" i="119"/>
  <c r="N120" i="119"/>
  <c r="AA152" i="119"/>
  <c r="AD145" i="119"/>
  <c r="AD155" i="119" s="1"/>
  <c r="AA154" i="119"/>
  <c r="J94" i="118"/>
  <c r="P112" i="120" l="1"/>
  <c r="O120" i="120" s="1"/>
  <c r="P120" i="120" s="1"/>
  <c r="AA156" i="120"/>
  <c r="P111" i="120"/>
  <c r="O102" i="119"/>
  <c r="AA157" i="119"/>
  <c r="Z155" i="119"/>
  <c r="U147" i="119"/>
  <c r="AB147" i="119" s="1"/>
  <c r="Z145" i="119"/>
  <c r="AA147" i="119" s="1"/>
  <c r="U126" i="119"/>
  <c r="AB126" i="119" s="1"/>
  <c r="Z124" i="119"/>
  <c r="AA126" i="119" s="1"/>
  <c r="AA155" i="119"/>
  <c r="AD154" i="119"/>
  <c r="BA2" i="118"/>
  <c r="AZ2" i="118"/>
  <c r="AY2" i="118"/>
  <c r="AX2" i="118"/>
  <c r="AW2" i="118"/>
  <c r="AV2" i="118"/>
  <c r="AU2" i="118"/>
  <c r="AT2" i="118"/>
  <c r="AS2" i="118"/>
  <c r="AR2" i="118"/>
  <c r="AQ2" i="118"/>
  <c r="AP2" i="118"/>
  <c r="AO2" i="118"/>
  <c r="AN2" i="118"/>
  <c r="AM2" i="118"/>
  <c r="AL2" i="118"/>
  <c r="AK2" i="118"/>
  <c r="AJ2" i="118"/>
  <c r="AI2" i="118"/>
  <c r="AH2" i="118"/>
  <c r="AG2" i="118"/>
  <c r="AF2" i="118"/>
  <c r="AE2" i="118"/>
  <c r="AD2" i="118"/>
  <c r="AC2" i="118"/>
  <c r="AB2" i="118"/>
  <c r="AA2" i="118"/>
  <c r="Z2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U111" i="118" s="1"/>
  <c r="AC126" i="119" l="1"/>
  <c r="AA156" i="119"/>
  <c r="X150" i="118"/>
  <c r="U150" i="118"/>
  <c r="C146" i="118"/>
  <c r="AB145" i="118"/>
  <c r="X145" i="118"/>
  <c r="X143" i="118" s="1"/>
  <c r="U145" i="118"/>
  <c r="X144" i="118"/>
  <c r="U144" i="118"/>
  <c r="R141" i="118"/>
  <c r="W140" i="118"/>
  <c r="T140" i="118"/>
  <c r="W139" i="118"/>
  <c r="W144" i="118" s="1"/>
  <c r="T139" i="118"/>
  <c r="T144" i="118" s="1"/>
  <c r="W138" i="118"/>
  <c r="C137" i="118"/>
  <c r="B137" i="118" s="1"/>
  <c r="X136" i="118"/>
  <c r="X137" i="118" s="1"/>
  <c r="W136" i="118"/>
  <c r="U136" i="118"/>
  <c r="U137" i="118" s="1"/>
  <c r="T136" i="118"/>
  <c r="W135" i="118"/>
  <c r="W134" i="118"/>
  <c r="W116" i="118" s="1"/>
  <c r="X133" i="118"/>
  <c r="W133" i="118"/>
  <c r="U133" i="118"/>
  <c r="U148" i="118" s="1"/>
  <c r="C133" i="118"/>
  <c r="C134" i="118" s="1"/>
  <c r="W132" i="118"/>
  <c r="T132" i="118"/>
  <c r="B130" i="118"/>
  <c r="B131" i="118" s="1"/>
  <c r="B127" i="118"/>
  <c r="C127" i="118" s="1"/>
  <c r="B126" i="118"/>
  <c r="C126" i="118" s="1"/>
  <c r="B125" i="118"/>
  <c r="C125" i="118" s="1"/>
  <c r="AB124" i="118"/>
  <c r="X124" i="118"/>
  <c r="U124" i="118"/>
  <c r="B124" i="118"/>
  <c r="C124" i="118" s="1"/>
  <c r="X123" i="118"/>
  <c r="X122" i="118" s="1"/>
  <c r="U123" i="118"/>
  <c r="R120" i="118"/>
  <c r="W119" i="118"/>
  <c r="T119" i="118"/>
  <c r="W118" i="118"/>
  <c r="W123" i="118" s="1"/>
  <c r="T118" i="118"/>
  <c r="T123" i="118" s="1"/>
  <c r="W117" i="118"/>
  <c r="M117" i="118"/>
  <c r="L117" i="118"/>
  <c r="K117" i="118"/>
  <c r="J117" i="118"/>
  <c r="I117" i="118"/>
  <c r="H117" i="118"/>
  <c r="G117" i="118"/>
  <c r="F117" i="118"/>
  <c r="E117" i="118"/>
  <c r="D117" i="118"/>
  <c r="C117" i="118"/>
  <c r="B117" i="118"/>
  <c r="M114" i="118"/>
  <c r="L114" i="118"/>
  <c r="K114" i="118"/>
  <c r="J114" i="118"/>
  <c r="I114" i="118"/>
  <c r="H114" i="118"/>
  <c r="G114" i="118"/>
  <c r="F114" i="118"/>
  <c r="E114" i="118"/>
  <c r="D114" i="118"/>
  <c r="C114" i="118"/>
  <c r="B114" i="118"/>
  <c r="M111" i="118"/>
  <c r="L111" i="118"/>
  <c r="K111" i="118"/>
  <c r="J111" i="118"/>
  <c r="I111" i="118"/>
  <c r="H111" i="118"/>
  <c r="G111" i="118"/>
  <c r="F111" i="118"/>
  <c r="E111" i="118"/>
  <c r="D111" i="118"/>
  <c r="C111" i="118"/>
  <c r="B111" i="118"/>
  <c r="M108" i="118"/>
  <c r="L108" i="118"/>
  <c r="K108" i="118"/>
  <c r="J108" i="118"/>
  <c r="I108" i="118"/>
  <c r="H108" i="118"/>
  <c r="G108" i="118"/>
  <c r="F108" i="118"/>
  <c r="E108" i="118"/>
  <c r="D108" i="118"/>
  <c r="C108" i="118"/>
  <c r="B108" i="118"/>
  <c r="M105" i="118"/>
  <c r="L105" i="118"/>
  <c r="K105" i="118"/>
  <c r="J105" i="118"/>
  <c r="I105" i="118"/>
  <c r="H105" i="118"/>
  <c r="G105" i="118"/>
  <c r="F105" i="118"/>
  <c r="E105" i="118"/>
  <c r="D105" i="118"/>
  <c r="C105" i="118"/>
  <c r="B105" i="118"/>
  <c r="M101" i="118"/>
  <c r="M119" i="118" s="1"/>
  <c r="L101" i="118"/>
  <c r="L119" i="118" s="1"/>
  <c r="K101" i="118"/>
  <c r="K119" i="118" s="1"/>
  <c r="J101" i="118"/>
  <c r="J119" i="118" s="1"/>
  <c r="I101" i="118"/>
  <c r="T138" i="118" s="1"/>
  <c r="H101" i="118"/>
  <c r="H119" i="118" s="1"/>
  <c r="G101" i="118"/>
  <c r="G119" i="118" s="1"/>
  <c r="F101" i="118"/>
  <c r="F119" i="118" s="1"/>
  <c r="E119" i="118"/>
  <c r="D119" i="118"/>
  <c r="C101" i="118"/>
  <c r="B101" i="118"/>
  <c r="B119" i="118" s="1"/>
  <c r="M100" i="118"/>
  <c r="M118" i="118" s="1"/>
  <c r="L100" i="118"/>
  <c r="L118" i="118" s="1"/>
  <c r="K100" i="118"/>
  <c r="K118" i="118" s="1"/>
  <c r="J100" i="118"/>
  <c r="J118" i="118" s="1"/>
  <c r="I100" i="118"/>
  <c r="I118" i="118" s="1"/>
  <c r="H100" i="118"/>
  <c r="G100" i="118"/>
  <c r="G118" i="118" s="1"/>
  <c r="F100" i="118"/>
  <c r="F118" i="118" s="1"/>
  <c r="E100" i="118"/>
  <c r="E118" i="118" s="1"/>
  <c r="D100" i="118"/>
  <c r="D118" i="118" s="1"/>
  <c r="C100" i="118"/>
  <c r="C118" i="118" s="1"/>
  <c r="B100" i="118"/>
  <c r="B118" i="118" s="1"/>
  <c r="I94" i="118"/>
  <c r="H94" i="118"/>
  <c r="G94" i="118"/>
  <c r="F94" i="118"/>
  <c r="E94" i="118"/>
  <c r="D94" i="118"/>
  <c r="C94" i="118"/>
  <c r="B94" i="118"/>
  <c r="BB93" i="118"/>
  <c r="BB92" i="118"/>
  <c r="BB91" i="118"/>
  <c r="BB90" i="118"/>
  <c r="BB89" i="118"/>
  <c r="BB88" i="118"/>
  <c r="BB87" i="118"/>
  <c r="BB86" i="118"/>
  <c r="BB85" i="118"/>
  <c r="BB84" i="118"/>
  <c r="BB83" i="118"/>
  <c r="BB82" i="118"/>
  <c r="BB81" i="118"/>
  <c r="BB80" i="118"/>
  <c r="BB79" i="118"/>
  <c r="BB78" i="118"/>
  <c r="BB77" i="118"/>
  <c r="BB76" i="118"/>
  <c r="BB75" i="118"/>
  <c r="BB74" i="118"/>
  <c r="BB73" i="118"/>
  <c r="BB72" i="118"/>
  <c r="BB71" i="118"/>
  <c r="BB70" i="118"/>
  <c r="BB69" i="118"/>
  <c r="BB68" i="118"/>
  <c r="BB67" i="118"/>
  <c r="BB66" i="118"/>
  <c r="BB65" i="118"/>
  <c r="BB64" i="118"/>
  <c r="BB63" i="118"/>
  <c r="BB62" i="118"/>
  <c r="BB61" i="118"/>
  <c r="BB60" i="118"/>
  <c r="BB59" i="118"/>
  <c r="BB58" i="118"/>
  <c r="BB57" i="118"/>
  <c r="BB56" i="118"/>
  <c r="BB55" i="118"/>
  <c r="BB54" i="118"/>
  <c r="BB53" i="118"/>
  <c r="BB52" i="118"/>
  <c r="BB51" i="118"/>
  <c r="BB50" i="118"/>
  <c r="BB49" i="118"/>
  <c r="BB48" i="118"/>
  <c r="BB47" i="118"/>
  <c r="BB46" i="118"/>
  <c r="BB45" i="118"/>
  <c r="BB44" i="118"/>
  <c r="BB43" i="118"/>
  <c r="BB42" i="118"/>
  <c r="BB41" i="118"/>
  <c r="BB40" i="118"/>
  <c r="BB39" i="118"/>
  <c r="BB38" i="118"/>
  <c r="BB37" i="118"/>
  <c r="BB36" i="118"/>
  <c r="BB35" i="118"/>
  <c r="BB34" i="118"/>
  <c r="BB33" i="118"/>
  <c r="BB32" i="118"/>
  <c r="BB31" i="118"/>
  <c r="BB30" i="118"/>
  <c r="BB29" i="118"/>
  <c r="BB28" i="118"/>
  <c r="BB27" i="118"/>
  <c r="BB26" i="118"/>
  <c r="BB25" i="118"/>
  <c r="BB24" i="118"/>
  <c r="BB23" i="118"/>
  <c r="BB22" i="118"/>
  <c r="BB21" i="118"/>
  <c r="BB20" i="118"/>
  <c r="BB19" i="118"/>
  <c r="BB18" i="118"/>
  <c r="BB17" i="118"/>
  <c r="BB16" i="118"/>
  <c r="BB15" i="118"/>
  <c r="BB14" i="118"/>
  <c r="BB13" i="118"/>
  <c r="BB12" i="118"/>
  <c r="BB11" i="118"/>
  <c r="BB10" i="118"/>
  <c r="BB9" i="118"/>
  <c r="BB8" i="118"/>
  <c r="BB7" i="118"/>
  <c r="BB6" i="118"/>
  <c r="BB5" i="118"/>
  <c r="BB4" i="118"/>
  <c r="P107" i="118"/>
  <c r="C147" i="118"/>
  <c r="C150" i="118"/>
  <c r="AB154" i="118" l="1"/>
  <c r="U143" i="118"/>
  <c r="X148" i="118"/>
  <c r="AA124" i="118"/>
  <c r="O108" i="119"/>
  <c r="C130" i="118"/>
  <c r="C131" i="118" s="1"/>
  <c r="U122" i="118"/>
  <c r="W141" i="118"/>
  <c r="J120" i="118"/>
  <c r="B133" i="118"/>
  <c r="B134" i="118" s="1"/>
  <c r="AA145" i="118"/>
  <c r="AA152" i="118" s="1"/>
  <c r="W137" i="118"/>
  <c r="X149" i="118" s="1"/>
  <c r="M120" i="118"/>
  <c r="G120" i="118"/>
  <c r="E120" i="118"/>
  <c r="C151" i="118"/>
  <c r="W122" i="118"/>
  <c r="C102" i="118"/>
  <c r="W120" i="118"/>
  <c r="BB94" i="118"/>
  <c r="B102" i="118"/>
  <c r="L120" i="118"/>
  <c r="F102" i="118"/>
  <c r="N108" i="118"/>
  <c r="V134" i="118"/>
  <c r="D120" i="118"/>
  <c r="J102" i="118"/>
  <c r="W124" i="118"/>
  <c r="X126" i="118" s="1"/>
  <c r="W143" i="118"/>
  <c r="W145" i="118" s="1"/>
  <c r="X147" i="118" s="1"/>
  <c r="N101" i="118"/>
  <c r="P108" i="119" s="1"/>
  <c r="K102" i="118"/>
  <c r="N100" i="118"/>
  <c r="I102" i="118"/>
  <c r="H102" i="118"/>
  <c r="K120" i="118"/>
  <c r="B120" i="118"/>
  <c r="AD124" i="118"/>
  <c r="AA128" i="118"/>
  <c r="C128" i="118"/>
  <c r="T141" i="118"/>
  <c r="Z141" i="118" s="1"/>
  <c r="Z152" i="118" s="1"/>
  <c r="T134" i="118"/>
  <c r="T116" i="118" s="1"/>
  <c r="F120" i="118"/>
  <c r="D102" i="118"/>
  <c r="L102" i="118"/>
  <c r="T117" i="118"/>
  <c r="H118" i="118"/>
  <c r="H120" i="118" s="1"/>
  <c r="I119" i="118"/>
  <c r="I120" i="118" s="1"/>
  <c r="B128" i="118"/>
  <c r="B136" i="118" s="1"/>
  <c r="B138" i="118" s="1"/>
  <c r="E102" i="118"/>
  <c r="M102" i="118"/>
  <c r="T111" i="118"/>
  <c r="V111" i="118" s="1"/>
  <c r="C119" i="118"/>
  <c r="G102" i="118"/>
  <c r="I2" i="117"/>
  <c r="U111" i="117" s="1"/>
  <c r="T109" i="117"/>
  <c r="T108" i="117"/>
  <c r="T110" i="117" s="1"/>
  <c r="BA2" i="117"/>
  <c r="AZ2" i="117"/>
  <c r="AY2" i="117"/>
  <c r="AX2" i="117"/>
  <c r="AW2" i="117"/>
  <c r="AV2" i="117"/>
  <c r="AU2" i="117"/>
  <c r="AT2" i="117"/>
  <c r="AS2" i="117"/>
  <c r="AR2" i="117"/>
  <c r="AQ2" i="117"/>
  <c r="AP2" i="117"/>
  <c r="AO2" i="117"/>
  <c r="AN2" i="117"/>
  <c r="AM2" i="117"/>
  <c r="AL2" i="117"/>
  <c r="AK2" i="117"/>
  <c r="AJ2" i="117"/>
  <c r="AI2" i="117"/>
  <c r="AH2" i="117"/>
  <c r="AG2" i="117"/>
  <c r="AF2" i="117"/>
  <c r="AE2" i="117"/>
  <c r="AD2" i="117"/>
  <c r="AC2" i="117"/>
  <c r="AB2" i="117"/>
  <c r="AA2" i="117"/>
  <c r="Z2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94" i="117"/>
  <c r="C136" i="118" l="1"/>
  <c r="C138" i="118" s="1"/>
  <c r="P103" i="119"/>
  <c r="P104" i="119"/>
  <c r="P112" i="119" s="1"/>
  <c r="AD145" i="118"/>
  <c r="AD155" i="118" s="1"/>
  <c r="AA154" i="118"/>
  <c r="AD154" i="118" s="1"/>
  <c r="N119" i="118"/>
  <c r="N102" i="118"/>
  <c r="P111" i="119" s="1"/>
  <c r="T122" i="118"/>
  <c r="T124" i="118" s="1"/>
  <c r="T120" i="118"/>
  <c r="Z120" i="118" s="1"/>
  <c r="T137" i="118"/>
  <c r="U149" i="118" s="1"/>
  <c r="C120" i="118"/>
  <c r="T143" i="118"/>
  <c r="T145" i="118" s="1"/>
  <c r="N118" i="118"/>
  <c r="X150" i="117"/>
  <c r="U150" i="117"/>
  <c r="C146" i="117"/>
  <c r="AB145" i="117"/>
  <c r="X145" i="117"/>
  <c r="U145" i="117"/>
  <c r="X144" i="117"/>
  <c r="X143" i="117" s="1"/>
  <c r="U144" i="117"/>
  <c r="U143" i="117" s="1"/>
  <c r="R141" i="117"/>
  <c r="W140" i="117"/>
  <c r="T140" i="117"/>
  <c r="W139" i="117"/>
  <c r="W144" i="117" s="1"/>
  <c r="T139" i="117"/>
  <c r="T144" i="117" s="1"/>
  <c r="W138" i="117"/>
  <c r="C137" i="117"/>
  <c r="B137" i="117" s="1"/>
  <c r="X136" i="117"/>
  <c r="X137" i="117" s="1"/>
  <c r="W136" i="117"/>
  <c r="U136" i="117"/>
  <c r="U137" i="117" s="1"/>
  <c r="T136" i="117"/>
  <c r="W135" i="117"/>
  <c r="W134" i="117"/>
  <c r="W143" i="117" s="1"/>
  <c r="X133" i="117"/>
  <c r="W133" i="117"/>
  <c r="U133" i="117"/>
  <c r="U148" i="117" s="1"/>
  <c r="C133" i="117"/>
  <c r="B133" i="117" s="1"/>
  <c r="B134" i="117" s="1"/>
  <c r="W132" i="117"/>
  <c r="T132" i="117"/>
  <c r="B130" i="117"/>
  <c r="C130" i="117" s="1"/>
  <c r="C131" i="117" s="1"/>
  <c r="B127" i="117"/>
  <c r="C127" i="117" s="1"/>
  <c r="B126" i="117"/>
  <c r="C126" i="117" s="1"/>
  <c r="B125" i="117"/>
  <c r="C125" i="117" s="1"/>
  <c r="AB124" i="117"/>
  <c r="X124" i="117"/>
  <c r="U124" i="117"/>
  <c r="B124" i="117"/>
  <c r="C124" i="117" s="1"/>
  <c r="X123" i="117"/>
  <c r="U123" i="117"/>
  <c r="R120" i="117"/>
  <c r="W119" i="117"/>
  <c r="T119" i="117"/>
  <c r="W118" i="117"/>
  <c r="W123" i="117" s="1"/>
  <c r="T118" i="117"/>
  <c r="T123" i="117" s="1"/>
  <c r="W117" i="117"/>
  <c r="M117" i="117"/>
  <c r="L117" i="117"/>
  <c r="K117" i="117"/>
  <c r="J117" i="117"/>
  <c r="I117" i="117"/>
  <c r="H117" i="117"/>
  <c r="G117" i="117"/>
  <c r="F117" i="117"/>
  <c r="E117" i="117"/>
  <c r="D117" i="117"/>
  <c r="C117" i="117"/>
  <c r="B117" i="117"/>
  <c r="M114" i="117"/>
  <c r="L114" i="117"/>
  <c r="K114" i="117"/>
  <c r="J114" i="117"/>
  <c r="I114" i="117"/>
  <c r="H114" i="117"/>
  <c r="G114" i="117"/>
  <c r="F114" i="117"/>
  <c r="E114" i="117"/>
  <c r="D114" i="117"/>
  <c r="C114" i="117"/>
  <c r="B114" i="117"/>
  <c r="M111" i="117"/>
  <c r="L111" i="117"/>
  <c r="K111" i="117"/>
  <c r="J111" i="117"/>
  <c r="I111" i="117"/>
  <c r="H111" i="117"/>
  <c r="G111" i="117"/>
  <c r="F111" i="117"/>
  <c r="E111" i="117"/>
  <c r="D111" i="117"/>
  <c r="C111" i="117"/>
  <c r="B111" i="117"/>
  <c r="M108" i="117"/>
  <c r="L108" i="117"/>
  <c r="K108" i="117"/>
  <c r="J108" i="117"/>
  <c r="I108" i="117"/>
  <c r="H108" i="117"/>
  <c r="G108" i="117"/>
  <c r="F108" i="117"/>
  <c r="E108" i="117"/>
  <c r="D108" i="117"/>
  <c r="C108" i="117"/>
  <c r="B108" i="117"/>
  <c r="M105" i="117"/>
  <c r="L105" i="117"/>
  <c r="K105" i="117"/>
  <c r="J105" i="117"/>
  <c r="I105" i="117"/>
  <c r="H105" i="117"/>
  <c r="G105" i="117"/>
  <c r="F105" i="117"/>
  <c r="E105" i="117"/>
  <c r="D105" i="117"/>
  <c r="C105" i="117"/>
  <c r="B105" i="117"/>
  <c r="M101" i="117"/>
  <c r="M119" i="117" s="1"/>
  <c r="L101" i="117"/>
  <c r="L119" i="117" s="1"/>
  <c r="K101" i="117"/>
  <c r="K119" i="117" s="1"/>
  <c r="J101" i="117"/>
  <c r="J119" i="117" s="1"/>
  <c r="I101" i="117"/>
  <c r="T138" i="117" s="1"/>
  <c r="H101" i="117"/>
  <c r="H119" i="117" s="1"/>
  <c r="G101" i="117"/>
  <c r="G119" i="117" s="1"/>
  <c r="F101" i="117"/>
  <c r="F119" i="117" s="1"/>
  <c r="E101" i="117"/>
  <c r="E119" i="117" s="1"/>
  <c r="D119" i="117"/>
  <c r="C101" i="117"/>
  <c r="C119" i="117" s="1"/>
  <c r="B101" i="117"/>
  <c r="B119" i="117" s="1"/>
  <c r="M100" i="117"/>
  <c r="M118" i="117" s="1"/>
  <c r="L100" i="117"/>
  <c r="L118" i="117" s="1"/>
  <c r="K100" i="117"/>
  <c r="K118" i="117" s="1"/>
  <c r="J100" i="117"/>
  <c r="J118" i="117" s="1"/>
  <c r="I100" i="117"/>
  <c r="T117" i="117" s="1"/>
  <c r="H100" i="117"/>
  <c r="G100" i="117"/>
  <c r="F100" i="117"/>
  <c r="F118" i="117" s="1"/>
  <c r="E100" i="117"/>
  <c r="E118" i="117" s="1"/>
  <c r="D100" i="117"/>
  <c r="D118" i="117" s="1"/>
  <c r="C100" i="117"/>
  <c r="C118" i="117" s="1"/>
  <c r="B100" i="117"/>
  <c r="B118" i="117" s="1"/>
  <c r="H94" i="117"/>
  <c r="G94" i="117"/>
  <c r="F94" i="117"/>
  <c r="E94" i="117"/>
  <c r="D94" i="117"/>
  <c r="C94" i="117"/>
  <c r="B94" i="117"/>
  <c r="BB93" i="117"/>
  <c r="BB92" i="117"/>
  <c r="BB91" i="117"/>
  <c r="BB90" i="117"/>
  <c r="BB89" i="117"/>
  <c r="BB88" i="117"/>
  <c r="BB87" i="117"/>
  <c r="BB86" i="117"/>
  <c r="BB85" i="117"/>
  <c r="BB84" i="117"/>
  <c r="BB83" i="117"/>
  <c r="BB82" i="117"/>
  <c r="BB81" i="117"/>
  <c r="BB80" i="117"/>
  <c r="BB79" i="117"/>
  <c r="BB78" i="117"/>
  <c r="BB77" i="117"/>
  <c r="BB76" i="117"/>
  <c r="BB75" i="117"/>
  <c r="BB74" i="117"/>
  <c r="BB73" i="117"/>
  <c r="BB72" i="117"/>
  <c r="BB71" i="117"/>
  <c r="BB70" i="117"/>
  <c r="BB69" i="117"/>
  <c r="BB68" i="117"/>
  <c r="BB67" i="117"/>
  <c r="BB66" i="117"/>
  <c r="BB65" i="117"/>
  <c r="BB64" i="117"/>
  <c r="BB63" i="117"/>
  <c r="BB62" i="117"/>
  <c r="BB61" i="117"/>
  <c r="BB60" i="117"/>
  <c r="BB59" i="117"/>
  <c r="BB58" i="117"/>
  <c r="BB57" i="117"/>
  <c r="BB56" i="117"/>
  <c r="BB55" i="117"/>
  <c r="BB54" i="117"/>
  <c r="BB53" i="117"/>
  <c r="BB52" i="117"/>
  <c r="BB51" i="117"/>
  <c r="BB50" i="117"/>
  <c r="BB49" i="117"/>
  <c r="BB48" i="117"/>
  <c r="BB47" i="117"/>
  <c r="BB46" i="117"/>
  <c r="BB45" i="117"/>
  <c r="BB44" i="117"/>
  <c r="BB43" i="117"/>
  <c r="BB42" i="117"/>
  <c r="BB41" i="117"/>
  <c r="BB40" i="117"/>
  <c r="BB39" i="117"/>
  <c r="BB38" i="117"/>
  <c r="BB37" i="117"/>
  <c r="BB36" i="117"/>
  <c r="BB35" i="117"/>
  <c r="BB34" i="117"/>
  <c r="BB33" i="117"/>
  <c r="BB32" i="117"/>
  <c r="BB31" i="117"/>
  <c r="BB30" i="117"/>
  <c r="BB29" i="117"/>
  <c r="BB28" i="117"/>
  <c r="BB27" i="117"/>
  <c r="BB26" i="117"/>
  <c r="BB25" i="117"/>
  <c r="BB24" i="117"/>
  <c r="BB23" i="117"/>
  <c r="BB22" i="117"/>
  <c r="BB21" i="117"/>
  <c r="BB20" i="117"/>
  <c r="BB19" i="117"/>
  <c r="BB18" i="117"/>
  <c r="BB17" i="117"/>
  <c r="BB16" i="117"/>
  <c r="BB15" i="117"/>
  <c r="BB14" i="117"/>
  <c r="BB13" i="117"/>
  <c r="BB12" i="117"/>
  <c r="BB11" i="117"/>
  <c r="BB10" i="117"/>
  <c r="BB9" i="117"/>
  <c r="BB8" i="117"/>
  <c r="BB7" i="117"/>
  <c r="BB6" i="117"/>
  <c r="BB5" i="117"/>
  <c r="BB4" i="117"/>
  <c r="C147" i="117"/>
  <c r="C150" i="117"/>
  <c r="AA124" i="117" l="1"/>
  <c r="X148" i="117"/>
  <c r="O108" i="118"/>
  <c r="X122" i="117"/>
  <c r="G102" i="117"/>
  <c r="AA155" i="118"/>
  <c r="H102" i="117"/>
  <c r="O102" i="118"/>
  <c r="AB154" i="117"/>
  <c r="B131" i="117"/>
  <c r="W116" i="117"/>
  <c r="U122" i="117"/>
  <c r="C151" i="117"/>
  <c r="V134" i="117"/>
  <c r="T134" i="117" s="1"/>
  <c r="T116" i="117" s="1"/>
  <c r="T122" i="117" s="1"/>
  <c r="T124" i="117" s="1"/>
  <c r="B102" i="117"/>
  <c r="N108" i="117"/>
  <c r="W141" i="117"/>
  <c r="BB94" i="117"/>
  <c r="I118" i="117"/>
  <c r="F120" i="117"/>
  <c r="Z154" i="118"/>
  <c r="Z128" i="118"/>
  <c r="U126" i="118"/>
  <c r="AB126" i="118" s="1"/>
  <c r="Z124" i="118"/>
  <c r="AA126" i="118" s="1"/>
  <c r="N120" i="118"/>
  <c r="U147" i="118"/>
  <c r="AB147" i="118" s="1"/>
  <c r="Z145" i="118"/>
  <c r="AA147" i="118" s="1"/>
  <c r="W137" i="117"/>
  <c r="X149" i="117" s="1"/>
  <c r="I102" i="117"/>
  <c r="J102" i="117"/>
  <c r="W145" i="117"/>
  <c r="X147" i="117" s="1"/>
  <c r="C128" i="117"/>
  <c r="G118" i="117"/>
  <c r="G120" i="117" s="1"/>
  <c r="K102" i="117"/>
  <c r="W122" i="117"/>
  <c r="W124" i="117" s="1"/>
  <c r="X126" i="117" s="1"/>
  <c r="C102" i="117"/>
  <c r="AD124" i="117"/>
  <c r="AA128" i="117"/>
  <c r="T120" i="117"/>
  <c r="B120" i="117"/>
  <c r="K120" i="117"/>
  <c r="J120" i="117"/>
  <c r="D120" i="117"/>
  <c r="L120" i="117"/>
  <c r="C120" i="117"/>
  <c r="E120" i="117"/>
  <c r="M120" i="117"/>
  <c r="T141" i="117"/>
  <c r="N100" i="117"/>
  <c r="D102" i="117"/>
  <c r="L102" i="117"/>
  <c r="H118" i="117"/>
  <c r="H120" i="117" s="1"/>
  <c r="I119" i="117"/>
  <c r="B128" i="117"/>
  <c r="C134" i="117"/>
  <c r="C136" i="117" s="1"/>
  <c r="C138" i="117" s="1"/>
  <c r="E102" i="117"/>
  <c r="M102" i="117"/>
  <c r="W120" i="117"/>
  <c r="F102" i="117"/>
  <c r="P107" i="117"/>
  <c r="T111" i="117"/>
  <c r="V111" i="117" s="1"/>
  <c r="AA145" i="117"/>
  <c r="N101" i="117"/>
  <c r="P108" i="118" s="1"/>
  <c r="P104" i="118" l="1"/>
  <c r="P103" i="118"/>
  <c r="B136" i="117"/>
  <c r="B138" i="117" s="1"/>
  <c r="Z141" i="117"/>
  <c r="Z152" i="117" s="1"/>
  <c r="I120" i="117"/>
  <c r="Z120" i="117"/>
  <c r="Z154" i="117" s="1"/>
  <c r="N118" i="117"/>
  <c r="AC126" i="118"/>
  <c r="AA156" i="118"/>
  <c r="AA157" i="118"/>
  <c r="Z155" i="118"/>
  <c r="N102" i="117"/>
  <c r="P111" i="118" s="1"/>
  <c r="U126" i="117"/>
  <c r="AB126" i="117" s="1"/>
  <c r="Z124" i="117"/>
  <c r="AA126" i="117" s="1"/>
  <c r="AA152" i="117"/>
  <c r="AD145" i="117"/>
  <c r="AD155" i="117" s="1"/>
  <c r="AA154" i="117"/>
  <c r="T137" i="117"/>
  <c r="U149" i="117" s="1"/>
  <c r="T143" i="117"/>
  <c r="T145" i="117" s="1"/>
  <c r="N120" i="117"/>
  <c r="O120" i="119" s="1"/>
  <c r="P120" i="119" s="1"/>
  <c r="N119" i="117"/>
  <c r="T109" i="116"/>
  <c r="T108" i="116"/>
  <c r="T110" i="116" s="1"/>
  <c r="I2" i="116"/>
  <c r="BA2" i="116"/>
  <c r="AZ2" i="116"/>
  <c r="AY2" i="116"/>
  <c r="AX2" i="116"/>
  <c r="AW2" i="116"/>
  <c r="AV2" i="116"/>
  <c r="AU2" i="116"/>
  <c r="AT2" i="116"/>
  <c r="AS2" i="116"/>
  <c r="AR2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Z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H94" i="116"/>
  <c r="O102" i="117" l="1"/>
  <c r="Z128" i="117"/>
  <c r="U147" i="117"/>
  <c r="AB147" i="117" s="1"/>
  <c r="Z145" i="117"/>
  <c r="AA147" i="117" s="1"/>
  <c r="AA156" i="117" s="1"/>
  <c r="AC126" i="117"/>
  <c r="AA155" i="117"/>
  <c r="AD154" i="117"/>
  <c r="AA157" i="117"/>
  <c r="Z155" i="117"/>
  <c r="H2" i="116"/>
  <c r="X150" i="116"/>
  <c r="U150" i="116"/>
  <c r="C146" i="116"/>
  <c r="AB145" i="116"/>
  <c r="X145" i="116"/>
  <c r="U145" i="116"/>
  <c r="X144" i="116"/>
  <c r="U144" i="116"/>
  <c r="R141" i="116"/>
  <c r="W140" i="116"/>
  <c r="T140" i="116"/>
  <c r="W139" i="116"/>
  <c r="W144" i="116" s="1"/>
  <c r="T139" i="116"/>
  <c r="T144" i="116" s="1"/>
  <c r="W138" i="116"/>
  <c r="C137" i="116"/>
  <c r="B137" i="116" s="1"/>
  <c r="X136" i="116"/>
  <c r="X137" i="116" s="1"/>
  <c r="W136" i="116"/>
  <c r="U136" i="116"/>
  <c r="U137" i="116" s="1"/>
  <c r="T136" i="116"/>
  <c r="W135" i="116"/>
  <c r="W134" i="116"/>
  <c r="W116" i="116" s="1"/>
  <c r="X133" i="116"/>
  <c r="W133" i="116"/>
  <c r="U133" i="116"/>
  <c r="U148" i="116" s="1"/>
  <c r="C133" i="116"/>
  <c r="C134" i="116" s="1"/>
  <c r="W132" i="116"/>
  <c r="T132" i="116"/>
  <c r="B130" i="116"/>
  <c r="C130" i="116" s="1"/>
  <c r="C131" i="116" s="1"/>
  <c r="B127" i="116"/>
  <c r="C127" i="116" s="1"/>
  <c r="B126" i="116"/>
  <c r="C126" i="116" s="1"/>
  <c r="B125" i="116"/>
  <c r="C125" i="116" s="1"/>
  <c r="AB124" i="116"/>
  <c r="X124" i="116"/>
  <c r="U124" i="116"/>
  <c r="B124" i="116"/>
  <c r="X123" i="116"/>
  <c r="U123" i="116"/>
  <c r="R120" i="116"/>
  <c r="W119" i="116"/>
  <c r="T119" i="116"/>
  <c r="W118" i="116"/>
  <c r="W123" i="116" s="1"/>
  <c r="T118" i="116"/>
  <c r="T123" i="116" s="1"/>
  <c r="W117" i="116"/>
  <c r="M117" i="116"/>
  <c r="L117" i="116"/>
  <c r="K117" i="116"/>
  <c r="J117" i="116"/>
  <c r="I117" i="116"/>
  <c r="H117" i="116"/>
  <c r="G117" i="116"/>
  <c r="F117" i="116"/>
  <c r="E117" i="116"/>
  <c r="D117" i="116"/>
  <c r="C117" i="116"/>
  <c r="B117" i="116"/>
  <c r="M114" i="116"/>
  <c r="L114" i="116"/>
  <c r="K114" i="116"/>
  <c r="J114" i="116"/>
  <c r="I114" i="116"/>
  <c r="H114" i="116"/>
  <c r="G114" i="116"/>
  <c r="F114" i="116"/>
  <c r="E114" i="116"/>
  <c r="D114" i="116"/>
  <c r="C114" i="116"/>
  <c r="B114" i="116"/>
  <c r="M111" i="116"/>
  <c r="L111" i="116"/>
  <c r="K111" i="116"/>
  <c r="J111" i="116"/>
  <c r="I111" i="116"/>
  <c r="H111" i="116"/>
  <c r="G111" i="116"/>
  <c r="F111" i="116"/>
  <c r="E111" i="116"/>
  <c r="D111" i="116"/>
  <c r="C111" i="116"/>
  <c r="B111" i="116"/>
  <c r="M108" i="116"/>
  <c r="L108" i="116"/>
  <c r="K108" i="116"/>
  <c r="J108" i="116"/>
  <c r="I108" i="116"/>
  <c r="H108" i="116"/>
  <c r="G108" i="116"/>
  <c r="F108" i="116"/>
  <c r="E108" i="116"/>
  <c r="D108" i="116"/>
  <c r="C108" i="116"/>
  <c r="B108" i="116"/>
  <c r="M105" i="116"/>
  <c r="L105" i="116"/>
  <c r="K105" i="116"/>
  <c r="J105" i="116"/>
  <c r="I105" i="116"/>
  <c r="H105" i="116"/>
  <c r="G105" i="116"/>
  <c r="F105" i="116"/>
  <c r="E105" i="116"/>
  <c r="D105" i="116"/>
  <c r="C105" i="116"/>
  <c r="B105" i="116"/>
  <c r="M101" i="116"/>
  <c r="M119" i="116" s="1"/>
  <c r="L101" i="116"/>
  <c r="K101" i="116"/>
  <c r="K119" i="116" s="1"/>
  <c r="J101" i="116"/>
  <c r="J119" i="116" s="1"/>
  <c r="I101" i="116"/>
  <c r="T138" i="116" s="1"/>
  <c r="H101" i="116"/>
  <c r="H119" i="116" s="1"/>
  <c r="G101" i="116"/>
  <c r="G119" i="116" s="1"/>
  <c r="F101" i="116"/>
  <c r="F119" i="116" s="1"/>
  <c r="E101" i="116"/>
  <c r="E119" i="116" s="1"/>
  <c r="D101" i="116"/>
  <c r="C101" i="116"/>
  <c r="C119" i="116" s="1"/>
  <c r="B101" i="116"/>
  <c r="B119" i="116" s="1"/>
  <c r="M100" i="116"/>
  <c r="M102" i="116" s="1"/>
  <c r="L100" i="116"/>
  <c r="L118" i="116" s="1"/>
  <c r="K100" i="116"/>
  <c r="J100" i="116"/>
  <c r="J118" i="116" s="1"/>
  <c r="I100" i="116"/>
  <c r="I118" i="116" s="1"/>
  <c r="H100" i="116"/>
  <c r="H118" i="116" s="1"/>
  <c r="G100" i="116"/>
  <c r="F100" i="116"/>
  <c r="E100" i="116"/>
  <c r="E102" i="116" s="1"/>
  <c r="D100" i="116"/>
  <c r="D118" i="116" s="1"/>
  <c r="C100" i="116"/>
  <c r="C118" i="116" s="1"/>
  <c r="B100" i="116"/>
  <c r="B118" i="116" s="1"/>
  <c r="G94" i="116"/>
  <c r="F94" i="116"/>
  <c r="E94" i="116"/>
  <c r="D94" i="116"/>
  <c r="C94" i="116"/>
  <c r="B94" i="116"/>
  <c r="BB93" i="116"/>
  <c r="BB92" i="116"/>
  <c r="BB91" i="116"/>
  <c r="BB90" i="116"/>
  <c r="BB89" i="116"/>
  <c r="BB88" i="116"/>
  <c r="BB87" i="116"/>
  <c r="BB86" i="116"/>
  <c r="BB85" i="116"/>
  <c r="BB84" i="116"/>
  <c r="BB83" i="116"/>
  <c r="BB82" i="116"/>
  <c r="BB81" i="116"/>
  <c r="BB80" i="116"/>
  <c r="BB79" i="116"/>
  <c r="BB78" i="116"/>
  <c r="BB77" i="116"/>
  <c r="BB76" i="116"/>
  <c r="BB75" i="116"/>
  <c r="BB74" i="116"/>
  <c r="BB73" i="116"/>
  <c r="BB72" i="116"/>
  <c r="BB71" i="116"/>
  <c r="BB70" i="116"/>
  <c r="BB69" i="116"/>
  <c r="BB68" i="116"/>
  <c r="BB67" i="116"/>
  <c r="BB66" i="116"/>
  <c r="BB65" i="116"/>
  <c r="BB64" i="116"/>
  <c r="BB63" i="116"/>
  <c r="BB62" i="116"/>
  <c r="BB61" i="116"/>
  <c r="BB60" i="116"/>
  <c r="BB59" i="116"/>
  <c r="BB58" i="116"/>
  <c r="BB57" i="116"/>
  <c r="BB56" i="116"/>
  <c r="BB55" i="116"/>
  <c r="BB54" i="116"/>
  <c r="BB53" i="116"/>
  <c r="BB52" i="116"/>
  <c r="BB51" i="116"/>
  <c r="BB50" i="116"/>
  <c r="BB49" i="116"/>
  <c r="BB48" i="116"/>
  <c r="BB47" i="116"/>
  <c r="BB46" i="116"/>
  <c r="BB45" i="116"/>
  <c r="BB44" i="116"/>
  <c r="BB43" i="116"/>
  <c r="BB42" i="116"/>
  <c r="BB41" i="116"/>
  <c r="BB40" i="116"/>
  <c r="BB39" i="116"/>
  <c r="BB38" i="116"/>
  <c r="BB37" i="116"/>
  <c r="BB36" i="116"/>
  <c r="BB35" i="116"/>
  <c r="BB34" i="116"/>
  <c r="BB33" i="116"/>
  <c r="BB32" i="116"/>
  <c r="BB31" i="116"/>
  <c r="BB30" i="116"/>
  <c r="BB29" i="116"/>
  <c r="BB28" i="116"/>
  <c r="BB27" i="116"/>
  <c r="BB26" i="116"/>
  <c r="BB25" i="116"/>
  <c r="BB24" i="116"/>
  <c r="BB23" i="116"/>
  <c r="BB22" i="116"/>
  <c r="BB21" i="116"/>
  <c r="BB20" i="116"/>
  <c r="BB19" i="116"/>
  <c r="BB18" i="116"/>
  <c r="BB17" i="116"/>
  <c r="BB16" i="116"/>
  <c r="BB15" i="116"/>
  <c r="BB14" i="116"/>
  <c r="BB13" i="116"/>
  <c r="BB12" i="116"/>
  <c r="BB11" i="116"/>
  <c r="BB10" i="116"/>
  <c r="BB9" i="116"/>
  <c r="BB8" i="116"/>
  <c r="BB7" i="116"/>
  <c r="BB6" i="116"/>
  <c r="BB5" i="116"/>
  <c r="BB4" i="116"/>
  <c r="C147" i="116"/>
  <c r="C150" i="116"/>
  <c r="K102" i="116" l="1"/>
  <c r="B133" i="116"/>
  <c r="B134" i="116" s="1"/>
  <c r="U143" i="116"/>
  <c r="U122" i="116"/>
  <c r="AB154" i="116"/>
  <c r="X148" i="116"/>
  <c r="X143" i="116"/>
  <c r="X122" i="116"/>
  <c r="C151" i="116"/>
  <c r="BB94" i="116"/>
  <c r="F102" i="116"/>
  <c r="O108" i="117"/>
  <c r="W120" i="116"/>
  <c r="G102" i="116"/>
  <c r="B131" i="116"/>
  <c r="G118" i="116"/>
  <c r="G120" i="116" s="1"/>
  <c r="K118" i="116"/>
  <c r="W122" i="116"/>
  <c r="N108" i="116"/>
  <c r="P107" i="116"/>
  <c r="U111" i="116"/>
  <c r="V134" i="116"/>
  <c r="T134" i="116" s="1"/>
  <c r="T116" i="116" s="1"/>
  <c r="W137" i="116"/>
  <c r="X149" i="116" s="1"/>
  <c r="W143" i="116"/>
  <c r="W145" i="116" s="1"/>
  <c r="X147" i="116" s="1"/>
  <c r="D102" i="116"/>
  <c r="L102" i="116"/>
  <c r="J120" i="116"/>
  <c r="B128" i="116"/>
  <c r="C124" i="116"/>
  <c r="C128" i="116" s="1"/>
  <c r="C136" i="116" s="1"/>
  <c r="C138" i="116" s="1"/>
  <c r="T111" i="116"/>
  <c r="V111" i="116" s="1"/>
  <c r="C102" i="116"/>
  <c r="C120" i="116"/>
  <c r="T141" i="116"/>
  <c r="H120" i="116"/>
  <c r="B120" i="116"/>
  <c r="W124" i="116"/>
  <c r="X126" i="116" s="1"/>
  <c r="D119" i="116"/>
  <c r="L119" i="116"/>
  <c r="N101" i="116"/>
  <c r="I102" i="116"/>
  <c r="E118" i="116"/>
  <c r="M118" i="116"/>
  <c r="H102" i="116"/>
  <c r="B102" i="116"/>
  <c r="J102" i="116"/>
  <c r="F118" i="116"/>
  <c r="AA145" i="116"/>
  <c r="N100" i="116"/>
  <c r="T117" i="116"/>
  <c r="I119" i="116"/>
  <c r="W141" i="116"/>
  <c r="AA124" i="116"/>
  <c r="T109" i="115"/>
  <c r="T108" i="115"/>
  <c r="T110" i="115" s="1"/>
  <c r="BA2" i="115"/>
  <c r="AZ2" i="115"/>
  <c r="AY2" i="115"/>
  <c r="AX2" i="115"/>
  <c r="AW2" i="115"/>
  <c r="AV2" i="115"/>
  <c r="AU2" i="115"/>
  <c r="AT2" i="115"/>
  <c r="AS2" i="115"/>
  <c r="AR2" i="115"/>
  <c r="AQ2" i="115"/>
  <c r="AP2" i="115"/>
  <c r="AO2" i="115"/>
  <c r="AN2" i="115"/>
  <c r="AM2" i="115"/>
  <c r="AL2" i="115"/>
  <c r="AK2" i="115"/>
  <c r="AJ2" i="115"/>
  <c r="AI2" i="115"/>
  <c r="AH2" i="115"/>
  <c r="AG2" i="115"/>
  <c r="AF2" i="115"/>
  <c r="AE2" i="115"/>
  <c r="AD2" i="115"/>
  <c r="AC2" i="115"/>
  <c r="AB2" i="115"/>
  <c r="AA2" i="115"/>
  <c r="Z2" i="115"/>
  <c r="Y2" i="115"/>
  <c r="X2" i="115"/>
  <c r="W2" i="115"/>
  <c r="V2" i="115"/>
  <c r="U2" i="115"/>
  <c r="T2" i="115"/>
  <c r="S2" i="115"/>
  <c r="R2" i="115"/>
  <c r="Q2" i="115"/>
  <c r="P2" i="115"/>
  <c r="O2" i="115"/>
  <c r="N2" i="115"/>
  <c r="M2" i="115"/>
  <c r="L2" i="115"/>
  <c r="K2" i="115"/>
  <c r="J2" i="115"/>
  <c r="I2" i="115"/>
  <c r="H2" i="115"/>
  <c r="P104" i="117" l="1"/>
  <c r="P103" i="117"/>
  <c r="P108" i="117"/>
  <c r="B136" i="116"/>
  <c r="B138" i="116" s="1"/>
  <c r="L120" i="116"/>
  <c r="F120" i="116"/>
  <c r="D120" i="116"/>
  <c r="Z141" i="116"/>
  <c r="Z152" i="116" s="1"/>
  <c r="I120" i="116"/>
  <c r="M120" i="116"/>
  <c r="K120" i="116"/>
  <c r="E120" i="116"/>
  <c r="N119" i="116"/>
  <c r="T120" i="116"/>
  <c r="Z120" i="116" s="1"/>
  <c r="T122" i="116"/>
  <c r="T124" i="116" s="1"/>
  <c r="AA152" i="116"/>
  <c r="AD145" i="116"/>
  <c r="AD124" i="116"/>
  <c r="AA128" i="116"/>
  <c r="AA154" i="116"/>
  <c r="T137" i="116"/>
  <c r="U149" i="116" s="1"/>
  <c r="N102" i="116"/>
  <c r="N118" i="116"/>
  <c r="T143" i="116"/>
  <c r="T145" i="116" s="1"/>
  <c r="G94" i="115"/>
  <c r="N120" i="116" l="1"/>
  <c r="P112" i="118"/>
  <c r="P111" i="117"/>
  <c r="P112" i="117"/>
  <c r="O102" i="116"/>
  <c r="AA155" i="116"/>
  <c r="AD154" i="116"/>
  <c r="AD155" i="116"/>
  <c r="U126" i="116"/>
  <c r="AB126" i="116" s="1"/>
  <c r="Z124" i="116"/>
  <c r="AA126" i="116" s="1"/>
  <c r="U147" i="116"/>
  <c r="AB147" i="116" s="1"/>
  <c r="Z145" i="116"/>
  <c r="AA147" i="116" s="1"/>
  <c r="Z154" i="116"/>
  <c r="Z128" i="116"/>
  <c r="G2" i="115"/>
  <c r="U111" i="115" s="1"/>
  <c r="X150" i="115"/>
  <c r="U150" i="115"/>
  <c r="C146" i="115"/>
  <c r="AB145" i="115"/>
  <c r="X145" i="115"/>
  <c r="U145" i="115"/>
  <c r="X144" i="115"/>
  <c r="U144" i="115"/>
  <c r="R141" i="115"/>
  <c r="W140" i="115"/>
  <c r="T140" i="115"/>
  <c r="W139" i="115"/>
  <c r="W144" i="115" s="1"/>
  <c r="T139" i="115"/>
  <c r="T144" i="115" s="1"/>
  <c r="W138" i="115"/>
  <c r="W141" i="115" s="1"/>
  <c r="C137" i="115"/>
  <c r="B137" i="115" s="1"/>
  <c r="X136" i="115"/>
  <c r="X137" i="115" s="1"/>
  <c r="W136" i="115"/>
  <c r="U136" i="115"/>
  <c r="U137" i="115" s="1"/>
  <c r="T136" i="115"/>
  <c r="W135" i="115"/>
  <c r="W134" i="115"/>
  <c r="V134" i="115" s="1"/>
  <c r="X133" i="115"/>
  <c r="W133" i="115"/>
  <c r="U133" i="115"/>
  <c r="U148" i="115" s="1"/>
  <c r="C133" i="115"/>
  <c r="B133" i="115" s="1"/>
  <c r="B134" i="115" s="1"/>
  <c r="W132" i="115"/>
  <c r="T132" i="115"/>
  <c r="B130" i="115"/>
  <c r="C130" i="115" s="1"/>
  <c r="C131" i="115" s="1"/>
  <c r="B127" i="115"/>
  <c r="C127" i="115" s="1"/>
  <c r="B126" i="115"/>
  <c r="C126" i="115" s="1"/>
  <c r="B125" i="115"/>
  <c r="C125" i="115" s="1"/>
  <c r="AB124" i="115"/>
  <c r="X124" i="115"/>
  <c r="U124" i="115"/>
  <c r="B124" i="115"/>
  <c r="C124" i="115" s="1"/>
  <c r="X123" i="115"/>
  <c r="W123" i="115"/>
  <c r="U123" i="115"/>
  <c r="T123" i="115"/>
  <c r="R120" i="115"/>
  <c r="W119" i="115"/>
  <c r="T119" i="115"/>
  <c r="W118" i="115"/>
  <c r="T118" i="115"/>
  <c r="W117" i="115"/>
  <c r="M117" i="115"/>
  <c r="L117" i="115"/>
  <c r="K117" i="115"/>
  <c r="J117" i="115"/>
  <c r="I117" i="115"/>
  <c r="H117" i="115"/>
  <c r="G117" i="115"/>
  <c r="F117" i="115"/>
  <c r="E117" i="115"/>
  <c r="D117" i="115"/>
  <c r="C117" i="115"/>
  <c r="B117" i="115"/>
  <c r="M114" i="115"/>
  <c r="L114" i="115"/>
  <c r="K114" i="115"/>
  <c r="J114" i="115"/>
  <c r="I114" i="115"/>
  <c r="H114" i="115"/>
  <c r="G114" i="115"/>
  <c r="F114" i="115"/>
  <c r="E114" i="115"/>
  <c r="D114" i="115"/>
  <c r="C114" i="115"/>
  <c r="B114" i="115"/>
  <c r="M111" i="115"/>
  <c r="L111" i="115"/>
  <c r="K111" i="115"/>
  <c r="J111" i="115"/>
  <c r="I111" i="115"/>
  <c r="H111" i="115"/>
  <c r="G111" i="115"/>
  <c r="F111" i="115"/>
  <c r="E111" i="115"/>
  <c r="D111" i="115"/>
  <c r="C111" i="115"/>
  <c r="B111" i="115"/>
  <c r="M108" i="115"/>
  <c r="L108" i="115"/>
  <c r="K108" i="115"/>
  <c r="J108" i="115"/>
  <c r="I108" i="115"/>
  <c r="H108" i="115"/>
  <c r="G108" i="115"/>
  <c r="F108" i="115"/>
  <c r="E108" i="115"/>
  <c r="D108" i="115"/>
  <c r="C108" i="115"/>
  <c r="B108" i="115"/>
  <c r="M105" i="115"/>
  <c r="L105" i="115"/>
  <c r="K105" i="115"/>
  <c r="J105" i="115"/>
  <c r="I105" i="115"/>
  <c r="H105" i="115"/>
  <c r="G105" i="115"/>
  <c r="F105" i="115"/>
  <c r="E105" i="115"/>
  <c r="D105" i="115"/>
  <c r="C105" i="115"/>
  <c r="B105" i="115"/>
  <c r="M101" i="115"/>
  <c r="M119" i="115" s="1"/>
  <c r="L101" i="115"/>
  <c r="L119" i="115" s="1"/>
  <c r="K101" i="115"/>
  <c r="K119" i="115" s="1"/>
  <c r="J101" i="115"/>
  <c r="J119" i="115" s="1"/>
  <c r="I101" i="115"/>
  <c r="T138" i="115" s="1"/>
  <c r="H101" i="115"/>
  <c r="H119" i="115" s="1"/>
  <c r="G101" i="115"/>
  <c r="G119" i="115" s="1"/>
  <c r="F101" i="115"/>
  <c r="E101" i="115"/>
  <c r="E119" i="115" s="1"/>
  <c r="D101" i="115"/>
  <c r="D119" i="115" s="1"/>
  <c r="C101" i="115"/>
  <c r="C119" i="115" s="1"/>
  <c r="B101" i="115"/>
  <c r="B119" i="115" s="1"/>
  <c r="M100" i="115"/>
  <c r="M118" i="115" s="1"/>
  <c r="L100" i="115"/>
  <c r="K100" i="115"/>
  <c r="J100" i="115"/>
  <c r="J118" i="115" s="1"/>
  <c r="I100" i="115"/>
  <c r="I118" i="115" s="1"/>
  <c r="H100" i="115"/>
  <c r="H118" i="115" s="1"/>
  <c r="H120" i="115" s="1"/>
  <c r="G100" i="115"/>
  <c r="G118" i="115" s="1"/>
  <c r="F100" i="115"/>
  <c r="F118" i="115" s="1"/>
  <c r="E100" i="115"/>
  <c r="E118" i="115" s="1"/>
  <c r="D100" i="115"/>
  <c r="D118" i="115" s="1"/>
  <c r="C100" i="115"/>
  <c r="C118" i="115" s="1"/>
  <c r="B100" i="115"/>
  <c r="B118" i="115" s="1"/>
  <c r="F94" i="115"/>
  <c r="E94" i="115"/>
  <c r="D94" i="115"/>
  <c r="C94" i="115"/>
  <c r="B94" i="115"/>
  <c r="BB93" i="115"/>
  <c r="BB92" i="115"/>
  <c r="BB91" i="115"/>
  <c r="BB90" i="115"/>
  <c r="BB89" i="115"/>
  <c r="BB88" i="115"/>
  <c r="BB87" i="115"/>
  <c r="BB86" i="115"/>
  <c r="BB85" i="115"/>
  <c r="BB84" i="115"/>
  <c r="BB83" i="115"/>
  <c r="BB82" i="115"/>
  <c r="BB81" i="115"/>
  <c r="BB80" i="115"/>
  <c r="BB79" i="115"/>
  <c r="BB78" i="115"/>
  <c r="BB77" i="115"/>
  <c r="BB76" i="115"/>
  <c r="BB75" i="115"/>
  <c r="BB74" i="115"/>
  <c r="BB73" i="115"/>
  <c r="BB72" i="115"/>
  <c r="BB71" i="115"/>
  <c r="BB70" i="115"/>
  <c r="BB69" i="115"/>
  <c r="BB68" i="115"/>
  <c r="BB67" i="115"/>
  <c r="BB66" i="115"/>
  <c r="BB65" i="115"/>
  <c r="BB64" i="115"/>
  <c r="BB63" i="115"/>
  <c r="BB62" i="115"/>
  <c r="BB61" i="115"/>
  <c r="BB60" i="115"/>
  <c r="BB59" i="115"/>
  <c r="BB58" i="115"/>
  <c r="BB57" i="115"/>
  <c r="BB56" i="115"/>
  <c r="BB55" i="115"/>
  <c r="BB54" i="115"/>
  <c r="BB53" i="115"/>
  <c r="BB52" i="115"/>
  <c r="BB51" i="115"/>
  <c r="BB50" i="115"/>
  <c r="BB49" i="115"/>
  <c r="BB48" i="115"/>
  <c r="BB47" i="115"/>
  <c r="BB46" i="115"/>
  <c r="BB45" i="115"/>
  <c r="BB44" i="115"/>
  <c r="BB43" i="115"/>
  <c r="BB42" i="115"/>
  <c r="BB41" i="115"/>
  <c r="BB40" i="115"/>
  <c r="BB39" i="115"/>
  <c r="BB38" i="115"/>
  <c r="BB37" i="115"/>
  <c r="BB36" i="115"/>
  <c r="BB35" i="115"/>
  <c r="BB34" i="115"/>
  <c r="BB33" i="115"/>
  <c r="BB32" i="115"/>
  <c r="BB31" i="115"/>
  <c r="BB30" i="115"/>
  <c r="BB29" i="115"/>
  <c r="BB28" i="115"/>
  <c r="BB27" i="115"/>
  <c r="BB26" i="115"/>
  <c r="BB25" i="115"/>
  <c r="BB24" i="115"/>
  <c r="BB23" i="115"/>
  <c r="BB22" i="115"/>
  <c r="BB21" i="115"/>
  <c r="BB20" i="115"/>
  <c r="BB19" i="115"/>
  <c r="BB18" i="115"/>
  <c r="BB17" i="115"/>
  <c r="BB16" i="115"/>
  <c r="BB15" i="115"/>
  <c r="BB14" i="115"/>
  <c r="BB13" i="115"/>
  <c r="BB12" i="115"/>
  <c r="BB11" i="115"/>
  <c r="BB10" i="115"/>
  <c r="BB9" i="115"/>
  <c r="BB8" i="115"/>
  <c r="BB7" i="115"/>
  <c r="BB6" i="115"/>
  <c r="BB5" i="115"/>
  <c r="BB4" i="115"/>
  <c r="C147" i="115"/>
  <c r="C150" i="115"/>
  <c r="BB94" i="115" l="1"/>
  <c r="B131" i="115"/>
  <c r="U143" i="115"/>
  <c r="U122" i="115"/>
  <c r="X122" i="115"/>
  <c r="G120" i="115"/>
  <c r="N108" i="115"/>
  <c r="W120" i="115"/>
  <c r="AA124" i="115"/>
  <c r="AD124" i="115" s="1"/>
  <c r="X143" i="115"/>
  <c r="F102" i="115"/>
  <c r="E102" i="115"/>
  <c r="AA145" i="115"/>
  <c r="C134" i="115"/>
  <c r="C151" i="115"/>
  <c r="O120" i="118"/>
  <c r="P120" i="118" s="1"/>
  <c r="AB154" i="115"/>
  <c r="AC126" i="116"/>
  <c r="AA156" i="116"/>
  <c r="AA157" i="116"/>
  <c r="Z155" i="116"/>
  <c r="X148" i="115"/>
  <c r="E120" i="115"/>
  <c r="M120" i="115"/>
  <c r="W116" i="115"/>
  <c r="W137" i="115"/>
  <c r="X149" i="115" s="1"/>
  <c r="K102" i="115"/>
  <c r="G102" i="115"/>
  <c r="K118" i="115"/>
  <c r="D102" i="115"/>
  <c r="L102" i="115"/>
  <c r="H102" i="115"/>
  <c r="L118" i="115"/>
  <c r="M102" i="115"/>
  <c r="C102" i="115"/>
  <c r="P107" i="115"/>
  <c r="T111" i="115"/>
  <c r="V111" i="115" s="1"/>
  <c r="B120" i="115"/>
  <c r="J120" i="115"/>
  <c r="L120" i="115"/>
  <c r="T141" i="115"/>
  <c r="Z141" i="115" s="1"/>
  <c r="Z152" i="115" s="1"/>
  <c r="T134" i="115"/>
  <c r="T116" i="115" s="1"/>
  <c r="C120" i="115"/>
  <c r="D120" i="115"/>
  <c r="C128" i="115"/>
  <c r="AA152" i="115"/>
  <c r="AD145" i="115"/>
  <c r="N101" i="115"/>
  <c r="B102" i="115"/>
  <c r="J102" i="115"/>
  <c r="I102" i="115"/>
  <c r="F119" i="115"/>
  <c r="F120" i="115" s="1"/>
  <c r="B128" i="115"/>
  <c r="B136" i="115" s="1"/>
  <c r="B138" i="115" s="1"/>
  <c r="W122" i="115"/>
  <c r="W124" i="115" s="1"/>
  <c r="X126" i="115" s="1"/>
  <c r="W143" i="115"/>
  <c r="W145" i="115" s="1"/>
  <c r="X147" i="115" s="1"/>
  <c r="N100" i="115"/>
  <c r="T117" i="115"/>
  <c r="I119" i="115"/>
  <c r="I120" i="115" s="1"/>
  <c r="C136" i="115" l="1"/>
  <c r="C138" i="115" s="1"/>
  <c r="AA154" i="115"/>
  <c r="AA155" i="115" s="1"/>
  <c r="AA128" i="115"/>
  <c r="P103" i="116"/>
  <c r="P104" i="116"/>
  <c r="P108" i="116"/>
  <c r="N118" i="115"/>
  <c r="K120" i="115"/>
  <c r="N120" i="115" s="1"/>
  <c r="O120" i="117" s="1"/>
  <c r="P120" i="117" s="1"/>
  <c r="T143" i="115"/>
  <c r="T145" i="115" s="1"/>
  <c r="U147" i="115" s="1"/>
  <c r="AB147" i="115" s="1"/>
  <c r="Z145" i="115"/>
  <c r="AA147" i="115" s="1"/>
  <c r="N119" i="115"/>
  <c r="T120" i="115"/>
  <c r="Z120" i="115" s="1"/>
  <c r="T122" i="115"/>
  <c r="T124" i="115" s="1"/>
  <c r="T137" i="115"/>
  <c r="U149" i="115" s="1"/>
  <c r="AD155" i="115"/>
  <c r="N102" i="115"/>
  <c r="AD154" i="115" l="1"/>
  <c r="P112" i="116"/>
  <c r="P111" i="116"/>
  <c r="U126" i="115"/>
  <c r="AB126" i="115" s="1"/>
  <c r="Z124" i="115"/>
  <c r="AA126" i="115" s="1"/>
  <c r="O102" i="115"/>
  <c r="Z154" i="115"/>
  <c r="Z128" i="115"/>
  <c r="AA157" i="115" l="1"/>
  <c r="Z155" i="115"/>
  <c r="AC126" i="115"/>
  <c r="AA156" i="115"/>
  <c r="T109" i="113" l="1"/>
  <c r="T108" i="113"/>
  <c r="T110" i="113" s="1"/>
  <c r="T109" i="114"/>
  <c r="T108" i="114"/>
  <c r="T110" i="114" s="1"/>
  <c r="BA2" i="114"/>
  <c r="AZ2" i="114"/>
  <c r="AY2" i="114"/>
  <c r="AX2" i="114"/>
  <c r="AW2" i="114"/>
  <c r="AV2" i="114"/>
  <c r="AU2" i="114"/>
  <c r="AT2" i="114"/>
  <c r="AS2" i="114"/>
  <c r="AR2" i="114"/>
  <c r="AQ2" i="114"/>
  <c r="AP2" i="114"/>
  <c r="AO2" i="114"/>
  <c r="AN2" i="114"/>
  <c r="AM2" i="114"/>
  <c r="AL2" i="114"/>
  <c r="AK2" i="114"/>
  <c r="AJ2" i="114"/>
  <c r="AI2" i="114"/>
  <c r="AH2" i="114"/>
  <c r="AG2" i="114"/>
  <c r="AF2" i="114"/>
  <c r="AE2" i="114"/>
  <c r="AD2" i="114"/>
  <c r="AC2" i="114"/>
  <c r="AB2" i="114"/>
  <c r="AA2" i="114"/>
  <c r="Z2" i="114"/>
  <c r="Y2" i="114"/>
  <c r="X2" i="114"/>
  <c r="W2" i="114"/>
  <c r="V2" i="114"/>
  <c r="U2" i="114"/>
  <c r="T2" i="114"/>
  <c r="S2" i="114"/>
  <c r="R2" i="114"/>
  <c r="Q2" i="114"/>
  <c r="P2" i="114"/>
  <c r="O2" i="114"/>
  <c r="N2" i="114"/>
  <c r="M2" i="114"/>
  <c r="L2" i="114"/>
  <c r="K2" i="114"/>
  <c r="J2" i="114"/>
  <c r="I2" i="114"/>
  <c r="H2" i="114"/>
  <c r="G2" i="114"/>
  <c r="F94" i="114"/>
  <c r="F2" i="114"/>
  <c r="P107" i="114" s="1"/>
  <c r="U111" i="114" l="1"/>
  <c r="X150" i="114"/>
  <c r="U150" i="114"/>
  <c r="C146" i="114"/>
  <c r="AB145" i="114"/>
  <c r="X145" i="114"/>
  <c r="U145" i="114"/>
  <c r="X144" i="114"/>
  <c r="U144" i="114"/>
  <c r="R141" i="114"/>
  <c r="W140" i="114"/>
  <c r="T140" i="114"/>
  <c r="W139" i="114"/>
  <c r="W144" i="114" s="1"/>
  <c r="W138" i="114"/>
  <c r="C137" i="114"/>
  <c r="B137" i="114" s="1"/>
  <c r="X136" i="114"/>
  <c r="X137" i="114" s="1"/>
  <c r="W136" i="114"/>
  <c r="U136" i="114"/>
  <c r="U137" i="114" s="1"/>
  <c r="T136" i="114"/>
  <c r="W135" i="114"/>
  <c r="W134" i="114"/>
  <c r="X133" i="114"/>
  <c r="W133" i="114"/>
  <c r="U133" i="114"/>
  <c r="U148" i="114" s="1"/>
  <c r="C133" i="114"/>
  <c r="B133" i="114" s="1"/>
  <c r="B134" i="114" s="1"/>
  <c r="W132" i="114"/>
  <c r="T132" i="114"/>
  <c r="B130" i="114"/>
  <c r="C130" i="114" s="1"/>
  <c r="C131" i="114" s="1"/>
  <c r="B127" i="114"/>
  <c r="C127" i="114" s="1"/>
  <c r="B126" i="114"/>
  <c r="C126" i="114" s="1"/>
  <c r="B125" i="114"/>
  <c r="C125" i="114" s="1"/>
  <c r="AB124" i="114"/>
  <c r="X124" i="114"/>
  <c r="U124" i="114"/>
  <c r="B124" i="114"/>
  <c r="X123" i="114"/>
  <c r="U123" i="114"/>
  <c r="R120" i="114"/>
  <c r="W119" i="114"/>
  <c r="T119" i="114"/>
  <c r="W117" i="114"/>
  <c r="M117" i="114"/>
  <c r="L117" i="114"/>
  <c r="K117" i="114"/>
  <c r="J117" i="114"/>
  <c r="I117" i="114"/>
  <c r="H117" i="114"/>
  <c r="G117" i="114"/>
  <c r="F117" i="114"/>
  <c r="E117" i="114"/>
  <c r="D117" i="114"/>
  <c r="C117" i="114"/>
  <c r="B117" i="114"/>
  <c r="M114" i="114"/>
  <c r="L114" i="114"/>
  <c r="K114" i="114"/>
  <c r="J114" i="114"/>
  <c r="I114" i="114"/>
  <c r="H114" i="114"/>
  <c r="G114" i="114"/>
  <c r="F114" i="114"/>
  <c r="E114" i="114"/>
  <c r="D114" i="114"/>
  <c r="C114" i="114"/>
  <c r="B114" i="114"/>
  <c r="M111" i="114"/>
  <c r="L111" i="114"/>
  <c r="K111" i="114"/>
  <c r="J111" i="114"/>
  <c r="I111" i="114"/>
  <c r="H111" i="114"/>
  <c r="G111" i="114"/>
  <c r="F111" i="114"/>
  <c r="E111" i="114"/>
  <c r="D111" i="114"/>
  <c r="C111" i="114"/>
  <c r="B111" i="114"/>
  <c r="J108" i="114"/>
  <c r="E108" i="114"/>
  <c r="T139" i="114"/>
  <c r="T144" i="114" s="1"/>
  <c r="H108" i="114"/>
  <c r="M108" i="114"/>
  <c r="K108" i="114"/>
  <c r="C108" i="114"/>
  <c r="B108" i="114"/>
  <c r="M105" i="114"/>
  <c r="L105" i="114"/>
  <c r="K105" i="114"/>
  <c r="J105" i="114"/>
  <c r="I105" i="114"/>
  <c r="H105" i="114"/>
  <c r="G105" i="114"/>
  <c r="F105" i="114"/>
  <c r="E105" i="114"/>
  <c r="D105" i="114"/>
  <c r="C105" i="114"/>
  <c r="B105" i="114"/>
  <c r="M101" i="114"/>
  <c r="L101" i="114"/>
  <c r="L119" i="114" s="1"/>
  <c r="K101" i="114"/>
  <c r="K119" i="114" s="1"/>
  <c r="J101" i="114"/>
  <c r="I101" i="114"/>
  <c r="T138" i="114" s="1"/>
  <c r="H101" i="114"/>
  <c r="G101" i="114"/>
  <c r="F101" i="114"/>
  <c r="F119" i="114" s="1"/>
  <c r="E101" i="114"/>
  <c r="D101" i="114"/>
  <c r="D119" i="114" s="1"/>
  <c r="C101" i="114"/>
  <c r="C119" i="114" s="1"/>
  <c r="B101" i="114"/>
  <c r="M100" i="114"/>
  <c r="L100" i="114"/>
  <c r="K100" i="114"/>
  <c r="J100" i="114"/>
  <c r="J118" i="114" s="1"/>
  <c r="I100" i="114"/>
  <c r="I118" i="114" s="1"/>
  <c r="H100" i="114"/>
  <c r="H118" i="114" s="1"/>
  <c r="G100" i="114"/>
  <c r="G118" i="114" s="1"/>
  <c r="F100" i="114"/>
  <c r="E100" i="114"/>
  <c r="D100" i="114"/>
  <c r="C100" i="114"/>
  <c r="B100" i="114"/>
  <c r="B118" i="114" s="1"/>
  <c r="E94" i="114"/>
  <c r="D94" i="114"/>
  <c r="C94" i="114"/>
  <c r="B94" i="114"/>
  <c r="BB93" i="114"/>
  <c r="BB92" i="114"/>
  <c r="BB91" i="114"/>
  <c r="BB90" i="114"/>
  <c r="BB89" i="114"/>
  <c r="BB88" i="114"/>
  <c r="BB87" i="114"/>
  <c r="BB86" i="114"/>
  <c r="BB85" i="114"/>
  <c r="BB84" i="114"/>
  <c r="BB83" i="114"/>
  <c r="BB82" i="114"/>
  <c r="BB81" i="114"/>
  <c r="BB80" i="114"/>
  <c r="BB79" i="114"/>
  <c r="BB78" i="114"/>
  <c r="BB77" i="114"/>
  <c r="BB76" i="114"/>
  <c r="BB75" i="114"/>
  <c r="BB74" i="114"/>
  <c r="BB73" i="114"/>
  <c r="BB72" i="114"/>
  <c r="BB71" i="114"/>
  <c r="BB70" i="114"/>
  <c r="BB69" i="114"/>
  <c r="BB68" i="114"/>
  <c r="BB67" i="114"/>
  <c r="BB66" i="114"/>
  <c r="BB65" i="114"/>
  <c r="BB64" i="114"/>
  <c r="BB63" i="114"/>
  <c r="BB62" i="114"/>
  <c r="BB61" i="114"/>
  <c r="BB60" i="114"/>
  <c r="BB59" i="114"/>
  <c r="BB58" i="114"/>
  <c r="BB57" i="114"/>
  <c r="BB56" i="114"/>
  <c r="BB55" i="114"/>
  <c r="BB54" i="114"/>
  <c r="BB53" i="114"/>
  <c r="BB52" i="114"/>
  <c r="BB51" i="114"/>
  <c r="BB50" i="114"/>
  <c r="BB49" i="114"/>
  <c r="BB48" i="114"/>
  <c r="BB47" i="114"/>
  <c r="BB46" i="114"/>
  <c r="BB45" i="114"/>
  <c r="BB44" i="114"/>
  <c r="BB43" i="114"/>
  <c r="BB42" i="114"/>
  <c r="BB41" i="114"/>
  <c r="BB40" i="114"/>
  <c r="BB39" i="114"/>
  <c r="BB38" i="114"/>
  <c r="BB37" i="114"/>
  <c r="BB36" i="114"/>
  <c r="BB35" i="114"/>
  <c r="BB34" i="114"/>
  <c r="BB33" i="114"/>
  <c r="BB32" i="114"/>
  <c r="BB31" i="114"/>
  <c r="BB30" i="114"/>
  <c r="BB29" i="114"/>
  <c r="BB28" i="114"/>
  <c r="BB27" i="114"/>
  <c r="BB26" i="114"/>
  <c r="BB25" i="114"/>
  <c r="BB24" i="114"/>
  <c r="BB23" i="114"/>
  <c r="BB22" i="114"/>
  <c r="BB21" i="114"/>
  <c r="BB20" i="114"/>
  <c r="BB19" i="114"/>
  <c r="BB18" i="114"/>
  <c r="BB17" i="114"/>
  <c r="BB16" i="114"/>
  <c r="BB15" i="114"/>
  <c r="BB14" i="114"/>
  <c r="BB13" i="114"/>
  <c r="BB12" i="114"/>
  <c r="BB11" i="114"/>
  <c r="BB10" i="114"/>
  <c r="BB9" i="114"/>
  <c r="BB8" i="114"/>
  <c r="BB7" i="114"/>
  <c r="BB6" i="114"/>
  <c r="BB5" i="114"/>
  <c r="BB4" i="114"/>
  <c r="C150" i="114"/>
  <c r="C147" i="114"/>
  <c r="V134" i="114" l="1"/>
  <c r="BB94" i="114"/>
  <c r="U143" i="114"/>
  <c r="X143" i="114"/>
  <c r="X122" i="114"/>
  <c r="U122" i="114"/>
  <c r="B131" i="114"/>
  <c r="AB154" i="114"/>
  <c r="C151" i="114"/>
  <c r="G119" i="114"/>
  <c r="G108" i="114"/>
  <c r="H119" i="114"/>
  <c r="H120" i="114" s="1"/>
  <c r="E118" i="114"/>
  <c r="M118" i="114"/>
  <c r="I108" i="114"/>
  <c r="B119" i="114"/>
  <c r="B120" i="114" s="1"/>
  <c r="J119" i="114"/>
  <c r="J120" i="114" s="1"/>
  <c r="W118" i="114"/>
  <c r="W123" i="114" s="1"/>
  <c r="W141" i="114"/>
  <c r="F102" i="114"/>
  <c r="B128" i="114"/>
  <c r="C124" i="114"/>
  <c r="C128" i="114" s="1"/>
  <c r="C102" i="114"/>
  <c r="D102" i="114"/>
  <c r="L102" i="114"/>
  <c r="G102" i="114"/>
  <c r="D118" i="114"/>
  <c r="L118" i="114"/>
  <c r="H102" i="114"/>
  <c r="F118" i="114"/>
  <c r="X148" i="114"/>
  <c r="W137" i="114"/>
  <c r="X149" i="114" s="1"/>
  <c r="W143" i="114"/>
  <c r="W145" i="114" s="1"/>
  <c r="X147" i="114" s="1"/>
  <c r="W116" i="114"/>
  <c r="W122" i="114" s="1"/>
  <c r="W124" i="114" s="1"/>
  <c r="X126" i="114" s="1"/>
  <c r="E102" i="114"/>
  <c r="M102" i="114"/>
  <c r="T134" i="114"/>
  <c r="T116" i="114" s="1"/>
  <c r="T141" i="114"/>
  <c r="T111" i="114"/>
  <c r="V111" i="114" s="1"/>
  <c r="W120" i="114"/>
  <c r="G120" i="114"/>
  <c r="N101" i="114"/>
  <c r="I102" i="114"/>
  <c r="D108" i="114"/>
  <c r="L108" i="114"/>
  <c r="C134" i="114"/>
  <c r="C118" i="114"/>
  <c r="E119" i="114"/>
  <c r="M119" i="114"/>
  <c r="K102" i="114"/>
  <c r="F108" i="114"/>
  <c r="T118" i="114"/>
  <c r="T123" i="114" s="1"/>
  <c r="AA124" i="114"/>
  <c r="AA145" i="114"/>
  <c r="K118" i="114"/>
  <c r="J102" i="114"/>
  <c r="N100" i="114"/>
  <c r="T117" i="114"/>
  <c r="I119" i="114"/>
  <c r="I120" i="114" s="1"/>
  <c r="B102" i="114"/>
  <c r="I2" i="113"/>
  <c r="E94" i="113"/>
  <c r="B136" i="114" l="1"/>
  <c r="B138" i="114" s="1"/>
  <c r="M120" i="114"/>
  <c r="E120" i="114"/>
  <c r="P104" i="115"/>
  <c r="P103" i="115"/>
  <c r="P108" i="115"/>
  <c r="C136" i="114"/>
  <c r="C138" i="114" s="1"/>
  <c r="Z141" i="114"/>
  <c r="Z152" i="114" s="1"/>
  <c r="N108" i="114"/>
  <c r="C120" i="114"/>
  <c r="L120" i="114"/>
  <c r="D120" i="114"/>
  <c r="F120" i="114"/>
  <c r="K120" i="114"/>
  <c r="N102" i="114"/>
  <c r="T137" i="114"/>
  <c r="U149" i="114" s="1"/>
  <c r="AA152" i="114"/>
  <c r="AD145" i="114"/>
  <c r="AD124" i="114"/>
  <c r="AA128" i="114"/>
  <c r="AA154" i="114"/>
  <c r="N119" i="114"/>
  <c r="T120" i="114"/>
  <c r="Z120" i="114" s="1"/>
  <c r="T122" i="114"/>
  <c r="T124" i="114" s="1"/>
  <c r="T143" i="114"/>
  <c r="T145" i="114" s="1"/>
  <c r="N118" i="114"/>
  <c r="BA2" i="113"/>
  <c r="AZ2" i="113"/>
  <c r="AY2" i="113"/>
  <c r="AX2" i="113"/>
  <c r="AW2" i="113"/>
  <c r="AV2" i="113"/>
  <c r="AU2" i="113"/>
  <c r="AT2" i="113"/>
  <c r="AS2" i="113"/>
  <c r="AR2" i="113"/>
  <c r="AQ2" i="113"/>
  <c r="AP2" i="113"/>
  <c r="AO2" i="113"/>
  <c r="AN2" i="113"/>
  <c r="AM2" i="113"/>
  <c r="AL2" i="113"/>
  <c r="AK2" i="113"/>
  <c r="AJ2" i="113"/>
  <c r="AI2" i="113"/>
  <c r="AH2" i="113"/>
  <c r="AG2" i="113"/>
  <c r="AF2" i="113"/>
  <c r="AE2" i="113"/>
  <c r="AD2" i="113"/>
  <c r="AC2" i="113"/>
  <c r="AB2" i="113"/>
  <c r="AA2" i="113"/>
  <c r="Z2" i="113"/>
  <c r="Y2" i="113"/>
  <c r="X2" i="113"/>
  <c r="W2" i="113"/>
  <c r="V2" i="113"/>
  <c r="U2" i="113"/>
  <c r="T2" i="113"/>
  <c r="S2" i="113"/>
  <c r="R2" i="113"/>
  <c r="Q2" i="113"/>
  <c r="P2" i="113"/>
  <c r="O2" i="113"/>
  <c r="N2" i="113"/>
  <c r="M2" i="113"/>
  <c r="L2" i="113"/>
  <c r="K2" i="113"/>
  <c r="J2" i="113"/>
  <c r="H2" i="113"/>
  <c r="G2" i="113"/>
  <c r="F2" i="113"/>
  <c r="E2" i="113"/>
  <c r="U111" i="113" s="1"/>
  <c r="P112" i="115" l="1"/>
  <c r="P111" i="115"/>
  <c r="N120" i="114"/>
  <c r="O102" i="114"/>
  <c r="AA155" i="114"/>
  <c r="AD154" i="114"/>
  <c r="AD155" i="114"/>
  <c r="Z124" i="114"/>
  <c r="AA126" i="114" s="1"/>
  <c r="U126" i="114"/>
  <c r="AB126" i="114" s="1"/>
  <c r="Z154" i="114"/>
  <c r="Z128" i="114"/>
  <c r="U147" i="114"/>
  <c r="AB147" i="114" s="1"/>
  <c r="Z145" i="114"/>
  <c r="AA147" i="114" s="1"/>
  <c r="X150" i="113"/>
  <c r="U150" i="113"/>
  <c r="C146" i="113"/>
  <c r="AB145" i="113"/>
  <c r="X145" i="113"/>
  <c r="U145" i="113"/>
  <c r="X144" i="113"/>
  <c r="X143" i="113" s="1"/>
  <c r="U144" i="113"/>
  <c r="R141" i="113"/>
  <c r="W140" i="113"/>
  <c r="T140" i="113"/>
  <c r="W138" i="113"/>
  <c r="C137" i="113"/>
  <c r="B137" i="113" s="1"/>
  <c r="X136" i="113"/>
  <c r="X137" i="113" s="1"/>
  <c r="W136" i="113"/>
  <c r="U136" i="113"/>
  <c r="U137" i="113" s="1"/>
  <c r="T136" i="113"/>
  <c r="W135" i="113"/>
  <c r="W134" i="113"/>
  <c r="V134" i="113" s="1"/>
  <c r="X133" i="113"/>
  <c r="W133" i="113"/>
  <c r="U133" i="113"/>
  <c r="U148" i="113" s="1"/>
  <c r="C133" i="113"/>
  <c r="B133" i="113" s="1"/>
  <c r="B134" i="113" s="1"/>
  <c r="W132" i="113"/>
  <c r="T132" i="113"/>
  <c r="B130" i="113"/>
  <c r="C130" i="113" s="1"/>
  <c r="C131" i="113" s="1"/>
  <c r="B127" i="113"/>
  <c r="C127" i="113" s="1"/>
  <c r="B126" i="113"/>
  <c r="C126" i="113" s="1"/>
  <c r="B125" i="113"/>
  <c r="C125" i="113" s="1"/>
  <c r="AB124" i="113"/>
  <c r="AB154" i="113" s="1"/>
  <c r="X124" i="113"/>
  <c r="U124" i="113"/>
  <c r="B124" i="113"/>
  <c r="C124" i="113" s="1"/>
  <c r="X123" i="113"/>
  <c r="U123" i="113"/>
  <c r="B121" i="113"/>
  <c r="R120" i="113"/>
  <c r="W119" i="113"/>
  <c r="T119" i="113"/>
  <c r="W117" i="113"/>
  <c r="M117" i="113"/>
  <c r="L117" i="113"/>
  <c r="K117" i="113"/>
  <c r="J117" i="113"/>
  <c r="I117" i="113"/>
  <c r="H117" i="113"/>
  <c r="G117" i="113"/>
  <c r="F117" i="113"/>
  <c r="E117" i="113"/>
  <c r="D117" i="113"/>
  <c r="C117" i="113"/>
  <c r="B117" i="113"/>
  <c r="M114" i="113"/>
  <c r="L114" i="113"/>
  <c r="K114" i="113"/>
  <c r="J114" i="113"/>
  <c r="I114" i="113"/>
  <c r="H114" i="113"/>
  <c r="G114" i="113"/>
  <c r="F114" i="113"/>
  <c r="E114" i="113"/>
  <c r="D114" i="113"/>
  <c r="C114" i="113"/>
  <c r="B114" i="113"/>
  <c r="M111" i="113"/>
  <c r="L111" i="113"/>
  <c r="K111" i="113"/>
  <c r="J111" i="113"/>
  <c r="I111" i="113"/>
  <c r="H111" i="113"/>
  <c r="G111" i="113"/>
  <c r="F111" i="113"/>
  <c r="E111" i="113"/>
  <c r="D111" i="113"/>
  <c r="C111" i="113"/>
  <c r="B111" i="113"/>
  <c r="M107" i="113"/>
  <c r="L107" i="113"/>
  <c r="K107" i="113"/>
  <c r="J107" i="113"/>
  <c r="I107" i="113"/>
  <c r="T139" i="113" s="1"/>
  <c r="T144" i="113" s="1"/>
  <c r="H107" i="113"/>
  <c r="G107" i="113"/>
  <c r="F107" i="113"/>
  <c r="E107" i="113"/>
  <c r="D107" i="113"/>
  <c r="C107" i="113"/>
  <c r="B107" i="113"/>
  <c r="M106" i="113"/>
  <c r="L106" i="113"/>
  <c r="K106" i="113"/>
  <c r="J106" i="113"/>
  <c r="I106" i="113"/>
  <c r="H106" i="113"/>
  <c r="G106" i="113"/>
  <c r="F106" i="113"/>
  <c r="E106" i="113"/>
  <c r="E118" i="113" s="1"/>
  <c r="D106" i="113"/>
  <c r="C106" i="113"/>
  <c r="B106" i="113"/>
  <c r="M105" i="113"/>
  <c r="L105" i="113"/>
  <c r="K105" i="113"/>
  <c r="J105" i="113"/>
  <c r="I105" i="113"/>
  <c r="H105" i="113"/>
  <c r="G105" i="113"/>
  <c r="F105" i="113"/>
  <c r="E105" i="113"/>
  <c r="D105" i="113"/>
  <c r="C105" i="113"/>
  <c r="B105" i="113"/>
  <c r="G102" i="113"/>
  <c r="M101" i="113"/>
  <c r="M102" i="113" s="1"/>
  <c r="L101" i="113"/>
  <c r="K101" i="113"/>
  <c r="J101" i="113"/>
  <c r="I101" i="113"/>
  <c r="T138" i="113" s="1"/>
  <c r="H101" i="113"/>
  <c r="G101" i="113"/>
  <c r="F101" i="113"/>
  <c r="F119" i="113" s="1"/>
  <c r="E101" i="113"/>
  <c r="E102" i="113" s="1"/>
  <c r="D101" i="113"/>
  <c r="C101" i="113"/>
  <c r="B101" i="113"/>
  <c r="M100" i="113"/>
  <c r="L100" i="113"/>
  <c r="K100" i="113"/>
  <c r="K102" i="113" s="1"/>
  <c r="J100" i="113"/>
  <c r="J118" i="113" s="1"/>
  <c r="I100" i="113"/>
  <c r="H100" i="113"/>
  <c r="G100" i="113"/>
  <c r="F100" i="113"/>
  <c r="E100" i="113"/>
  <c r="D100" i="113"/>
  <c r="C100" i="113"/>
  <c r="C102" i="113" s="1"/>
  <c r="B100" i="113"/>
  <c r="B118" i="113" s="1"/>
  <c r="BB94" i="113"/>
  <c r="D94" i="113"/>
  <c r="C94" i="113"/>
  <c r="B94" i="113"/>
  <c r="BB93" i="113"/>
  <c r="BB92" i="113"/>
  <c r="BB91" i="113"/>
  <c r="BB90" i="113"/>
  <c r="BB89" i="113"/>
  <c r="BB88" i="113"/>
  <c r="BB87" i="113"/>
  <c r="BB86" i="113"/>
  <c r="BB85" i="113"/>
  <c r="BB84" i="113"/>
  <c r="BB83" i="113"/>
  <c r="BB82" i="113"/>
  <c r="BB81" i="113"/>
  <c r="BB80" i="113"/>
  <c r="BB79" i="113"/>
  <c r="BB78" i="113"/>
  <c r="BB77" i="113"/>
  <c r="BB76" i="113"/>
  <c r="BB75" i="113"/>
  <c r="BB74" i="113"/>
  <c r="BB73" i="113"/>
  <c r="BB72" i="113"/>
  <c r="BB71" i="113"/>
  <c r="BB70" i="113"/>
  <c r="BB69" i="113"/>
  <c r="BB68" i="113"/>
  <c r="BB67" i="113"/>
  <c r="BB66" i="113"/>
  <c r="BB65" i="113"/>
  <c r="BB64" i="113"/>
  <c r="BB63" i="113"/>
  <c r="BB62" i="113"/>
  <c r="BB61" i="113"/>
  <c r="BB60" i="113"/>
  <c r="BB59" i="113"/>
  <c r="BB58" i="113"/>
  <c r="BB57" i="113"/>
  <c r="BB56" i="113"/>
  <c r="BB55" i="113"/>
  <c r="BB54" i="113"/>
  <c r="BB53" i="113"/>
  <c r="BB52" i="113"/>
  <c r="BB51" i="113"/>
  <c r="BB50" i="113"/>
  <c r="BB49" i="113"/>
  <c r="BB48" i="113"/>
  <c r="BB47" i="113"/>
  <c r="BB46" i="113"/>
  <c r="BB45" i="113"/>
  <c r="BB44" i="113"/>
  <c r="BB43" i="113"/>
  <c r="BB42" i="113"/>
  <c r="BB41" i="113"/>
  <c r="BB40" i="113"/>
  <c r="BB39" i="113"/>
  <c r="BB38" i="113"/>
  <c r="BB37" i="113"/>
  <c r="BB36" i="113"/>
  <c r="BB35" i="113"/>
  <c r="BB34" i="113"/>
  <c r="BB33" i="113"/>
  <c r="BB32" i="113"/>
  <c r="BB31" i="113"/>
  <c r="BB30" i="113"/>
  <c r="BB29" i="113"/>
  <c r="BB28" i="113"/>
  <c r="BB27" i="113"/>
  <c r="BB26" i="113"/>
  <c r="BB25" i="113"/>
  <c r="BB24" i="113"/>
  <c r="BB23" i="113"/>
  <c r="BB22" i="113"/>
  <c r="BB21" i="113"/>
  <c r="BB20" i="113"/>
  <c r="BB19" i="113"/>
  <c r="BB18" i="113"/>
  <c r="BB17" i="113"/>
  <c r="BB16" i="113"/>
  <c r="BB15" i="113"/>
  <c r="BB14" i="113"/>
  <c r="BB13" i="113"/>
  <c r="BB12" i="113"/>
  <c r="BB11" i="113"/>
  <c r="BB10" i="113"/>
  <c r="BB9" i="113"/>
  <c r="BB8" i="113"/>
  <c r="BB7" i="113"/>
  <c r="BB6" i="113"/>
  <c r="BB5" i="113"/>
  <c r="BB4" i="113"/>
  <c r="P107" i="113"/>
  <c r="C147" i="113"/>
  <c r="C150" i="113"/>
  <c r="D118" i="113" l="1"/>
  <c r="X122" i="113"/>
  <c r="U143" i="113"/>
  <c r="U122" i="113"/>
  <c r="W116" i="113"/>
  <c r="AA145" i="113"/>
  <c r="AA152" i="113" s="1"/>
  <c r="H102" i="113"/>
  <c r="D102" i="113"/>
  <c r="L102" i="113"/>
  <c r="W137" i="113"/>
  <c r="X149" i="113" s="1"/>
  <c r="F108" i="113"/>
  <c r="C151" i="113"/>
  <c r="B131" i="113"/>
  <c r="L108" i="113"/>
  <c r="G119" i="113"/>
  <c r="W139" i="113"/>
  <c r="W144" i="113" s="1"/>
  <c r="I108" i="113"/>
  <c r="K119" i="113"/>
  <c r="G118" i="113"/>
  <c r="AA157" i="114"/>
  <c r="Z155" i="114"/>
  <c r="AC126" i="114"/>
  <c r="AA156" i="114"/>
  <c r="H119" i="113"/>
  <c r="J119" i="113"/>
  <c r="J120" i="113" s="1"/>
  <c r="C119" i="113"/>
  <c r="B108" i="113"/>
  <c r="J108" i="113"/>
  <c r="B119" i="113"/>
  <c r="B120" i="113" s="1"/>
  <c r="C108" i="113"/>
  <c r="K108" i="113"/>
  <c r="G108" i="113"/>
  <c r="I118" i="113"/>
  <c r="M108" i="113"/>
  <c r="X148" i="113"/>
  <c r="T111" i="113"/>
  <c r="V111" i="113" s="1"/>
  <c r="H118" i="113"/>
  <c r="F102" i="113"/>
  <c r="C128" i="113"/>
  <c r="T143" i="113"/>
  <c r="T145" i="113" s="1"/>
  <c r="U147" i="113" s="1"/>
  <c r="T141" i="113"/>
  <c r="T134" i="113"/>
  <c r="T116" i="113" s="1"/>
  <c r="N101" i="113"/>
  <c r="P108" i="114" s="1"/>
  <c r="D108" i="113"/>
  <c r="M118" i="113"/>
  <c r="B128" i="113"/>
  <c r="B136" i="113" s="1"/>
  <c r="B138" i="113" s="1"/>
  <c r="C134" i="113"/>
  <c r="B102" i="113"/>
  <c r="J102" i="113"/>
  <c r="E108" i="113"/>
  <c r="F118" i="113"/>
  <c r="F120" i="113" s="1"/>
  <c r="K118" i="113"/>
  <c r="L119" i="113"/>
  <c r="L118" i="113"/>
  <c r="E119" i="113"/>
  <c r="E120" i="113" s="1"/>
  <c r="W143" i="113"/>
  <c r="I102" i="113"/>
  <c r="T118" i="113"/>
  <c r="T123" i="113" s="1"/>
  <c r="W122" i="113"/>
  <c r="AA124" i="113"/>
  <c r="N100" i="113"/>
  <c r="W118" i="113"/>
  <c r="W123" i="113" s="1"/>
  <c r="H108" i="113"/>
  <c r="C118" i="113"/>
  <c r="D119" i="113"/>
  <c r="D120" i="113" s="1"/>
  <c r="M119" i="113"/>
  <c r="T117" i="113"/>
  <c r="I119" i="113"/>
  <c r="T137" i="113" l="1"/>
  <c r="U149" i="113" s="1"/>
  <c r="AD145" i="113"/>
  <c r="P104" i="114"/>
  <c r="P112" i="114" s="1"/>
  <c r="P103" i="114"/>
  <c r="C136" i="113"/>
  <c r="C138" i="113" s="1"/>
  <c r="L120" i="113"/>
  <c r="O108" i="116"/>
  <c r="O108" i="115"/>
  <c r="O120" i="115" s="1"/>
  <c r="P120" i="115" s="1"/>
  <c r="I120" i="113"/>
  <c r="C120" i="113"/>
  <c r="F123" i="113" s="1"/>
  <c r="W145" i="113"/>
  <c r="X147" i="113" s="1"/>
  <c r="AB147" i="113" s="1"/>
  <c r="G120" i="113"/>
  <c r="K120" i="113"/>
  <c r="H120" i="113"/>
  <c r="W141" i="113"/>
  <c r="Z141" i="113" s="1"/>
  <c r="Z152" i="113" s="1"/>
  <c r="O108" i="114"/>
  <c r="N108" i="113"/>
  <c r="W124" i="113"/>
  <c r="X126" i="113" s="1"/>
  <c r="W120" i="113"/>
  <c r="N119" i="113"/>
  <c r="N102" i="113"/>
  <c r="P111" i="114" s="1"/>
  <c r="N118" i="113"/>
  <c r="T120" i="113"/>
  <c r="T122" i="113"/>
  <c r="T124" i="113" s="1"/>
  <c r="AD124" i="113"/>
  <c r="AD155" i="113" s="1"/>
  <c r="AA154" i="113"/>
  <c r="AA128" i="113"/>
  <c r="M120" i="113"/>
  <c r="Z145" i="113" l="1"/>
  <c r="AA147" i="113" s="1"/>
  <c r="O120" i="116"/>
  <c r="P120" i="116" s="1"/>
  <c r="E123" i="113"/>
  <c r="G123" i="113"/>
  <c r="Z120" i="113"/>
  <c r="Z154" i="113" s="1"/>
  <c r="N121" i="113"/>
  <c r="AA155" i="113"/>
  <c r="AD154" i="113"/>
  <c r="O102" i="113"/>
  <c r="U126" i="113"/>
  <c r="AB126" i="113" s="1"/>
  <c r="Z124" i="113"/>
  <c r="AA126" i="113" s="1"/>
  <c r="N120" i="113"/>
  <c r="O120" i="114" s="1"/>
  <c r="P120" i="114" s="1"/>
  <c r="Z128" i="113" l="1"/>
  <c r="AC126" i="113"/>
  <c r="AA156" i="113"/>
  <c r="AA157" i="113"/>
  <c r="Z155" i="113"/>
  <c r="T109" i="112" l="1"/>
  <c r="T108" i="112"/>
  <c r="T110" i="112" s="1"/>
  <c r="BA2" i="112"/>
  <c r="AZ2" i="112"/>
  <c r="AY2" i="112"/>
  <c r="AX2" i="112"/>
  <c r="AW2" i="112"/>
  <c r="AV2" i="112"/>
  <c r="AU2" i="112"/>
  <c r="AT2" i="112"/>
  <c r="AS2" i="112"/>
  <c r="AR2" i="112"/>
  <c r="AQ2" i="112"/>
  <c r="AP2" i="112"/>
  <c r="AO2" i="112"/>
  <c r="AN2" i="112"/>
  <c r="AM2" i="112"/>
  <c r="AL2" i="112"/>
  <c r="AK2" i="112"/>
  <c r="AJ2" i="112"/>
  <c r="AI2" i="112"/>
  <c r="AH2" i="112"/>
  <c r="AG2" i="112"/>
  <c r="AF2" i="112"/>
  <c r="AE2" i="112"/>
  <c r="AD2" i="112"/>
  <c r="AC2" i="112"/>
  <c r="AB2" i="112"/>
  <c r="AA2" i="112"/>
  <c r="Z2" i="112"/>
  <c r="Y2" i="112"/>
  <c r="X2" i="112"/>
  <c r="W2" i="112"/>
  <c r="V2" i="112"/>
  <c r="U2" i="112"/>
  <c r="T2" i="112"/>
  <c r="S2" i="112"/>
  <c r="R2" i="112"/>
  <c r="Q2" i="112"/>
  <c r="P2" i="112"/>
  <c r="O2" i="112"/>
  <c r="N2" i="112"/>
  <c r="M2" i="112"/>
  <c r="L2" i="112"/>
  <c r="K2" i="112"/>
  <c r="J2" i="112"/>
  <c r="I2" i="112"/>
  <c r="H2" i="112"/>
  <c r="G2" i="112"/>
  <c r="F2" i="112"/>
  <c r="E2" i="112"/>
  <c r="D2" i="112"/>
  <c r="U111" i="112" s="1"/>
  <c r="D94" i="112"/>
  <c r="X150" i="112" l="1"/>
  <c r="U150" i="112"/>
  <c r="C146" i="112"/>
  <c r="AB145" i="112"/>
  <c r="X145" i="112"/>
  <c r="U145" i="112"/>
  <c r="X144" i="112"/>
  <c r="U144" i="112"/>
  <c r="R141" i="112"/>
  <c r="W140" i="112"/>
  <c r="T140" i="112"/>
  <c r="W138" i="112"/>
  <c r="C137" i="112"/>
  <c r="B137" i="112" s="1"/>
  <c r="X136" i="112"/>
  <c r="X137" i="112" s="1"/>
  <c r="W136" i="112"/>
  <c r="U136" i="112"/>
  <c r="U137" i="112" s="1"/>
  <c r="T136" i="112"/>
  <c r="W135" i="112"/>
  <c r="W134" i="112"/>
  <c r="V134" i="112" s="1"/>
  <c r="X133" i="112"/>
  <c r="W133" i="112"/>
  <c r="U133" i="112"/>
  <c r="U148" i="112" s="1"/>
  <c r="C133" i="112"/>
  <c r="B133" i="112" s="1"/>
  <c r="B134" i="112" s="1"/>
  <c r="W132" i="112"/>
  <c r="T132" i="112"/>
  <c r="B130" i="112"/>
  <c r="C130" i="112" s="1"/>
  <c r="C131" i="112" s="1"/>
  <c r="B127" i="112"/>
  <c r="C127" i="112" s="1"/>
  <c r="B126" i="112"/>
  <c r="B125" i="112"/>
  <c r="C125" i="112" s="1"/>
  <c r="AB124" i="112"/>
  <c r="X124" i="112"/>
  <c r="U124" i="112"/>
  <c r="B124" i="112"/>
  <c r="C124" i="112" s="1"/>
  <c r="X123" i="112"/>
  <c r="U123" i="112"/>
  <c r="B121" i="112"/>
  <c r="R120" i="112"/>
  <c r="W119" i="112"/>
  <c r="T119" i="112"/>
  <c r="W117" i="112"/>
  <c r="M117" i="112"/>
  <c r="L117" i="112"/>
  <c r="K117" i="112"/>
  <c r="J117" i="112"/>
  <c r="I117" i="112"/>
  <c r="H117" i="112"/>
  <c r="G117" i="112"/>
  <c r="F117" i="112"/>
  <c r="E117" i="112"/>
  <c r="D117" i="112"/>
  <c r="C117" i="112"/>
  <c r="B117" i="112"/>
  <c r="M114" i="112"/>
  <c r="L114" i="112"/>
  <c r="K114" i="112"/>
  <c r="J114" i="112"/>
  <c r="I114" i="112"/>
  <c r="H114" i="112"/>
  <c r="G114" i="112"/>
  <c r="F114" i="112"/>
  <c r="E114" i="112"/>
  <c r="D114" i="112"/>
  <c r="C114" i="112"/>
  <c r="B114" i="112"/>
  <c r="M111" i="112"/>
  <c r="L111" i="112"/>
  <c r="K111" i="112"/>
  <c r="J111" i="112"/>
  <c r="I111" i="112"/>
  <c r="H111" i="112"/>
  <c r="G111" i="112"/>
  <c r="F111" i="112"/>
  <c r="E111" i="112"/>
  <c r="D111" i="112"/>
  <c r="C111" i="112"/>
  <c r="B111" i="112"/>
  <c r="M107" i="112"/>
  <c r="L107" i="112"/>
  <c r="K107" i="112"/>
  <c r="J107" i="112"/>
  <c r="I107" i="112"/>
  <c r="T139" i="112" s="1"/>
  <c r="T144" i="112" s="1"/>
  <c r="H107" i="112"/>
  <c r="G107" i="112"/>
  <c r="F107" i="112"/>
  <c r="E107" i="112"/>
  <c r="D107" i="112"/>
  <c r="C107" i="112"/>
  <c r="B107" i="112"/>
  <c r="M106" i="112"/>
  <c r="L106" i="112"/>
  <c r="K106" i="112"/>
  <c r="J106" i="112"/>
  <c r="I106" i="112"/>
  <c r="T118" i="112" s="1"/>
  <c r="T123" i="112" s="1"/>
  <c r="H106" i="112"/>
  <c r="G106" i="112"/>
  <c r="F106" i="112"/>
  <c r="E106" i="112"/>
  <c r="D106" i="112"/>
  <c r="C106" i="112"/>
  <c r="B106" i="112"/>
  <c r="M105" i="112"/>
  <c r="L105" i="112"/>
  <c r="K105" i="112"/>
  <c r="J105" i="112"/>
  <c r="I105" i="112"/>
  <c r="H105" i="112"/>
  <c r="G105" i="112"/>
  <c r="F105" i="112"/>
  <c r="E105" i="112"/>
  <c r="D105" i="112"/>
  <c r="C105" i="112"/>
  <c r="B105" i="112"/>
  <c r="M101" i="112"/>
  <c r="L101" i="112"/>
  <c r="K101" i="112"/>
  <c r="J101" i="112"/>
  <c r="I101" i="112"/>
  <c r="T138" i="112" s="1"/>
  <c r="H101" i="112"/>
  <c r="G101" i="112"/>
  <c r="F101" i="112"/>
  <c r="E101" i="112"/>
  <c r="D101" i="112"/>
  <c r="C101" i="112"/>
  <c r="B101" i="112"/>
  <c r="M100" i="112"/>
  <c r="L100" i="112"/>
  <c r="K100" i="112"/>
  <c r="J100" i="112"/>
  <c r="I100" i="112"/>
  <c r="H100" i="112"/>
  <c r="G100" i="112"/>
  <c r="G102" i="112" s="1"/>
  <c r="F100" i="112"/>
  <c r="E100" i="112"/>
  <c r="D100" i="112"/>
  <c r="C100" i="112"/>
  <c r="B100" i="112"/>
  <c r="C94" i="112"/>
  <c r="B94" i="112"/>
  <c r="BB94" i="112" s="1"/>
  <c r="BB93" i="112"/>
  <c r="BB92" i="112"/>
  <c r="BB91" i="112"/>
  <c r="BB90" i="112"/>
  <c r="BB89" i="112"/>
  <c r="BB88" i="112"/>
  <c r="BB87" i="112"/>
  <c r="BB86" i="112"/>
  <c r="BB85" i="112"/>
  <c r="BB84" i="112"/>
  <c r="BB83" i="112"/>
  <c r="BB82" i="112"/>
  <c r="BB81" i="112"/>
  <c r="BB80" i="112"/>
  <c r="BB79" i="112"/>
  <c r="BB78" i="112"/>
  <c r="BB77" i="112"/>
  <c r="BB76" i="112"/>
  <c r="BB75" i="112"/>
  <c r="BB74" i="112"/>
  <c r="BB73" i="112"/>
  <c r="BB72" i="112"/>
  <c r="BB71" i="112"/>
  <c r="BB70" i="112"/>
  <c r="BB69" i="112"/>
  <c r="BB68" i="112"/>
  <c r="BB67" i="112"/>
  <c r="BB66" i="112"/>
  <c r="BB65" i="112"/>
  <c r="BB64" i="112"/>
  <c r="BB63" i="112"/>
  <c r="BB62" i="112"/>
  <c r="BB61" i="112"/>
  <c r="BB60" i="112"/>
  <c r="BB59" i="112"/>
  <c r="BB58" i="112"/>
  <c r="BB57" i="112"/>
  <c r="BB56" i="112"/>
  <c r="BB55" i="112"/>
  <c r="BB54" i="112"/>
  <c r="BB53" i="112"/>
  <c r="BB52" i="112"/>
  <c r="BB51" i="112"/>
  <c r="BB50" i="112"/>
  <c r="BB49" i="112"/>
  <c r="BB48" i="112"/>
  <c r="BB47" i="112"/>
  <c r="BB46" i="112"/>
  <c r="BB45" i="112"/>
  <c r="BB44" i="112"/>
  <c r="BB43" i="112"/>
  <c r="BB42" i="112"/>
  <c r="BB41" i="112"/>
  <c r="BB40" i="112"/>
  <c r="BB39" i="112"/>
  <c r="BB38" i="112"/>
  <c r="BB37" i="112"/>
  <c r="BB36" i="112"/>
  <c r="BB35" i="112"/>
  <c r="BB34" i="112"/>
  <c r="BB33" i="112"/>
  <c r="BB32" i="112"/>
  <c r="BB31" i="112"/>
  <c r="BB30" i="112"/>
  <c r="BB29" i="112"/>
  <c r="BB28" i="112"/>
  <c r="BB27" i="112"/>
  <c r="BB26" i="112"/>
  <c r="BB25" i="112"/>
  <c r="BB24" i="112"/>
  <c r="BB23" i="112"/>
  <c r="BB22" i="112"/>
  <c r="BB21" i="112"/>
  <c r="BB20" i="112"/>
  <c r="BB19" i="112"/>
  <c r="BB18" i="112"/>
  <c r="BB17" i="112"/>
  <c r="BB16" i="112"/>
  <c r="BB15" i="112"/>
  <c r="BB14" i="112"/>
  <c r="BB13" i="112"/>
  <c r="BB12" i="112"/>
  <c r="BB11" i="112"/>
  <c r="BB10" i="112"/>
  <c r="BB9" i="112"/>
  <c r="BB8" i="112"/>
  <c r="BB7" i="112"/>
  <c r="BB6" i="112"/>
  <c r="BB5" i="112"/>
  <c r="BB4" i="112"/>
  <c r="C147" i="112"/>
  <c r="C150" i="112"/>
  <c r="D102" i="112" l="1"/>
  <c r="L118" i="112"/>
  <c r="U143" i="112"/>
  <c r="AA124" i="112"/>
  <c r="X148" i="112"/>
  <c r="F102" i="112"/>
  <c r="C102" i="112"/>
  <c r="K102" i="112"/>
  <c r="U122" i="112"/>
  <c r="X143" i="112"/>
  <c r="X122" i="112"/>
  <c r="H119" i="112"/>
  <c r="H108" i="112"/>
  <c r="L102" i="112"/>
  <c r="C151" i="112"/>
  <c r="W116" i="112"/>
  <c r="W122" i="112" s="1"/>
  <c r="W143" i="112"/>
  <c r="B128" i="112"/>
  <c r="AB154" i="112"/>
  <c r="F118" i="112"/>
  <c r="J119" i="112"/>
  <c r="B119" i="112"/>
  <c r="B108" i="112"/>
  <c r="C108" i="112"/>
  <c r="E108" i="112"/>
  <c r="G119" i="112"/>
  <c r="G118" i="112"/>
  <c r="C119" i="112"/>
  <c r="K119" i="112"/>
  <c r="W118" i="112"/>
  <c r="W123" i="112" s="1"/>
  <c r="H118" i="112"/>
  <c r="K108" i="112"/>
  <c r="I118" i="112"/>
  <c r="D108" i="112"/>
  <c r="W139" i="112"/>
  <c r="W144" i="112" s="1"/>
  <c r="W145" i="112" s="1"/>
  <c r="X147" i="112" s="1"/>
  <c r="C134" i="112"/>
  <c r="B118" i="112"/>
  <c r="J118" i="112"/>
  <c r="F108" i="112"/>
  <c r="G108" i="112"/>
  <c r="E102" i="112"/>
  <c r="M102" i="112"/>
  <c r="W137" i="112"/>
  <c r="X149" i="112" s="1"/>
  <c r="H102" i="112"/>
  <c r="T111" i="112"/>
  <c r="V111" i="112" s="1"/>
  <c r="I102" i="112"/>
  <c r="M118" i="112"/>
  <c r="P107" i="112"/>
  <c r="T141" i="112"/>
  <c r="T134" i="112"/>
  <c r="T116" i="112" s="1"/>
  <c r="AD124" i="112"/>
  <c r="AA128" i="112"/>
  <c r="D118" i="112"/>
  <c r="M119" i="112"/>
  <c r="J108" i="112"/>
  <c r="C118" i="112"/>
  <c r="K118" i="112"/>
  <c r="D119" i="112"/>
  <c r="L119" i="112"/>
  <c r="B131" i="112"/>
  <c r="B136" i="112" s="1"/>
  <c r="B138" i="112" s="1"/>
  <c r="E119" i="112"/>
  <c r="E118" i="112"/>
  <c r="C126" i="112"/>
  <c r="C128" i="112" s="1"/>
  <c r="B102" i="112"/>
  <c r="J102" i="112"/>
  <c r="M108" i="112"/>
  <c r="N101" i="112"/>
  <c r="AA145" i="112"/>
  <c r="L108" i="112"/>
  <c r="N100" i="112"/>
  <c r="T117" i="112"/>
  <c r="I119" i="112"/>
  <c r="F119" i="112"/>
  <c r="I108" i="112"/>
  <c r="BG30" i="110"/>
  <c r="P108" i="113" l="1"/>
  <c r="C136" i="112"/>
  <c r="C138" i="112" s="1"/>
  <c r="P104" i="113"/>
  <c r="P112" i="113" s="1"/>
  <c r="O108" i="113"/>
  <c r="H120" i="112"/>
  <c r="C120" i="112"/>
  <c r="G120" i="112"/>
  <c r="I120" i="112"/>
  <c r="F120" i="112"/>
  <c r="B120" i="112"/>
  <c r="L120" i="112"/>
  <c r="J120" i="112"/>
  <c r="M120" i="112"/>
  <c r="W141" i="112"/>
  <c r="Z141" i="112" s="1"/>
  <c r="Z152" i="112" s="1"/>
  <c r="K120" i="112"/>
  <c r="W124" i="112"/>
  <c r="X126" i="112" s="1"/>
  <c r="W120" i="112"/>
  <c r="N108" i="112"/>
  <c r="E120" i="112"/>
  <c r="N102" i="112"/>
  <c r="O102" i="112" s="1"/>
  <c r="N119" i="112"/>
  <c r="T122" i="112"/>
  <c r="T124" i="112" s="1"/>
  <c r="T120" i="112"/>
  <c r="AA152" i="112"/>
  <c r="AD145" i="112"/>
  <c r="AD155" i="112" s="1"/>
  <c r="AA154" i="112"/>
  <c r="D120" i="112"/>
  <c r="T143" i="112"/>
  <c r="T145" i="112" s="1"/>
  <c r="T137" i="112"/>
  <c r="U149" i="112" s="1"/>
  <c r="N118" i="112"/>
  <c r="BG93" i="110"/>
  <c r="P111" i="113" l="1"/>
  <c r="Z120" i="112"/>
  <c r="Z154" i="112" s="1"/>
  <c r="F123" i="112"/>
  <c r="N120" i="112"/>
  <c r="O120" i="113" s="1"/>
  <c r="E123" i="112"/>
  <c r="AA155" i="112"/>
  <c r="AD154" i="112"/>
  <c r="G123" i="112"/>
  <c r="U147" i="112"/>
  <c r="AB147" i="112" s="1"/>
  <c r="Z145" i="112"/>
  <c r="AA147" i="112" s="1"/>
  <c r="U126" i="112"/>
  <c r="AB126" i="112" s="1"/>
  <c r="Z124" i="112"/>
  <c r="AA126" i="112" s="1"/>
  <c r="N121" i="112"/>
  <c r="BD93" i="110"/>
  <c r="BD30" i="110"/>
  <c r="Z128" i="112" l="1"/>
  <c r="BD94" i="110"/>
  <c r="AC126" i="112"/>
  <c r="AA156" i="112"/>
  <c r="AA157" i="112"/>
  <c r="Z155" i="112"/>
  <c r="B93" i="110"/>
  <c r="BB93" i="110" s="1"/>
  <c r="B30" i="110"/>
  <c r="BB30" i="110" s="1"/>
  <c r="BH93" i="110" l="1"/>
  <c r="BH30" i="110"/>
  <c r="G4" i="111"/>
  <c r="I1" i="111" s="1"/>
  <c r="H4" i="111"/>
  <c r="C30" i="111"/>
  <c r="C2" i="111" s="1"/>
  <c r="D30" i="111"/>
  <c r="D2" i="111" s="1"/>
  <c r="C93" i="111"/>
  <c r="D93" i="111"/>
  <c r="C140" i="111"/>
  <c r="D140" i="111"/>
  <c r="D162" i="111"/>
  <c r="BH94" i="110" l="1"/>
  <c r="X150" i="110" l="1"/>
  <c r="U150" i="110"/>
  <c r="C146" i="110"/>
  <c r="AB145" i="110"/>
  <c r="X145" i="110"/>
  <c r="U145" i="110"/>
  <c r="X144" i="110"/>
  <c r="U144" i="110"/>
  <c r="R141" i="110"/>
  <c r="W140" i="110"/>
  <c r="T140" i="110"/>
  <c r="W138" i="110"/>
  <c r="C137" i="110"/>
  <c r="B137" i="110" s="1"/>
  <c r="X136" i="110"/>
  <c r="X137" i="110" s="1"/>
  <c r="W136" i="110"/>
  <c r="U136" i="110"/>
  <c r="U137" i="110" s="1"/>
  <c r="T136" i="110"/>
  <c r="W135" i="110"/>
  <c r="W134" i="110"/>
  <c r="X133" i="110"/>
  <c r="W133" i="110"/>
  <c r="U133" i="110"/>
  <c r="U148" i="110" s="1"/>
  <c r="C133" i="110"/>
  <c r="B133" i="110" s="1"/>
  <c r="B134" i="110" s="1"/>
  <c r="W132" i="110"/>
  <c r="T132" i="110"/>
  <c r="B130" i="110"/>
  <c r="C130" i="110" s="1"/>
  <c r="C131" i="110" s="1"/>
  <c r="B127" i="110"/>
  <c r="B126" i="110"/>
  <c r="C126" i="110" s="1"/>
  <c r="B125" i="110"/>
  <c r="C125" i="110" s="1"/>
  <c r="AB124" i="110"/>
  <c r="X124" i="110"/>
  <c r="U124" i="110"/>
  <c r="B124" i="110"/>
  <c r="C124" i="110" s="1"/>
  <c r="X123" i="110"/>
  <c r="U123" i="110"/>
  <c r="H121" i="110"/>
  <c r="F121" i="110"/>
  <c r="E121" i="110"/>
  <c r="D121" i="110"/>
  <c r="C121" i="110"/>
  <c r="B121" i="110"/>
  <c r="R120" i="110"/>
  <c r="W119" i="110"/>
  <c r="T119" i="110"/>
  <c r="W117" i="110"/>
  <c r="W116" i="110"/>
  <c r="M114" i="110"/>
  <c r="L114" i="110"/>
  <c r="K114" i="110"/>
  <c r="J114" i="110"/>
  <c r="I114" i="110"/>
  <c r="H114" i="110"/>
  <c r="G114" i="110"/>
  <c r="F114" i="110"/>
  <c r="E114" i="110"/>
  <c r="D114" i="110"/>
  <c r="C114" i="110"/>
  <c r="B114" i="110"/>
  <c r="U111" i="110"/>
  <c r="T109" i="110"/>
  <c r="T108" i="110"/>
  <c r="T110" i="110" s="1"/>
  <c r="P107" i="110"/>
  <c r="M107" i="110"/>
  <c r="L107" i="110"/>
  <c r="K107" i="110"/>
  <c r="J107" i="110"/>
  <c r="I107" i="110"/>
  <c r="T139" i="110" s="1"/>
  <c r="T144" i="110" s="1"/>
  <c r="H107" i="110"/>
  <c r="B107" i="110"/>
  <c r="C107" i="110" s="1"/>
  <c r="M106" i="110"/>
  <c r="L106" i="110"/>
  <c r="K106" i="110"/>
  <c r="J106" i="110"/>
  <c r="I106" i="110"/>
  <c r="T118" i="110" s="1"/>
  <c r="T123" i="110" s="1"/>
  <c r="H106" i="110"/>
  <c r="B106" i="110"/>
  <c r="M101" i="110"/>
  <c r="L101" i="110"/>
  <c r="K101" i="110"/>
  <c r="J101" i="110"/>
  <c r="I101" i="110"/>
  <c r="H101" i="110"/>
  <c r="G101" i="110"/>
  <c r="F101" i="110"/>
  <c r="E101" i="110"/>
  <c r="D101" i="110"/>
  <c r="C101" i="110"/>
  <c r="B101" i="110"/>
  <c r="M100" i="110"/>
  <c r="L100" i="110"/>
  <c r="K100" i="110"/>
  <c r="J100" i="110"/>
  <c r="I100" i="110"/>
  <c r="H100" i="110"/>
  <c r="H118" i="110" s="1"/>
  <c r="G100" i="110"/>
  <c r="F100" i="110"/>
  <c r="E100" i="110"/>
  <c r="D100" i="110"/>
  <c r="C100" i="110"/>
  <c r="C102" i="110" s="1"/>
  <c r="B100" i="110"/>
  <c r="BB94" i="110"/>
  <c r="BB92" i="110"/>
  <c r="BC92" i="110" s="1"/>
  <c r="BE92" i="110" s="1"/>
  <c r="BB91" i="110"/>
  <c r="BC91" i="110" s="1"/>
  <c r="BE91" i="110" s="1"/>
  <c r="BB90" i="110"/>
  <c r="BC90" i="110" s="1"/>
  <c r="BE90" i="110" s="1"/>
  <c r="BB89" i="110"/>
  <c r="BC89" i="110" s="1"/>
  <c r="BE89" i="110" s="1"/>
  <c r="BB88" i="110"/>
  <c r="BC88" i="110" s="1"/>
  <c r="BE88" i="110" s="1"/>
  <c r="BB87" i="110"/>
  <c r="BC87" i="110" s="1"/>
  <c r="BE87" i="110" s="1"/>
  <c r="BB86" i="110"/>
  <c r="BC86" i="110" s="1"/>
  <c r="BE86" i="110" s="1"/>
  <c r="BB85" i="110"/>
  <c r="BC85" i="110" s="1"/>
  <c r="BE85" i="110" s="1"/>
  <c r="BB84" i="110"/>
  <c r="BC84" i="110" s="1"/>
  <c r="BE84" i="110" s="1"/>
  <c r="BB83" i="110"/>
  <c r="BC83" i="110" s="1"/>
  <c r="BE83" i="110" s="1"/>
  <c r="BB82" i="110"/>
  <c r="BC82" i="110" s="1"/>
  <c r="BE82" i="110" s="1"/>
  <c r="BB81" i="110"/>
  <c r="BC81" i="110" s="1"/>
  <c r="BE81" i="110" s="1"/>
  <c r="BB80" i="110"/>
  <c r="BC80" i="110" s="1"/>
  <c r="BE80" i="110" s="1"/>
  <c r="BB79" i="110"/>
  <c r="BC79" i="110" s="1"/>
  <c r="BE79" i="110" s="1"/>
  <c r="BB78" i="110"/>
  <c r="BC78" i="110" s="1"/>
  <c r="BE78" i="110" s="1"/>
  <c r="BB77" i="110"/>
  <c r="BC77" i="110" s="1"/>
  <c r="BE77" i="110" s="1"/>
  <c r="BB76" i="110"/>
  <c r="BC76" i="110" s="1"/>
  <c r="BE76" i="110" s="1"/>
  <c r="BB75" i="110"/>
  <c r="BC75" i="110" s="1"/>
  <c r="BE75" i="110" s="1"/>
  <c r="BB74" i="110"/>
  <c r="BC74" i="110" s="1"/>
  <c r="BE74" i="110" s="1"/>
  <c r="BB73" i="110"/>
  <c r="BC73" i="110" s="1"/>
  <c r="BE73" i="110" s="1"/>
  <c r="BB72" i="110"/>
  <c r="BC72" i="110" s="1"/>
  <c r="BE72" i="110" s="1"/>
  <c r="BB71" i="110"/>
  <c r="BC71" i="110" s="1"/>
  <c r="BE71" i="110" s="1"/>
  <c r="BB70" i="110"/>
  <c r="BC70" i="110" s="1"/>
  <c r="BE70" i="110" s="1"/>
  <c r="BB69" i="110"/>
  <c r="BC69" i="110" s="1"/>
  <c r="BE69" i="110" s="1"/>
  <c r="BB68" i="110"/>
  <c r="BC68" i="110" s="1"/>
  <c r="BE68" i="110" s="1"/>
  <c r="BB67" i="110"/>
  <c r="BC67" i="110" s="1"/>
  <c r="BE67" i="110" s="1"/>
  <c r="BB66" i="110"/>
  <c r="BC66" i="110" s="1"/>
  <c r="BE66" i="110" s="1"/>
  <c r="BB65" i="110"/>
  <c r="BC65" i="110" s="1"/>
  <c r="BE65" i="110" s="1"/>
  <c r="BB64" i="110"/>
  <c r="BC64" i="110" s="1"/>
  <c r="BE64" i="110" s="1"/>
  <c r="BB63" i="110"/>
  <c r="BC63" i="110" s="1"/>
  <c r="BE63" i="110" s="1"/>
  <c r="BB62" i="110"/>
  <c r="BC62" i="110" s="1"/>
  <c r="BE62" i="110" s="1"/>
  <c r="BB61" i="110"/>
  <c r="BC61" i="110" s="1"/>
  <c r="BE61" i="110" s="1"/>
  <c r="BB60" i="110"/>
  <c r="BC60" i="110" s="1"/>
  <c r="BE60" i="110" s="1"/>
  <c r="BB59" i="110"/>
  <c r="BC59" i="110" s="1"/>
  <c r="BE59" i="110" s="1"/>
  <c r="BB58" i="110"/>
  <c r="BC58" i="110" s="1"/>
  <c r="BE58" i="110" s="1"/>
  <c r="BB57" i="110"/>
  <c r="BC57" i="110" s="1"/>
  <c r="BE57" i="110" s="1"/>
  <c r="BB56" i="110"/>
  <c r="BC56" i="110" s="1"/>
  <c r="BE56" i="110" s="1"/>
  <c r="BB55" i="110"/>
  <c r="BC55" i="110" s="1"/>
  <c r="BE55" i="110" s="1"/>
  <c r="BB54" i="110"/>
  <c r="BC54" i="110" s="1"/>
  <c r="BE54" i="110" s="1"/>
  <c r="BB53" i="110"/>
  <c r="BC53" i="110" s="1"/>
  <c r="BE53" i="110" s="1"/>
  <c r="BB52" i="110"/>
  <c r="BC52" i="110" s="1"/>
  <c r="BE52" i="110" s="1"/>
  <c r="BB51" i="110"/>
  <c r="BC51" i="110" s="1"/>
  <c r="BE51" i="110" s="1"/>
  <c r="BB50" i="110"/>
  <c r="BC50" i="110" s="1"/>
  <c r="BE50" i="110" s="1"/>
  <c r="BB49" i="110"/>
  <c r="BC49" i="110" s="1"/>
  <c r="BE49" i="110" s="1"/>
  <c r="BB48" i="110"/>
  <c r="BC48" i="110" s="1"/>
  <c r="BE48" i="110" s="1"/>
  <c r="BB47" i="110"/>
  <c r="BC47" i="110" s="1"/>
  <c r="BE47" i="110" s="1"/>
  <c r="BB46" i="110"/>
  <c r="BC46" i="110" s="1"/>
  <c r="BE46" i="110" s="1"/>
  <c r="BB45" i="110"/>
  <c r="BB44" i="110"/>
  <c r="BB43" i="110"/>
  <c r="BB42" i="110"/>
  <c r="BB41" i="110"/>
  <c r="BC41" i="110" s="1"/>
  <c r="BE41" i="110" s="1"/>
  <c r="BB40" i="110"/>
  <c r="BC40" i="110" s="1"/>
  <c r="BE40" i="110" s="1"/>
  <c r="BB39" i="110"/>
  <c r="BC39" i="110" s="1"/>
  <c r="BE39" i="110" s="1"/>
  <c r="BB38" i="110"/>
  <c r="BC38" i="110" s="1"/>
  <c r="BE38" i="110" s="1"/>
  <c r="BB37" i="110"/>
  <c r="BC37" i="110" s="1"/>
  <c r="BE37" i="110" s="1"/>
  <c r="BB36" i="110"/>
  <c r="BC36" i="110" s="1"/>
  <c r="BE36" i="110" s="1"/>
  <c r="BB35" i="110"/>
  <c r="BC35" i="110" s="1"/>
  <c r="BE35" i="110" s="1"/>
  <c r="BB34" i="110"/>
  <c r="BC34" i="110" s="1"/>
  <c r="BE34" i="110" s="1"/>
  <c r="BB33" i="110"/>
  <c r="BC33" i="110" s="1"/>
  <c r="BE33" i="110" s="1"/>
  <c r="BB32" i="110"/>
  <c r="BC32" i="110" s="1"/>
  <c r="BE32" i="110" s="1"/>
  <c r="BB31" i="110"/>
  <c r="BB29" i="110"/>
  <c r="BB28" i="110"/>
  <c r="BB27" i="110"/>
  <c r="BB26" i="110"/>
  <c r="BB25" i="110"/>
  <c r="BB24" i="110"/>
  <c r="BB23" i="110"/>
  <c r="BB22" i="110"/>
  <c r="BB21" i="110"/>
  <c r="BB20" i="110"/>
  <c r="BB19" i="110"/>
  <c r="BB18" i="110"/>
  <c r="BB17" i="110"/>
  <c r="BB16" i="110"/>
  <c r="BB15" i="110"/>
  <c r="BB14" i="110"/>
  <c r="BB13" i="110"/>
  <c r="BB12" i="110"/>
  <c r="BB11" i="110"/>
  <c r="BB10" i="110"/>
  <c r="BB9" i="110"/>
  <c r="BB8" i="110"/>
  <c r="BB7" i="110"/>
  <c r="BB6" i="110"/>
  <c r="BB5" i="110"/>
  <c r="BB4" i="110"/>
  <c r="C147" i="110"/>
  <c r="C150" i="110"/>
  <c r="J118" i="110" l="1"/>
  <c r="G102" i="110"/>
  <c r="X143" i="110"/>
  <c r="U143" i="110"/>
  <c r="M108" i="110"/>
  <c r="M119" i="110"/>
  <c r="AA124" i="110"/>
  <c r="W139" i="110"/>
  <c r="W144" i="110" s="1"/>
  <c r="W137" i="110"/>
  <c r="X149" i="110" s="1"/>
  <c r="D102" i="110"/>
  <c r="L102" i="110"/>
  <c r="E102" i="110"/>
  <c r="M102" i="110"/>
  <c r="I102" i="110"/>
  <c r="J119" i="110"/>
  <c r="J120" i="110" s="1"/>
  <c r="K108" i="110"/>
  <c r="U122" i="110"/>
  <c r="B131" i="110"/>
  <c r="AB154" i="110"/>
  <c r="L119" i="110"/>
  <c r="I118" i="110"/>
  <c r="I108" i="110"/>
  <c r="X122" i="110"/>
  <c r="W141" i="110"/>
  <c r="K118" i="110"/>
  <c r="H108" i="110"/>
  <c r="T111" i="110"/>
  <c r="V111" i="110" s="1"/>
  <c r="C151" i="110"/>
  <c r="H102" i="110"/>
  <c r="W118" i="110"/>
  <c r="W123" i="110" s="1"/>
  <c r="X148" i="110"/>
  <c r="K119" i="110"/>
  <c r="L108" i="110"/>
  <c r="C134" i="110"/>
  <c r="D107" i="110"/>
  <c r="D119" i="110" s="1"/>
  <c r="B119" i="110"/>
  <c r="C119" i="110"/>
  <c r="B118" i="110"/>
  <c r="N101" i="110"/>
  <c r="P108" i="110" s="1"/>
  <c r="B102" i="110"/>
  <c r="B128" i="110"/>
  <c r="J102" i="110"/>
  <c r="W122" i="110"/>
  <c r="V134" i="110"/>
  <c r="W143" i="110"/>
  <c r="K102" i="110"/>
  <c r="F102" i="110"/>
  <c r="AD124" i="110"/>
  <c r="AA128" i="110"/>
  <c r="B108" i="110"/>
  <c r="J108" i="110"/>
  <c r="M118" i="110"/>
  <c r="C127" i="110"/>
  <c r="C128" i="110" s="1"/>
  <c r="L118" i="110"/>
  <c r="N100" i="110"/>
  <c r="H119" i="110"/>
  <c r="H120" i="110" s="1"/>
  <c r="T117" i="110"/>
  <c r="I119" i="110"/>
  <c r="AA145" i="110"/>
  <c r="T138" i="110"/>
  <c r="C106" i="110"/>
  <c r="C108" i="110" s="1"/>
  <c r="C117" i="109"/>
  <c r="D117" i="109"/>
  <c r="E117" i="109"/>
  <c r="F117" i="109"/>
  <c r="G117" i="109"/>
  <c r="H117" i="109"/>
  <c r="I117" i="109"/>
  <c r="J117" i="109"/>
  <c r="K117" i="109"/>
  <c r="L117" i="109"/>
  <c r="M117" i="109"/>
  <c r="C111" i="109"/>
  <c r="D111" i="109"/>
  <c r="E111" i="109"/>
  <c r="F111" i="109"/>
  <c r="G111" i="109"/>
  <c r="H111" i="109"/>
  <c r="I111" i="109"/>
  <c r="J111" i="109"/>
  <c r="K111" i="109"/>
  <c r="L111" i="109"/>
  <c r="M111" i="109"/>
  <c r="C105" i="109"/>
  <c r="D105" i="109"/>
  <c r="E105" i="109"/>
  <c r="F105" i="109"/>
  <c r="G105" i="109"/>
  <c r="H105" i="109"/>
  <c r="I105" i="109"/>
  <c r="J105" i="109"/>
  <c r="K105" i="109"/>
  <c r="L105" i="109"/>
  <c r="M105" i="109"/>
  <c r="B117" i="109"/>
  <c r="B111" i="109"/>
  <c r="B105" i="109"/>
  <c r="T109" i="109"/>
  <c r="T108" i="109"/>
  <c r="B100" i="109"/>
  <c r="B94" i="109"/>
  <c r="C94" i="109"/>
  <c r="B136" i="110" l="1"/>
  <c r="B138" i="110" s="1"/>
  <c r="M120" i="110"/>
  <c r="W145" i="110"/>
  <c r="X147" i="110" s="1"/>
  <c r="T110" i="109"/>
  <c r="T111" i="109" s="1"/>
  <c r="E107" i="110"/>
  <c r="E119" i="110" s="1"/>
  <c r="K120" i="110"/>
  <c r="L120" i="110"/>
  <c r="C136" i="110"/>
  <c r="C138" i="110" s="1"/>
  <c r="I120" i="110"/>
  <c r="W124" i="110"/>
  <c r="X126" i="110" s="1"/>
  <c r="W120" i="110"/>
  <c r="B120" i="110"/>
  <c r="B122" i="110" s="1"/>
  <c r="N102" i="110"/>
  <c r="O102" i="110" s="1"/>
  <c r="D106" i="110"/>
  <c r="E106" i="110" s="1"/>
  <c r="P111" i="110"/>
  <c r="T141" i="110"/>
  <c r="Z141" i="110" s="1"/>
  <c r="Z152" i="110" s="1"/>
  <c r="T134" i="110"/>
  <c r="T116" i="110" s="1"/>
  <c r="T122" i="110" s="1"/>
  <c r="T124" i="110" s="1"/>
  <c r="AA152" i="110"/>
  <c r="AD145" i="110"/>
  <c r="AD155" i="110" s="1"/>
  <c r="AA154" i="110"/>
  <c r="P104" i="110"/>
  <c r="P112" i="110" s="1"/>
  <c r="P103" i="110"/>
  <c r="T120" i="110"/>
  <c r="C118" i="110"/>
  <c r="D2" i="109"/>
  <c r="C2" i="109"/>
  <c r="B2" i="109"/>
  <c r="BA2" i="109"/>
  <c r="AZ2" i="109"/>
  <c r="AY2" i="109"/>
  <c r="AX2" i="109"/>
  <c r="AW2" i="109"/>
  <c r="AV2" i="109"/>
  <c r="AU2" i="109"/>
  <c r="AT2" i="109"/>
  <c r="AS2" i="109"/>
  <c r="AR2" i="109"/>
  <c r="AQ2" i="109"/>
  <c r="AP2" i="109"/>
  <c r="AO2" i="109"/>
  <c r="AN2" i="109"/>
  <c r="AM2" i="109"/>
  <c r="AL2" i="109"/>
  <c r="AK2" i="109"/>
  <c r="AJ2" i="109"/>
  <c r="AI2" i="109"/>
  <c r="AH2" i="109"/>
  <c r="AG2" i="109"/>
  <c r="AF2" i="109"/>
  <c r="AE2" i="109"/>
  <c r="AD2" i="109"/>
  <c r="AC2" i="109"/>
  <c r="AB2" i="109"/>
  <c r="AA2" i="109"/>
  <c r="Z2" i="109"/>
  <c r="Y2" i="109"/>
  <c r="X2" i="109"/>
  <c r="W2" i="109"/>
  <c r="V2" i="109"/>
  <c r="U2" i="109"/>
  <c r="T2" i="109"/>
  <c r="S2" i="109"/>
  <c r="R2" i="109"/>
  <c r="Q2" i="109"/>
  <c r="P2" i="109"/>
  <c r="O2" i="109"/>
  <c r="N2" i="109"/>
  <c r="M2" i="109"/>
  <c r="L2" i="109"/>
  <c r="K2" i="109"/>
  <c r="J2" i="109"/>
  <c r="I2" i="109"/>
  <c r="H2" i="109"/>
  <c r="G2" i="109"/>
  <c r="F2" i="109"/>
  <c r="E2" i="109"/>
  <c r="BB30" i="109"/>
  <c r="Z120" i="110" l="1"/>
  <c r="F107" i="110"/>
  <c r="F119" i="110" s="1"/>
  <c r="P107" i="109"/>
  <c r="U111" i="109"/>
  <c r="N121" i="110"/>
  <c r="BC45" i="110" s="1"/>
  <c r="BE45" i="110" s="1"/>
  <c r="D108" i="110"/>
  <c r="D118" i="110"/>
  <c r="D120" i="110" s="1"/>
  <c r="D122" i="110" s="1"/>
  <c r="U126" i="110"/>
  <c r="AB126" i="110" s="1"/>
  <c r="Z124" i="110"/>
  <c r="AA126" i="110" s="1"/>
  <c r="Z154" i="110"/>
  <c r="Z128" i="110"/>
  <c r="E108" i="110"/>
  <c r="E118" i="110"/>
  <c r="E120" i="110" s="1"/>
  <c r="E122" i="110" s="1"/>
  <c r="F106" i="110"/>
  <c r="G106" i="110" s="1"/>
  <c r="T137" i="110"/>
  <c r="U149" i="110" s="1"/>
  <c r="AA155" i="110"/>
  <c r="AD154" i="110"/>
  <c r="C120" i="110"/>
  <c r="T143" i="110"/>
  <c r="T145" i="110" s="1"/>
  <c r="M100" i="109"/>
  <c r="G107" i="110" l="1"/>
  <c r="G119" i="110" s="1"/>
  <c r="N119" i="110" s="1"/>
  <c r="BC43" i="110" s="1"/>
  <c r="BE43" i="110" s="1"/>
  <c r="G118" i="110"/>
  <c r="U147" i="110"/>
  <c r="AB147" i="110" s="1"/>
  <c r="Z145" i="110"/>
  <c r="AA147" i="110" s="1"/>
  <c r="AA156" i="110" s="1"/>
  <c r="AA157" i="110"/>
  <c r="Z155" i="110"/>
  <c r="F108" i="110"/>
  <c r="F118" i="110"/>
  <c r="F120" i="110" s="1"/>
  <c r="F122" i="110" s="1"/>
  <c r="AC126" i="110"/>
  <c r="C122" i="110"/>
  <c r="E123" i="110"/>
  <c r="D106" i="109"/>
  <c r="E106" i="109"/>
  <c r="F106" i="109"/>
  <c r="G106" i="109"/>
  <c r="H106" i="109"/>
  <c r="I106" i="109"/>
  <c r="J106" i="109"/>
  <c r="K106" i="109"/>
  <c r="L106" i="109"/>
  <c r="M106" i="109"/>
  <c r="D107" i="109"/>
  <c r="E107" i="109"/>
  <c r="F107" i="109"/>
  <c r="G107" i="109"/>
  <c r="H107" i="109"/>
  <c r="I107" i="109"/>
  <c r="J107" i="109"/>
  <c r="K107" i="109"/>
  <c r="L107" i="109"/>
  <c r="M107" i="109"/>
  <c r="C107" i="109"/>
  <c r="C106" i="109"/>
  <c r="B107" i="109"/>
  <c r="B106" i="109"/>
  <c r="G120" i="110" l="1"/>
  <c r="G122" i="110" s="1"/>
  <c r="G108" i="110"/>
  <c r="N106" i="110"/>
  <c r="BC30" i="110" s="1"/>
  <c r="N107" i="110"/>
  <c r="F123" i="110"/>
  <c r="N118" i="110"/>
  <c r="BC42" i="110" s="1"/>
  <c r="BE42" i="110" s="1"/>
  <c r="M101" i="109"/>
  <c r="L101" i="109"/>
  <c r="K101" i="109"/>
  <c r="J101" i="109"/>
  <c r="I101" i="109"/>
  <c r="H101" i="109"/>
  <c r="G101" i="109"/>
  <c r="F101" i="109"/>
  <c r="E101" i="109"/>
  <c r="D101" i="109"/>
  <c r="C101" i="109"/>
  <c r="B101" i="109"/>
  <c r="L100" i="109"/>
  <c r="K100" i="109"/>
  <c r="J100" i="109"/>
  <c r="J102" i="109" s="1"/>
  <c r="I100" i="109"/>
  <c r="H100" i="109"/>
  <c r="G100" i="109"/>
  <c r="F100" i="109"/>
  <c r="E100" i="109"/>
  <c r="D100" i="109"/>
  <c r="C100" i="109"/>
  <c r="B102" i="109"/>
  <c r="BB94" i="109"/>
  <c r="BB93" i="109"/>
  <c r="BB92" i="109"/>
  <c r="BB91" i="109"/>
  <c r="BB90" i="109"/>
  <c r="BB89" i="109"/>
  <c r="BB88" i="109"/>
  <c r="BB87" i="109"/>
  <c r="BB86" i="109"/>
  <c r="BB85" i="109"/>
  <c r="BB84" i="109"/>
  <c r="BB83" i="109"/>
  <c r="BB82" i="109"/>
  <c r="BB81" i="109"/>
  <c r="BB80" i="109"/>
  <c r="BB79" i="109"/>
  <c r="BB78" i="109"/>
  <c r="BB77" i="109"/>
  <c r="BB76" i="109"/>
  <c r="BB75" i="109"/>
  <c r="BB74" i="109"/>
  <c r="BB73" i="109"/>
  <c r="BB72" i="109"/>
  <c r="BB71" i="109"/>
  <c r="BB70" i="109"/>
  <c r="BB69" i="109"/>
  <c r="BB68" i="109"/>
  <c r="BB67" i="109"/>
  <c r="BB66" i="109"/>
  <c r="BB65" i="109"/>
  <c r="BB64" i="109"/>
  <c r="BB63" i="109"/>
  <c r="BB62" i="109"/>
  <c r="BB61" i="109"/>
  <c r="BB60" i="109"/>
  <c r="BB59" i="109"/>
  <c r="BB58" i="109"/>
  <c r="BB57" i="109"/>
  <c r="BB56" i="109"/>
  <c r="BB55" i="109"/>
  <c r="BB54" i="109"/>
  <c r="BB53" i="109"/>
  <c r="BB52" i="109"/>
  <c r="BB51" i="109"/>
  <c r="BB50" i="109"/>
  <c r="BB49" i="109"/>
  <c r="BB48" i="109"/>
  <c r="BB47" i="109"/>
  <c r="BB46" i="109"/>
  <c r="BB45" i="109"/>
  <c r="BB44" i="109"/>
  <c r="BB43" i="109"/>
  <c r="BB42" i="109"/>
  <c r="BB41" i="109"/>
  <c r="BB40" i="109"/>
  <c r="BB39" i="109"/>
  <c r="BB38" i="109"/>
  <c r="BB37" i="109"/>
  <c r="BB36" i="109"/>
  <c r="BB35" i="109"/>
  <c r="BB34" i="109"/>
  <c r="BB33" i="109"/>
  <c r="BB32" i="109"/>
  <c r="BB31" i="109"/>
  <c r="BB29" i="109"/>
  <c r="BB28" i="109"/>
  <c r="BB27" i="109"/>
  <c r="BB26" i="109"/>
  <c r="BB25" i="109"/>
  <c r="BB24" i="109"/>
  <c r="BB23" i="109"/>
  <c r="BB22" i="109"/>
  <c r="BB21" i="109"/>
  <c r="BB20" i="109"/>
  <c r="BB19" i="109"/>
  <c r="BB18" i="109"/>
  <c r="BB17" i="109"/>
  <c r="BB16" i="109"/>
  <c r="BB15" i="109"/>
  <c r="BB14" i="109"/>
  <c r="BB13" i="109"/>
  <c r="BB12" i="109"/>
  <c r="BB11" i="109"/>
  <c r="BB10" i="109"/>
  <c r="BB9" i="109"/>
  <c r="BB8" i="109"/>
  <c r="BB7" i="109"/>
  <c r="BB6" i="109"/>
  <c r="BB5" i="109"/>
  <c r="BB4" i="109"/>
  <c r="E101" i="107"/>
  <c r="M101" i="107"/>
  <c r="M100" i="107"/>
  <c r="L101" i="107"/>
  <c r="L100" i="107"/>
  <c r="K101" i="107"/>
  <c r="K100" i="107"/>
  <c r="J101" i="107"/>
  <c r="J100" i="107"/>
  <c r="I101" i="107"/>
  <c r="I100" i="107"/>
  <c r="H101" i="107"/>
  <c r="H100" i="107"/>
  <c r="G101" i="107"/>
  <c r="G100" i="107"/>
  <c r="F100" i="107"/>
  <c r="F101" i="107"/>
  <c r="E100" i="107"/>
  <c r="D101" i="107"/>
  <c r="D100" i="107"/>
  <c r="C100" i="107"/>
  <c r="C101" i="107"/>
  <c r="B101" i="107"/>
  <c r="B100" i="107"/>
  <c r="G123" i="110" l="1"/>
  <c r="N120" i="110"/>
  <c r="BC44" i="110" s="1"/>
  <c r="BE44" i="110" s="1"/>
  <c r="BE30" i="110"/>
  <c r="C102" i="109"/>
  <c r="K102" i="109"/>
  <c r="BI93" i="110"/>
  <c r="BC93" i="110"/>
  <c r="BE93" i="110" s="1"/>
  <c r="BC31" i="110"/>
  <c r="BE31" i="110" s="1"/>
  <c r="F102" i="107"/>
  <c r="G102" i="109"/>
  <c r="H102" i="109"/>
  <c r="I102" i="109"/>
  <c r="F102" i="109"/>
  <c r="N101" i="109"/>
  <c r="P108" i="112" s="1"/>
  <c r="N100" i="109"/>
  <c r="L102" i="109"/>
  <c r="E102" i="109"/>
  <c r="M102" i="109"/>
  <c r="D102" i="109"/>
  <c r="P103" i="113" l="1"/>
  <c r="P104" i="112"/>
  <c r="P112" i="112" s="1"/>
  <c r="P103" i="112"/>
  <c r="BC94" i="110"/>
  <c r="BE94" i="110" s="1"/>
  <c r="BF94" i="110" s="1"/>
  <c r="N102" i="109"/>
  <c r="P111" i="112" s="1"/>
  <c r="U111" i="107"/>
  <c r="X150" i="109"/>
  <c r="U150" i="109"/>
  <c r="C146" i="109"/>
  <c r="AB145" i="109"/>
  <c r="X145" i="109"/>
  <c r="U145" i="109"/>
  <c r="X144" i="109"/>
  <c r="U144" i="109"/>
  <c r="U143" i="109" s="1"/>
  <c r="X143" i="109"/>
  <c r="R141" i="109"/>
  <c r="W140" i="109"/>
  <c r="T140" i="109"/>
  <c r="W138" i="109"/>
  <c r="C137" i="109"/>
  <c r="B137" i="109" s="1"/>
  <c r="X136" i="109"/>
  <c r="X137" i="109" s="1"/>
  <c r="W136" i="109"/>
  <c r="U136" i="109"/>
  <c r="U137" i="109" s="1"/>
  <c r="T136" i="109"/>
  <c r="W135" i="109"/>
  <c r="W134" i="109"/>
  <c r="V134" i="109" s="1"/>
  <c r="X133" i="109"/>
  <c r="W133" i="109"/>
  <c r="U133" i="109"/>
  <c r="U148" i="109" s="1"/>
  <c r="C133" i="109"/>
  <c r="B133" i="109" s="1"/>
  <c r="B134" i="109" s="1"/>
  <c r="W132" i="109"/>
  <c r="W137" i="109" s="1"/>
  <c r="T132" i="109"/>
  <c r="B130" i="109"/>
  <c r="B131" i="109" s="1"/>
  <c r="B127" i="109"/>
  <c r="C127" i="109" s="1"/>
  <c r="B126" i="109"/>
  <c r="C126" i="109" s="1"/>
  <c r="B125" i="109"/>
  <c r="C125" i="109" s="1"/>
  <c r="AB124" i="109"/>
  <c r="AB154" i="109" s="1"/>
  <c r="X124" i="109"/>
  <c r="X122" i="109" s="1"/>
  <c r="U124" i="109"/>
  <c r="U122" i="109" s="1"/>
  <c r="B124" i="109"/>
  <c r="C124" i="109" s="1"/>
  <c r="X123" i="109"/>
  <c r="U123" i="109"/>
  <c r="B121" i="109"/>
  <c r="R120" i="109"/>
  <c r="W119" i="109"/>
  <c r="T119" i="109"/>
  <c r="D119" i="109"/>
  <c r="W117" i="109"/>
  <c r="M114" i="109"/>
  <c r="L114" i="109"/>
  <c r="K114" i="109"/>
  <c r="J114" i="109"/>
  <c r="I114" i="109"/>
  <c r="H114" i="109"/>
  <c r="G114" i="109"/>
  <c r="F114" i="109"/>
  <c r="E114" i="109"/>
  <c r="D114" i="109"/>
  <c r="C114" i="109"/>
  <c r="B114" i="109"/>
  <c r="L108" i="109"/>
  <c r="J108" i="109"/>
  <c r="H108" i="109"/>
  <c r="B108" i="109"/>
  <c r="W139" i="109"/>
  <c r="W144" i="109" s="1"/>
  <c r="T139" i="109"/>
  <c r="T144" i="109" s="1"/>
  <c r="M108" i="109"/>
  <c r="K108" i="109"/>
  <c r="W118" i="109"/>
  <c r="T118" i="109"/>
  <c r="T123" i="109" s="1"/>
  <c r="M119" i="109"/>
  <c r="L119" i="109"/>
  <c r="K119" i="109"/>
  <c r="J119" i="109"/>
  <c r="T138" i="109"/>
  <c r="E119" i="109"/>
  <c r="C119" i="109"/>
  <c r="B119" i="109"/>
  <c r="K118" i="109"/>
  <c r="J118" i="109"/>
  <c r="I118" i="109"/>
  <c r="H118" i="109"/>
  <c r="C118" i="109"/>
  <c r="B118" i="109"/>
  <c r="BB94" i="107"/>
  <c r="BB93" i="107"/>
  <c r="BB30" i="107"/>
  <c r="C147" i="109"/>
  <c r="C150" i="109"/>
  <c r="X148" i="109" l="1"/>
  <c r="C130" i="109"/>
  <c r="C131" i="109" s="1"/>
  <c r="AA124" i="109"/>
  <c r="AD124" i="109" s="1"/>
  <c r="W141" i="109"/>
  <c r="C151" i="109"/>
  <c r="W116" i="109"/>
  <c r="W122" i="109" s="1"/>
  <c r="W143" i="109"/>
  <c r="W145" i="109" s="1"/>
  <c r="X147" i="109" s="1"/>
  <c r="J120" i="109"/>
  <c r="T141" i="109"/>
  <c r="T134" i="109"/>
  <c r="T116" i="109" s="1"/>
  <c r="AA128" i="109"/>
  <c r="X149" i="109"/>
  <c r="F119" i="109"/>
  <c r="W123" i="109"/>
  <c r="W120" i="109"/>
  <c r="B120" i="109"/>
  <c r="C128" i="109"/>
  <c r="C120" i="109"/>
  <c r="K120" i="109"/>
  <c r="G119" i="109"/>
  <c r="V111" i="109"/>
  <c r="I108" i="109"/>
  <c r="L118" i="109"/>
  <c r="D108" i="109"/>
  <c r="C108" i="109"/>
  <c r="B128" i="109"/>
  <c r="B136" i="109" s="1"/>
  <c r="B138" i="109" s="1"/>
  <c r="C134" i="109"/>
  <c r="M118" i="109"/>
  <c r="H119" i="109"/>
  <c r="T117" i="109"/>
  <c r="I119" i="109"/>
  <c r="AA145" i="109"/>
  <c r="T109" i="107"/>
  <c r="T108" i="107"/>
  <c r="T110" i="107" s="1"/>
  <c r="AA154" i="109" l="1"/>
  <c r="AD154" i="109" s="1"/>
  <c r="L120" i="109"/>
  <c r="I120" i="109"/>
  <c r="H120" i="109"/>
  <c r="M120" i="109"/>
  <c r="Z141" i="109"/>
  <c r="Z152" i="109" s="1"/>
  <c r="W124" i="109"/>
  <c r="X126" i="109" s="1"/>
  <c r="N119" i="109"/>
  <c r="T137" i="109"/>
  <c r="U149" i="109" s="1"/>
  <c r="T143" i="109"/>
  <c r="T145" i="109" s="1"/>
  <c r="C136" i="109"/>
  <c r="C138" i="109" s="1"/>
  <c r="O102" i="109"/>
  <c r="T122" i="109"/>
  <c r="T124" i="109" s="1"/>
  <c r="T120" i="109"/>
  <c r="Z120" i="109" s="1"/>
  <c r="D118" i="109"/>
  <c r="AA152" i="109"/>
  <c r="AD145" i="109"/>
  <c r="AD155" i="109" s="1"/>
  <c r="X150" i="107"/>
  <c r="U150" i="107"/>
  <c r="C146" i="107"/>
  <c r="AB145" i="107"/>
  <c r="X145" i="107"/>
  <c r="U145" i="107"/>
  <c r="X144" i="107"/>
  <c r="U144" i="107"/>
  <c r="R141" i="107"/>
  <c r="W140" i="107"/>
  <c r="T140" i="107"/>
  <c r="W138" i="107"/>
  <c r="C137" i="107"/>
  <c r="B137" i="107" s="1"/>
  <c r="X136" i="107"/>
  <c r="X137" i="107" s="1"/>
  <c r="W136" i="107"/>
  <c r="U136" i="107"/>
  <c r="U137" i="107" s="1"/>
  <c r="T136" i="107"/>
  <c r="W135" i="107"/>
  <c r="W134" i="107"/>
  <c r="W116" i="107" s="1"/>
  <c r="X133" i="107"/>
  <c r="W133" i="107"/>
  <c r="X148" i="107" s="1"/>
  <c r="U133" i="107"/>
  <c r="U148" i="107" s="1"/>
  <c r="C133" i="107"/>
  <c r="C134" i="107" s="1"/>
  <c r="W132" i="107"/>
  <c r="T132" i="107"/>
  <c r="B130" i="107"/>
  <c r="C130" i="107" s="1"/>
  <c r="C131" i="107" s="1"/>
  <c r="B127" i="107"/>
  <c r="C127" i="107" s="1"/>
  <c r="B126" i="107"/>
  <c r="C126" i="107" s="1"/>
  <c r="B125" i="107"/>
  <c r="AB124" i="107"/>
  <c r="X124" i="107"/>
  <c r="U124" i="107"/>
  <c r="B124" i="107"/>
  <c r="C124" i="107" s="1"/>
  <c r="X123" i="107"/>
  <c r="U123" i="107"/>
  <c r="H121" i="107"/>
  <c r="F121" i="107"/>
  <c r="E121" i="107"/>
  <c r="D121" i="107"/>
  <c r="C121" i="107"/>
  <c r="B121" i="107"/>
  <c r="R120" i="107"/>
  <c r="W119" i="107"/>
  <c r="T119" i="107"/>
  <c r="T117" i="107"/>
  <c r="M114" i="107"/>
  <c r="L114" i="107"/>
  <c r="K114" i="107"/>
  <c r="J114" i="107"/>
  <c r="I114" i="107"/>
  <c r="H114" i="107"/>
  <c r="G114" i="107"/>
  <c r="F114" i="107"/>
  <c r="E114" i="107"/>
  <c r="D114" i="107"/>
  <c r="C114" i="107"/>
  <c r="B114" i="107"/>
  <c r="T111" i="107"/>
  <c r="M107" i="107"/>
  <c r="L107" i="107"/>
  <c r="L119" i="107" s="1"/>
  <c r="K107" i="107"/>
  <c r="K119" i="107" s="1"/>
  <c r="J107" i="107"/>
  <c r="J119" i="107" s="1"/>
  <c r="I107" i="107"/>
  <c r="T139" i="107" s="1"/>
  <c r="T144" i="107" s="1"/>
  <c r="H107" i="107"/>
  <c r="B107" i="107"/>
  <c r="C107" i="107" s="1"/>
  <c r="M106" i="107"/>
  <c r="M118" i="107" s="1"/>
  <c r="L106" i="107"/>
  <c r="L118" i="107" s="1"/>
  <c r="K106" i="107"/>
  <c r="K118" i="107" s="1"/>
  <c r="J106" i="107"/>
  <c r="J118" i="107" s="1"/>
  <c r="I106" i="107"/>
  <c r="T118" i="107" s="1"/>
  <c r="T123" i="107" s="1"/>
  <c r="H106" i="107"/>
  <c r="B106" i="107"/>
  <c r="K102" i="107"/>
  <c r="C102" i="107"/>
  <c r="M119" i="107"/>
  <c r="T138" i="107"/>
  <c r="H102" i="107"/>
  <c r="G102" i="107"/>
  <c r="E102" i="107"/>
  <c r="D102" i="107"/>
  <c r="N100" i="107"/>
  <c r="BB92" i="107"/>
  <c r="BB91" i="107"/>
  <c r="BB90" i="107"/>
  <c r="BB89" i="107"/>
  <c r="BB88" i="107"/>
  <c r="BB87" i="107"/>
  <c r="BB86" i="107"/>
  <c r="BB85" i="107"/>
  <c r="BB84" i="107"/>
  <c r="BB83" i="107"/>
  <c r="BB82" i="107"/>
  <c r="BB81" i="107"/>
  <c r="BB80" i="107"/>
  <c r="BB79" i="107"/>
  <c r="BB78" i="107"/>
  <c r="BB77" i="107"/>
  <c r="BB76" i="107"/>
  <c r="BB75" i="107"/>
  <c r="BB74" i="107"/>
  <c r="BB73" i="107"/>
  <c r="BB72" i="107"/>
  <c r="BB71" i="107"/>
  <c r="BB70" i="107"/>
  <c r="BB69" i="107"/>
  <c r="BB68" i="107"/>
  <c r="BB67" i="107"/>
  <c r="BB66" i="107"/>
  <c r="BB65" i="107"/>
  <c r="BB64" i="107"/>
  <c r="BB63" i="107"/>
  <c r="BB62" i="107"/>
  <c r="BB61" i="107"/>
  <c r="BB60" i="107"/>
  <c r="BB59" i="107"/>
  <c r="BB58" i="107"/>
  <c r="BB57" i="107"/>
  <c r="BB56" i="107"/>
  <c r="BB55" i="107"/>
  <c r="BB54" i="107"/>
  <c r="BB53" i="107"/>
  <c r="BB52" i="107"/>
  <c r="BB51" i="107"/>
  <c r="BB50" i="107"/>
  <c r="BB49" i="107"/>
  <c r="BB48" i="107"/>
  <c r="BB47" i="107"/>
  <c r="BB46" i="107"/>
  <c r="BB45" i="107"/>
  <c r="BB44" i="107"/>
  <c r="BB43" i="107"/>
  <c r="BB42" i="107"/>
  <c r="BB41" i="107"/>
  <c r="BB40" i="107"/>
  <c r="BB39" i="107"/>
  <c r="BB38" i="107"/>
  <c r="BB37" i="107"/>
  <c r="BB36" i="107"/>
  <c r="BB35" i="107"/>
  <c r="BB34" i="107"/>
  <c r="BB33" i="107"/>
  <c r="BB32" i="107"/>
  <c r="BB31" i="107"/>
  <c r="BB29" i="107"/>
  <c r="BB28" i="107"/>
  <c r="BB27" i="107"/>
  <c r="BB26" i="107"/>
  <c r="BB25" i="107"/>
  <c r="BB24" i="107"/>
  <c r="BB23" i="107"/>
  <c r="BB22" i="107"/>
  <c r="BB21" i="107"/>
  <c r="BB20" i="107"/>
  <c r="BB19" i="107"/>
  <c r="BB18" i="107"/>
  <c r="BB17" i="107"/>
  <c r="BB16" i="107"/>
  <c r="BB15" i="107"/>
  <c r="BB14" i="107"/>
  <c r="BB13" i="107"/>
  <c r="BB12" i="107"/>
  <c r="BB11" i="107"/>
  <c r="BB10" i="107"/>
  <c r="BB9" i="107"/>
  <c r="BB8" i="107"/>
  <c r="BB7" i="107"/>
  <c r="BB6" i="107"/>
  <c r="BB5" i="107"/>
  <c r="BB4" i="107"/>
  <c r="C147" i="107"/>
  <c r="C150" i="107"/>
  <c r="X143" i="107" l="1"/>
  <c r="AA124" i="107"/>
  <c r="AD124" i="107" s="1"/>
  <c r="AA155" i="109"/>
  <c r="L108" i="107"/>
  <c r="U143" i="107"/>
  <c r="I108" i="107"/>
  <c r="J120" i="107"/>
  <c r="K120" i="107"/>
  <c r="M108" i="107"/>
  <c r="W137" i="107"/>
  <c r="X149" i="107" s="1"/>
  <c r="H108" i="107"/>
  <c r="W139" i="107"/>
  <c r="W144" i="107" s="1"/>
  <c r="W141" i="107"/>
  <c r="U122" i="107"/>
  <c r="H118" i="107"/>
  <c r="W118" i="107"/>
  <c r="W123" i="107" s="1"/>
  <c r="X122" i="107"/>
  <c r="C151" i="107"/>
  <c r="I118" i="107"/>
  <c r="K108" i="107"/>
  <c r="AB154" i="107"/>
  <c r="I102" i="107"/>
  <c r="B128" i="107"/>
  <c r="L120" i="107"/>
  <c r="J102" i="107"/>
  <c r="N101" i="107"/>
  <c r="C125" i="107"/>
  <c r="C128" i="107" s="1"/>
  <c r="C136" i="107" s="1"/>
  <c r="C138" i="107" s="1"/>
  <c r="P104" i="109"/>
  <c r="P103" i="109"/>
  <c r="B102" i="107"/>
  <c r="U147" i="109"/>
  <c r="AB147" i="109" s="1"/>
  <c r="Z145" i="109"/>
  <c r="AA147" i="109" s="1"/>
  <c r="U126" i="109"/>
  <c r="AB126" i="109" s="1"/>
  <c r="Z124" i="109"/>
  <c r="AA126" i="109" s="1"/>
  <c r="E108" i="109"/>
  <c r="E118" i="109"/>
  <c r="D120" i="109"/>
  <c r="Z154" i="109"/>
  <c r="Z128" i="109"/>
  <c r="B108" i="107"/>
  <c r="B119" i="107"/>
  <c r="B133" i="107"/>
  <c r="B134" i="107" s="1"/>
  <c r="B118" i="107"/>
  <c r="B131" i="107"/>
  <c r="W143" i="107"/>
  <c r="M120" i="107"/>
  <c r="V134" i="107"/>
  <c r="T134" i="107" s="1"/>
  <c r="T116" i="107" s="1"/>
  <c r="T122" i="107" s="1"/>
  <c r="T124" i="107" s="1"/>
  <c r="U126" i="107" s="1"/>
  <c r="P107" i="107"/>
  <c r="AA128" i="107"/>
  <c r="T141" i="107"/>
  <c r="V111" i="107"/>
  <c r="D107" i="107"/>
  <c r="D119" i="107" s="1"/>
  <c r="C119" i="107"/>
  <c r="J108" i="107"/>
  <c r="L102" i="107"/>
  <c r="T120" i="107"/>
  <c r="M102" i="107"/>
  <c r="H119" i="107"/>
  <c r="C106" i="107"/>
  <c r="C108" i="107" s="1"/>
  <c r="I119" i="107"/>
  <c r="I120" i="107" s="1"/>
  <c r="AA145" i="107"/>
  <c r="W117" i="107"/>
  <c r="Z141" i="107" l="1"/>
  <c r="H120" i="107"/>
  <c r="P108" i="107"/>
  <c r="P108" i="109"/>
  <c r="B136" i="107"/>
  <c r="B138" i="107" s="1"/>
  <c r="P112" i="109"/>
  <c r="B120" i="107"/>
  <c r="B122" i="107" s="1"/>
  <c r="E120" i="109"/>
  <c r="E123" i="109" s="1"/>
  <c r="W145" i="107"/>
  <c r="X147" i="107" s="1"/>
  <c r="N102" i="107"/>
  <c r="P111" i="109" s="1"/>
  <c r="N121" i="107"/>
  <c r="G108" i="109"/>
  <c r="G118" i="109"/>
  <c r="F108" i="109"/>
  <c r="F118" i="109"/>
  <c r="AC126" i="109"/>
  <c r="AA156" i="109"/>
  <c r="AA157" i="109"/>
  <c r="Z155" i="109"/>
  <c r="T137" i="107"/>
  <c r="U149" i="107" s="1"/>
  <c r="T143" i="107"/>
  <c r="T145" i="107" s="1"/>
  <c r="U147" i="107" s="1"/>
  <c r="W122" i="107"/>
  <c r="W124" i="107" s="1"/>
  <c r="W120" i="107"/>
  <c r="Z120" i="107" s="1"/>
  <c r="E107" i="107"/>
  <c r="AA152" i="107"/>
  <c r="AD145" i="107"/>
  <c r="AD155" i="107" s="1"/>
  <c r="D106" i="107"/>
  <c r="E106" i="107" s="1"/>
  <c r="C118" i="107"/>
  <c r="AA154" i="107"/>
  <c r="O108" i="112" l="1"/>
  <c r="AB147" i="107"/>
  <c r="G120" i="109"/>
  <c r="N108" i="109"/>
  <c r="N118" i="109"/>
  <c r="O102" i="107"/>
  <c r="P103" i="107"/>
  <c r="F120" i="109"/>
  <c r="P104" i="107"/>
  <c r="P112" i="107" s="1"/>
  <c r="Z145" i="107"/>
  <c r="AA147" i="107" s="1"/>
  <c r="Z154" i="107"/>
  <c r="C120" i="107"/>
  <c r="E108" i="107"/>
  <c r="E118" i="107"/>
  <c r="E119" i="107"/>
  <c r="F107" i="107"/>
  <c r="D108" i="107"/>
  <c r="D118" i="107"/>
  <c r="D120" i="107" s="1"/>
  <c r="D122" i="107" s="1"/>
  <c r="X126" i="107"/>
  <c r="AB126" i="107" s="1"/>
  <c r="Z124" i="107"/>
  <c r="AA126" i="107" s="1"/>
  <c r="F106" i="107"/>
  <c r="G106" i="107" s="1"/>
  <c r="AA155" i="107"/>
  <c r="AD154" i="107"/>
  <c r="N120" i="109" l="1"/>
  <c r="N121" i="109"/>
  <c r="F123" i="109"/>
  <c r="G123" i="109"/>
  <c r="P111" i="107"/>
  <c r="G118" i="107"/>
  <c r="F119" i="107"/>
  <c r="G107" i="107"/>
  <c r="G119" i="107" s="1"/>
  <c r="E120" i="107"/>
  <c r="E122" i="107" s="1"/>
  <c r="F108" i="107"/>
  <c r="F118" i="107"/>
  <c r="AC126" i="107"/>
  <c r="AA156" i="107"/>
  <c r="AA157" i="107"/>
  <c r="C122" i="107"/>
  <c r="N119" i="107" l="1"/>
  <c r="O120" i="112"/>
  <c r="P120" i="112" s="1"/>
  <c r="P120" i="113"/>
  <c r="E123" i="107"/>
  <c r="F120" i="107"/>
  <c r="F122" i="107" s="1"/>
  <c r="N118" i="107"/>
  <c r="G120" i="107"/>
  <c r="G122" i="107" s="1"/>
  <c r="G108" i="107"/>
  <c r="O108" i="109" s="1"/>
  <c r="F123" i="107" l="1"/>
  <c r="G123" i="107"/>
  <c r="N120" i="107"/>
  <c r="O120" i="109" s="1"/>
  <c r="P120" i="109" s="1"/>
  <c r="Z152" i="107" l="1"/>
  <c r="Z128" i="107"/>
  <c r="Z155" i="107" l="1"/>
  <c r="G121" i="136" l="1"/>
  <c r="G121" i="135"/>
  <c r="G121" i="131"/>
  <c r="G121" i="126"/>
  <c r="G121" i="117"/>
  <c r="G121" i="119"/>
  <c r="G121" i="133"/>
  <c r="G121" i="134"/>
  <c r="G121" i="128"/>
  <c r="G121" i="123"/>
  <c r="G121" i="124"/>
  <c r="G121" i="118"/>
  <c r="G121" i="120"/>
  <c r="G121" i="116"/>
  <c r="G121" i="130"/>
  <c r="G121" i="122"/>
  <c r="G121" i="129"/>
  <c r="G121" i="125"/>
  <c r="G121" i="132"/>
  <c r="G121" i="121"/>
  <c r="B121" i="136" l="1"/>
  <c r="B121" i="135"/>
  <c r="B121" i="134"/>
  <c r="B121" i="133"/>
  <c r="B121" i="126"/>
  <c r="B121" i="120"/>
  <c r="B121" i="117"/>
  <c r="B121" i="123"/>
  <c r="B121" i="132"/>
  <c r="B121" i="124"/>
  <c r="B121" i="115"/>
  <c r="B121" i="118"/>
  <c r="B121" i="131"/>
  <c r="B121" i="116"/>
  <c r="B121" i="114"/>
  <c r="B121" i="130"/>
  <c r="B121" i="129"/>
  <c r="B121" i="121"/>
  <c r="B121" i="128"/>
  <c r="B121" i="122"/>
  <c r="B121" i="125"/>
  <c r="B121" i="119"/>
  <c r="N121" i="119" l="1"/>
  <c r="N121" i="116"/>
  <c r="N121" i="120"/>
  <c r="N121" i="125"/>
  <c r="N121" i="131"/>
  <c r="N121" i="126"/>
  <c r="N121" i="122"/>
  <c r="N121" i="118"/>
  <c r="N121" i="128"/>
  <c r="G123" i="115"/>
  <c r="N121" i="115"/>
  <c r="E123" i="115"/>
  <c r="F123" i="115"/>
  <c r="N121" i="121"/>
  <c r="N121" i="124"/>
  <c r="N121" i="129"/>
  <c r="N121" i="130"/>
  <c r="N121" i="123"/>
  <c r="N121" i="114"/>
  <c r="G123" i="114"/>
  <c r="E123" i="114"/>
  <c r="F123" i="114"/>
  <c r="N121" i="117"/>
  <c r="F121" i="136" l="1"/>
  <c r="F122" i="136" s="1"/>
  <c r="F121" i="135"/>
  <c r="F122" i="135" s="1"/>
  <c r="F121" i="134"/>
  <c r="F122" i="134" s="1"/>
  <c r="F121" i="132"/>
  <c r="F121" i="133"/>
  <c r="F122" i="133" s="1"/>
  <c r="F121" i="130"/>
  <c r="F121" i="121"/>
  <c r="F121" i="119"/>
  <c r="F121" i="124"/>
  <c r="F121" i="125"/>
  <c r="F121" i="129"/>
  <c r="F121" i="128"/>
  <c r="F121" i="117"/>
  <c r="F121" i="123"/>
  <c r="F121" i="126"/>
  <c r="F121" i="118"/>
  <c r="F121" i="116"/>
  <c r="F121" i="131"/>
  <c r="F121" i="120"/>
  <c r="F121" i="122"/>
  <c r="C121" i="136"/>
  <c r="C121" i="135"/>
  <c r="C121" i="134"/>
  <c r="C121" i="133"/>
  <c r="C121" i="123"/>
  <c r="C121" i="122"/>
  <c r="C121" i="128"/>
  <c r="C121" i="132"/>
  <c r="C121" i="121"/>
  <c r="C121" i="126"/>
  <c r="C121" i="131"/>
  <c r="C121" i="130"/>
  <c r="C121" i="118"/>
  <c r="C121" i="129"/>
  <c r="C121" i="125"/>
  <c r="C121" i="116"/>
  <c r="C121" i="117"/>
  <c r="C121" i="124"/>
  <c r="C121" i="119"/>
  <c r="C121" i="120"/>
  <c r="E121" i="136"/>
  <c r="E121" i="135"/>
  <c r="E121" i="134"/>
  <c r="E121" i="126"/>
  <c r="E121" i="125"/>
  <c r="E121" i="132"/>
  <c r="E121" i="133"/>
  <c r="E121" i="118"/>
  <c r="E121" i="116"/>
  <c r="E121" i="123"/>
  <c r="E121" i="130"/>
  <c r="E121" i="120"/>
  <c r="E121" i="128"/>
  <c r="E121" i="122"/>
  <c r="E121" i="131"/>
  <c r="E121" i="124"/>
  <c r="E121" i="129"/>
  <c r="E121" i="119"/>
  <c r="E121" i="121"/>
  <c r="E121" i="117"/>
  <c r="D121" i="136"/>
  <c r="D121" i="135"/>
  <c r="D121" i="134"/>
  <c r="D121" i="132"/>
  <c r="D121" i="122"/>
  <c r="D121" i="126"/>
  <c r="D121" i="128"/>
  <c r="D121" i="125"/>
  <c r="D121" i="131"/>
  <c r="D121" i="124"/>
  <c r="D121" i="130"/>
  <c r="D121" i="123"/>
  <c r="D121" i="116"/>
  <c r="D121" i="120"/>
  <c r="D121" i="129"/>
  <c r="D121" i="121"/>
  <c r="D121" i="118"/>
  <c r="D121" i="117"/>
  <c r="D121" i="119"/>
  <c r="D121" i="133"/>
  <c r="F123" i="125" l="1"/>
  <c r="E123" i="125"/>
  <c r="G123" i="125"/>
  <c r="F123" i="128"/>
  <c r="E123" i="128"/>
  <c r="G123" i="128"/>
  <c r="E123" i="129"/>
  <c r="G123" i="129"/>
  <c r="F123" i="129"/>
  <c r="F123" i="122"/>
  <c r="E123" i="122"/>
  <c r="G123" i="122"/>
  <c r="F123" i="118"/>
  <c r="E123" i="118"/>
  <c r="G123" i="118"/>
  <c r="E123" i="123"/>
  <c r="F123" i="123"/>
  <c r="G123" i="123"/>
  <c r="E123" i="120"/>
  <c r="F123" i="120"/>
  <c r="G123" i="120"/>
  <c r="F123" i="130"/>
  <c r="G123" i="130"/>
  <c r="E123" i="130"/>
  <c r="E123" i="133"/>
  <c r="N121" i="133"/>
  <c r="F123" i="133"/>
  <c r="G123" i="133"/>
  <c r="E123" i="119"/>
  <c r="F123" i="119"/>
  <c r="G123" i="119"/>
  <c r="E123" i="131"/>
  <c r="F123" i="131"/>
  <c r="G123" i="131"/>
  <c r="N121" i="134"/>
  <c r="E123" i="134"/>
  <c r="F123" i="134"/>
  <c r="G123" i="134"/>
  <c r="E123" i="124"/>
  <c r="F123" i="124"/>
  <c r="G123" i="124"/>
  <c r="E123" i="126"/>
  <c r="F123" i="126"/>
  <c r="G123" i="126"/>
  <c r="F123" i="135"/>
  <c r="E123" i="135"/>
  <c r="G123" i="135"/>
  <c r="N121" i="135"/>
  <c r="E123" i="117"/>
  <c r="F123" i="117"/>
  <c r="G123" i="117"/>
  <c r="F123" i="121"/>
  <c r="E123" i="121"/>
  <c r="G123" i="121"/>
  <c r="F123" i="136"/>
  <c r="G123" i="136"/>
  <c r="N121" i="136"/>
  <c r="E123" i="136"/>
  <c r="E123" i="116"/>
  <c r="G123" i="116"/>
  <c r="F123" i="116"/>
  <c r="N121" i="132"/>
  <c r="F123" i="132"/>
  <c r="E123" i="132"/>
  <c r="G123" i="132"/>
  <c r="M121" i="139" l="1"/>
  <c r="M121" i="138"/>
  <c r="M121" i="137"/>
  <c r="M121" i="130"/>
  <c r="M121" i="117"/>
  <c r="M121" i="118"/>
  <c r="M121" i="119"/>
  <c r="M121" i="131"/>
  <c r="M121" i="136"/>
  <c r="M121" i="128"/>
  <c r="M121" i="121"/>
  <c r="M121" i="126"/>
  <c r="M121" i="120"/>
  <c r="M121" i="116"/>
  <c r="M121" i="133"/>
  <c r="M121" i="124"/>
  <c r="M121" i="134"/>
  <c r="M121" i="129"/>
  <c r="M121" i="122"/>
  <c r="M121" i="132"/>
  <c r="M121" i="123"/>
  <c r="M121" i="135"/>
  <c r="M121" i="125"/>
  <c r="L121" i="139" l="1"/>
  <c r="L121" i="138"/>
  <c r="L121" i="137"/>
  <c r="L121" i="134"/>
  <c r="L121" i="117"/>
  <c r="L121" i="130"/>
  <c r="L121" i="124"/>
  <c r="L121" i="129"/>
  <c r="L121" i="122"/>
  <c r="L121" i="116"/>
  <c r="L121" i="118"/>
  <c r="L121" i="126"/>
  <c r="L121" i="135"/>
  <c r="L121" i="136"/>
  <c r="L121" i="128"/>
  <c r="L121" i="133"/>
  <c r="L121" i="132"/>
  <c r="L121" i="120"/>
  <c r="L121" i="123"/>
  <c r="L121" i="121"/>
  <c r="L121" i="119"/>
  <c r="L121" i="125"/>
  <c r="L121" i="131"/>
  <c r="H121" i="139" l="1"/>
  <c r="H121" i="138"/>
  <c r="H121" i="122"/>
  <c r="H121" i="118"/>
  <c r="H121" i="132"/>
  <c r="H121" i="133"/>
  <c r="H121" i="136"/>
  <c r="H121" i="120"/>
  <c r="H121" i="117"/>
  <c r="H121" i="121"/>
  <c r="H121" i="129"/>
  <c r="H121" i="124"/>
  <c r="H121" i="134"/>
  <c r="H121" i="126"/>
  <c r="H121" i="137"/>
  <c r="H121" i="123"/>
  <c r="H121" i="119"/>
  <c r="H121" i="135"/>
  <c r="H121" i="131"/>
  <c r="H121" i="128"/>
  <c r="H121" i="125"/>
  <c r="H121" i="116"/>
  <c r="H121" i="130"/>
  <c r="I121" i="139" l="1"/>
  <c r="I121" i="138"/>
  <c r="I121" i="137"/>
  <c r="I121" i="118"/>
  <c r="I121" i="126"/>
  <c r="I121" i="131"/>
  <c r="I121" i="123"/>
  <c r="I121" i="116"/>
  <c r="I121" i="129"/>
  <c r="I121" i="119"/>
  <c r="I121" i="136"/>
  <c r="I121" i="122"/>
  <c r="I121" i="128"/>
  <c r="I121" i="125"/>
  <c r="I121" i="133"/>
  <c r="I121" i="134"/>
  <c r="I121" i="121"/>
  <c r="I121" i="124"/>
  <c r="I121" i="132"/>
  <c r="I121" i="117"/>
  <c r="I121" i="135"/>
  <c r="I121" i="120"/>
  <c r="I121" i="130"/>
  <c r="J121" i="139" l="1"/>
  <c r="J121" i="138"/>
  <c r="J121" i="122"/>
  <c r="J121" i="136"/>
  <c r="J121" i="120"/>
  <c r="J121" i="130"/>
  <c r="J121" i="133"/>
  <c r="J121" i="137"/>
  <c r="J121" i="126"/>
  <c r="J121" i="132"/>
  <c r="J121" i="124"/>
  <c r="J121" i="118"/>
  <c r="J121" i="117"/>
  <c r="J121" i="121"/>
  <c r="J121" i="135"/>
  <c r="J121" i="125"/>
  <c r="J121" i="116"/>
  <c r="J121" i="128"/>
  <c r="J121" i="129"/>
  <c r="J121" i="134"/>
  <c r="J121" i="119"/>
  <c r="J121" i="131"/>
  <c r="J121" i="123"/>
  <c r="K121" i="139"/>
  <c r="K121" i="138"/>
  <c r="K121" i="137"/>
  <c r="K121" i="134"/>
  <c r="K121" i="117"/>
  <c r="K121" i="123"/>
  <c r="K121" i="131"/>
  <c r="K121" i="128"/>
  <c r="K121" i="130"/>
  <c r="K121" i="136"/>
  <c r="K121" i="120"/>
  <c r="K121" i="132"/>
  <c r="K121" i="133"/>
  <c r="K121" i="122"/>
  <c r="K121" i="129"/>
  <c r="K121" i="125"/>
  <c r="K121" i="126"/>
  <c r="K121" i="116"/>
  <c r="K121" i="119"/>
  <c r="K121" i="124"/>
  <c r="K121" i="135"/>
  <c r="K121" i="118"/>
  <c r="K121" i="121"/>
</calcChain>
</file>

<file path=xl/comments1.xml><?xml version="1.0" encoding="utf-8"?>
<comments xmlns="http://schemas.openxmlformats.org/spreadsheetml/2006/main">
  <authors>
    <author>Maria Elena Monar</author>
    <author>PRONACA</author>
    <author>tc={FD146B46-10BB-4C5A-9367-FE2059D3FE36}</author>
    <author>tc={6C6BD5F4-860F-4947-B1AC-A09F7A50A1D2}</author>
    <author>tc={5A84B2F0-5311-473A-AF84-416914D76236}</author>
    <author>tc={85C850CD-09A2-46B4-B5B0-174809B27424}</author>
    <author>tc={66C13042-321C-4A0A-8C67-61B5298E3B79}</author>
    <author>tc={C4112727-E972-4BDD-A25D-A53AC5320F83}</author>
    <author>tc={780517BB-7A2D-4DC8-ACD8-543B8AEA031F}</author>
    <author>tc={18D2840B-E011-405F-856F-82AC55F68853}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AB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14 JULIO 2019</t>
        </r>
      </text>
    </comment>
    <comment ref="AE1" authorId="2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CASH TESORERIA PROYECTADO 04 AGOSTO 2019</t>
        </r>
      </text>
    </comment>
    <comment ref="AF1" authorId="3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CASH TESORERIA PROYECTADO 11 AGOSTO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30" authorId="4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30" authorId="5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AE30" authorId="6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05 AGOSTO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93" authorId="7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93" authorId="8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AE93" authorId="9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05 AGOSTO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0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1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2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3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4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5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6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7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8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19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T11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Incremento con dato actualizado para la semana al 21 de mar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.xml><?xml version="1.0" encoding="utf-8"?>
<comments xmlns="http://schemas.openxmlformats.org/spreadsheetml/2006/main">
  <authors>
    <author>Maria Elena Monar</author>
    <author>PRONACA</author>
    <author>tc={FD146B46-10BB-4C5A-9367-FE2059D3FE36}</author>
    <author>tc={6C6BD5F4-860F-4947-B1AC-A09F7A50A1D2}</author>
    <author>tc={5A84B2F0-5311-473A-AF84-416914D76236}</author>
    <author>tc={85C850CD-09A2-46B4-B5B0-174809B27424}</author>
    <author>tc={66C13042-321C-4A0A-8C67-61B5298E3B79}</author>
    <author>tc={C4112727-E972-4BDD-A25D-A53AC5320F83}</author>
    <author>tc={780517BB-7A2D-4DC8-ACD8-543B8AEA031F}</author>
    <author>tc={18D2840B-E011-405F-856F-82AC55F68853}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AB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14 JULIO 2019</t>
        </r>
      </text>
    </comment>
    <comment ref="AE1" authorId="2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CASH TESORERIA PROYECTADO 04 AGOSTO 2019</t>
        </r>
      </text>
    </comment>
    <comment ref="AF1" authorId="3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CASH TESORERIA PROYECTADO 11 AGOSTO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30" authorId="4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30" authorId="5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AE30" authorId="6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05 AGOSTO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93" authorId="7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93" authorId="8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AE93" authorId="9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05 AGOSTO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0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1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2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3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4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5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6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7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8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29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3.xml><?xml version="1.0" encoding="utf-8"?>
<comments xmlns="http://schemas.openxmlformats.org/spreadsheetml/2006/main">
  <authors>
    <author>Maria Elena Monar</author>
    <author>PRONACA</author>
    <author>tc={FD146B46-10BB-4C5A-9367-FE2059D3FE36}</author>
    <author>tc={6C6BD5F4-860F-4947-B1AC-A09F7A50A1D2}</author>
    <author>tc={5A84B2F0-5311-473A-AF84-416914D76236}</author>
    <author>tc={85C850CD-09A2-46B4-B5B0-174809B27424}</author>
    <author>tc={66C13042-321C-4A0A-8C67-61B5298E3B79}</author>
    <author>tc={C4112727-E972-4BDD-A25D-A53AC5320F83}</author>
    <author>tc={780517BB-7A2D-4DC8-ACD8-543B8AEA031F}</author>
    <author>tc={18D2840B-E011-405F-856F-82AC55F68853}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AB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14 JULIO 2019</t>
        </r>
      </text>
    </comment>
    <comment ref="AE1" authorId="2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CASH TESORERIA PROYECTADO 04 AGOSTO 2019</t>
        </r>
      </text>
    </comment>
    <comment ref="AF1" authorId="3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CASH TESORERIA PROYECTADO 11 AGOSTO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30" authorId="4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30" authorId="5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AE30" authorId="6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05 AGOSTO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93" authorId="7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93" authorId="8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AE93" authorId="9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05 AGOSTO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30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31.xml><?xml version="1.0" encoding="utf-8"?>
<comments xmlns="http://schemas.openxmlformats.org/spreadsheetml/2006/main">
  <authors>
    <author>Maria Elena Monar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32.xml><?xml version="1.0" encoding="utf-8"?>
<comments xmlns="http://schemas.openxmlformats.org/spreadsheetml/2006/main">
  <authors>
    <author>Maria Elena Monar</author>
  </authors>
  <commentList>
    <comment ref="C12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El sist. de info se cayó y no hubo integrity desde el viernes 2 de marzo. Lo que sí se puede suponer es que un 'FO 2 mar-18'  debería haber tenido al menos 10 MM menos en egresos para la última semana de febrero porque ese buque tiene como nueva fecha de pago el 5 de marzo. Con esto la proy. al cierre de febrero podría haber sido US$17MM, en lugar del US$ 7 MM. NOTA: Sin integrity no se puede prorratear otros egresos a semanas futuras.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10MM de dif por el Buque que se planificaba en feb y se pago en marzo. Otra diferencia fue por pago de facturas a transportistas que no fueron registradas/presupuestadas.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3MM más en egresos 
1,8MM menos en ingresos (0,5MM viene por Inaexpo).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33.xml><?xml version="1.0" encoding="utf-8"?>
<comments xmlns="http://schemas.openxmlformats.org/spreadsheetml/2006/main">
  <authors>
    <author>Maria Elena Monar</author>
  </authors>
  <commentList>
    <comment ref="B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Dinero que es de Inaexpo y pasa a pronaca x falta de clasificación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El sist. de info se cayó y no hubo integrity desde el viernes 2 de marzo. Lo que sí se puede suponer es que un 'FO 2 mar-18'  debería haber tenido al menos 10 MM menos en egresos para la última semana de febrero porque ese buque tiene como nueva fecha de pago el 5 de marzo. Con esto la proy. al cierre de febrero podría haber sido US$17MM, en lugar del US$ 7 MM. NOTA: Sin integrity no se puede prorratear otros egresos a semanas futuras.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10MM de dif por el Buque que se planificaba en feb y se pago en marzo. Otra diferencia fue por pago de facturas a transportistas que no fueron registradas/presupuestadas.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3MM más en egresos 
1,8MM menos en ingresos (0,5MM viene por Inaexpo).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4.xml><?xml version="1.0" encoding="utf-8"?>
<comments xmlns="http://schemas.openxmlformats.org/spreadsheetml/2006/main">
  <authors>
    <author>Maria Elena Monar</author>
    <author>PRONACA</author>
    <author>tc={0C32A378-2319-4EC3-BE81-7B958227FCCA}</author>
    <author>tc={C5A7810D-15BA-4E31-92DC-B0C740E1D234}</author>
    <author>tc={D227006C-5BE5-4C62-9280-7854F46209A5}</author>
    <author>tc={FDBAA9AB-2D9F-45F7-A273-35311E3D2CE2}</author>
    <author>tc={6E58CBAD-A5FC-4587-AE2D-A6A5EF097D88}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AB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14 JULIO 2019</t>
        </r>
      </text>
    </comment>
    <comment ref="AE1" authorId="2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CASH TESORERIA PROYECTADO 04 AGOSTO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30" authorId="3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30" authorId="4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AC93" authorId="5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22 JULIO 2019</t>
        </r>
      </text>
    </comment>
    <comment ref="AD93" authorId="6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INFORME EJECUTIVO 29 JULIO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5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AB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14 JULIO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AB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15 JULIO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6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AB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14 JULIO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AA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08 JULIO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7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Z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01 JULIO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8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Z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30 JUNIO 2019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Y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24 JUNIO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comments9.xml><?xml version="1.0" encoding="utf-8"?>
<comments xmlns="http://schemas.openxmlformats.org/spreadsheetml/2006/main">
  <authors>
    <author>Maria Elena Monar</author>
    <author>PRONACA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20 ENERO 2019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27 ENERO 2019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FEBRERO 2019 v1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10 FEBRERO 2019 V1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FEBRERO 2019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24 FEBRERO 2019 (002)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03 MARZO 2019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11 MARZO 2019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17 MARZO 2019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14 ABRIL 2019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21 ABRIL 2019</t>
        </r>
      </text>
    </comment>
    <comment ref="Q1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CASH TESORERIA PROYECTADO 28 ABRIL 2019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CASH TESORERIA PROYECTADO 05 MAYO 2019</t>
        </r>
      </text>
    </comment>
    <comment ref="S1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CASH TESORERIA PROYECTADO 12 MAYO 2019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19 MAYO 2019</t>
        </r>
      </text>
    </comment>
    <comment ref="U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26 MAYO 2019</t>
        </r>
      </text>
    </comment>
    <comment ref="V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02 JUNIO 2019</t>
        </r>
      </text>
    </comment>
    <comment ref="W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09 JUNIO 2019</t>
        </r>
      </text>
    </comment>
    <comment ref="X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16 JUNIO 2019</t>
        </r>
      </text>
    </comment>
    <comment ref="Y1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CASH TESORERIA PROYECTADO 23 JUNIO 2019 (version 1)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30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30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21 ENERO 2019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28 ENERO 2019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04 FEBRERO 2019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FEBRERO 2019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FEBRERO 2019</t>
        </r>
      </text>
    </comment>
    <comment ref="H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FEBRERO 2019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06 MARZO 2019</t>
        </r>
      </text>
    </comment>
    <comment ref="J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11 MARZO 2019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18 MARZO 2019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25 MARZO 2019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ABRIL 2019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ABRIL 2019</t>
        </r>
      </text>
    </comment>
    <comment ref="P93" authorId="1">
      <text>
        <r>
          <rPr>
            <b/>
            <sz val="9"/>
            <color indexed="81"/>
            <rFont val="Tahoma"/>
            <family val="2"/>
          </rPr>
          <t>PRONACA:</t>
        </r>
        <r>
          <rPr>
            <sz val="9"/>
            <color indexed="81"/>
            <rFont val="Tahoma"/>
            <family val="2"/>
          </rPr>
          <t xml:space="preserve">
INFORME EJECUTIVO 22 ABRIL 2019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ABRIL 2019</t>
        </r>
      </text>
    </comment>
    <comment ref="R93" authorId="0">
      <text>
        <r>
          <rPr>
            <b/>
            <sz val="11"/>
            <color indexed="81"/>
            <rFont val="Tahoma"/>
            <family val="2"/>
          </rPr>
          <t>Maria Elena Monar:</t>
        </r>
        <r>
          <rPr>
            <sz val="11"/>
            <color indexed="81"/>
            <rFont val="Tahoma"/>
            <family val="2"/>
          </rPr>
          <t xml:space="preserve">
INFORME EJECUTIVO 06 MAYO 2019</t>
        </r>
      </text>
    </comment>
    <comment ref="S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13 MAYO 2019</t>
        </r>
      </text>
    </comment>
    <comment ref="T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20 MAYO 2019</t>
        </r>
      </text>
    </comment>
    <comment ref="U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27 MAYO 2019</t>
        </r>
      </text>
    </comment>
    <comment ref="V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03 JUNIO 2019</t>
        </r>
      </text>
    </comment>
    <comment ref="W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10 JUNIO 2019</t>
        </r>
      </text>
    </comment>
    <comment ref="X93" authorId="0">
      <text>
        <r>
          <rPr>
            <b/>
            <sz val="10"/>
            <color indexed="81"/>
            <rFont val="Tahoma"/>
            <family val="2"/>
          </rPr>
          <t>Maria Elena Monar:</t>
        </r>
        <r>
          <rPr>
            <sz val="10"/>
            <color indexed="81"/>
            <rFont val="Tahoma"/>
            <family val="2"/>
          </rPr>
          <t xml:space="preserve">
INFORME EJECUTIVO 17 JUNIO 2019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Acum: </t>
        </r>
        <r>
          <rPr>
            <sz val="9"/>
            <color indexed="81"/>
            <rFont val="Tahoma"/>
            <family val="2"/>
          </rPr>
          <t>A mar teniamos 1,6 de ventaja, con los 5MM de abr quedamos con 3MM de desventaja.</t>
        </r>
      </text>
    </comment>
    <comment ref="AA12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15.789 mil de dif x julio plan v julio real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63 MM Plan Compras
42 MM Negocio Nut Ani.(2MM para 21 semanas aunq enrealidad faltan 22-23)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08 ENERO 2018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15 ENERO 2018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22 ENERO 2018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INFORME EJECUTIVO 29 ENERO 2018</t>
        </r>
      </text>
    </comment>
    <comment ref="AA152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13.303  mil de dif x julio plan v julio real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Difs por julio real v jul plan</t>
        </r>
      </text>
    </comment>
  </commentList>
</comments>
</file>

<file path=xl/sharedStrings.xml><?xml version="1.0" encoding="utf-8"?>
<sst xmlns="http://schemas.openxmlformats.org/spreadsheetml/2006/main" count="8158" uniqueCount="322">
  <si>
    <t>CategoryDescription</t>
  </si>
  <si>
    <t>SUB TOTAL FLUJO OPERATIVO</t>
  </si>
  <si>
    <t>Opening Balance</t>
  </si>
  <si>
    <t>Negocio Avicola</t>
  </si>
  <si>
    <t>Negocio Cerdos</t>
  </si>
  <si>
    <t>Linea Agricola INAEXPO INX</t>
  </si>
  <si>
    <t>Negocio Arroz</t>
  </si>
  <si>
    <t>Negocio Conservas</t>
  </si>
  <si>
    <t>Negocio Huevos</t>
  </si>
  <si>
    <t>Negocio Productos del Mar</t>
  </si>
  <si>
    <t>Negocio  Reses</t>
  </si>
  <si>
    <t>negocio pecuario</t>
  </si>
  <si>
    <t>Negocio Mascotas</t>
  </si>
  <si>
    <t>Negocio Carnes Listas y Elaborados</t>
  </si>
  <si>
    <t>Negocio Corporativo</t>
  </si>
  <si>
    <t>Cobranza Carnicos</t>
  </si>
  <si>
    <t>Cobranza Nutricion Animal</t>
  </si>
  <si>
    <t>Cobranza INAEXPO</t>
  </si>
  <si>
    <t>Cobranza INCA</t>
  </si>
  <si>
    <t>Ingresos Funacion San Luis</t>
  </si>
  <si>
    <t>Ingresos PRONASER</t>
  </si>
  <si>
    <t>Ingreso PRODUASTRO</t>
  </si>
  <si>
    <t>Ingresos PRONACA COLOMBIA</t>
  </si>
  <si>
    <t>Otros Ingresos</t>
  </si>
  <si>
    <t>Venta de Activos</t>
  </si>
  <si>
    <t>Alcachofa</t>
  </si>
  <si>
    <t>Palmito</t>
  </si>
  <si>
    <t>Ingresos Inca</t>
  </si>
  <si>
    <t>Negocio Agricola</t>
  </si>
  <si>
    <t>SubTotal 'INGRESOS OPERATIVOS'</t>
  </si>
  <si>
    <t>M.P. Palmito</t>
  </si>
  <si>
    <t>M.P. Alcachofa</t>
  </si>
  <si>
    <t>Pago Proveedores INAEXPO</t>
  </si>
  <si>
    <t>Importaciones INAEXPO</t>
  </si>
  <si>
    <t>Pago Proveedores INCA</t>
  </si>
  <si>
    <t>Pago Proveedores FSL</t>
  </si>
  <si>
    <t>Importaciones FSL</t>
  </si>
  <si>
    <t>Pago Proveedores PRONASER</t>
  </si>
  <si>
    <t>Importaciones Pronaser</t>
  </si>
  <si>
    <t>Pago Proveedores Produastro</t>
  </si>
  <si>
    <t>Importaciones PRODUASTRO</t>
  </si>
  <si>
    <t>Cheques Pagados</t>
  </si>
  <si>
    <t>Nomina</t>
  </si>
  <si>
    <t>Pagos Ejecutados</t>
  </si>
  <si>
    <t>Participacion Empleados</t>
  </si>
  <si>
    <t>Servicios Basicos</t>
  </si>
  <si>
    <t>Impuestos</t>
  </si>
  <si>
    <t>Renta</t>
  </si>
  <si>
    <t>IVA</t>
  </si>
  <si>
    <t>Otros Impuestos</t>
  </si>
  <si>
    <t>Gastos y Comisiones Bancarias</t>
  </si>
  <si>
    <t>Interes por Sobregiro</t>
  </si>
  <si>
    <t>Otros  Egresos</t>
  </si>
  <si>
    <t>CHEQUE DEVUELTOS</t>
  </si>
  <si>
    <t>COMISION BANCARIA</t>
  </si>
  <si>
    <t>SERVICIOS BANCARIOS CASH</t>
  </si>
  <si>
    <t>Impuesto Rendimiento Financiero</t>
  </si>
  <si>
    <t>GASTOS BANCARIOS</t>
  </si>
  <si>
    <t>Mascotas</t>
  </si>
  <si>
    <t>Cancela Interes Exterior</t>
  </si>
  <si>
    <t>Cancela Interes Local</t>
  </si>
  <si>
    <t>Agricola</t>
  </si>
  <si>
    <t>BODEGA/ALMACEN CONSUMO ANIMAL</t>
  </si>
  <si>
    <t>BODEGA/ALMACEN CONS.HUMANO</t>
  </si>
  <si>
    <t>Arroz</t>
  </si>
  <si>
    <t>AVES EN PIE</t>
  </si>
  <si>
    <t>AVES DE POSTURA</t>
  </si>
  <si>
    <t>AVES PROCESADAS</t>
  </si>
  <si>
    <t>AVES DE REPROD.</t>
  </si>
  <si>
    <t>BODEGAS AGRICOLAS</t>
  </si>
  <si>
    <t>CERDOS PRE-CRIA</t>
  </si>
  <si>
    <t>CERDOS ENGORDE</t>
  </si>
  <si>
    <t>CERDOS PROCESADOS</t>
  </si>
  <si>
    <t>CERDOS DE REPROD.</t>
  </si>
  <si>
    <t>Conservas</t>
  </si>
  <si>
    <t>ENACA</t>
  </si>
  <si>
    <t>GANADO PRE-RECRIA</t>
  </si>
  <si>
    <t>GANADO DE ENG.</t>
  </si>
  <si>
    <t>GANADO PROCESADA</t>
  </si>
  <si>
    <t>INCUBACION</t>
  </si>
  <si>
    <t>LABORATORIO</t>
  </si>
  <si>
    <t>Nutricion Animal</t>
  </si>
  <si>
    <t>PAVOS DE ENG.</t>
  </si>
  <si>
    <t>PAVOS REPRODUCTORES</t>
  </si>
  <si>
    <t>PLANTACIONES FORESTALES</t>
  </si>
  <si>
    <t>POLLOS DE ENG.</t>
  </si>
  <si>
    <t>Productos del Mar</t>
  </si>
  <si>
    <t>PROVEEDORES</t>
  </si>
  <si>
    <t>ACUMULADOS/PROVISIONE</t>
  </si>
  <si>
    <t>RELACIONADAS</t>
  </si>
  <si>
    <t>TESORERIA</t>
  </si>
  <si>
    <t>VALOR AGREGADO</t>
  </si>
  <si>
    <t>SubTotal 'EGRESO OPERATIVO'</t>
  </si>
  <si>
    <t>INGRESOS</t>
  </si>
  <si>
    <t>EGRESOS</t>
  </si>
  <si>
    <t>FO</t>
  </si>
  <si>
    <t>Flujo Operativo PRONACA (US$ Miles)</t>
  </si>
  <si>
    <t>Flujo Operativo INAEXPO (US$ Miles)</t>
  </si>
  <si>
    <t>Ingresos</t>
  </si>
  <si>
    <t>FLUJO OPERATIVO</t>
  </si>
  <si>
    <t>OTROS (US$ MILES)</t>
  </si>
  <si>
    <t>CONSOLIDADO (US$ MILES)</t>
  </si>
  <si>
    <t>F31/12/2019</t>
  </si>
  <si>
    <t>egresos</t>
  </si>
  <si>
    <t>Total Egresos Operativos</t>
  </si>
  <si>
    <t>Total Egresos Inversiones</t>
  </si>
  <si>
    <t>Total Egresos Financieros</t>
  </si>
  <si>
    <t>Total Egresos</t>
  </si>
  <si>
    <t>Caja Mínima Local</t>
  </si>
  <si>
    <t>Anual</t>
  </si>
  <si>
    <t xml:space="preserve">Prom. Mens. 2018 </t>
  </si>
  <si>
    <t>(US$MM)</t>
  </si>
  <si>
    <t xml:space="preserve">Prom. Sem. 2018 </t>
  </si>
  <si>
    <t>Prom. Eg.</t>
  </si>
  <si>
    <t>Desv. Estand. Eg.</t>
  </si>
  <si>
    <t>Var %</t>
  </si>
  <si>
    <t>Z</t>
  </si>
  <si>
    <t>VAR</t>
  </si>
  <si>
    <t>VAR Flujo Operativo (98%)</t>
  </si>
  <si>
    <t>Nómina</t>
  </si>
  <si>
    <t>Proveedoeres Materia Prima</t>
  </si>
  <si>
    <t>Otros Proveedores</t>
  </si>
  <si>
    <t>Capex</t>
  </si>
  <si>
    <t>Servicio de Deuda</t>
  </si>
  <si>
    <t>REAL</t>
  </si>
  <si>
    <t>ingresos aumento de la semana anterior</t>
  </si>
  <si>
    <t>Dif Impts</t>
  </si>
  <si>
    <t>Dif Nut Animal</t>
  </si>
  <si>
    <t>Dif CxP</t>
  </si>
  <si>
    <t>Total</t>
  </si>
  <si>
    <t xml:space="preserve">Aumenta FO </t>
  </si>
  <si>
    <t>Impuestos/Nómina</t>
  </si>
  <si>
    <t>CXP Proveedores</t>
  </si>
  <si>
    <t>Total PRONACA</t>
  </si>
  <si>
    <t>Inaexpo</t>
  </si>
  <si>
    <t>Total Consolidado</t>
  </si>
  <si>
    <t>Otros</t>
  </si>
  <si>
    <t>Total PRONACA sin IVA</t>
  </si>
  <si>
    <t>EGRESOS:</t>
  </si>
  <si>
    <t>Total Tesorería</t>
  </si>
  <si>
    <t>Total Planeación</t>
  </si>
  <si>
    <t>Comprobación Totales</t>
  </si>
  <si>
    <t>INGRESOS:</t>
  </si>
  <si>
    <t>Diferencias (- mas)</t>
  </si>
  <si>
    <t>Diferencias (+ más)</t>
  </si>
  <si>
    <t>Presupuesto</t>
  </si>
  <si>
    <t>Jul Real</t>
  </si>
  <si>
    <t>Ago Tesorería</t>
  </si>
  <si>
    <t>Ago Planeación</t>
  </si>
  <si>
    <t>Sep-Dic Tesorería</t>
  </si>
  <si>
    <t>Sep-Dic Planeación</t>
  </si>
  <si>
    <t>Guayaquil Centro de Operación Oficina Regional Guayaquil Nov llamar Jaqueline Hurtado</t>
  </si>
  <si>
    <t>N/A</t>
  </si>
  <si>
    <t>Baja FO x CxP, probablemente CAPEX</t>
  </si>
  <si>
    <t>CF20/01/2019</t>
  </si>
  <si>
    <t>F27/01/2019</t>
  </si>
  <si>
    <t>F03/02/2019</t>
  </si>
  <si>
    <t>F10/02/2019</t>
  </si>
  <si>
    <t>F17/02/2019</t>
  </si>
  <si>
    <t>F24/02/2019</t>
  </si>
  <si>
    <t>F03/03/2019</t>
  </si>
  <si>
    <t>F10/03/2019</t>
  </si>
  <si>
    <t>F17/03/2019</t>
  </si>
  <si>
    <t>F24/03/2019</t>
  </si>
  <si>
    <t>F31/03/2019</t>
  </si>
  <si>
    <t>F07/04/2019</t>
  </si>
  <si>
    <t>F14/04/2019</t>
  </si>
  <si>
    <t>F21/04/2019</t>
  </si>
  <si>
    <t>F28/04/2019</t>
  </si>
  <si>
    <t>F05/05/2019</t>
  </si>
  <si>
    <t>F12/05/2019</t>
  </si>
  <si>
    <t>F19/05/2019</t>
  </si>
  <si>
    <t>F26/05/2019</t>
  </si>
  <si>
    <t>F02/06/2019</t>
  </si>
  <si>
    <t>F09/06/2019</t>
  </si>
  <si>
    <t>F16/06/2019</t>
  </si>
  <si>
    <t>F23/06/2019</t>
  </si>
  <si>
    <t>F30/06/2019</t>
  </si>
  <si>
    <t>F07/07/2019</t>
  </si>
  <si>
    <t>F14/07/2019</t>
  </si>
  <si>
    <t>F21/07/2019</t>
  </si>
  <si>
    <t>F28/07/2019</t>
  </si>
  <si>
    <t>F04/08/2019</t>
  </si>
  <si>
    <t>F11/08/2019</t>
  </si>
  <si>
    <t>F18/08/2019</t>
  </si>
  <si>
    <t>F25/08/2019</t>
  </si>
  <si>
    <t>F01/09/2019</t>
  </si>
  <si>
    <t>F08/09/2019</t>
  </si>
  <si>
    <t>F15/09/2019</t>
  </si>
  <si>
    <t>F22/09/2019</t>
  </si>
  <si>
    <t>F29/09/2019</t>
  </si>
  <si>
    <t>F06/10/2019</t>
  </si>
  <si>
    <t>F13/10/2019</t>
  </si>
  <si>
    <t>F20/10/2019</t>
  </si>
  <si>
    <t>F27/10/2019</t>
  </si>
  <si>
    <t>F03/11/2019</t>
  </si>
  <si>
    <t>F10/11/2019</t>
  </si>
  <si>
    <t>F17/11/2019</t>
  </si>
  <si>
    <t>F24/11/2019</t>
  </si>
  <si>
    <t>F01/12/2019</t>
  </si>
  <si>
    <t>F08/12/2019</t>
  </si>
  <si>
    <t>F15/12/2019</t>
  </si>
  <si>
    <t>F22/12/2019</t>
  </si>
  <si>
    <t>F29/12/2019</t>
  </si>
  <si>
    <t>Inicial Enero</t>
  </si>
  <si>
    <t>CF27/01/2019</t>
  </si>
  <si>
    <t>Iva &amp; Retenciones que se debieron debitar la semana del 20-ene y no se hizo.</t>
  </si>
  <si>
    <t>Cae 10 MM x1 se retira 1,5 MM entre 20/ene  a 3/mar (7 semanas)</t>
  </si>
  <si>
    <t>FLUJO FINANCIERO</t>
  </si>
  <si>
    <t>SubTotal 'FLUJO FINANCIERO'</t>
  </si>
  <si>
    <t>Creditos Sindicados</t>
  </si>
  <si>
    <t>Capital de  Trabajo Corto Plazo Externa</t>
  </si>
  <si>
    <t>Capital de trabajo cort plazo local</t>
  </si>
  <si>
    <t>Deuda Exterior</t>
  </si>
  <si>
    <t>Deuda Local</t>
  </si>
  <si>
    <t>EMISION PAPEL COMERCIAL CORTO PLAZO</t>
  </si>
  <si>
    <t>Emisión Deuda Largo Plazo</t>
  </si>
  <si>
    <t>Cancelacion Emision Deuda LP</t>
  </si>
  <si>
    <t>Cancelacion Papel Comercial</t>
  </si>
  <si>
    <t>Dividendos</t>
  </si>
  <si>
    <t>Pago y Compensación Papel Comercial</t>
  </si>
  <si>
    <t>Renovacion Deuda - Corto Plazo Externa</t>
  </si>
  <si>
    <t>Renovacion Deuda - Corto Plazo Local</t>
  </si>
  <si>
    <t>Pago Vencimiento - Largo Plazo Externa</t>
  </si>
  <si>
    <t>Pago Vencimeinto - Largo Plazo Local</t>
  </si>
  <si>
    <t>Pago Vencimiento - Corto Plazo Externa</t>
  </si>
  <si>
    <t>Pago Vencimiento - Corto Plazo Local</t>
  </si>
  <si>
    <t>Contratacion Deuda - Largo Plazo Externa</t>
  </si>
  <si>
    <t>Contratacion Deuda -Largo Plazo Local</t>
  </si>
  <si>
    <t>Contratacion Deuda - Corto Plazo Externa</t>
  </si>
  <si>
    <t>Contratacion Deuda - Corto Plazo Local</t>
  </si>
  <si>
    <t>FLUJO DE INVERSIONES</t>
  </si>
  <si>
    <t>SubTotal 'FLUJO DE INVERSIONES'</t>
  </si>
  <si>
    <t>ACTIVO FIJO VALOR AGREGADO</t>
  </si>
  <si>
    <t>ACTIVO FIJO TESORERIA</t>
  </si>
  <si>
    <t>ACTIVO FIJO RELACIONADAS</t>
  </si>
  <si>
    <t>ACTIVO FIJO ACUMULADOS/PROVISIONE</t>
  </si>
  <si>
    <t>ACTIVO FIJO PROVEEDORES</t>
  </si>
  <si>
    <t>ACTIVO FIJO PRODUCTOS DEL MAR</t>
  </si>
  <si>
    <t>ACTIVO FIJO POLLOS DE ENG.</t>
  </si>
  <si>
    <t>ACTIVO FIJO PLANTACIONES FORESTALES</t>
  </si>
  <si>
    <t>ACTIVO FIJO PAVOS REPRODUCTORES</t>
  </si>
  <si>
    <t>ACTIVO FIJO PAVOS DE ENG.</t>
  </si>
  <si>
    <t>Activo Fijo Nutricion Animal</t>
  </si>
  <si>
    <t>ACTIVO FIJO SALUD.-CUID. MASCOTAS</t>
  </si>
  <si>
    <t>ACTIVO FIJO LABORATORIOS</t>
  </si>
  <si>
    <t>ACTIVO FIJO INCUBADORAS</t>
  </si>
  <si>
    <t>ACTIVO FIJO GANADO DE REPROD.</t>
  </si>
  <si>
    <t>ACTIVO FIJO GANADO PROCESADA</t>
  </si>
  <si>
    <t>ACTIVO FIJO GANADO DE ENG.</t>
  </si>
  <si>
    <t>ACTIVO FIJO GANADO PRE-RECRIA</t>
  </si>
  <si>
    <t>ACTIVO FIJO ENACA</t>
  </si>
  <si>
    <t>ACTIVO FIJO CONSERVAS</t>
  </si>
  <si>
    <t>ACTIVO FIJO CERDOS DE REPROD.</t>
  </si>
  <si>
    <t>ACTIVO FIJO CERDOS PROCESADOS</t>
  </si>
  <si>
    <t>ACTIVO FIJO CERDOS ENGORDE</t>
  </si>
  <si>
    <t>ACTIVO FIJO CERDOS PRE-CRIA</t>
  </si>
  <si>
    <t>ACTIVO FIJO BODEGAS AGRICOLAS</t>
  </si>
  <si>
    <t>ACTIVO FIJO AVES REPRODUCCION</t>
  </si>
  <si>
    <t>ACTIVO FIJO AVES PROCESADAS</t>
  </si>
  <si>
    <t>ACTIVO FIJO AVES DE POSTURA</t>
  </si>
  <si>
    <t>ACTIVO FIJO AVES EN PIE</t>
  </si>
  <si>
    <t>ACTIVO FIJO ARROZ</t>
  </si>
  <si>
    <t>ACTIVO FIJO BODEGA/ALMACEN CONS.HUMANO</t>
  </si>
  <si>
    <t>ACTIVO FIJO BODEGA/ALMACEN CONSUMO ANIMAL</t>
  </si>
  <si>
    <t>ACTIVO FIJO AGRICOLA</t>
  </si>
  <si>
    <t>Overnight</t>
  </si>
  <si>
    <t>Compra - Colocacion</t>
  </si>
  <si>
    <t>Venta - Recuperacion</t>
  </si>
  <si>
    <t>Compra Activo Fijo PRODUASTRO</t>
  </si>
  <si>
    <t>Compra Activos Fijos PRONASER</t>
  </si>
  <si>
    <t>Compra Activos Fijos FSL</t>
  </si>
  <si>
    <t>Compra Activos Fijos INAEXPO</t>
  </si>
  <si>
    <t>TRANSFERENCIAS</t>
  </si>
  <si>
    <t>SubTotal 'TRANSFERENCIAS'</t>
  </si>
  <si>
    <t>Transferencias Intercompany OUT</t>
  </si>
  <si>
    <t>Transferencias Entre Cuentas OUT</t>
  </si>
  <si>
    <t>Transferencias Intercompany IN</t>
  </si>
  <si>
    <t>TRANSFERENCIA ENTRE CUENTAS CON CARTA</t>
  </si>
  <si>
    <t>Transferencias Entre Cuentas IN</t>
  </si>
  <si>
    <t>EGRESO OPERATIVO</t>
  </si>
  <si>
    <t>INGRESOS OPERATIVOS</t>
  </si>
  <si>
    <t>Gastos</t>
  </si>
  <si>
    <t>F13/01/2019</t>
  </si>
  <si>
    <t>F06/01/2019</t>
  </si>
  <si>
    <t>ReportGroup</t>
  </si>
  <si>
    <t>Pro</t>
  </si>
  <si>
    <t xml:space="preserve"> =&gt; Sobrestimado en Gastos</t>
  </si>
  <si>
    <t>CF03/02/2019</t>
  </si>
  <si>
    <t>CF10/02/2019</t>
  </si>
  <si>
    <t>CF17/02/2019</t>
  </si>
  <si>
    <t>a</t>
  </si>
  <si>
    <t xml:space="preserve">ingresos </t>
  </si>
  <si>
    <t>CF24/02/2019</t>
  </si>
  <si>
    <t>CF03/03/2019</t>
  </si>
  <si>
    <t>CF10/03/2019</t>
  </si>
  <si>
    <t>CF17/03/2019</t>
  </si>
  <si>
    <t>IESS  E IMP  A LA RENTA</t>
  </si>
  <si>
    <t>IVA Y RETENCION RENTA</t>
  </si>
  <si>
    <t>Incremento de 3 MM de pago a proveedores en semana del 17 de marzo</t>
  </si>
  <si>
    <t>CF24/03/2019</t>
  </si>
  <si>
    <t>CF31/03/2019</t>
  </si>
  <si>
    <t>CF07/04/2019</t>
  </si>
  <si>
    <t>CF14/04/2019</t>
  </si>
  <si>
    <t>CF21/04/2019</t>
  </si>
  <si>
    <t>CF28/04/2019</t>
  </si>
  <si>
    <t>CF05/05/2019</t>
  </si>
  <si>
    <t>CF12/05/2019</t>
  </si>
  <si>
    <t>CF19/05/2019</t>
  </si>
  <si>
    <t>CF26/05/2019</t>
  </si>
  <si>
    <t>CF02/06/2019</t>
  </si>
  <si>
    <t>CF09/06/2019</t>
  </si>
  <si>
    <t>CF16/06/2019</t>
  </si>
  <si>
    <t>Buque Original</t>
  </si>
  <si>
    <t>Nueva Fecha</t>
  </si>
  <si>
    <t>CF23/06/2019</t>
  </si>
  <si>
    <t>CF30/06/2019</t>
  </si>
  <si>
    <t>CF07/07/2019</t>
  </si>
  <si>
    <t>CF14/07/2019</t>
  </si>
  <si>
    <t>CF21/07/2019</t>
  </si>
  <si>
    <t>CF04/08/2019</t>
  </si>
  <si>
    <t>Deben Cuadrar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</si>
</sst>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 * #,##0.00_ ;_ * \-#,##0.00_ ;_ * &quot;-&quot;??_ ;_ @_ "/>
    <numFmt numFmtId="166" formatCode="_(* #,##0_);_(* \(#,##0\);_(* &quot;-&quot;??_);_(@_)"/>
    <numFmt numFmtId="167" formatCode="_ * #,##0_ ;_ * \-#,##0_ ;_ * &quot;-&quot;??_ ;_ @_ "/>
    <numFmt numFmtId="168" formatCode="#,##0.0_);[Red]\(#,##0.0\)"/>
    <numFmt numFmtId="169" formatCode="_-* #,##0.00\ _$_-;\-* #,##0.00\ _$_-;_-* &quot;-&quot;??\ _$_-;_-@_-"/>
    <numFmt numFmtId="170" formatCode="#,##0;\(#,##0\)"/>
    <numFmt numFmtId="171" formatCode="0.0%"/>
    <numFmt numFmtId="172" formatCode="\ #,##0;\(#,##0\)"/>
    <numFmt numFmtId="173" formatCode="#,##0.00[$€];[Red]\-#,##0.00[$€]"/>
    <numFmt numFmtId="174" formatCode="[$-C0A]dd\-mmm\-yy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4" tint="0.3999755851924192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Geneva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  <font>
      <sz val="9"/>
      <color theme="9" tint="-0.249977111117893"/>
      <name val="Calibri"/>
      <family val="2"/>
      <scheme val="minor"/>
    </font>
    <font>
      <b/>
      <sz val="9"/>
      <color rgb="FFFF0000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4" fillId="0" borderId="0">
      <alignment vertical="top"/>
    </xf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6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8" fillId="18" borderId="5" applyNumberFormat="0" applyAlignment="0" applyProtection="0"/>
    <xf numFmtId="0" fontId="39" fillId="27" borderId="6" applyNumberFormat="0" applyAlignment="0" applyProtection="0"/>
    <xf numFmtId="0" fontId="4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31" borderId="0" applyNumberFormat="0" applyBorder="0" applyAlignment="0" applyProtection="0"/>
    <xf numFmtId="0" fontId="42" fillId="18" borderId="5" applyNumberFormat="0" applyAlignment="0" applyProtection="0"/>
    <xf numFmtId="173" fontId="35" fillId="0" borderId="0" applyFont="0" applyFill="0" applyBorder="0" applyAlignment="0" applyProtection="0"/>
    <xf numFmtId="0" fontId="43" fillId="14" borderId="0" applyNumberFormat="0" applyBorder="0" applyAlignment="0" applyProtection="0"/>
    <xf numFmtId="40" fontId="35" fillId="0" borderId="0" applyFont="0" applyFill="0" applyBorder="0" applyAlignment="0" applyProtection="0"/>
    <xf numFmtId="0" fontId="44" fillId="32" borderId="0" applyNumberFormat="0" applyBorder="0" applyAlignment="0" applyProtection="0"/>
    <xf numFmtId="0" fontId="3" fillId="0" borderId="0"/>
    <xf numFmtId="0" fontId="1" fillId="0" borderId="0"/>
    <xf numFmtId="0" fontId="35" fillId="33" borderId="8" applyNumberFormat="0" applyFont="0" applyAlignment="0" applyProtection="0"/>
    <xf numFmtId="9" fontId="35" fillId="0" borderId="0" applyFont="0" applyFill="0" applyBorder="0" applyAlignment="0" applyProtection="0"/>
    <xf numFmtId="0" fontId="45" fillId="18" borderId="9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0" applyNumberFormat="0" applyFill="0" applyAlignment="0" applyProtection="0"/>
    <xf numFmtId="0" fontId="41" fillId="0" borderId="11" applyNumberFormat="0" applyFill="0" applyAlignment="0" applyProtection="0"/>
    <xf numFmtId="0" fontId="50" fillId="0" borderId="12" applyNumberFormat="0" applyFill="0" applyAlignment="0" applyProtection="0"/>
    <xf numFmtId="0" fontId="34" fillId="0" borderId="0"/>
    <xf numFmtId="0" fontId="5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61">
    <xf numFmtId="0" fontId="0" fillId="0" borderId="0" xfId="0"/>
    <xf numFmtId="17" fontId="2" fillId="3" borderId="0" xfId="0" applyNumberFormat="1" applyFont="1" applyFill="1" applyAlignment="1">
      <alignment horizontal="center"/>
    </xf>
    <xf numFmtId="165" fontId="14" fillId="0" borderId="0" xfId="2" applyFont="1" applyFill="1" applyBorder="1" applyAlignment="1">
      <alignment horizontal="center"/>
    </xf>
    <xf numFmtId="165" fontId="15" fillId="0" borderId="0" xfId="2" applyFont="1" applyFill="1"/>
    <xf numFmtId="165" fontId="16" fillId="0" borderId="0" xfId="2" applyFont="1" applyFill="1" applyBorder="1"/>
    <xf numFmtId="165" fontId="15" fillId="0" borderId="0" xfId="2" applyFont="1" applyFill="1" applyBorder="1"/>
    <xf numFmtId="165" fontId="17" fillId="0" borderId="0" xfId="2" applyFont="1" applyFill="1" applyBorder="1"/>
    <xf numFmtId="165" fontId="18" fillId="0" borderId="1" xfId="2" applyFont="1" applyFill="1" applyBorder="1"/>
    <xf numFmtId="165" fontId="18" fillId="0" borderId="0" xfId="2" applyFont="1" applyFill="1" applyBorder="1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 applyFill="1"/>
    <xf numFmtId="166" fontId="0" fillId="0" borderId="0" xfId="1" applyNumberFormat="1" applyFont="1" applyFill="1"/>
    <xf numFmtId="166" fontId="10" fillId="0" borderId="0" xfId="1" applyNumberFormat="1" applyFont="1" applyFill="1"/>
    <xf numFmtId="0" fontId="0" fillId="0" borderId="0" xfId="0" applyFill="1"/>
    <xf numFmtId="165" fontId="11" fillId="0" borderId="0" xfId="2" applyFont="1" applyFill="1" applyBorder="1"/>
    <xf numFmtId="165" fontId="7" fillId="0" borderId="0" xfId="2" applyFont="1" applyFill="1" applyBorder="1"/>
    <xf numFmtId="165" fontId="5" fillId="2" borderId="0" xfId="2" applyFont="1" applyFill="1" applyAlignment="1">
      <alignment horizontal="center"/>
    </xf>
    <xf numFmtId="167" fontId="7" fillId="0" borderId="0" xfId="2" applyNumberFormat="1" applyFont="1" applyFill="1"/>
    <xf numFmtId="167" fontId="12" fillId="0" borderId="0" xfId="2" applyNumberFormat="1" applyFont="1" applyFill="1"/>
    <xf numFmtId="167" fontId="19" fillId="0" borderId="0" xfId="2" applyNumberFormat="1" applyFont="1" applyFill="1"/>
    <xf numFmtId="165" fontId="11" fillId="0" borderId="1" xfId="2" applyFont="1" applyFill="1" applyBorder="1"/>
    <xf numFmtId="166" fontId="16" fillId="0" borderId="0" xfId="1" applyNumberFormat="1" applyFont="1"/>
    <xf numFmtId="0" fontId="16" fillId="0" borderId="0" xfId="0" applyFont="1" applyFill="1"/>
    <xf numFmtId="165" fontId="0" fillId="0" borderId="0" xfId="2" applyFont="1" applyFill="1" applyBorder="1"/>
    <xf numFmtId="167" fontId="16" fillId="0" borderId="0" xfId="0" applyNumberFormat="1" applyFont="1"/>
    <xf numFmtId="37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165" fontId="5" fillId="3" borderId="0" xfId="2" applyFont="1" applyFill="1" applyAlignment="1">
      <alignment horizontal="center"/>
    </xf>
    <xf numFmtId="0" fontId="20" fillId="0" borderId="0" xfId="0" applyFont="1"/>
    <xf numFmtId="165" fontId="6" fillId="6" borderId="0" xfId="2" applyFont="1" applyFill="1" applyAlignment="1">
      <alignment horizontal="center"/>
    </xf>
    <xf numFmtId="165" fontId="0" fillId="6" borderId="0" xfId="2" applyFont="1" applyFill="1" applyBorder="1"/>
    <xf numFmtId="167" fontId="7" fillId="6" borderId="0" xfId="2" applyNumberFormat="1" applyFont="1" applyFill="1"/>
    <xf numFmtId="167" fontId="19" fillId="6" borderId="0" xfId="2" applyNumberFormat="1" applyFont="1" applyFill="1"/>
    <xf numFmtId="167" fontId="12" fillId="6" borderId="0" xfId="2" applyNumberFormat="1" applyFont="1" applyFill="1"/>
    <xf numFmtId="165" fontId="7" fillId="6" borderId="0" xfId="2" applyFont="1" applyFill="1" applyBorder="1"/>
    <xf numFmtId="165" fontId="11" fillId="6" borderId="1" xfId="2" applyFont="1" applyFill="1" applyBorder="1"/>
    <xf numFmtId="167" fontId="15" fillId="0" borderId="0" xfId="2" applyNumberFormat="1" applyFont="1" applyFill="1" applyBorder="1"/>
    <xf numFmtId="37" fontId="16" fillId="0" borderId="0" xfId="0" applyNumberFormat="1" applyFont="1"/>
    <xf numFmtId="166" fontId="16" fillId="0" borderId="0" xfId="1" applyNumberFormat="1" applyFont="1" applyFill="1"/>
    <xf numFmtId="0" fontId="21" fillId="0" borderId="0" xfId="0" applyFont="1"/>
    <xf numFmtId="0" fontId="22" fillId="3" borderId="0" xfId="0" applyFont="1" applyFill="1" applyAlignment="1">
      <alignment horizontal="center"/>
    </xf>
    <xf numFmtId="0" fontId="23" fillId="0" borderId="0" xfId="0" applyFont="1"/>
    <xf numFmtId="168" fontId="23" fillId="0" borderId="0" xfId="0" applyNumberFormat="1" applyFont="1" applyAlignment="1">
      <alignment horizontal="center"/>
    </xf>
    <xf numFmtId="0" fontId="24" fillId="0" borderId="4" xfId="0" applyFont="1" applyBorder="1"/>
    <xf numFmtId="168" fontId="24" fillId="0" borderId="4" xfId="0" applyNumberFormat="1" applyFont="1" applyBorder="1" applyAlignment="1">
      <alignment horizontal="center"/>
    </xf>
    <xf numFmtId="0" fontId="24" fillId="0" borderId="3" xfId="0" applyFont="1" applyBorder="1"/>
    <xf numFmtId="168" fontId="24" fillId="0" borderId="3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9" fontId="16" fillId="0" borderId="0" xfId="0" applyNumberFormat="1" applyFont="1"/>
    <xf numFmtId="43" fontId="16" fillId="0" borderId="0" xfId="1" applyFont="1"/>
    <xf numFmtId="43" fontId="5" fillId="8" borderId="0" xfId="1" applyFont="1" applyFill="1" applyAlignment="1">
      <alignment horizontal="center"/>
    </xf>
    <xf numFmtId="17" fontId="2" fillId="8" borderId="0" xfId="0" applyNumberFormat="1" applyFont="1" applyFill="1" applyAlignment="1">
      <alignment horizontal="center"/>
    </xf>
    <xf numFmtId="0" fontId="16" fillId="8" borderId="0" xfId="0" applyFont="1" applyFill="1"/>
    <xf numFmtId="165" fontId="5" fillId="8" borderId="0" xfId="2" applyFont="1" applyFill="1" applyAlignment="1">
      <alignment horizontal="center"/>
    </xf>
    <xf numFmtId="0" fontId="0" fillId="8" borderId="0" xfId="0" applyFill="1"/>
    <xf numFmtId="37" fontId="20" fillId="0" borderId="0" xfId="0" applyNumberFormat="1" applyFont="1" applyAlignment="1">
      <alignment horizontal="center"/>
    </xf>
    <xf numFmtId="37" fontId="25" fillId="0" borderId="0" xfId="0" applyNumberFormat="1" applyFont="1" applyAlignment="1">
      <alignment horizontal="center"/>
    </xf>
    <xf numFmtId="167" fontId="16" fillId="0" borderId="0" xfId="0" applyNumberFormat="1" applyFont="1" applyFill="1"/>
    <xf numFmtId="166" fontId="16" fillId="0" borderId="0" xfId="0" applyNumberFormat="1" applyFont="1" applyFill="1"/>
    <xf numFmtId="37" fontId="16" fillId="0" borderId="0" xfId="0" applyNumberFormat="1" applyFont="1" applyFill="1"/>
    <xf numFmtId="0" fontId="21" fillId="0" borderId="0" xfId="0" applyFont="1" applyFill="1"/>
    <xf numFmtId="1" fontId="16" fillId="0" borderId="0" xfId="0" applyNumberFormat="1" applyFont="1" applyFill="1"/>
    <xf numFmtId="167" fontId="21" fillId="0" borderId="0" xfId="0" applyNumberFormat="1" applyFont="1" applyFill="1" applyBorder="1"/>
    <xf numFmtId="37" fontId="0" fillId="0" borderId="0" xfId="0" applyNumberFormat="1" applyFill="1"/>
    <xf numFmtId="37" fontId="20" fillId="0" borderId="0" xfId="0" applyNumberFormat="1" applyFont="1" applyFill="1"/>
    <xf numFmtId="37" fontId="20" fillId="0" borderId="0" xfId="0" applyNumberFormat="1" applyFont="1" applyFill="1" applyAlignment="1">
      <alignment horizontal="center"/>
    </xf>
    <xf numFmtId="0" fontId="20" fillId="0" borderId="0" xfId="0" applyFont="1" applyFill="1"/>
    <xf numFmtId="43" fontId="0" fillId="0" borderId="0" xfId="0" applyNumberFormat="1" applyFill="1"/>
    <xf numFmtId="165" fontId="5" fillId="0" borderId="0" xfId="2" applyFont="1" applyFill="1" applyAlignment="1">
      <alignment horizontal="center"/>
    </xf>
    <xf numFmtId="0" fontId="16" fillId="0" borderId="2" xfId="0" applyFont="1" applyFill="1" applyBorder="1"/>
    <xf numFmtId="37" fontId="3" fillId="0" borderId="0" xfId="2" applyNumberFormat="1" applyFont="1" applyFill="1" applyAlignment="1">
      <alignment horizontal="center"/>
    </xf>
    <xf numFmtId="37" fontId="25" fillId="0" borderId="0" xfId="0" applyNumberFormat="1" applyFont="1" applyFill="1"/>
    <xf numFmtId="0" fontId="29" fillId="0" borderId="0" xfId="0" applyFont="1" applyFill="1"/>
    <xf numFmtId="43" fontId="16" fillId="0" borderId="0" xfId="0" applyNumberFormat="1" applyFont="1" applyFill="1"/>
    <xf numFmtId="166" fontId="7" fillId="0" borderId="0" xfId="1" applyNumberFormat="1" applyFont="1" applyFill="1" applyAlignment="1">
      <alignment horizontal="center"/>
    </xf>
    <xf numFmtId="170" fontId="16" fillId="0" borderId="0" xfId="1" applyNumberFormat="1" applyFont="1" applyFill="1" applyAlignment="1">
      <alignment horizontal="center"/>
    </xf>
    <xf numFmtId="170" fontId="16" fillId="0" borderId="2" xfId="0" applyNumberFormat="1" applyFont="1" applyFill="1" applyBorder="1" applyAlignment="1">
      <alignment horizontal="center"/>
    </xf>
    <xf numFmtId="170" fontId="21" fillId="0" borderId="2" xfId="0" applyNumberFormat="1" applyFont="1" applyFill="1" applyBorder="1"/>
    <xf numFmtId="0" fontId="28" fillId="0" borderId="0" xfId="0" applyFont="1" applyFill="1"/>
    <xf numFmtId="170" fontId="21" fillId="0" borderId="0" xfId="1" applyNumberFormat="1" applyFont="1" applyFill="1" applyAlignment="1">
      <alignment horizontal="center"/>
    </xf>
    <xf numFmtId="170" fontId="16" fillId="0" borderId="0" xfId="0" applyNumberFormat="1" applyFont="1"/>
    <xf numFmtId="166" fontId="16" fillId="7" borderId="0" xfId="1" applyNumberFormat="1" applyFont="1" applyFill="1"/>
    <xf numFmtId="9" fontId="0" fillId="0" borderId="0" xfId="5" applyFont="1" applyFill="1"/>
    <xf numFmtId="170" fontId="30" fillId="0" borderId="0" xfId="1" applyNumberFormat="1" applyFont="1" applyFill="1" applyAlignment="1">
      <alignment horizontal="center"/>
    </xf>
    <xf numFmtId="170" fontId="21" fillId="5" borderId="0" xfId="1" applyNumberFormat="1" applyFont="1" applyFill="1" applyAlignment="1">
      <alignment horizontal="center"/>
    </xf>
    <xf numFmtId="3" fontId="16" fillId="0" borderId="0" xfId="0" applyNumberFormat="1" applyFont="1"/>
    <xf numFmtId="166" fontId="27" fillId="4" borderId="0" xfId="0" applyNumberFormat="1" applyFont="1" applyFill="1"/>
    <xf numFmtId="166" fontId="16" fillId="5" borderId="0" xfId="0" applyNumberFormat="1" applyFont="1" applyFill="1"/>
    <xf numFmtId="17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70" fontId="21" fillId="5" borderId="0" xfId="0" applyNumberFormat="1" applyFont="1" applyFill="1" applyAlignment="1">
      <alignment horizontal="center"/>
    </xf>
    <xf numFmtId="170" fontId="21" fillId="10" borderId="0" xfId="0" applyNumberFormat="1" applyFont="1" applyFill="1"/>
    <xf numFmtId="0" fontId="13" fillId="9" borderId="0" xfId="0" applyFont="1" applyFill="1" applyAlignment="1">
      <alignment horizontal="center"/>
    </xf>
    <xf numFmtId="0" fontId="0" fillId="9" borderId="0" xfId="0" applyFill="1"/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1" fillId="9" borderId="0" xfId="0" applyFont="1" applyFill="1" applyBorder="1"/>
    <xf numFmtId="0" fontId="16" fillId="11" borderId="0" xfId="0" applyFont="1" applyFill="1"/>
    <xf numFmtId="170" fontId="16" fillId="11" borderId="0" xfId="1" applyNumberFormat="1" applyFont="1" applyFill="1" applyAlignment="1">
      <alignment horizontal="center"/>
    </xf>
    <xf numFmtId="170" fontId="16" fillId="8" borderId="0" xfId="1" applyNumberFormat="1" applyFont="1" applyFill="1" applyAlignment="1">
      <alignment horizontal="center"/>
    </xf>
    <xf numFmtId="167" fontId="12" fillId="8" borderId="0" xfId="2" applyNumberFormat="1" applyFont="1" applyFill="1"/>
    <xf numFmtId="0" fontId="20" fillId="8" borderId="0" xfId="0" applyFont="1" applyFill="1"/>
    <xf numFmtId="170" fontId="21" fillId="10" borderId="0" xfId="0" applyNumberFormat="1" applyFont="1" applyFill="1" applyAlignment="1">
      <alignment horizontal="center"/>
    </xf>
    <xf numFmtId="170" fontId="16" fillId="11" borderId="0" xfId="0" applyNumberFormat="1" applyFont="1" applyFill="1" applyAlignment="1">
      <alignment horizontal="center"/>
    </xf>
    <xf numFmtId="170" fontId="16" fillId="8" borderId="0" xfId="0" applyNumberFormat="1" applyFont="1" applyFill="1" applyAlignment="1">
      <alignment horizontal="center"/>
    </xf>
    <xf numFmtId="170" fontId="0" fillId="0" borderId="0" xfId="0" applyNumberFormat="1" applyFill="1"/>
    <xf numFmtId="170" fontId="20" fillId="0" borderId="0" xfId="0" applyNumberFormat="1" applyFont="1" applyFill="1"/>
    <xf numFmtId="170" fontId="21" fillId="0" borderId="0" xfId="0" applyNumberFormat="1" applyFont="1" applyFill="1" applyAlignment="1">
      <alignment horizontal="center"/>
    </xf>
    <xf numFmtId="170" fontId="31" fillId="10" borderId="0" xfId="0" applyNumberFormat="1" applyFont="1" applyFill="1" applyAlignment="1">
      <alignment horizontal="center"/>
    </xf>
    <xf numFmtId="171" fontId="16" fillId="0" borderId="0" xfId="5" applyNumberFormat="1" applyFont="1"/>
    <xf numFmtId="171" fontId="16" fillId="0" borderId="0" xfId="5" applyNumberFormat="1" applyFont="1" applyAlignment="1">
      <alignment horizontal="center"/>
    </xf>
    <xf numFmtId="172" fontId="1" fillId="7" borderId="0" xfId="1" applyNumberFormat="1" applyFont="1" applyFill="1" applyAlignment="1">
      <alignment horizontal="center"/>
    </xf>
    <xf numFmtId="170" fontId="16" fillId="8" borderId="0" xfId="0" applyNumberFormat="1" applyFont="1" applyFill="1"/>
    <xf numFmtId="170" fontId="16" fillId="7" borderId="0" xfId="1" applyNumberFormat="1" applyFont="1" applyFill="1" applyAlignment="1">
      <alignment horizontal="center"/>
    </xf>
    <xf numFmtId="166" fontId="32" fillId="0" borderId="0" xfId="1" applyNumberFormat="1" applyFont="1" applyFill="1"/>
    <xf numFmtId="170" fontId="33" fillId="0" borderId="2" xfId="0" applyNumberFormat="1" applyFont="1" applyFill="1" applyBorder="1"/>
    <xf numFmtId="165" fontId="32" fillId="12" borderId="0" xfId="2" applyFont="1" applyFill="1" applyBorder="1"/>
    <xf numFmtId="0" fontId="52" fillId="0" borderId="0" xfId="0" applyFont="1" applyFill="1"/>
    <xf numFmtId="165" fontId="10" fillId="6" borderId="0" xfId="2" applyFont="1" applyFill="1" applyBorder="1"/>
    <xf numFmtId="165" fontId="10" fillId="0" borderId="0" xfId="2" applyFont="1" applyFill="1" applyBorder="1"/>
    <xf numFmtId="3" fontId="10" fillId="0" borderId="0" xfId="2" applyNumberFormat="1" applyFont="1" applyFill="1" applyBorder="1"/>
    <xf numFmtId="3" fontId="10" fillId="6" borderId="0" xfId="2" applyNumberFormat="1" applyFont="1" applyFill="1" applyBorder="1"/>
    <xf numFmtId="165" fontId="4" fillId="2" borderId="0" xfId="2" applyFont="1" applyFill="1" applyAlignment="1">
      <alignment horizontal="center"/>
    </xf>
    <xf numFmtId="166" fontId="10" fillId="0" borderId="0" xfId="1" applyNumberFormat="1" applyFont="1" applyFill="1" applyBorder="1"/>
    <xf numFmtId="165" fontId="2" fillId="0" borderId="0" xfId="2" applyFont="1" applyFill="1" applyBorder="1"/>
    <xf numFmtId="165" fontId="32" fillId="0" borderId="0" xfId="2" applyFont="1" applyFill="1" applyBorder="1"/>
    <xf numFmtId="43" fontId="26" fillId="4" borderId="0" xfId="1" applyFont="1" applyFill="1"/>
    <xf numFmtId="43" fontId="10" fillId="0" borderId="0" xfId="1" applyFont="1" applyFill="1" applyBorder="1"/>
    <xf numFmtId="43" fontId="10" fillId="6" borderId="0" xfId="1" applyFont="1" applyFill="1" applyBorder="1"/>
    <xf numFmtId="43" fontId="10" fillId="0" borderId="0" xfId="1" applyFont="1" applyFill="1"/>
    <xf numFmtId="172" fontId="1" fillId="0" borderId="0" xfId="1" applyNumberFormat="1" applyFont="1" applyFill="1" applyAlignment="1">
      <alignment horizontal="center"/>
    </xf>
    <xf numFmtId="166" fontId="27" fillId="4" borderId="0" xfId="1" applyNumberFormat="1" applyFont="1" applyFill="1"/>
    <xf numFmtId="43" fontId="0" fillId="0" borderId="0" xfId="1" applyFont="1"/>
    <xf numFmtId="166" fontId="0" fillId="0" borderId="0" xfId="1" applyNumberFormat="1" applyFont="1"/>
    <xf numFmtId="166" fontId="13" fillId="0" borderId="0" xfId="0" applyNumberFormat="1" applyFont="1"/>
    <xf numFmtId="166" fontId="53" fillId="0" borderId="0" xfId="1" applyNumberFormat="1" applyFont="1" applyFill="1" applyBorder="1"/>
    <xf numFmtId="166" fontId="16" fillId="0" borderId="0" xfId="1" applyNumberFormat="1" applyFont="1" applyFill="1" applyBorder="1"/>
    <xf numFmtId="166" fontId="17" fillId="0" borderId="0" xfId="1" applyNumberFormat="1" applyFont="1" applyFill="1" applyBorder="1"/>
    <xf numFmtId="166" fontId="15" fillId="0" borderId="0" xfId="1" applyNumberFormat="1" applyFont="1" applyFill="1" applyBorder="1"/>
    <xf numFmtId="166" fontId="32" fillId="0" borderId="0" xfId="1" applyNumberFormat="1" applyFont="1" applyFill="1" applyBorder="1"/>
    <xf numFmtId="166" fontId="27" fillId="0" borderId="0" xfId="1" applyNumberFormat="1" applyFont="1" applyFill="1" applyBorder="1"/>
    <xf numFmtId="166" fontId="10" fillId="6" borderId="0" xfId="1" applyNumberFormat="1" applyFont="1" applyFill="1" applyBorder="1"/>
    <xf numFmtId="37" fontId="25" fillId="5" borderId="0" xfId="0" applyNumberFormat="1" applyFont="1" applyFill="1" applyAlignment="1">
      <alignment horizontal="center"/>
    </xf>
    <xf numFmtId="165" fontId="15" fillId="5" borderId="0" xfId="2" applyFont="1" applyFill="1"/>
    <xf numFmtId="165" fontId="0" fillId="5" borderId="0" xfId="2" applyFont="1" applyFill="1" applyBorder="1"/>
    <xf numFmtId="165" fontId="2" fillId="5" borderId="0" xfId="2" applyFont="1" applyFill="1" applyBorder="1"/>
    <xf numFmtId="167" fontId="12" fillId="5" borderId="0" xfId="2" applyNumberFormat="1" applyFont="1" applyFill="1"/>
    <xf numFmtId="167" fontId="15" fillId="5" borderId="0" xfId="2" applyNumberFormat="1" applyFont="1" applyFill="1" applyBorder="1"/>
    <xf numFmtId="165" fontId="16" fillId="5" borderId="0" xfId="2" applyFont="1" applyFill="1" applyBorder="1"/>
    <xf numFmtId="165" fontId="16" fillId="0" borderId="0" xfId="0" applyNumberFormat="1" applyFont="1" applyFill="1"/>
    <xf numFmtId="165" fontId="5" fillId="34" borderId="0" xfId="2" applyFont="1" applyFill="1" applyAlignment="1">
      <alignment horizontal="center"/>
    </xf>
    <xf numFmtId="3" fontId="0" fillId="0" borderId="0" xfId="0" applyNumberFormat="1"/>
    <xf numFmtId="4" fontId="3" fillId="0" borderId="13" xfId="41" applyNumberFormat="1" applyBorder="1" applyAlignment="1">
      <alignment horizontal="center"/>
    </xf>
    <xf numFmtId="174" fontId="3" fillId="5" borderId="14" xfId="3" applyNumberFormat="1" applyFill="1" applyBorder="1" applyAlignment="1">
      <alignment horizontal="center"/>
    </xf>
    <xf numFmtId="4" fontId="16" fillId="0" borderId="0" xfId="0" applyNumberFormat="1" applyFont="1"/>
    <xf numFmtId="174" fontId="3" fillId="35" borderId="14" xfId="3" applyNumberFormat="1" applyFill="1" applyBorder="1" applyAlignment="1">
      <alignment horizontal="center"/>
    </xf>
    <xf numFmtId="166" fontId="27" fillId="0" borderId="0" xfId="1" applyNumberFormat="1" applyFont="1" applyFill="1"/>
    <xf numFmtId="4" fontId="16" fillId="0" borderId="0" xfId="0" applyNumberFormat="1" applyFont="1" applyFill="1"/>
    <xf numFmtId="166" fontId="27" fillId="5" borderId="0" xfId="1" applyNumberFormat="1" applyFont="1" applyFill="1"/>
  </cellXfs>
  <cellStyles count="60">
    <cellStyle name="=C:\WINNT\SYSTEM32\COMMAND.COM" xfId="53"/>
    <cellStyle name="20% - Énfasis1 2" xfId="8"/>
    <cellStyle name="20% - Énfasis2 2" xfId="9"/>
    <cellStyle name="20% - Énfasis3 2" xfId="10"/>
    <cellStyle name="20% - Énfasis4 2" xfId="11"/>
    <cellStyle name="20% - Énfasis5 2" xfId="12"/>
    <cellStyle name="20% - Énfasis6 2" xfId="13"/>
    <cellStyle name="40% - Énfasis1 2" xfId="14"/>
    <cellStyle name="40% - Énfasis2 2" xfId="15"/>
    <cellStyle name="40% - Énfasis3 2" xfId="16"/>
    <cellStyle name="40% - Énfasis4 2" xfId="17"/>
    <cellStyle name="40% - Énfasis5 2" xfId="18"/>
    <cellStyle name="40% - Énfasis6 2" xfId="19"/>
    <cellStyle name="60% - Énfasis1 2" xfId="20"/>
    <cellStyle name="60% - Énfasis2 2" xfId="21"/>
    <cellStyle name="60% - Énfasis3 2" xfId="22"/>
    <cellStyle name="60% - Énfasis4 2" xfId="23"/>
    <cellStyle name="60% - Énfasis5 2" xfId="24"/>
    <cellStyle name="60% - Énfasis6 2" xfId="25"/>
    <cellStyle name="Cálculo 2" xfId="26"/>
    <cellStyle name="Celda de comprobación 2" xfId="27"/>
    <cellStyle name="Celda vinculada 2" xfId="28"/>
    <cellStyle name="Encabezado 4 2" xfId="29"/>
    <cellStyle name="Énfasis1 2" xfId="30"/>
    <cellStyle name="Énfasis2 2" xfId="31"/>
    <cellStyle name="Énfasis3 2" xfId="32"/>
    <cellStyle name="Énfasis4 2" xfId="33"/>
    <cellStyle name="Énfasis5 2" xfId="34"/>
    <cellStyle name="Énfasis6 2" xfId="35"/>
    <cellStyle name="Entrada 2" xfId="36"/>
    <cellStyle name="Euro" xfId="37"/>
    <cellStyle name="Incorrecto 2" xfId="38"/>
    <cellStyle name="Millares" xfId="1" builtinId="3"/>
    <cellStyle name="Millares 2" xfId="4"/>
    <cellStyle name="Millares 2 2" xfId="55"/>
    <cellStyle name="Millares 2 3" xfId="54"/>
    <cellStyle name="Millares 2 4" xfId="39"/>
    <cellStyle name="Millares 3" xfId="2"/>
    <cellStyle name="Millares 4" xfId="6"/>
    <cellStyle name="Moneda 2" xfId="56"/>
    <cellStyle name="Neutral 2" xfId="40"/>
    <cellStyle name="Normal" xfId="0" builtinId="0"/>
    <cellStyle name="Normal 2" xfId="7"/>
    <cellStyle name="Normal 2 2" xfId="3"/>
    <cellStyle name="Normal 2 3" xfId="57"/>
    <cellStyle name="Normal 3" xfId="41"/>
    <cellStyle name="Normal 4" xfId="42"/>
    <cellStyle name="Normal 4 2" xfId="59"/>
    <cellStyle name="Normal 5" xfId="52"/>
    <cellStyle name="Notas 2" xfId="43"/>
    <cellStyle name="Porcentaje" xfId="5" builtinId="5"/>
    <cellStyle name="Porcentaje 2" xfId="44"/>
    <cellStyle name="Porcentaje 3" xfId="58"/>
    <cellStyle name="Salida 2" xfId="45"/>
    <cellStyle name="Texto de advertencia 2" xfId="46"/>
    <cellStyle name="Texto explicativo 2" xfId="47"/>
    <cellStyle name="Título 2 2" xfId="49"/>
    <cellStyle name="Título 3 2" xfId="50"/>
    <cellStyle name="Título 4" xfId="48"/>
    <cellStyle name="Total 2" xfId="51"/>
  </cellStyles>
  <dxfs count="0"/>
  <tableStyles count="0" defaultTableStyle="TableStyleMedium2" defaultPivotStyle="PivotStyleLight16"/>
  <colors>
    <mruColors>
      <color rgb="FFD9D9D9"/>
      <color rgb="FFFF9933"/>
      <color rgb="FF0000CC"/>
      <color rgb="FF008000"/>
      <color rgb="FF000099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7.xml"/><Relationship Id="rId47" Type="http://schemas.openxmlformats.org/officeDocument/2006/relationships/externalLink" Target="externalLinks/externalLink12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46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6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externalLink" Target="externalLinks/externalLink5.xml"/><Relationship Id="rId45" Type="http://schemas.openxmlformats.org/officeDocument/2006/relationships/externalLink" Target="externalLinks/externalLink10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49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9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8.xml"/><Relationship Id="rId48" Type="http://schemas.openxmlformats.org/officeDocument/2006/relationships/externalLink" Target="externalLinks/externalLink13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Cubo%20estado%20financieros%20Proy%2020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9-5%20Flujo%20Mayo%202019/20190613%20Plan%20Importacion%20y%20Compra%20Nacional%2007061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20181129%20Presupuesto%202019%20(Final_Aprobado)%20-%20copi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lujo%20Proyectado%20Tesorer&#237;a%20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8/Cubo%20estado%20financieros%202017%20y%202018%20Fin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Gestores%20(Egresos%202019)/Gastos%20Flujo%202018%20Final%20(Revisado%20para%20201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ujo%20Proyectado%20Tesorer&#237;a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8%20-%20copia/Cubo%20estado%20financieros%202017%20y%202018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lujo%20Proyectado%20Tesorer&#237;a%202018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7-11%20Flujo%20Noviembre%202017/CASH%20TESORERIA%20PROYECTADO%202017%20DESDE%2002%20ENERO%20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7-12%20Flujo%20Diciembre%202017/Flujo%20Proyectado%20Tesorer&#237;a%2020180205%20(Propuesta%20Estruct.%20Caja%20y%20Capital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Semanal%20Compras%20Materias%20Primas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Compras%20MaizSoyaTrigo%202018%20Sim2%20(002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entaciones/PROPUESTA%20ESTRUCTURA%20DE%20CAPITAL%20Y%20CAJA%20201802/Var%20Flujo%20Operativo%20Feb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. 2018"/>
      <sheetName val="EBITDA 2018"/>
      <sheetName val="Hoja1"/>
      <sheetName val="EEFF"/>
      <sheetName val="Balance"/>
      <sheetName val="Flujo"/>
      <sheetName val="P&amp;G"/>
    </sheetNames>
    <sheetDataSet>
      <sheetData sheetId="0">
        <row r="1">
          <cell r="D1">
            <v>2.5679999999995289</v>
          </cell>
          <cell r="E1">
            <v>-154.84799999999927</v>
          </cell>
          <cell r="F1">
            <v>-652.279</v>
          </cell>
          <cell r="G1">
            <v>-680.74400000000151</v>
          </cell>
          <cell r="H1">
            <v>-604.75499999999784</v>
          </cell>
        </row>
        <row r="57">
          <cell r="H57">
            <v>925026.38800000004</v>
          </cell>
        </row>
        <row r="58">
          <cell r="H58">
            <v>-886831.36800000013</v>
          </cell>
        </row>
        <row r="60">
          <cell r="D60">
            <v>74585.869999999879</v>
          </cell>
          <cell r="E60">
            <v>71296.756999999983</v>
          </cell>
          <cell r="F60">
            <v>73328.088000000105</v>
          </cell>
          <cell r="G60">
            <v>73403.147999999928</v>
          </cell>
          <cell r="H60">
            <v>73995.212000000058</v>
          </cell>
        </row>
        <row r="61">
          <cell r="D61">
            <v>-57037.396000000183</v>
          </cell>
          <cell r="E61">
            <v>-73095.079999999958</v>
          </cell>
          <cell r="F61">
            <v>-63909.580999999773</v>
          </cell>
          <cell r="G61">
            <v>-64707.191000000108</v>
          </cell>
          <cell r="H61">
            <v>-58735.393000000156</v>
          </cell>
        </row>
        <row r="70">
          <cell r="H70">
            <v>38195.019999999902</v>
          </cell>
        </row>
        <row r="116">
          <cell r="C116">
            <v>-524365.62699999998</v>
          </cell>
          <cell r="D116">
            <v>-576356.90800000005</v>
          </cell>
          <cell r="H116">
            <v>-815367.17700000014</v>
          </cell>
        </row>
        <row r="119">
          <cell r="C119">
            <v>-11303.925999999999</v>
          </cell>
          <cell r="D119">
            <v>-13501.612000000001</v>
          </cell>
          <cell r="H119">
            <v>-22427.238000000001</v>
          </cell>
        </row>
        <row r="154">
          <cell r="C154">
            <v>3146.1870000000017</v>
          </cell>
          <cell r="D154">
            <v>3125.4889999999978</v>
          </cell>
          <cell r="E154">
            <v>3203.0630000000019</v>
          </cell>
          <cell r="F154">
            <v>3132.7079999999987</v>
          </cell>
          <cell r="G154">
            <v>3155.601999999999</v>
          </cell>
          <cell r="H154">
            <v>3179.6690000000017</v>
          </cell>
        </row>
        <row r="155">
          <cell r="C155">
            <v>-2981.2239999999983</v>
          </cell>
          <cell r="D155">
            <v>-2850.997000000003</v>
          </cell>
          <cell r="E155">
            <v>-2650.0739999999969</v>
          </cell>
          <cell r="F155">
            <v>-2594.2589999999982</v>
          </cell>
          <cell r="G155">
            <v>-2457.8860000000022</v>
          </cell>
          <cell r="H155">
            <v>-2716.505000000001</v>
          </cell>
        </row>
      </sheetData>
      <sheetData sheetId="1" refreshError="1"/>
      <sheetData sheetId="2" refreshError="1"/>
      <sheetData sheetId="3">
        <row r="63">
          <cell r="G63">
            <v>485791</v>
          </cell>
          <cell r="H63">
            <v>574206</v>
          </cell>
        </row>
        <row r="64">
          <cell r="H64">
            <v>-582650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mpBuques"/>
      <sheetName val="CompraLoc2018Trigo"/>
      <sheetName val="CompraLoc2018Maiz"/>
      <sheetName val="CompraLoc2018Soya"/>
    </sheetNames>
    <sheetDataSet>
      <sheetData sheetId="0">
        <row r="46">
          <cell r="L46">
            <v>43746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Hoja2"/>
      <sheetName val="Hoja1"/>
      <sheetName val="Alcachofa"/>
      <sheetName val="Expandido"/>
      <sheetName val="Expandido (2)"/>
      <sheetName val="Todo"/>
      <sheetName val="Gtos2019"/>
      <sheetName val="Días Inventario"/>
      <sheetName val="Metas 2019 Inventarios"/>
      <sheetName val="Vtas 2019"/>
      <sheetName val="Costos x Negocio"/>
      <sheetName val="Exposicion Neta 2019"/>
    </sheetNames>
    <sheetDataSet>
      <sheetData sheetId="0">
        <row r="68">
          <cell r="B68">
            <v>25668.82</v>
          </cell>
        </row>
      </sheetData>
      <sheetData sheetId="1">
        <row r="11">
          <cell r="C11">
            <v>829314.25800000015</v>
          </cell>
        </row>
        <row r="14">
          <cell r="C14">
            <v>-730074.71600000001</v>
          </cell>
        </row>
        <row r="16">
          <cell r="C16">
            <v>-1754.2239999999999</v>
          </cell>
        </row>
        <row r="18">
          <cell r="C18">
            <v>-11458.679000000002</v>
          </cell>
        </row>
        <row r="19">
          <cell r="C19">
            <v>-4940.8239999999996</v>
          </cell>
        </row>
        <row r="21">
          <cell r="C21">
            <v>-10959</v>
          </cell>
        </row>
        <row r="24">
          <cell r="C24">
            <v>-18019.999</v>
          </cell>
        </row>
        <row r="27">
          <cell r="C27">
            <v>1423.1399999999978</v>
          </cell>
        </row>
        <row r="29">
          <cell r="C29">
            <v>2561.5340000000001</v>
          </cell>
        </row>
      </sheetData>
      <sheetData sheetId="2"/>
      <sheetData sheetId="3"/>
      <sheetData sheetId="4">
        <row r="21">
          <cell r="I21">
            <v>25591.834000000003</v>
          </cell>
        </row>
        <row r="119">
          <cell r="Q119">
            <v>871439.23000000021</v>
          </cell>
        </row>
        <row r="120">
          <cell r="Q120">
            <v>-771075.21700000006</v>
          </cell>
        </row>
        <row r="121">
          <cell r="Q121">
            <v>-16399.503000000001</v>
          </cell>
        </row>
        <row r="122">
          <cell r="Q122">
            <v>-11250</v>
          </cell>
        </row>
        <row r="123">
          <cell r="Q123">
            <v>-18624.406999999999</v>
          </cell>
        </row>
        <row r="124">
          <cell r="Q124">
            <v>0</v>
          </cell>
        </row>
        <row r="127">
          <cell r="R127">
            <v>4114.2689999999984</v>
          </cell>
        </row>
      </sheetData>
      <sheetData sheetId="5">
        <row r="21">
          <cell r="K21">
            <v>25611.796000000002</v>
          </cell>
        </row>
      </sheetData>
      <sheetData sheetId="6">
        <row r="471">
          <cell r="F471">
            <v>3978.1219999999998</v>
          </cell>
          <cell r="G471">
            <v>6962.5389999999998</v>
          </cell>
          <cell r="H471">
            <v>9927.68</v>
          </cell>
          <cell r="I471">
            <v>12622.024000000001</v>
          </cell>
          <cell r="J471">
            <v>16385.734</v>
          </cell>
          <cell r="K471">
            <v>20058.603999999999</v>
          </cell>
          <cell r="L471">
            <v>23597.044000000002</v>
          </cell>
          <cell r="M471">
            <v>27283.507000000001</v>
          </cell>
          <cell r="N471">
            <v>31156.719999999998</v>
          </cell>
          <cell r="O471">
            <v>34998.566999999995</v>
          </cell>
          <cell r="P471">
            <v>38961.718000000001</v>
          </cell>
          <cell r="Q471">
            <v>42124.972000000002</v>
          </cell>
        </row>
        <row r="472">
          <cell r="F472">
            <v>-2925.9730000000004</v>
          </cell>
          <cell r="G472">
            <v>-5909.6759999999995</v>
          </cell>
          <cell r="H472">
            <v>-9131.3700000000008</v>
          </cell>
          <cell r="I472">
            <v>-12440.262000000001</v>
          </cell>
          <cell r="J472">
            <v>-15913.953</v>
          </cell>
          <cell r="K472">
            <v>-19361.621999999999</v>
          </cell>
          <cell r="L472">
            <v>-22860.339999999997</v>
          </cell>
          <cell r="M472">
            <v>-26340.123</v>
          </cell>
          <cell r="N472">
            <v>-29673.256999999998</v>
          </cell>
          <cell r="O472">
            <v>-32994.133999999998</v>
          </cell>
          <cell r="P472">
            <v>-36121.871000000006</v>
          </cell>
          <cell r="Q472">
            <v>-39246.277000000002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F474">
            <v>0</v>
          </cell>
          <cell r="G474">
            <v>0</v>
          </cell>
          <cell r="H474">
            <v>0</v>
          </cell>
          <cell r="I474">
            <v>-291</v>
          </cell>
          <cell r="J474">
            <v>-291</v>
          </cell>
          <cell r="K474">
            <v>-291</v>
          </cell>
          <cell r="L474">
            <v>-291</v>
          </cell>
          <cell r="M474">
            <v>-291</v>
          </cell>
          <cell r="N474">
            <v>-291</v>
          </cell>
          <cell r="O474">
            <v>-291</v>
          </cell>
          <cell r="P474">
            <v>-291</v>
          </cell>
          <cell r="Q474">
            <v>-291</v>
          </cell>
        </row>
        <row r="475">
          <cell r="F475">
            <v>-9.6219999999999999</v>
          </cell>
          <cell r="G475">
            <v>-19.251000000000001</v>
          </cell>
          <cell r="H475">
            <v>-28.88</v>
          </cell>
          <cell r="I475">
            <v>-261.50900000000001</v>
          </cell>
          <cell r="J475">
            <v>-271.13799999999998</v>
          </cell>
          <cell r="K475">
            <v>-280.74799999999999</v>
          </cell>
          <cell r="L475">
            <v>-422.358</v>
          </cell>
          <cell r="M475">
            <v>-431.96800000000002</v>
          </cell>
          <cell r="N475">
            <v>-573.57800000000009</v>
          </cell>
          <cell r="O475">
            <v>-584.18799999999999</v>
          </cell>
          <cell r="P475">
            <v>-594.798</v>
          </cell>
          <cell r="Q475">
            <v>-604.4079999999999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</row>
        <row r="477"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F479">
            <v>12.627000000000001</v>
          </cell>
          <cell r="G479">
            <v>28.888000000000002</v>
          </cell>
          <cell r="H479">
            <v>44.41</v>
          </cell>
          <cell r="I479">
            <v>58.116</v>
          </cell>
          <cell r="J479">
            <v>66.363000000000014</v>
          </cell>
          <cell r="K479">
            <v>74.995000000000019</v>
          </cell>
          <cell r="L479">
            <v>83.744000000000014</v>
          </cell>
          <cell r="M479">
            <v>91.288000000000025</v>
          </cell>
          <cell r="N479">
            <v>98.869000000000057</v>
          </cell>
          <cell r="O479">
            <v>107.32600000000004</v>
          </cell>
          <cell r="P479">
            <v>117.12900000000003</v>
          </cell>
          <cell r="Q479">
            <v>129.59500000000003</v>
          </cell>
        </row>
      </sheetData>
      <sheetData sheetId="7"/>
      <sheetData sheetId="8"/>
      <sheetData sheetId="9"/>
      <sheetData sheetId="10"/>
      <sheetData sheetId="11">
        <row r="12">
          <cell r="F12">
            <v>54637.973000000005</v>
          </cell>
        </row>
      </sheetData>
      <sheetData sheetId="12">
        <row r="9">
          <cell r="F9">
            <v>427976.25800000003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 sin 18"/>
      <sheetName val="Flujo 2018 sin 18 (2)"/>
      <sheetName val="Flujo Deuda (2)"/>
      <sheetName val="Flujo Deuda sin 18"/>
      <sheetName val="Flujo 2018"/>
      <sheetName val="Flujo Deuda"/>
      <sheetName val="Deuda Proyectada "/>
      <sheetName val="CAJA COMITE FINANZAS"/>
      <sheetName val="ANALISIS (2)"/>
      <sheetName val="ANALISIS"/>
      <sheetName val="FI"/>
      <sheetName val="FF"/>
      <sheetName val="PC"/>
      <sheetName val="Desgloce Deuda Sep"/>
      <sheetName val="Desgloce Deuda Jul"/>
      <sheetName val="Desgloce Deuda Jun"/>
      <sheetName val="Graf Deuda Dic 2017"/>
      <sheetName val="Graf Deuda Jul 2017"/>
      <sheetName val="Deuda (Sin intermediación)"/>
      <sheetName val="Diciembre 2017"/>
      <sheetName val="Caja Bruta"/>
      <sheetName val="Deuda 2017"/>
      <sheetName val="Cubo Finan Pronaca"/>
      <sheetName val="Cubo Finan Inaexpo"/>
      <sheetName val="Mov. Papel Comercial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V3">
            <v>3204</v>
          </cell>
          <cell r="X3">
            <v>3169</v>
          </cell>
          <cell r="Y3">
            <v>21187</v>
          </cell>
          <cell r="Z3">
            <v>6482</v>
          </cell>
          <cell r="AA3">
            <v>-8447</v>
          </cell>
        </row>
      </sheetData>
      <sheetData sheetId="8">
        <row r="10">
          <cell r="P10">
            <v>11171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2017"/>
      <sheetName val="INFO 2017 - 2018"/>
      <sheetName val="BG en Barras"/>
      <sheetName val="Flujo 2017"/>
      <sheetName val="P&amp;G 2017"/>
      <sheetName val="Balance 2018"/>
      <sheetName val="Balance 2018 (2)"/>
      <sheetName val="Flujo 2018"/>
      <sheetName val="FC Y MARGEN BRUT 2018 X NEG"/>
      <sheetName val="CAPEX 2018"/>
      <sheetName val="P&amp;G 2018"/>
      <sheetName val="P&amp;G 2018 (2)"/>
      <sheetName val="GRAF FO 2018"/>
      <sheetName val="GRAF FLUJO CAJA 2018"/>
      <sheetName val="Balance"/>
      <sheetName val="Flujo"/>
      <sheetName val="P&amp;G"/>
      <sheetName val="Tipo Balance"/>
      <sheetName val="Costo x Neg 2018"/>
      <sheetName val="Ing x Neg 2018"/>
      <sheetName val="Vts x Neg 2018"/>
      <sheetName val="Vts x Neg 2018 TM"/>
    </sheetNames>
    <sheetDataSet>
      <sheetData sheetId="0">
        <row r="12">
          <cell r="E12">
            <v>20728.809999999998</v>
          </cell>
        </row>
      </sheetData>
      <sheetData sheetId="1"/>
      <sheetData sheetId="2"/>
      <sheetData sheetId="3">
        <row r="9">
          <cell r="E9">
            <v>69235.917999999714</v>
          </cell>
        </row>
      </sheetData>
      <sheetData sheetId="4"/>
      <sheetData sheetId="5">
        <row r="10">
          <cell r="B10">
            <v>660512.91500000015</v>
          </cell>
        </row>
      </sheetData>
      <sheetData sheetId="6">
        <row r="12">
          <cell r="B12">
            <v>20846.897000000001</v>
          </cell>
        </row>
      </sheetData>
      <sheetData sheetId="7">
        <row r="8">
          <cell r="B8">
            <v>9531.6179999999877</v>
          </cell>
        </row>
        <row r="9">
          <cell r="AS9">
            <v>3472.953</v>
          </cell>
          <cell r="AT9">
            <v>6478.9590000000007</v>
          </cell>
          <cell r="AU9">
            <v>9595.0419999999995</v>
          </cell>
          <cell r="AV9">
            <v>12814.986000000001</v>
          </cell>
          <cell r="AW9">
            <v>16363.275</v>
          </cell>
          <cell r="AX9">
            <v>19942.942000000003</v>
          </cell>
        </row>
        <row r="10">
          <cell r="AS10">
            <v>-3060.1940000000004</v>
          </cell>
          <cell r="AT10">
            <v>-5991.3159999999998</v>
          </cell>
          <cell r="AU10">
            <v>-9100.6049999999996</v>
          </cell>
          <cell r="AV10">
            <v>-12451.441000000001</v>
          </cell>
          <cell r="AW10">
            <v>-15761.037</v>
          </cell>
          <cell r="AX10">
            <v>-19059.072</v>
          </cell>
        </row>
        <row r="11">
          <cell r="AS11">
            <v>-0.85700000000002796</v>
          </cell>
          <cell r="AT11">
            <v>-1.128000000000029</v>
          </cell>
          <cell r="AU11">
            <v>-2.4310000000000289</v>
          </cell>
          <cell r="AV11">
            <v>-5.2870000000000186</v>
          </cell>
          <cell r="AW11">
            <v>-8.4540000000000184</v>
          </cell>
          <cell r="AX11">
            <v>-10.778000000000029</v>
          </cell>
        </row>
        <row r="12">
          <cell r="AS12">
            <v>-0.02</v>
          </cell>
          <cell r="AT12">
            <v>-5.0000000000000197E-2</v>
          </cell>
          <cell r="AU12">
            <v>-0.36000000000000021</v>
          </cell>
          <cell r="AV12">
            <v>-0.67000000000000015</v>
          </cell>
          <cell r="AW12">
            <v>-1.2900000000000003</v>
          </cell>
          <cell r="AX12">
            <v>-1.9100000000000001</v>
          </cell>
        </row>
        <row r="13">
          <cell r="AS13">
            <v>-62.677</v>
          </cell>
          <cell r="AT13">
            <v>-125.354</v>
          </cell>
          <cell r="AU13">
            <v>-188.06900000000002</v>
          </cell>
          <cell r="AV13">
            <v>-250.78399999999999</v>
          </cell>
          <cell r="AW13">
            <v>-313.49800000000005</v>
          </cell>
          <cell r="AX13">
            <v>-376.21200000000005</v>
          </cell>
        </row>
        <row r="14">
          <cell r="AS14">
            <v>4.8199999999999896</v>
          </cell>
          <cell r="AT14">
            <v>9.8109999999999893</v>
          </cell>
          <cell r="AU14">
            <v>14.554999999999991</v>
          </cell>
          <cell r="AV14">
            <v>19.050999999999991</v>
          </cell>
          <cell r="AW14">
            <v>23.330999999999989</v>
          </cell>
          <cell r="AX14">
            <v>27.681000000000012</v>
          </cell>
        </row>
      </sheetData>
      <sheetData sheetId="8"/>
      <sheetData sheetId="9">
        <row r="8">
          <cell r="B8">
            <v>-410.12499999999989</v>
          </cell>
        </row>
      </sheetData>
      <sheetData sheetId="10">
        <row r="10">
          <cell r="B10">
            <v>67864.676999999996</v>
          </cell>
        </row>
      </sheetData>
      <sheetData sheetId="11">
        <row r="25">
          <cell r="B25">
            <v>296.24300000000522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9">
          <cell r="B9">
            <v>18213.759999999998</v>
          </cell>
        </row>
      </sheetData>
      <sheetData sheetId="19"/>
      <sheetData sheetId="20">
        <row r="11">
          <cell r="B11">
            <v>16274.418</v>
          </cell>
        </row>
      </sheetData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"/>
      <sheetName val="CAPEX"/>
      <sheetName val="Resumen de Gastos"/>
      <sheetName val="Otros Gastos"/>
      <sheetName val="BaseOtrosG"/>
      <sheetName val="BaseOtrosG Original"/>
      <sheetName val="Transferencias"/>
    </sheetNames>
    <sheetDataSet>
      <sheetData sheetId="0">
        <row r="44">
          <cell r="Q44">
            <v>24075.195659245212</v>
          </cell>
        </row>
        <row r="45">
          <cell r="Q45">
            <v>1240.232</v>
          </cell>
        </row>
        <row r="46">
          <cell r="Q46">
            <v>4764.4678456730608</v>
          </cell>
        </row>
        <row r="47">
          <cell r="Q47">
            <v>826.59491474811057</v>
          </cell>
        </row>
        <row r="48">
          <cell r="Q48">
            <v>276.49164000000007</v>
          </cell>
        </row>
        <row r="49">
          <cell r="Q49">
            <v>110.40814999999999</v>
          </cell>
        </row>
        <row r="50">
          <cell r="Q50">
            <v>0</v>
          </cell>
        </row>
        <row r="51">
          <cell r="Q51">
            <v>8.51</v>
          </cell>
        </row>
        <row r="52">
          <cell r="Q52">
            <v>765.68600000000004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 sin 18"/>
      <sheetName val="Flujo 2018 sin 18 (2)"/>
      <sheetName val="Flujo Deuda (2)"/>
      <sheetName val="Flujo Graf."/>
      <sheetName val="Flujo 2018 (2)"/>
      <sheetName val="Flujo 2018 (3)"/>
      <sheetName val="Flujo 2018"/>
      <sheetName val="Flujo 2018 (4)"/>
      <sheetName val="Hoja3"/>
      <sheetName val="Saldos Escenarios"/>
      <sheetName val="Flujo Deuda"/>
      <sheetName val="Necesidades de Financiamien"/>
      <sheetName val="Gráfico1"/>
      <sheetName val="CAJA COMITE FINANZAS"/>
      <sheetName val="ANALISIS (2)"/>
      <sheetName val="ANALISIS"/>
      <sheetName val="FI"/>
      <sheetName val="FF"/>
      <sheetName val="PC"/>
      <sheetName val="Desgloce Deuda Sep"/>
      <sheetName val="Desgloce Deuda Jul"/>
      <sheetName val="Desgloce Deuda Jun"/>
      <sheetName val="Gráfico2"/>
      <sheetName val="Gráfico3"/>
      <sheetName val="Gráfico4"/>
      <sheetName val="Gráfico5"/>
      <sheetName val="Caja Bruta"/>
      <sheetName val="Mov. Papel Comerci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J3">
            <v>73342</v>
          </cell>
        </row>
      </sheetData>
      <sheetData sheetId="9">
        <row r="2">
          <cell r="BU2">
            <v>43466</v>
          </cell>
        </row>
        <row r="3">
          <cell r="BU3">
            <v>28885</v>
          </cell>
          <cell r="BV3">
            <v>15564</v>
          </cell>
          <cell r="BW3">
            <v>3799</v>
          </cell>
          <cell r="BX3">
            <v>1423</v>
          </cell>
          <cell r="BY3">
            <v>2751</v>
          </cell>
          <cell r="BZ3">
            <v>-1996</v>
          </cell>
          <cell r="CA3">
            <v>-7843.6717999999819</v>
          </cell>
          <cell r="CB3">
            <v>-9182.5878440666565</v>
          </cell>
          <cell r="CC3">
            <v>7450.8551996725</v>
          </cell>
          <cell r="CD3">
            <v>10644.805838996879</v>
          </cell>
          <cell r="CE3">
            <v>10709.338321999996</v>
          </cell>
          <cell r="CF3">
            <v>9238.01603052055</v>
          </cell>
        </row>
      </sheetData>
      <sheetData sheetId="10"/>
      <sheetData sheetId="11">
        <row r="1">
          <cell r="N1">
            <v>40004</v>
          </cell>
        </row>
      </sheetData>
      <sheetData sheetId="12"/>
      <sheetData sheetId="13">
        <row r="18">
          <cell r="AC18">
            <v>109.67177999998967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2017"/>
      <sheetName val="INFO 2017 - 2018"/>
      <sheetName val="BG en Barras"/>
      <sheetName val="Flujo 2017"/>
      <sheetName val="P&amp;G 2017"/>
      <sheetName val="Balance 2018"/>
      <sheetName val="Balance 2018 (2)"/>
      <sheetName val="Flujo 2018"/>
      <sheetName val="FC Y MARGEN BRUT 2018 X NEG"/>
      <sheetName val="CAPEX 2018"/>
      <sheetName val="P&amp;G 2018"/>
      <sheetName val="P&amp;G 2018 (2)"/>
      <sheetName val="Gráfico1"/>
      <sheetName val="GRAF FLUJO CAJA 2018"/>
      <sheetName val="Balance"/>
      <sheetName val="Flujo"/>
      <sheetName val="P&amp;G"/>
      <sheetName val="Tipo Balance"/>
      <sheetName val="Costo x Neg 2018"/>
      <sheetName val="Ing x Neg 2018"/>
      <sheetName val="Vts x Neg 2018"/>
      <sheetName val="GRAF FO 2018"/>
      <sheetName val="Vts x Neg 2018 T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M9">
            <v>857363.75</v>
          </cell>
        </row>
        <row r="10">
          <cell r="M10">
            <v>-756153.44599999988</v>
          </cell>
        </row>
        <row r="11">
          <cell r="M11">
            <v>-7252.5729999999994</v>
          </cell>
        </row>
        <row r="12">
          <cell r="M12">
            <v>-11315.511</v>
          </cell>
        </row>
        <row r="13">
          <cell r="M13">
            <v>-17086.627999999997</v>
          </cell>
        </row>
        <row r="14">
          <cell r="M14">
            <v>401.11399999999981</v>
          </cell>
        </row>
      </sheetData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 sin 18"/>
      <sheetName val="Flujo 2018 sin 18 (2)"/>
      <sheetName val="Flujo Deuda (2)"/>
      <sheetName val="Flujo 2018 (3)"/>
      <sheetName val="Flujo 2018 (2)"/>
      <sheetName val="Flujo 2018"/>
      <sheetName val="Flujo 2018 (4)"/>
      <sheetName val="Flujo Deuda"/>
      <sheetName val="Gráfico1"/>
      <sheetName val="CAJA COMITE FINANZAS"/>
      <sheetName val="ANALISIS (2)"/>
      <sheetName val="ANALISIS"/>
      <sheetName val="FI"/>
      <sheetName val="FF"/>
      <sheetName val="PC"/>
      <sheetName val="Desgloce Deuda Sep"/>
      <sheetName val="Desgloce Deuda Jul"/>
      <sheetName val="Desgloce Deuda Jun"/>
      <sheetName val="Gráfico2"/>
      <sheetName val="Gráfico3"/>
      <sheetName val="Gráfico4"/>
      <sheetName val="Gráfico5"/>
      <sheetName val="Caja Bruta"/>
      <sheetName val="Gráfico6"/>
      <sheetName val="Cubo Finan Pronaca"/>
      <sheetName val="Cubo Finan Inaexpo"/>
      <sheetName val="Mov. Papel Comerci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Q3">
            <v>58003.218059999999</v>
          </cell>
        </row>
      </sheetData>
      <sheetData sheetId="7">
        <row r="46">
          <cell r="AI46">
            <v>24980</v>
          </cell>
        </row>
      </sheetData>
      <sheetData sheetId="8">
        <row r="3">
          <cell r="AB3">
            <v>-6555</v>
          </cell>
          <cell r="AD3">
            <v>-7064</v>
          </cell>
          <cell r="AQ3">
            <v>39503.218059999999</v>
          </cell>
        </row>
        <row r="4">
          <cell r="AQ4">
            <v>982293.60745999997</v>
          </cell>
        </row>
        <row r="5">
          <cell r="AQ5">
            <v>-942790.38939999999</v>
          </cell>
        </row>
      </sheetData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NACAsemanal"/>
      <sheetName val="PRONACAmensual"/>
      <sheetName val="datos semanales"/>
      <sheetName val="datos mensuales"/>
    </sheetNames>
    <sheetDataSet>
      <sheetData sheetId="0">
        <row r="137">
          <cell r="E137">
            <v>-561265.45040018705</v>
          </cell>
          <cell r="F137">
            <v>-561265.45040018705</v>
          </cell>
          <cell r="G137">
            <v>-561265.45040018705</v>
          </cell>
          <cell r="H137">
            <v>-561265.45040018705</v>
          </cell>
          <cell r="I137">
            <v>-529455.01661189599</v>
          </cell>
          <cell r="J137">
            <v>-529455.01661189599</v>
          </cell>
          <cell r="K137">
            <v>-529455.01661189599</v>
          </cell>
          <cell r="L137">
            <v>-529455.01661189599</v>
          </cell>
          <cell r="M137">
            <v>-710073.58134202345</v>
          </cell>
          <cell r="N137">
            <v>-710073.58134202345</v>
          </cell>
          <cell r="O137">
            <v>-710073.58134202345</v>
          </cell>
          <cell r="P137">
            <v>-710073.58134202345</v>
          </cell>
          <cell r="Q137">
            <v>-815641.0887275727</v>
          </cell>
          <cell r="R137">
            <v>-815641.0887275727</v>
          </cell>
          <cell r="S137">
            <v>-815641.0887275727</v>
          </cell>
          <cell r="T137">
            <v>-815641.0887275727</v>
          </cell>
          <cell r="U137">
            <v>-815641.0887275727</v>
          </cell>
          <cell r="V137">
            <v>-1236832.7984803354</v>
          </cell>
          <cell r="W137">
            <v>-1236832.7984803354</v>
          </cell>
          <cell r="X137">
            <v>-1236832.7984803354</v>
          </cell>
          <cell r="Y137">
            <v>-1236832.7984803354</v>
          </cell>
          <cell r="Z137">
            <v>-829227.91807443579</v>
          </cell>
          <cell r="AA137">
            <v>-829227.91807443579</v>
          </cell>
          <cell r="AB137">
            <v>-829227.91807443579</v>
          </cell>
          <cell r="AC137">
            <v>-829227.91807443579</v>
          </cell>
          <cell r="AD137">
            <v>-938138.2168072291</v>
          </cell>
          <cell r="AE137">
            <v>-938138.2168072291</v>
          </cell>
          <cell r="AF137">
            <v>-938138.2168072291</v>
          </cell>
          <cell r="AG137">
            <v>-938138.2168072291</v>
          </cell>
          <cell r="AH137">
            <v>-938138.2168072291</v>
          </cell>
          <cell r="AI137">
            <v>-912797.70175553951</v>
          </cell>
          <cell r="AJ137">
            <v>-912797.70175553951</v>
          </cell>
          <cell r="AK137">
            <v>-912797.70175553951</v>
          </cell>
          <cell r="AL137">
            <v>-912797.70175553951</v>
          </cell>
          <cell r="AM137">
            <v>-597389.16334621259</v>
          </cell>
          <cell r="AN137">
            <v>-597389.16334621259</v>
          </cell>
          <cell r="AO137">
            <v>-597389.16334621259</v>
          </cell>
          <cell r="AP137">
            <v>-597389.16334621259</v>
          </cell>
          <cell r="AQ137">
            <v>-1214334.7343935929</v>
          </cell>
          <cell r="AR137">
            <v>-1214334.7343935929</v>
          </cell>
          <cell r="AS137">
            <v>-1214334.7343935929</v>
          </cell>
          <cell r="AT137">
            <v>-1214334.7343935929</v>
          </cell>
          <cell r="AU137">
            <v>-1214334.7343935929</v>
          </cell>
          <cell r="AV137">
            <v>-1862899.8766265344</v>
          </cell>
          <cell r="AW137">
            <v>-1862899.8766265344</v>
          </cell>
          <cell r="AX137">
            <v>-1862899.8766265344</v>
          </cell>
          <cell r="AY137">
            <v>-1862899.8766265344</v>
          </cell>
          <cell r="AZ137">
            <v>-2815048.7024578741</v>
          </cell>
          <cell r="BA137">
            <v>-2815048.7024578741</v>
          </cell>
          <cell r="BB137">
            <v>-2815048.7024578741</v>
          </cell>
          <cell r="BC137">
            <v>-2815048.7024578741</v>
          </cell>
          <cell r="BD137">
            <v>-2815048.7024578741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"/>
      <sheetName val="CAJA COMITE FINANZAS"/>
      <sheetName val="ANALISIS (2)"/>
      <sheetName val="ANALISIS"/>
      <sheetName val="FI"/>
      <sheetName val="FF"/>
      <sheetName val="PC"/>
      <sheetName val="Flujo Deuda"/>
      <sheetName val="Desgloce Deuda Sep"/>
      <sheetName val="Desgloce Deuda Jul"/>
      <sheetName val="Desgloce Deuda Jun"/>
      <sheetName val="Graf Deuda Dic 2017"/>
      <sheetName val="Graf Deuda Jul 2017"/>
      <sheetName val="Deuda (Sin intermediación)"/>
      <sheetName val="Diciembre 2017"/>
      <sheetName val="Deuda Proyectada "/>
      <sheetName val="Caja Bruta"/>
      <sheetName val="Deuda 2017"/>
      <sheetName val="Cubo Finan Pronaca"/>
      <sheetName val="Cubo Finan Inaexpo"/>
      <sheetName val="Mov. Papel Comerci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9">
          <cell r="Q39">
            <v>-12627.36203000002</v>
          </cell>
          <cell r="R39">
            <v>-344.827</v>
          </cell>
          <cell r="S39">
            <v>-1314.39327</v>
          </cell>
          <cell r="T39">
            <v>-2387.163</v>
          </cell>
          <cell r="U39">
            <v>-2098.8879999999999</v>
          </cell>
          <cell r="V39">
            <v>-2064.2266</v>
          </cell>
          <cell r="W39">
            <v>-733.27599999999995</v>
          </cell>
          <cell r="X39">
            <v>-344.827</v>
          </cell>
          <cell r="Y39">
            <v>-1314.39327</v>
          </cell>
          <cell r="Z39">
            <v>-2429.1019900000001</v>
          </cell>
          <cell r="AA39">
            <v>-2111.5470599999999</v>
          </cell>
          <cell r="AB39">
            <v>-2064.2266</v>
          </cell>
        </row>
      </sheetData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de diciembre"/>
      <sheetName val="7 de diciembre (2)"/>
      <sheetName val="7 de diciembre"/>
      <sheetName val="9 de noviembre"/>
      <sheetName val="28 de septiembre"/>
      <sheetName val="7 de septiembre"/>
      <sheetName val="31 de agosto"/>
      <sheetName val="10 de agosto"/>
      <sheetName val="6 de julio"/>
      <sheetName val="29 de junio"/>
      <sheetName val="22 de junio"/>
      <sheetName val="15 de junio"/>
      <sheetName val="8 de junio"/>
      <sheetName val="25 de mayo"/>
      <sheetName val="18 de mayo "/>
      <sheetName val="11 de mayo"/>
      <sheetName val="4 de mayo (2)"/>
      <sheetName val="4 de mayo"/>
      <sheetName val="27 de abril "/>
      <sheetName val="23 de abril"/>
      <sheetName val="30 de marzo"/>
      <sheetName val="29 de marzo"/>
      <sheetName val="2 de marzo"/>
      <sheetName val="23 de febrero"/>
      <sheetName val="16 de febrero "/>
      <sheetName val="9 de febrero final"/>
      <sheetName val="9 de febrero org"/>
      <sheetName val="19 de ene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H9">
            <v>27989.048968106763</v>
          </cell>
        </row>
        <row r="10">
          <cell r="H10">
            <v>9907.0859772200001</v>
          </cell>
        </row>
        <row r="11">
          <cell r="H11">
            <v>11481.535190000001</v>
          </cell>
        </row>
        <row r="12">
          <cell r="H12">
            <v>14220.584722</v>
          </cell>
        </row>
        <row r="13">
          <cell r="H13">
            <v>1730.0228999200001</v>
          </cell>
        </row>
      </sheetData>
      <sheetData sheetId="8"/>
      <sheetData sheetId="9">
        <row r="14">
          <cell r="N14">
            <v>205358.16787795071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ExportMetadata"/>
      <sheetName val="Resumen"/>
      <sheetName val="Compras  Maiz  Lectura Presupue"/>
      <sheetName val="Compras  Sorgo  Lectura Presupu"/>
      <sheetName val="Compras  Soya Grano  Lectura Pr"/>
      <sheetName val="Compras  Soya Pasta  Lectura Pr"/>
      <sheetName val="Compras  Trigo  Lectura Presupu"/>
    </sheetNames>
    <sheetDataSet>
      <sheetData sheetId="0"/>
      <sheetData sheetId="1">
        <row r="12">
          <cell r="S12">
            <v>34908019.046958715</v>
          </cell>
        </row>
        <row r="13">
          <cell r="S13">
            <v>13469242.500000002</v>
          </cell>
        </row>
        <row r="14">
          <cell r="S14">
            <v>24948101.183577146</v>
          </cell>
        </row>
        <row r="15">
          <cell r="S15">
            <v>12286260.000000004</v>
          </cell>
        </row>
        <row r="16">
          <cell r="S16">
            <v>14742930.741914513</v>
          </cell>
        </row>
        <row r="17">
          <cell r="S17">
            <v>849347.27520731464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 Flujo Operativo"/>
    </sheetNames>
    <sheetDataSet>
      <sheetData sheetId="0">
        <row r="4">
          <cell r="I4">
            <v>-13.786766819886854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ia Elena Monar" id="{131ECCAA-F50A-4C94-9F32-D8AF22E790B9}" userId="S::memonare@pronaca.com::485d7f15-298b-4dbd-95a4-c3e0f632392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19-07-31T22:25:53.16" personId="{131ECCAA-F50A-4C94-9F32-D8AF22E790B9}" id="{FD146B46-10BB-4C5A-9367-FE2059D3FE36}">
    <text>CASH TESORERIA PROYECTADO 04 AGOSTO 2019</text>
  </threadedComment>
  <threadedComment ref="AF1" dT="2019-08-08T20:11:34.32" personId="{131ECCAA-F50A-4C94-9F32-D8AF22E790B9}" id="{6C6BD5F4-860F-4947-B1AC-A09F7A50A1D2}">
    <text>CASH TESORERIA PROYECTADO 11 AGOSTO 2019</text>
  </threadedComment>
  <threadedComment ref="AC30" dT="2019-07-31T22:23:03.52" personId="{131ECCAA-F50A-4C94-9F32-D8AF22E790B9}" id="{5A84B2F0-5311-473A-AF84-416914D76236}">
    <text>INFORME EJECUTIVO 22 JULIO 2019</text>
  </threadedComment>
  <threadedComment ref="AD30" dT="2019-07-31T22:25:40.47" personId="{131ECCAA-F50A-4C94-9F32-D8AF22E790B9}" id="{85C850CD-09A2-46B4-B5B0-174809B27424}">
    <text>INFORME EJECUTIVO 29 JULIO 2019</text>
  </threadedComment>
  <threadedComment ref="AE30" dT="2019-08-08T20:11:20.33" personId="{131ECCAA-F50A-4C94-9F32-D8AF22E790B9}" id="{66C13042-321C-4A0A-8C67-61B5298E3B79}">
    <text>INFORME EJECUTIVO 05 AGOSTO 2019</text>
  </threadedComment>
  <threadedComment ref="AC93" dT="2019-07-31T22:23:06.90" personId="{131ECCAA-F50A-4C94-9F32-D8AF22E790B9}" id="{C4112727-E972-4BDD-A25D-A53AC5320F83}">
    <text>INFORME EJECUTIVO 22 JULIO 2019</text>
  </threadedComment>
  <threadedComment ref="AD93" dT="2019-07-31T22:25:43.39" personId="{131ECCAA-F50A-4C94-9F32-D8AF22E790B9}" id="{780517BB-7A2D-4DC8-ACD8-543B8AEA031F}">
    <text>INFORME EJECUTIVO 29 JULIO 2019</text>
  </threadedComment>
  <threadedComment ref="AE93" dT="2019-08-08T20:11:23.21" personId="{131ECCAA-F50A-4C94-9F32-D8AF22E790B9}" id="{18D2840B-E011-405F-856F-82AC55F68853}">
    <text>INFORME EJECUTIVO 05 AGOSTO 2019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E1" dT="2019-07-31T22:25:53.16" personId="{131ECCAA-F50A-4C94-9F32-D8AF22E790B9}" id="{0C32A378-2319-4EC3-BE81-7B958227FCCA}">
    <text>CASH TESORERIA PROYECTADO 04 AGOSTO 2019</text>
  </threadedComment>
  <threadedComment ref="AC30" dT="2019-07-31T22:23:03.52" personId="{131ECCAA-F50A-4C94-9F32-D8AF22E790B9}" id="{C5A7810D-15BA-4E31-92DC-B0C740E1D234}">
    <text>INFORME EJECUTIVO 22 JULIO 2019</text>
  </threadedComment>
  <threadedComment ref="AD30" dT="2019-07-31T22:25:40.47" personId="{131ECCAA-F50A-4C94-9F32-D8AF22E790B9}" id="{D227006C-5BE5-4C62-9280-7854F46209A5}">
    <text>INFORME EJECUTIVO 29 JULIO 2019</text>
  </threadedComment>
  <threadedComment ref="AC93" dT="2019-07-31T22:23:06.90" personId="{131ECCAA-F50A-4C94-9F32-D8AF22E790B9}" id="{FDBAA9AB-2D9F-45F7-A273-35311E3D2CE2}">
    <text>INFORME EJECUTIVO 22 JULIO 2019</text>
  </threadedComment>
  <threadedComment ref="AD93" dT="2019-07-31T22:25:43.39" personId="{131ECCAA-F50A-4C94-9F32-D8AF22E790B9}" id="{6E58CBAD-A5FC-4587-AE2D-A6A5EF097D88}">
    <text>INFORME EJECUTIVO 29 JULIO 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5"/>
  <dimension ref="A1:BB209"/>
  <sheetViews>
    <sheetView showGridLines="0" tabSelected="1" topLeftCell="A105" zoomScaleNormal="100" workbookViewId="0">
      <pane xSplit="1" topLeftCell="H1" activePane="topRight" state="frozen"/>
      <selection pane="topRight" activeCell="R109" sqref="R109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0" width="14.5703125" style="9" customWidth="1"/>
    <col min="31" max="32" width="16" style="9" bestFit="1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317</v>
      </c>
      <c r="AB1" s="17" t="s">
        <v>318</v>
      </c>
      <c r="AC1" s="17" t="s">
        <v>319</v>
      </c>
      <c r="AD1" s="17" t="s">
        <v>181</v>
      </c>
      <c r="AE1" s="30" t="s">
        <v>320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/>
      <c r="Z2" s="143"/>
      <c r="AA2" s="125"/>
      <c r="AB2" s="125"/>
      <c r="AC2" s="125"/>
      <c r="AD2" s="125"/>
      <c r="AE2" s="143"/>
      <c r="AF2" s="125">
        <f>AF93-'FO 9 ago-19'!AF93</f>
        <v>0</v>
      </c>
      <c r="AG2" s="125">
        <f>AG93-'FO 9 ago-19'!AG93</f>
        <v>0</v>
      </c>
      <c r="AH2" s="125">
        <f>AH93-'FO 9 ago-19'!AH93</f>
        <v>0</v>
      </c>
      <c r="AI2" s="143">
        <f>AI93-'FO 9 ago-19'!AI93</f>
        <v>0</v>
      </c>
      <c r="AJ2" s="125">
        <f>AJ93-'FO 9 ago-19'!AJ93</f>
        <v>0</v>
      </c>
      <c r="AK2" s="125">
        <f>AK93-'FO 9 ago-19'!AK93</f>
        <v>0</v>
      </c>
      <c r="AL2" s="125">
        <f>AL93-'FO 9 ago-19'!AL93</f>
        <v>0</v>
      </c>
      <c r="AM2" s="143">
        <f>AM93-'FO 9 ago-19'!AM93</f>
        <v>0</v>
      </c>
      <c r="AN2" s="125">
        <f>AN93-'FO 9 ago-19'!AN93</f>
        <v>0</v>
      </c>
      <c r="AO2" s="125">
        <f>AO93-'FO 9 ago-19'!AO93</f>
        <v>0</v>
      </c>
      <c r="AP2" s="125">
        <f>AP93-'FO 9 ago-19'!AP93</f>
        <v>0</v>
      </c>
      <c r="AQ2" s="125">
        <f>AQ93-'FO 9 ago-19'!AQ93</f>
        <v>0</v>
      </c>
      <c r="AR2" s="143">
        <f>AR93-'FO 9 ago-19'!AR93</f>
        <v>0</v>
      </c>
      <c r="AS2" s="125">
        <f>AS93-'FO 9 ago-19'!AS93</f>
        <v>0</v>
      </c>
      <c r="AT2" s="125">
        <f>AT93-'FO 9 ago-19'!AT93</f>
        <v>0</v>
      </c>
      <c r="AU2" s="125">
        <f>AU93-'FO 9 ago-19'!AU93</f>
        <v>0</v>
      </c>
      <c r="AV2" s="143">
        <f>AV93-'FO 9 ago-19'!AV93</f>
        <v>0</v>
      </c>
      <c r="AW2" s="125">
        <f>AW93-'FO 9 ago-19'!AW93</f>
        <v>0</v>
      </c>
      <c r="AX2" s="13">
        <f>AX93-'FO 9 ago-19'!AX93</f>
        <v>0</v>
      </c>
      <c r="AY2" s="13">
        <f>AY93-'FO 9 ago-19'!AY93</f>
        <v>0</v>
      </c>
      <c r="AZ2" s="13">
        <f>AZ93-'FO 9 ago-19'!AZ93</f>
        <v>0</v>
      </c>
      <c r="BA2" s="13">
        <f>BA93-'FO 9 ago-19'!BA93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16444946.720000001</v>
      </c>
      <c r="AA30" s="20">
        <v>14353658.390000001</v>
      </c>
      <c r="AB30" s="20">
        <v>15009712.960000003</v>
      </c>
      <c r="AC30" s="20">
        <v>15639811.489999998</v>
      </c>
      <c r="AD30" s="20">
        <v>13960500.590000002</v>
      </c>
      <c r="AE30" s="33">
        <v>15890776.691200005</v>
      </c>
      <c r="AF30" s="20">
        <v>15027882.954849999</v>
      </c>
      <c r="AG30" s="20">
        <v>14839205.155350005</v>
      </c>
      <c r="AH30" s="20">
        <v>14459049.640350001</v>
      </c>
      <c r="AI30" s="33">
        <v>14606261.34585</v>
      </c>
      <c r="AJ30" s="20">
        <v>14656894.206450004</v>
      </c>
      <c r="AK30" s="20">
        <v>14737904.259449996</v>
      </c>
      <c r="AL30" s="20">
        <v>15043976.836450001</v>
      </c>
      <c r="AM30" s="33">
        <v>15083137.489450002</v>
      </c>
      <c r="AN30" s="20">
        <v>16046391.454159999</v>
      </c>
      <c r="AO30" s="20">
        <v>16079020.486659996</v>
      </c>
      <c r="AP30" s="20">
        <v>16142483.279660001</v>
      </c>
      <c r="AQ30" s="20">
        <v>16127555.473659994</v>
      </c>
      <c r="AR30" s="33">
        <v>15928384.477659995</v>
      </c>
      <c r="AS30" s="20">
        <v>14647436.594499998</v>
      </c>
      <c r="AT30" s="20">
        <v>14409157.888999995</v>
      </c>
      <c r="AU30" s="20">
        <v>15371297.131499996</v>
      </c>
      <c r="AV30" s="33">
        <v>14916495.927000003</v>
      </c>
      <c r="AW30" s="20">
        <v>14442906.743500005</v>
      </c>
      <c r="AX30" s="20">
        <v>14732566.037499998</v>
      </c>
      <c r="AY30" s="20">
        <v>17678423.317500003</v>
      </c>
      <c r="AZ30" s="20">
        <v>18445137.328500003</v>
      </c>
      <c r="BA30" s="20">
        <v>5104206.5690000001</v>
      </c>
      <c r="BB30" s="37">
        <f>SUM(B30:BA30)/1000</f>
        <v>812001.37540919986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-365967.86</v>
      </c>
      <c r="AB42" s="24">
        <v>-396148.4</v>
      </c>
      <c r="AC42" s="24">
        <v>-459482.45</v>
      </c>
      <c r="AD42" s="24">
        <v>0</v>
      </c>
      <c r="AE42" s="31">
        <v>-442755.96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-10941.90465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-106730.5</v>
      </c>
      <c r="AC44" s="24">
        <v>-250063.94</v>
      </c>
      <c r="AD44" s="24">
        <v>0</v>
      </c>
      <c r="AE44" s="31">
        <v>-66181.84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-4995.7193300000008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-2497574.42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-38065.305719999997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-2020121.78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-41735.5985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0</v>
      </c>
      <c r="AB59" s="24">
        <v>-38280.82</v>
      </c>
      <c r="AC59" s="24">
        <v>-64188.23</v>
      </c>
      <c r="AD59" s="24">
        <v>-63681.3</v>
      </c>
      <c r="AE59" s="31">
        <v>-143570.01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-9179.5775999999951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0</v>
      </c>
      <c r="AB61" s="19">
        <v>-143791.47999999998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0</v>
      </c>
      <c r="AB62" s="24">
        <v>0</v>
      </c>
      <c r="AC62" s="24">
        <v>0</v>
      </c>
      <c r="AD62" s="24">
        <v>-56250</v>
      </c>
      <c r="AE62" s="31">
        <v>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-945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0</v>
      </c>
      <c r="AB65" s="24">
        <v>0</v>
      </c>
      <c r="AC65" s="24">
        <v>0</v>
      </c>
      <c r="AD65" s="24">
        <v>-195793.28</v>
      </c>
      <c r="AE65" s="31">
        <v>0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-3747.9414800000009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0</v>
      </c>
      <c r="AB67" s="24">
        <v>0</v>
      </c>
      <c r="AC67" s="24">
        <v>0</v>
      </c>
      <c r="AD67" s="24">
        <v>-300266.90999999997</v>
      </c>
      <c r="AE67" s="31">
        <v>0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-6462.3881900000015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0</v>
      </c>
      <c r="AB68" s="24">
        <v>0</v>
      </c>
      <c r="AC68" s="24">
        <v>0</v>
      </c>
      <c r="AD68" s="24">
        <v>-2241151.54</v>
      </c>
      <c r="AE68" s="31">
        <v>0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-43000.269440000004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0</v>
      </c>
      <c r="AB73" s="16">
        <v>0</v>
      </c>
      <c r="AC73" s="16">
        <v>0</v>
      </c>
      <c r="AD73" s="16">
        <v>-661359.80000000005</v>
      </c>
      <c r="AE73" s="35">
        <v>0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-13489.728429999997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0</v>
      </c>
      <c r="AB75" s="24">
        <v>-312.22000000000003</v>
      </c>
      <c r="AC75" s="24">
        <v>-3187.02</v>
      </c>
      <c r="AD75" s="24">
        <v>-330339.07</v>
      </c>
      <c r="AE75" s="31">
        <v>-125405.72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-12348.524680000002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0</v>
      </c>
      <c r="AB79" s="24">
        <v>0</v>
      </c>
      <c r="AC79" s="24">
        <v>0</v>
      </c>
      <c r="AD79" s="24">
        <v>-71345.320000000007</v>
      </c>
      <c r="AE79" s="31">
        <v>0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-1387.5160500000004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-10033212.369999999</v>
      </c>
      <c r="AB82" s="121">
        <v>-7921188.5099999998</v>
      </c>
      <c r="AC82" s="121">
        <v>-7744481.71</v>
      </c>
      <c r="AD82" s="121">
        <v>-11395884.449999999</v>
      </c>
      <c r="AE82" s="120">
        <v>-6765726.7300000004</v>
      </c>
      <c r="AF82" s="121">
        <v>-16826000.19148</v>
      </c>
      <c r="AG82" s="121">
        <v>-6290786.3645000001</v>
      </c>
      <c r="AH82" s="121">
        <v>-6210542.3432499999</v>
      </c>
      <c r="AI82" s="120">
        <v>-3563851.9621879999</v>
      </c>
      <c r="AJ82" s="121">
        <v>-3580021.692208</v>
      </c>
      <c r="AK82" s="121">
        <v>-5597877.5183540005</v>
      </c>
      <c r="AL82" s="121">
        <v>-3008539.6124999998</v>
      </c>
      <c r="AM82" s="120">
        <v>-14263983.884499999</v>
      </c>
      <c r="AN82" s="121">
        <v>-3372908.65</v>
      </c>
      <c r="AO82" s="121">
        <v>-4084938.4000000004</v>
      </c>
      <c r="AP82" s="121">
        <v>-6757972.0335000008</v>
      </c>
      <c r="AQ82" s="121">
        <v>-3444078.0844999999</v>
      </c>
      <c r="AR82" s="120">
        <v>-3279128.1670000004</v>
      </c>
      <c r="AS82" s="121">
        <v>-3702991.7419999996</v>
      </c>
      <c r="AT82" s="121">
        <v>-5132834.8309999993</v>
      </c>
      <c r="AU82" s="121">
        <v>-2704483.7479999997</v>
      </c>
      <c r="AV82" s="120">
        <v>-1649885.5159999998</v>
      </c>
      <c r="AW82" s="121">
        <v>-1629179.61</v>
      </c>
      <c r="AX82" s="19">
        <v>-1631644.89</v>
      </c>
      <c r="AY82" s="19">
        <v>-1746013.84</v>
      </c>
      <c r="AZ82" s="19">
        <v>-16960709.75</v>
      </c>
      <c r="BA82" s="19">
        <v>-1340508.46</v>
      </c>
      <c r="BB82" s="37">
        <f t="shared" si="1"/>
        <v>-291581.15282097994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0</v>
      </c>
      <c r="AB87" s="24">
        <v>0</v>
      </c>
      <c r="AC87" s="24">
        <v>0</v>
      </c>
      <c r="AD87" s="24">
        <v>-48713.34</v>
      </c>
      <c r="AE87" s="31">
        <v>0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-975.85678999999982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0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-1989.9277000000002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-9044567.5799999982</v>
      </c>
      <c r="AB89" s="24">
        <v>-5813639.6799999997</v>
      </c>
      <c r="AC89" s="24">
        <v>-6655042.8600000003</v>
      </c>
      <c r="AD89" s="24">
        <v>-822439.8</v>
      </c>
      <c r="AE89" s="31">
        <v>-6268094.6399999997</v>
      </c>
      <c r="AF89" s="24">
        <v>-2795735.15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-187513.74153999996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0</v>
      </c>
      <c r="AB90" s="24">
        <v>0</v>
      </c>
      <c r="AC90" s="24">
        <v>0</v>
      </c>
      <c r="AD90" s="24">
        <v>-20286.41</v>
      </c>
      <c r="AE90" s="31">
        <v>0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-401.74232999999998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0</v>
      </c>
      <c r="AB92" s="24">
        <v>0</v>
      </c>
      <c r="AC92" s="24">
        <v>-6643.36</v>
      </c>
      <c r="AD92" s="24">
        <v>-1381222.39</v>
      </c>
      <c r="AE92" s="31">
        <v>-52217.34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-27889.791630000011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-26318898.010000002</v>
      </c>
      <c r="AA93" s="18">
        <v>-13625629.18</v>
      </c>
      <c r="AB93" s="18">
        <v>-14520256.779999999</v>
      </c>
      <c r="AC93" s="18">
        <v>-20859355.800000001</v>
      </c>
      <c r="AD93" s="18">
        <v>-14281991.970000001</v>
      </c>
      <c r="AE93" s="32">
        <v>-18047260.969999999</v>
      </c>
      <c r="AF93" s="18">
        <v>-26660547.431479998</v>
      </c>
      <c r="AG93" s="18">
        <v>-18086214.4745</v>
      </c>
      <c r="AH93" s="18">
        <v>-14829222.803250002</v>
      </c>
      <c r="AI93" s="32">
        <v>-13053441.022188</v>
      </c>
      <c r="AJ93" s="18">
        <v>-8460059.0922079999</v>
      </c>
      <c r="AK93" s="18">
        <v>-15874903.258354001</v>
      </c>
      <c r="AL93" s="18">
        <v>-11339110.362500001</v>
      </c>
      <c r="AM93" s="32">
        <v>-19070482.0145</v>
      </c>
      <c r="AN93" s="18">
        <v>-14469511.260000002</v>
      </c>
      <c r="AO93" s="18">
        <v>-10819125.970000003</v>
      </c>
      <c r="AP93" s="18">
        <v>-20786669.643500004</v>
      </c>
      <c r="AQ93" s="18">
        <v>-9722201.2345000021</v>
      </c>
      <c r="AR93" s="32">
        <v>-14201350.477</v>
      </c>
      <c r="AS93" s="18">
        <v>-10178471.951999998</v>
      </c>
      <c r="AT93" s="18">
        <v>-16769530.680999998</v>
      </c>
      <c r="AU93" s="18">
        <v>-11337069.588</v>
      </c>
      <c r="AV93" s="32">
        <v>-10310451.375999998</v>
      </c>
      <c r="AW93" s="18">
        <v>-5776940.6600000001</v>
      </c>
      <c r="AX93" s="18">
        <v>-18270252.879999999</v>
      </c>
      <c r="AY93" s="18">
        <v>-9287368.8800000008</v>
      </c>
      <c r="AZ93" s="18">
        <v>-21323735.170000002</v>
      </c>
      <c r="BA93" s="18">
        <v>-9487115.9199999999</v>
      </c>
      <c r="BB93" s="37">
        <f>SUM(B93:BA93)/1000</f>
        <v>-771799.39163097972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:AE94" si="3">S30+S93</f>
        <v>4053118.3300000038</v>
      </c>
      <c r="T94" s="21">
        <f t="shared" si="3"/>
        <v>-4858120.33</v>
      </c>
      <c r="U94" s="21">
        <f t="shared" si="3"/>
        <v>-1478016.3599999975</v>
      </c>
      <c r="V94" s="36">
        <f t="shared" si="3"/>
        <v>-14088.769999999553</v>
      </c>
      <c r="W94" s="21">
        <f t="shared" si="3"/>
        <v>-1644028.3200000003</v>
      </c>
      <c r="X94" s="21">
        <f t="shared" si="3"/>
        <v>-3791137.3500000015</v>
      </c>
      <c r="Y94" s="21">
        <f t="shared" si="3"/>
        <v>3737626.5499999989</v>
      </c>
      <c r="Z94" s="36">
        <f t="shared" si="3"/>
        <v>-9873951.290000001</v>
      </c>
      <c r="AA94" s="21">
        <f t="shared" si="3"/>
        <v>728029.21000000089</v>
      </c>
      <c r="AB94" s="21">
        <f t="shared" si="3"/>
        <v>489456.18000000343</v>
      </c>
      <c r="AC94" s="21">
        <f t="shared" si="3"/>
        <v>-5219544.3100000024</v>
      </c>
      <c r="AD94" s="21">
        <f t="shared" si="3"/>
        <v>-321491.37999999896</v>
      </c>
      <c r="AE94" s="36">
        <f t="shared" si="3"/>
        <v>-2156484.2787999939</v>
      </c>
      <c r="AF94" s="21">
        <v>-11632664.476629999</v>
      </c>
      <c r="AG94" s="21">
        <v>-3247009.3191499952</v>
      </c>
      <c r="AH94" s="21">
        <v>-370173.16290000081</v>
      </c>
      <c r="AI94" s="36">
        <v>1552820.3236619998</v>
      </c>
      <c r="AJ94" s="21">
        <v>6196835.1142420042</v>
      </c>
      <c r="AK94" s="21">
        <v>-1136998.9989040047</v>
      </c>
      <c r="AL94" s="21">
        <v>3704866.4739500005</v>
      </c>
      <c r="AM94" s="36">
        <v>-3987344.5250499975</v>
      </c>
      <c r="AN94" s="21">
        <v>1576880.1941599976</v>
      </c>
      <c r="AO94" s="21">
        <v>5259894.5166599937</v>
      </c>
      <c r="AP94" s="21">
        <v>-4644186.3638400026</v>
      </c>
      <c r="AQ94" s="21">
        <v>6405354.239159992</v>
      </c>
      <c r="AR94" s="36">
        <v>1727034.0006599948</v>
      </c>
      <c r="AS94" s="21">
        <v>4468964.6425000001</v>
      </c>
      <c r="AT94" s="21">
        <v>-2360372.7920000032</v>
      </c>
      <c r="AU94" s="21">
        <v>4034227.5434999969</v>
      </c>
      <c r="AV94" s="36">
        <v>4606044.5510000046</v>
      </c>
      <c r="AW94" s="21">
        <v>8665966.0835000053</v>
      </c>
      <c r="AX94" s="21">
        <v>-3537686.8425000012</v>
      </c>
      <c r="AY94" s="21">
        <v>8391054.4375000019</v>
      </c>
      <c r="AZ94" s="21">
        <v>-2878597.8414999992</v>
      </c>
      <c r="BA94" s="21">
        <v>-4382909.3509999998</v>
      </c>
      <c r="BB94" s="37">
        <f>SUM(B94:BA94)/1000</f>
        <v>40201.983778219983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AA97" s="15"/>
      <c r="AB97" s="15"/>
      <c r="AC97" s="15"/>
      <c r="AD97" s="15"/>
      <c r="AE97" s="15">
        <v>11460426</v>
      </c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E98" s="15">
        <v>-15068146</v>
      </c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60674.244009999995</v>
      </c>
      <c r="H100" s="60">
        <f>SUM(AA30:AD30,AE97)/1000+H97</f>
        <v>70424.109430000011</v>
      </c>
      <c r="I100" s="60">
        <f>(SUM(AF30:AI30)+(AE30-AE97))/1000+I97</f>
        <v>63362.749787600005</v>
      </c>
      <c r="J100" s="60">
        <f>SUM(AJ30:AM30)/1000+J97</f>
        <v>59521.912791800001</v>
      </c>
      <c r="K100" s="60">
        <f>SUM(AN30:AR30)/1000+K97</f>
        <v>80323.83517179999</v>
      </c>
      <c r="L100" s="60">
        <f>SUM(AS30:AV30)/1000+L97</f>
        <v>59344.387541999989</v>
      </c>
      <c r="M100" s="60">
        <f>SUM(AW30:BA30)/1000+M97</f>
        <v>70403.239996000004</v>
      </c>
      <c r="N100" s="60">
        <f>SUM(B100:M100)</f>
        <v>812001.37540919986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-72245.734420000008</v>
      </c>
      <c r="H101" s="60">
        <f>SUM(AA93:AD93,AE98)/1000+H98</f>
        <v>-78355.379730000001</v>
      </c>
      <c r="I101" s="39">
        <f>(SUM(AF93:AI93)+(AE93-AE98))/1000+I98</f>
        <v>-75608.540701417995</v>
      </c>
      <c r="J101" s="39">
        <f>SUM(AJ93:AM93)/1000+J98</f>
        <v>-54744.554727562005</v>
      </c>
      <c r="K101" s="39">
        <f>SUM(AN93:AR93)/1000+K98</f>
        <v>-69998.858585000009</v>
      </c>
      <c r="L101" s="39">
        <f>SUM(AS93:AV93)/1000+L98</f>
        <v>-48595.523596999985</v>
      </c>
      <c r="M101" s="39">
        <f>SUM(AW93:BA93)/1000+M98</f>
        <v>-64145.413510000006</v>
      </c>
      <c r="N101" s="60">
        <f>SUM(B101:M101)</f>
        <v>-771799.39163097995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-11571.490410000013</v>
      </c>
      <c r="H102" s="60">
        <f t="shared" si="4"/>
        <v>-7931.2702999999892</v>
      </c>
      <c r="I102" s="60">
        <f t="shared" si="4"/>
        <v>-12245.790913817989</v>
      </c>
      <c r="J102" s="60">
        <f t="shared" si="4"/>
        <v>4777.3580642379966</v>
      </c>
      <c r="K102" s="60">
        <f t="shared" si="4"/>
        <v>10324.976586799981</v>
      </c>
      <c r="L102" s="60">
        <f t="shared" si="4"/>
        <v>10748.863945000005</v>
      </c>
      <c r="M102" s="60">
        <f>SUM(M100:M101)</f>
        <v>6257.8264859999981</v>
      </c>
      <c r="N102" s="60">
        <f>SUM(B102:M102)</f>
        <v>40201.983778219976</v>
      </c>
      <c r="O102" s="133">
        <f>BB94-N102+SUM(F97:M98)</f>
        <v>7.2759576141834259E-12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31 jul-19'!N100</f>
        <v>0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31 jul-19'!N100</f>
        <v>0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0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14 jun-19'!B108:M108)</f>
        <v>0</v>
      </c>
      <c r="P108" s="160">
        <f>N101-'FO 31 jul-19'!N101</f>
        <v>-5121.7032809800003</v>
      </c>
      <c r="Q108" s="61" t="s">
        <v>103</v>
      </c>
      <c r="R108" s="63"/>
      <c r="S108" s="23" t="s">
        <v>126</v>
      </c>
      <c r="T108" s="115">
        <f>SUM(AF47:BA50)/1000-SUM('FO 31 jul-19'!AF47:BA50)/1000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SUM(AF82:BA82)/1000-SUM('FO 31 jul-19'!AF82:BA82)/1000</f>
        <v>-3121.7032809800003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SUM(AF31:BA92)/1000-SUM('FO 31 jul-19'!AF31:BA92)/1000-T108-T109</f>
        <v>-2000.0000000001164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31 jul-19'!N102</f>
        <v>-5121.703280979993</v>
      </c>
      <c r="Q111" s="160" t="s">
        <v>321</v>
      </c>
      <c r="S111" s="70" t="s">
        <v>129</v>
      </c>
      <c r="T111" s="77">
        <f>SUM(T108:T110)</f>
        <v>-5121.7032809801167</v>
      </c>
      <c r="U111" s="71">
        <f>AE2/1000</f>
        <v>0</v>
      </c>
      <c r="V111" s="160">
        <f>SUM(T111:U111)</f>
        <v>-5121.7032809801167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-5121.7032809800003</v>
      </c>
      <c r="Q112" s="133" t="s">
        <v>321</v>
      </c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3411.0641595593688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63362.749787600005</v>
      </c>
      <c r="W117" s="80">
        <f>SUM(AK30:BA30)/1000</f>
        <v>254936.48129514998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72347.11400999999</v>
      </c>
      <c r="H118" s="26">
        <f t="shared" si="10"/>
        <v>81962.549430000014</v>
      </c>
      <c r="I118" s="26">
        <f t="shared" si="10"/>
        <v>75049.212787600001</v>
      </c>
      <c r="J118" s="26">
        <f t="shared" si="10"/>
        <v>71395.125791800005</v>
      </c>
      <c r="K118" s="26">
        <f t="shared" si="10"/>
        <v>92165.682171799985</v>
      </c>
      <c r="L118" s="26">
        <f t="shared" si="10"/>
        <v>71307.538541999995</v>
      </c>
      <c r="M118" s="26">
        <f t="shared" si="10"/>
        <v>81566.493996000005</v>
      </c>
      <c r="N118" s="64">
        <f>SUM(B118:M118)</f>
        <v>950126.34740919992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-83694.381420000005</v>
      </c>
      <c r="H119" s="26">
        <f>H101+H107+H113</f>
        <v>-89986.958729999998</v>
      </c>
      <c r="I119" s="26">
        <f>I101+I107+I113</f>
        <v>-87090.389701417997</v>
      </c>
      <c r="J119" s="26">
        <f>J101+J107+J113+J202/1000</f>
        <v>-66211.717727562005</v>
      </c>
      <c r="K119" s="26">
        <f>K101+K107+K113+K202/1000</f>
        <v>-81321.888585000008</v>
      </c>
      <c r="L119" s="26">
        <f>L101+L107+L113+L202/1000</f>
        <v>-59724.067596999994</v>
      </c>
      <c r="M119" s="26">
        <f>M101+M107+M113-J202/1000</f>
        <v>-75266.963510000001</v>
      </c>
      <c r="N119" s="64">
        <f>SUM(B119:M119)</f>
        <v>-907811.48163098004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-11347.267410000015</v>
      </c>
      <c r="H120" s="56">
        <f t="shared" si="11"/>
        <v>-8024.4092999999848</v>
      </c>
      <c r="I120" s="56">
        <f t="shared" si="11"/>
        <v>-12041.176913817995</v>
      </c>
      <c r="J120" s="56">
        <f t="shared" si="11"/>
        <v>5183.4080642379995</v>
      </c>
      <c r="K120" s="56">
        <f t="shared" si="11"/>
        <v>10843.793586799977</v>
      </c>
      <c r="L120" s="56">
        <f t="shared" si="11"/>
        <v>11583.470945000001</v>
      </c>
      <c r="M120" s="56">
        <f>SUM(M118:M119)</f>
        <v>6299.5304860000033</v>
      </c>
      <c r="N120" s="65">
        <f>SUM(B120:M120)</f>
        <v>42314.865778219981</v>
      </c>
      <c r="O120" s="65">
        <f>'FO 12 jul-19'!N120+P112+O108</f>
        <v>65974.27275261996</v>
      </c>
      <c r="P120" s="158"/>
      <c r="R120" s="86">
        <f>[1]EEFF!$H$63</f>
        <v>574206</v>
      </c>
      <c r="S120" s="40" t="s">
        <v>135</v>
      </c>
      <c r="T120" s="80">
        <f>SUM(T117:T119)</f>
        <v>75049.212787600001</v>
      </c>
      <c r="U120" s="9"/>
      <c r="V120" s="9"/>
      <c r="W120" s="80">
        <f>SUM(W117:W119)</f>
        <v>301777.94629514997</v>
      </c>
      <c r="X120" s="9"/>
      <c r="Y120" s="9"/>
      <c r="Z120" s="76">
        <f>R120+T120+W120</f>
        <v>951033.15908274997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54919.349458219986</v>
      </c>
      <c r="O121" s="38"/>
      <c r="P121" s="159"/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59951.685628040635</v>
      </c>
      <c r="U122" s="80">
        <f>U124-U123</f>
        <v>71460.380999999878</v>
      </c>
      <c r="W122" s="80">
        <f>W117-W116</f>
        <v>244604.09629514997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21955.75109000002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63638.148628040639</v>
      </c>
      <c r="U124" s="80">
        <f>'[1]Proy. 2018'!$D$60</f>
        <v>74585.869999999879</v>
      </c>
      <c r="W124" s="80">
        <f>SUM(W122:W123)</f>
        <v>259445.56129514996</v>
      </c>
      <c r="X124" s="80">
        <f>SUM('[1]Proy. 2018'!$E$60:$H$60)</f>
        <v>292023.20500000007</v>
      </c>
      <c r="Z124" s="91">
        <f>R120+T124+W124</f>
        <v>897289.70992319065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0.7463785435294118</v>
      </c>
      <c r="C125" s="43">
        <f>B125*4</f>
        <v>2.9855141741176472</v>
      </c>
      <c r="Z125" s="89"/>
      <c r="AA125" s="89"/>
    </row>
    <row r="126" spans="1:30" ht="15" hidden="1">
      <c r="A126" s="42" t="s">
        <v>120</v>
      </c>
      <c r="B126" s="43">
        <f>-AVERAGE(B82:BA82)/1000000</f>
        <v>5.7172775062937244</v>
      </c>
      <c r="C126" s="43">
        <f>B126*4</f>
        <v>22.869110025174898</v>
      </c>
      <c r="S126" s="92" t="s">
        <v>144</v>
      </c>
      <c r="U126" s="104">
        <f>T124-U124</f>
        <v>-10947.72137195924</v>
      </c>
      <c r="X126" s="104">
        <f>W124-X124</f>
        <v>-32577.64370485011</v>
      </c>
      <c r="Z126" s="89"/>
      <c r="AA126" s="89">
        <f>Z124-AA124</f>
        <v>-43525.365076809307</v>
      </c>
      <c r="AB126" s="112">
        <f>(X126+U126)/(T122+W122)</f>
        <v>-0.14291426287151071</v>
      </c>
      <c r="AC126" s="111">
        <f>AA126/Z124</f>
        <v>-4.8507594142069392E-2</v>
      </c>
    </row>
    <row r="127" spans="1:30" ht="15" hidden="1">
      <c r="A127" s="42" t="s">
        <v>121</v>
      </c>
      <c r="B127" s="43">
        <f>-(AVERAGE(B89:BA89)+AVERAGE(B68:BA68))/1000000</f>
        <v>4.5198825682352934</v>
      </c>
      <c r="C127" s="43">
        <f>B127*4</f>
        <v>18.079530272941174</v>
      </c>
      <c r="Z127" s="89"/>
      <c r="AA127" s="89"/>
    </row>
    <row r="128" spans="1:30" ht="15.75" hidden="1">
      <c r="A128" s="44" t="s">
        <v>104</v>
      </c>
      <c r="B128" s="45">
        <f>SUM(B124:B127)</f>
        <v>12.693067402960391</v>
      </c>
      <c r="C128" s="45">
        <f>SUM(C124:C127)</f>
        <v>50.772269611841566</v>
      </c>
      <c r="R128" s="23"/>
      <c r="S128" s="9" t="s">
        <v>141</v>
      </c>
      <c r="Z128" s="87">
        <f>Z120-'[4]Flujo 2018'!$AQ$4</f>
        <v>-31260.448377249995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-3411.0641595593688</v>
      </c>
      <c r="U134" s="14"/>
      <c r="V134" s="83">
        <f>W134/W138</f>
        <v>4.5114799570459059E-2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14.427605817258083</v>
      </c>
      <c r="C136" s="45">
        <f>C128+C131+C134</f>
        <v>57.710423269032333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-41715.356653751871</v>
      </c>
      <c r="U137" s="101">
        <f>'[1]Proy. 2018'!$D$116-'[1]Proy. 2018'!$C$116-U136</f>
        <v>-38522.038500000075</v>
      </c>
      <c r="V137" s="103"/>
      <c r="W137" s="101">
        <f>SUM(AK31:BA92)/1000-SUM(W132:W136)</f>
        <v>-171031.35577821403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28.214372637144937</v>
      </c>
      <c r="C138" s="47">
        <f>C136+C137</f>
        <v>71.497190088919183</v>
      </c>
      <c r="S138" s="40" t="s">
        <v>133</v>
      </c>
      <c r="T138" s="80">
        <f>I101</f>
        <v>-75608.540701417995</v>
      </c>
      <c r="W138" s="80">
        <f>SUM(AK93:BA93)/1000</f>
        <v>-229024.29132735397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-87090.389701417997</v>
      </c>
      <c r="W141" s="80">
        <f>SUM(W138:W140)</f>
        <v>-274064.57832735399</v>
      </c>
      <c r="X141" s="24"/>
      <c r="Z141" s="80">
        <f>R141+T141+W141</f>
        <v>-943804.96802877192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-72197.476541858632</v>
      </c>
      <c r="U143" s="80">
        <f>U145-U144</f>
        <v>-54186.39900000018</v>
      </c>
      <c r="W143" s="80">
        <f>W138-W134</f>
        <v>-218691.90632735397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-75679.325541858634</v>
      </c>
      <c r="U145" s="85">
        <f>'[1]Proy. 2018'!$D$61</f>
        <v>-57037.396000000183</v>
      </c>
      <c r="W145" s="85">
        <f>SUM(W143:W144)</f>
        <v>-231732.19332735398</v>
      </c>
      <c r="X145" s="85">
        <f>SUM('[1]Proy. 2018'!$E$61:$H$61)</f>
        <v>-260447.245</v>
      </c>
      <c r="Z145" s="85">
        <f>R141+T145+W145</f>
        <v>-890061.5188692126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-18641.929541858452</v>
      </c>
      <c r="V147" s="40"/>
      <c r="W147" s="40"/>
      <c r="X147" s="104">
        <f>W145-X145</f>
        <v>28715.051672646019</v>
      </c>
      <c r="Z147" s="90"/>
      <c r="AA147" s="89">
        <f>Z145-AA145</f>
        <v>10073.122130787582</v>
      </c>
      <c r="AB147" s="112">
        <f>(X147+U147)/(W145+T145)</f>
        <v>-3.2767549400363069E-2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-20206.195541858557</v>
      </c>
      <c r="V149" s="106"/>
      <c r="W149" s="106"/>
      <c r="X149" s="106">
        <f>W132-X132+W136-X136+W137-X137</f>
        <v>20318.362672646064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-1014.5786287719384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7228.1910539780511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-32275.027006021948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-33452.242946021724</v>
      </c>
    </row>
    <row r="157" spans="1:30" ht="12.75" hidden="1">
      <c r="A157" s="18">
        <v>-8256517.8300000001</v>
      </c>
      <c r="AA157" s="10">
        <f>Z154-AA154</f>
        <v>-33452.242946021724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/>
      <c r="J202" s="154"/>
      <c r="K202" s="154"/>
      <c r="L202" s="154"/>
    </row>
    <row r="203" spans="1:12" ht="12.75">
      <c r="A203" s="9" t="s">
        <v>314</v>
      </c>
      <c r="H203" s="157"/>
      <c r="J203" s="155"/>
      <c r="K203" s="155"/>
      <c r="L203" s="155"/>
    </row>
    <row r="204" spans="1:12" ht="12.75">
      <c r="H204" s="157"/>
      <c r="J204" s="155"/>
      <c r="K204" s="155"/>
      <c r="L204" s="155"/>
    </row>
    <row r="207" spans="1:12" ht="12.75">
      <c r="H207" s="154">
        <v>12375900</v>
      </c>
      <c r="J207" s="154">
        <v>6217650</v>
      </c>
      <c r="K207" s="154">
        <v>6217650</v>
      </c>
      <c r="L207" s="154">
        <v>12399600</v>
      </c>
    </row>
    <row r="208" spans="1:12" ht="12.75">
      <c r="H208" s="157">
        <v>43650</v>
      </c>
      <c r="J208" s="155">
        <v>43718</v>
      </c>
      <c r="K208" s="155">
        <v>43748</v>
      </c>
      <c r="L208" s="155">
        <v>43779</v>
      </c>
    </row>
    <row r="209" spans="8:12" ht="12.75">
      <c r="H209" s="157">
        <v>43735</v>
      </c>
      <c r="J209" s="155">
        <v>43826</v>
      </c>
      <c r="K209" s="155">
        <v>43826</v>
      </c>
      <c r="L209" s="155">
        <f t="shared" ref="L209" si="12">L208+90</f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BB204"/>
  <sheetViews>
    <sheetView showGridLines="0" topLeftCell="A106" zoomScale="90" zoomScaleNormal="90" workbookViewId="0">
      <pane xSplit="1" topLeftCell="H1" activePane="topRight" state="frozen"/>
      <selection pane="topRight" activeCell="I217" sqref="I217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>
        <f>W93-'FO 31 may-19'!W93</f>
        <v>240042.33999999985</v>
      </c>
      <c r="X2" s="125">
        <f>X93-'FO 31 may-19'!X93</f>
        <v>-75220.460000000894</v>
      </c>
      <c r="Y2" s="125">
        <f>Y93-'FO 31 may-19'!Y93</f>
        <v>-1616475.7100000009</v>
      </c>
      <c r="Z2" s="143">
        <f>Z93-'FO 31 may-19'!Z93</f>
        <v>-864118.76999999583</v>
      </c>
      <c r="AA2" s="125">
        <f>AA93-'FO 31 may-19'!AA93</f>
        <v>40711.929999999702</v>
      </c>
      <c r="AB2" s="125">
        <f>AB93-'FO 31 may-19'!AB93</f>
        <v>3950000</v>
      </c>
      <c r="AC2" s="125">
        <f>AC93-'FO 31 may-19'!AC93</f>
        <v>-6408904.9999999925</v>
      </c>
      <c r="AD2" s="125">
        <f>AD93-'FO 31 may-19'!AD93</f>
        <v>20833.679999999702</v>
      </c>
      <c r="AE2" s="143">
        <f>AE93-'FO 31 may-19'!AE93</f>
        <v>31250.519999999553</v>
      </c>
      <c r="AF2" s="125">
        <f>AF93-'FO 31 may-19'!AF93</f>
        <v>2199997.4200000018</v>
      </c>
      <c r="AG2" s="125">
        <f>AG93-'FO 31 may-19'!AG93</f>
        <v>119595</v>
      </c>
      <c r="AH2" s="125">
        <f>AH93-'FO 31 may-19'!AH93</f>
        <v>4427.160000000149</v>
      </c>
      <c r="AI2" s="143">
        <f>AI93-'FO 31 may-19'!AI93</f>
        <v>781.26000000163913</v>
      </c>
      <c r="AJ2" s="125">
        <f>AJ93-'FO 31 may-19'!AJ93</f>
        <v>5208.4199999999255</v>
      </c>
      <c r="AK2" s="125">
        <f>AK93-'FO 31 may-19'!AK93</f>
        <v>5552691.5900000036</v>
      </c>
      <c r="AL2" s="125">
        <f>AL93-'FO 31 may-19'!AL93</f>
        <v>1515208.4199999981</v>
      </c>
      <c r="AM2" s="143">
        <f>AM93-'FO 31 may-19'!AM93</f>
        <v>0</v>
      </c>
      <c r="AN2" s="125">
        <f>AN93-'FO 31 may-19'!AN93</f>
        <v>0</v>
      </c>
      <c r="AO2" s="125">
        <f>AO93-'FO 31 may-19'!AO93</f>
        <v>-6932679.75</v>
      </c>
      <c r="AP2" s="125">
        <f>AP93-'FO 31 may-19'!AP93</f>
        <v>415818.41999999806</v>
      </c>
      <c r="AQ2" s="125">
        <f>AQ93-'FO 31 may-19'!AQ93</f>
        <v>0</v>
      </c>
      <c r="AR2" s="143">
        <f>AR93-'FO 31 may-19'!AR93</f>
        <v>10416.830000000075</v>
      </c>
      <c r="AS2" s="125">
        <f>AS93-'FO 31 may-19'!AS93</f>
        <v>-10416.840000001714</v>
      </c>
      <c r="AT2" s="125">
        <f>AT93-'FO 31 may-19'!AT93</f>
        <v>410610</v>
      </c>
      <c r="AU2" s="125">
        <f>AU93-'FO 31 may-19'!AU93</f>
        <v>41667.349999999627</v>
      </c>
      <c r="AV2" s="143">
        <f>AV93-'FO 31 may-19'!AV93</f>
        <v>0</v>
      </c>
      <c r="AW2" s="125">
        <f>AW93-'FO 31 may-19'!AW93</f>
        <v>0</v>
      </c>
      <c r="AX2" s="13">
        <f>AX93-'FO 31 may-19'!AX93</f>
        <v>-1099390</v>
      </c>
      <c r="AY2" s="13">
        <f>AY93-'FO 31 may-19'!AY93</f>
        <v>1510000</v>
      </c>
      <c r="AZ2" s="13">
        <f>AZ93-'FO 31 may-19'!AZ93</f>
        <v>0</v>
      </c>
      <c r="BA2" s="13">
        <f>BA93-'FO 31 may-19'!BA93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13749668.543999998</v>
      </c>
      <c r="Y30" s="20">
        <v>18439342.493999995</v>
      </c>
      <c r="Z30" s="33">
        <v>16152655.034</v>
      </c>
      <c r="AA30" s="20">
        <v>16113024.561200002</v>
      </c>
      <c r="AB30" s="20">
        <v>16025614.351200005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836187.35544799955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-8716.7373500000012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-4294.504640000001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-2840421.23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-42555.897950000006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-8231.6954900000037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-65000</v>
      </c>
      <c r="Z62" s="31">
        <v>-65000</v>
      </c>
      <c r="AA62" s="24">
        <v>-56250</v>
      </c>
      <c r="AB62" s="24">
        <v>-56250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-1300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-4843.5742199999986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-8150.1973899999984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-54897.299780000008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-17216.583060000001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-13605.354570000003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-1784.5436900000007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-8343331</v>
      </c>
      <c r="Z82" s="120">
        <v>-17400757.239999998</v>
      </c>
      <c r="AA82" s="121">
        <v>-6050589.6500000004</v>
      </c>
      <c r="AB82" s="121">
        <v>-6021736.0199999996</v>
      </c>
      <c r="AC82" s="121">
        <v>-27989769.52</v>
      </c>
      <c r="AD82" s="121">
        <v>-5480060.4000000004</v>
      </c>
      <c r="AE82" s="120">
        <v>-7649946.4000000004</v>
      </c>
      <c r="AF82" s="121">
        <v>-16483249.689999999</v>
      </c>
      <c r="AG82" s="121">
        <v>-5686129.2599999998</v>
      </c>
      <c r="AH82" s="121">
        <v>-4180618.19</v>
      </c>
      <c r="AI82" s="120">
        <v>-3713009.32</v>
      </c>
      <c r="AJ82" s="121">
        <v>-3566749.9</v>
      </c>
      <c r="AK82" s="121">
        <v>-11580801.76</v>
      </c>
      <c r="AL82" s="121">
        <v>-3045907.95</v>
      </c>
      <c r="AM82" s="120">
        <v>-3007712.88</v>
      </c>
      <c r="AN82" s="121">
        <v>-3422512.64</v>
      </c>
      <c r="AO82" s="121">
        <v>-10352192.390000001</v>
      </c>
      <c r="AP82" s="121">
        <v>-4577668.83</v>
      </c>
      <c r="AQ82" s="121">
        <v>-3488170.52</v>
      </c>
      <c r="AR82" s="120">
        <v>-3287726.2</v>
      </c>
      <c r="AS82" s="121">
        <v>-3771555.49</v>
      </c>
      <c r="AT82" s="121">
        <v>-18675917.280000001</v>
      </c>
      <c r="AU82" s="121">
        <v>-2606598.5299999998</v>
      </c>
      <c r="AV82" s="120">
        <v>-1649885.51</v>
      </c>
      <c r="AW82" s="121">
        <v>-1629179.61</v>
      </c>
      <c r="AX82" s="19">
        <v>-2731034.89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-295616.81179999997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-1246.1811199999997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-2889.3943799999997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-152418.53465999998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-515.41206999999986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-35331.840860000011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-18470445.440000001</v>
      </c>
      <c r="Y93" s="18">
        <v>-15984898</v>
      </c>
      <c r="Z93" s="32">
        <v>-26657246.57</v>
      </c>
      <c r="AA93" s="18">
        <v>-12374426.640000001</v>
      </c>
      <c r="AB93" s="18">
        <v>-15286383.77</v>
      </c>
      <c r="AC93" s="18">
        <v>-39881361.769999996</v>
      </c>
      <c r="AD93" s="18">
        <v>-11697512.610000001</v>
      </c>
      <c r="AE93" s="32">
        <v>-18229939.27</v>
      </c>
      <c r="AF93" s="18">
        <v>-24317796.929999996</v>
      </c>
      <c r="AG93" s="18">
        <v>-17481557.370000001</v>
      </c>
      <c r="AH93" s="18">
        <v>-12799298.650000002</v>
      </c>
      <c r="AI93" s="32">
        <v>-13202598.379999999</v>
      </c>
      <c r="AJ93" s="18">
        <v>-8446787.3000000007</v>
      </c>
      <c r="AK93" s="18">
        <v>-21857827.5</v>
      </c>
      <c r="AL93" s="18">
        <v>-11376478.700000003</v>
      </c>
      <c r="AM93" s="32">
        <v>-7814211.0099999998</v>
      </c>
      <c r="AN93" s="18">
        <v>-14519115.250000004</v>
      </c>
      <c r="AO93" s="18">
        <v>-17086379.960000001</v>
      </c>
      <c r="AP93" s="18">
        <v>-18606366.440000001</v>
      </c>
      <c r="AQ93" s="18">
        <v>-9766293.6700000018</v>
      </c>
      <c r="AR93" s="32">
        <v>-14209948.51</v>
      </c>
      <c r="AS93" s="18">
        <v>-10247035.699999999</v>
      </c>
      <c r="AT93" s="18">
        <v>-30312613.130000003</v>
      </c>
      <c r="AU93" s="18">
        <v>-11239184.369999999</v>
      </c>
      <c r="AV93" s="32">
        <v>-10310451.369999999</v>
      </c>
      <c r="AW93" s="18">
        <v>-5776940.6600000001</v>
      </c>
      <c r="AX93" s="18">
        <v>-19369642.879999999</v>
      </c>
      <c r="AY93" s="18">
        <v>-9287368.8800000008</v>
      </c>
      <c r="AZ93" s="18">
        <v>-6053435.1699999999</v>
      </c>
      <c r="BA93" s="18">
        <v>-9487115.9199999999</v>
      </c>
      <c r="BB93" s="37">
        <f>SUM(B93:BA93)/1000</f>
        <v>-786155.31787999987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" si="3">S30+S93</f>
        <v>4053118.3300000038</v>
      </c>
      <c r="T94" s="21">
        <f>T30+T93</f>
        <v>-4858120.33</v>
      </c>
      <c r="U94" s="21">
        <f>U30+U93</f>
        <v>-1478016.3599999975</v>
      </c>
      <c r="V94" s="36">
        <f>V30+V93</f>
        <v>-14088.769999999553</v>
      </c>
      <c r="W94" s="21">
        <f>W30+W93</f>
        <v>-1644028.3200000003</v>
      </c>
      <c r="X94" s="21">
        <v>-4720776.8960000034</v>
      </c>
      <c r="Y94" s="21">
        <v>2454444.4939999953</v>
      </c>
      <c r="Z94" s="36">
        <v>-10504591.536</v>
      </c>
      <c r="AA94" s="21">
        <v>3738597.9212000016</v>
      </c>
      <c r="AB94" s="21">
        <v>739230.58120000549</v>
      </c>
      <c r="AC94" s="21">
        <v>-24075176.088799998</v>
      </c>
      <c r="AD94" s="21">
        <v>4293832.5811999962</v>
      </c>
      <c r="AE94" s="36">
        <v>-2339162.5787999947</v>
      </c>
      <c r="AF94" s="21">
        <v>-8498972.7669999953</v>
      </c>
      <c r="AG94" s="21">
        <v>-1861341.4169999957</v>
      </c>
      <c r="AH94" s="21">
        <v>2420753.6030000001</v>
      </c>
      <c r="AI94" s="36">
        <v>2172413.563000001</v>
      </c>
      <c r="AJ94" s="21">
        <v>6981522.3910000045</v>
      </c>
      <c r="AK94" s="21">
        <v>-6344244.0690000039</v>
      </c>
      <c r="AL94" s="21">
        <v>4459286.3909999989</v>
      </c>
      <c r="AM94" s="36">
        <v>8062775.8210000023</v>
      </c>
      <c r="AN94" s="21">
        <v>2371823.1227999963</v>
      </c>
      <c r="AO94" s="21">
        <v>-161095.23720000312</v>
      </c>
      <c r="AP94" s="21">
        <v>-1614278.7771999985</v>
      </c>
      <c r="AQ94" s="21">
        <v>7210080.5127999932</v>
      </c>
      <c r="AR94" s="36">
        <v>2556771.9927999955</v>
      </c>
      <c r="AS94" s="21">
        <v>5171318.6099999994</v>
      </c>
      <c r="AT94" s="21">
        <v>-15145078.510000007</v>
      </c>
      <c r="AU94" s="21">
        <v>4941128.3999999985</v>
      </c>
      <c r="AV94" s="36">
        <v>5391123.2900000047</v>
      </c>
      <c r="AW94" s="21">
        <v>9426119.0700000059</v>
      </c>
      <c r="AX94" s="21">
        <v>-3861678.6300000008</v>
      </c>
      <c r="AY94" s="21">
        <v>9321497.7700000014</v>
      </c>
      <c r="AZ94" s="21">
        <v>13362498.860000005</v>
      </c>
      <c r="BA94" s="21">
        <v>-4114266.8999999994</v>
      </c>
      <c r="BB94" s="37">
        <f>SUM(B94:BA94)/1000</f>
        <v>50032.037568000007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62596.907451999992</v>
      </c>
      <c r="H100" s="60">
        <f>SUM(AA30:AE30)/1000+H97</f>
        <v>79826.946476000012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836187.3554479999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-77011.859710000004</v>
      </c>
      <c r="H101" s="60">
        <f>SUM(AA93:AE93)/1000+H98</f>
        <v>-97469.624059999987</v>
      </c>
      <c r="I101" s="39">
        <f>SUM(AF93:AI93)/1000+I98</f>
        <v>-67801.251329999999</v>
      </c>
      <c r="J101" s="39">
        <f>SUM(AJ93:AM93)/1000+J98</f>
        <v>-49495.304509999994</v>
      </c>
      <c r="K101" s="39">
        <f>SUM(AN93:AR93)/1000+K98</f>
        <v>-74188.103830000007</v>
      </c>
      <c r="L101" s="39">
        <f>SUM(AS93:AV93)/1000+L98</f>
        <v>-62109.284569999996</v>
      </c>
      <c r="M101" s="39">
        <f>SUM(AW93:BA93)/1000+M98</f>
        <v>-49974.503510000002</v>
      </c>
      <c r="N101" s="60">
        <f>SUM(B101:M101)</f>
        <v>-786155.3178800001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-14414.952258000012</v>
      </c>
      <c r="H102" s="60">
        <f t="shared" si="4"/>
        <v>-17642.677583999975</v>
      </c>
      <c r="I102" s="60">
        <f t="shared" si="4"/>
        <v>-5767.147017999996</v>
      </c>
      <c r="J102" s="60">
        <f t="shared" si="4"/>
        <v>13159.340534000003</v>
      </c>
      <c r="K102" s="60">
        <f t="shared" si="4"/>
        <v>10363.301613999967</v>
      </c>
      <c r="L102" s="60">
        <f t="shared" si="4"/>
        <v>358.49178999999276</v>
      </c>
      <c r="M102" s="60">
        <f>SUM(M100:M101)</f>
        <v>24134.170170000005</v>
      </c>
      <c r="N102" s="60">
        <f>SUM(B102:M102)</f>
        <v>50032.037567999971</v>
      </c>
      <c r="O102" s="133">
        <f>BB94-N102+SUM(F97:M98)</f>
        <v>3.637978807091713E-11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31 may-19'!N100</f>
        <v>-1605.663324000081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31 may-19'!N100</f>
        <v>-1605.663324000081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-937.94618999999011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24 may-19'!B108:M108)</f>
        <v>0</v>
      </c>
      <c r="P108" s="133">
        <f>N101-'FO 31 may-19'!N101</f>
        <v>-937.94619000004604</v>
      </c>
      <c r="Q108" s="61" t="s">
        <v>103</v>
      </c>
      <c r="R108" s="63"/>
      <c r="S108" s="23" t="s">
        <v>126</v>
      </c>
      <c r="T108" s="115">
        <f>SUM(X47:BA50)/1000-SUM('FO 31 may-19'!X47:BA50)/1000</f>
        <v>659.49109999999928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SUM(X82:BA82)/1000-SUM('FO 31 may-19'!X82:BA82)/1000</f>
        <v>-10687.347900000052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SUM(X31:BA92)/1000-SUM('FO 31 may-19'!X31:BA92)/1000-T108-T109</f>
        <v>8849.8682700001373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31 may-19'!N102</f>
        <v>-2543.6095140000034</v>
      </c>
      <c r="Q111" s="119"/>
      <c r="S111" s="70" t="s">
        <v>129</v>
      </c>
      <c r="T111" s="77">
        <f>SUM(T108:T110)</f>
        <v>-1177.988529999915</v>
      </c>
      <c r="U111" s="71">
        <f>W2/1000</f>
        <v>240.04233999999985</v>
      </c>
      <c r="V111" s="133">
        <f>SUM(T111:U111)</f>
        <v>-937.94618999991519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-2543.6095140001271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3081.7674265820538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74269.777451999995</v>
      </c>
      <c r="H118" s="26">
        <f t="shared" si="10"/>
        <v>91365.386476000014</v>
      </c>
      <c r="I118" s="26">
        <f t="shared" si="10"/>
        <v>73720.567311999999</v>
      </c>
      <c r="J118" s="26">
        <f t="shared" si="10"/>
        <v>74527.858043999993</v>
      </c>
      <c r="K118" s="26">
        <f t="shared" si="10"/>
        <v>96393.252443999969</v>
      </c>
      <c r="L118" s="26">
        <f t="shared" si="10"/>
        <v>74430.927360000001</v>
      </c>
      <c r="M118" s="26">
        <f t="shared" si="10"/>
        <v>85271.927680000008</v>
      </c>
      <c r="N118" s="64">
        <f>SUM(B118:M118)</f>
        <v>974312.32744799985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-88460.506710000001</v>
      </c>
      <c r="H119" s="26">
        <f>H101+H107+H113+H202/1000</f>
        <v>-96725.303059999991</v>
      </c>
      <c r="I119" s="26">
        <f t="shared" si="10"/>
        <v>-79283.100330000001</v>
      </c>
      <c r="J119" s="26">
        <f>J101+J107+J113+J202/1000</f>
        <v>-54744.817509999993</v>
      </c>
      <c r="K119" s="26">
        <f>K101+K107+K113-H202/1000+K202/1000</f>
        <v>-91669.383830000006</v>
      </c>
      <c r="L119" s="26">
        <f>L101+L107+L113+L202/1000</f>
        <v>-60838.228570000014</v>
      </c>
      <c r="M119" s="26">
        <f>M101+M107+M113-J202/1000</f>
        <v>-67313.703509999992</v>
      </c>
      <c r="N119" s="64">
        <f>SUM(B119:M119)</f>
        <v>-903550.15787999996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-14190.729258000007</v>
      </c>
      <c r="H120" s="56">
        <f t="shared" si="11"/>
        <v>-5359.9165839999769</v>
      </c>
      <c r="I120" s="56">
        <f t="shared" si="11"/>
        <v>-5562.5330180000019</v>
      </c>
      <c r="J120" s="56">
        <f t="shared" si="11"/>
        <v>19783.040534</v>
      </c>
      <c r="K120" s="56">
        <f t="shared" si="11"/>
        <v>4723.8686139999627</v>
      </c>
      <c r="L120" s="56">
        <f t="shared" si="11"/>
        <v>13592.698789999988</v>
      </c>
      <c r="M120" s="56">
        <f>SUM(M118:M119)</f>
        <v>17958.224170000016</v>
      </c>
      <c r="N120" s="65">
        <f>SUM(B120:M120)</f>
        <v>70762.169567999983</v>
      </c>
      <c r="O120" s="65">
        <f>'FO 24 may-19'!N120+P112+O108</f>
        <v>48826.389753199779</v>
      </c>
      <c r="P120" s="133">
        <f>O120-N120</f>
        <v>-21935.779814800204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83366.653247999988</v>
      </c>
      <c r="O121" s="38"/>
      <c r="P121" s="156">
        <f>-P112+K202/1000+L202/1000</f>
        <v>21160.859514000127</v>
      </c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58952.33688541795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24799.212938000011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62638.799885417946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909708.07072241791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5.7964080745098032</v>
      </c>
      <c r="C126" s="43">
        <f>B126*4</f>
        <v>23.185632298039213</v>
      </c>
      <c r="S126" s="92" t="s">
        <v>144</v>
      </c>
      <c r="U126" s="104">
        <f>T124-U124</f>
        <v>-11947.070114581933</v>
      </c>
      <c r="X126" s="104">
        <f>W124-X124</f>
        <v>-19159.934163000027</v>
      </c>
      <c r="Z126" s="89"/>
      <c r="AA126" s="89">
        <f>Z124-AA124</f>
        <v>-31107.004277582048</v>
      </c>
      <c r="AB126" s="112">
        <f>(X126+U126)/(T122+W122)</f>
        <v>-9.8137355969831044E-2</v>
      </c>
      <c r="AC126" s="111">
        <f>AA126/Z124</f>
        <v>-3.4194490824819589E-2</v>
      </c>
    </row>
    <row r="127" spans="1:30" ht="15.75" hidden="1" thickBot="1">
      <c r="A127" s="42" t="s">
        <v>121</v>
      </c>
      <c r="B127" s="43">
        <f>-(AVERAGE(B89:BA89)+AVERAGE(B68:BA68))/1000000</f>
        <v>4.0650163615686266</v>
      </c>
      <c r="C127" s="43">
        <f>B127*4</f>
        <v>16.260065446274506</v>
      </c>
      <c r="Z127" s="89"/>
      <c r="AA127" s="89"/>
    </row>
    <row r="128" spans="1:30" ht="15.75" hidden="1">
      <c r="A128" s="44" t="s">
        <v>104</v>
      </c>
      <c r="B128" s="45">
        <f>SUM(B124:B127)</f>
        <v>12.317485725294116</v>
      </c>
      <c r="C128" s="45">
        <f>SUM(C124:C127)</f>
        <v>49.269942901176464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6.5" hidden="1" thickBot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6.5" hidden="1" thickBot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-3081.7674265820538</v>
      </c>
      <c r="U134" s="14"/>
      <c r="V134" s="83">
        <f>W134/W138</f>
        <v>4.5452957963601257E-2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6.5" hidden="1" thickBot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14.052024139591808</v>
      </c>
      <c r="C136" s="45">
        <f>C128+C131+C134</f>
        <v>56.208096558367231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-34237.364015311185</v>
      </c>
      <c r="U137" s="101">
        <f>'[1]Proy. 2018'!$D$116-'[1]Proy. 2018'!$C$116-U136</f>
        <v>-38522.038500000075</v>
      </c>
      <c r="V137" s="103"/>
      <c r="W137" s="101">
        <f>SUM(AK31:BA92)/1000-SUM(W132:W136)</f>
        <v>-169327.47357086002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27.838790959478661</v>
      </c>
      <c r="C138" s="47">
        <f>C136+C137</f>
        <v>69.994863378254081</v>
      </c>
      <c r="S138" s="40" t="s">
        <v>133</v>
      </c>
      <c r="T138" s="80">
        <f>I101</f>
        <v>-67801.251329999999</v>
      </c>
      <c r="W138" s="80">
        <f>SUM(AK93:BA93)/1000</f>
        <v>-227320.40912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-79283.100330000001</v>
      </c>
      <c r="W141" s="80">
        <f>SUM(W138:W140)</f>
        <v>-272360.69611999998</v>
      </c>
      <c r="X141" s="24"/>
      <c r="Z141" s="80">
        <f>R141+T141+W141</f>
        <v>-934293.79645000002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-64719.483903417946</v>
      </c>
      <c r="U143" s="80">
        <f>U145-U144</f>
        <v>-54186.39900000018</v>
      </c>
      <c r="W143" s="80">
        <f>W138-W134</f>
        <v>-216988.02411999999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-68201.332903417948</v>
      </c>
      <c r="U145" s="85">
        <f>'[1]Proy. 2018'!$D$61</f>
        <v>-57037.396000000183</v>
      </c>
      <c r="W145" s="85">
        <f>SUM(W143:W144)</f>
        <v>-230028.31112</v>
      </c>
      <c r="X145" s="85">
        <f>SUM('[1]Proy. 2018'!$E$61:$H$61)</f>
        <v>-260447.245</v>
      </c>
      <c r="Z145" s="85">
        <f>R141+T145+W145</f>
        <v>-880879.64402341796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-11163.936903417765</v>
      </c>
      <c r="V147" s="40"/>
      <c r="W147" s="40"/>
      <c r="X147" s="104">
        <f>W145-X145</f>
        <v>30418.933879999997</v>
      </c>
      <c r="Z147" s="90"/>
      <c r="AA147" s="89">
        <f>Z145-AA145</f>
        <v>19254.996976582217</v>
      </c>
      <c r="AB147" s="112">
        <f>(X147+U147)/(W145+T145)</f>
        <v>-6.4564329410091326E-2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-12728.20290341787</v>
      </c>
      <c r="V149" s="106"/>
      <c r="W149" s="106"/>
      <c r="X149" s="106">
        <f>W132-X132+W136-X136+W137-X137</f>
        <v>22022.244880000071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8496.592949999962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28828.426698999945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-10674.791361000054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-11852.00730099983</v>
      </c>
    </row>
    <row r="157" spans="1:30" ht="12.75" hidden="1">
      <c r="A157" s="18">
        <v>-8256517.8300000001</v>
      </c>
      <c r="AA157" s="10">
        <f>Z154-AA154</f>
        <v>-11852.00730099983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>
        <v>12375900</v>
      </c>
      <c r="J202" s="154">
        <v>6217650</v>
      </c>
      <c r="K202" s="154">
        <v>6217650</v>
      </c>
      <c r="L202" s="154">
        <v>12399600</v>
      </c>
    </row>
    <row r="203" spans="1:12" ht="12.75">
      <c r="A203" s="9" t="s">
        <v>314</v>
      </c>
      <c r="H203" s="155">
        <v>43661</v>
      </c>
      <c r="J203" s="155">
        <v>43721</v>
      </c>
      <c r="K203" s="155">
        <v>43751</v>
      </c>
      <c r="L203" s="155">
        <v>43782</v>
      </c>
    </row>
    <row r="204" spans="1:12" ht="12.75">
      <c r="H204" s="155">
        <f>[10]PlanImpBuques!$L$46</f>
        <v>43746</v>
      </c>
      <c r="J204" s="155">
        <v>43808</v>
      </c>
      <c r="K204" s="155">
        <v>43838</v>
      </c>
      <c r="L204" s="155"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B200"/>
  <sheetViews>
    <sheetView showGridLines="0" topLeftCell="A30" zoomScale="70" zoomScaleNormal="70" workbookViewId="0">
      <pane xSplit="1" topLeftCell="B1" activePane="topRight" state="frozen"/>
      <selection pane="topRight" activeCell="G103" sqref="G103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>
        <f>V93-'FO 24 may-19'!V93</f>
        <v>-100245.15999999642</v>
      </c>
      <c r="W2" s="125">
        <f>W93-'FO 24 may-19'!W93</f>
        <v>-2529417.4600000009</v>
      </c>
      <c r="X2" s="125">
        <f>X93-'FO 24 may-19'!X93</f>
        <v>-1379689.8000000007</v>
      </c>
      <c r="Y2" s="125">
        <f>Y93-'FO 24 may-19'!Y93</f>
        <v>1015322.1799999997</v>
      </c>
      <c r="Z2" s="143">
        <f>Z93-'FO 24 may-19'!Z93</f>
        <v>1223710.6599999964</v>
      </c>
      <c r="AA2" s="125">
        <f>AA93-'FO 24 may-19'!AA93</f>
        <v>1384992.4800000004</v>
      </c>
      <c r="AB2" s="125">
        <f>AB93-'FO 24 may-19'!AB93</f>
        <v>-2444243.1699999981</v>
      </c>
      <c r="AC2" s="125">
        <f>AC93-'FO 24 may-19'!AC93</f>
        <v>55557.199999999255</v>
      </c>
      <c r="AD2" s="125">
        <f>AD93-'FO 24 may-19'!AD93</f>
        <v>1956050.8600000013</v>
      </c>
      <c r="AE2" s="143">
        <f>AE93-'FO 24 may-19'!AE93</f>
        <v>-377092.04999999702</v>
      </c>
      <c r="AF2" s="125">
        <f>AF93-'FO 24 may-19'!AF93</f>
        <v>-1147686.879999999</v>
      </c>
      <c r="AG2" s="125">
        <f>AG93-'FO 24 may-19'!AG93</f>
        <v>207869.01999999955</v>
      </c>
      <c r="AH2" s="125">
        <f>AH93-'FO 24 may-19'!AH93</f>
        <v>1659425.8699999992</v>
      </c>
      <c r="AI2" s="143">
        <f>AI93-'FO 24 may-19'!AI93</f>
        <v>1139658.9499999993</v>
      </c>
      <c r="AJ2" s="125">
        <f>AJ93-'FO 24 may-19'!AJ93</f>
        <v>640675</v>
      </c>
      <c r="AK2" s="125">
        <f>AK93-'FO 24 may-19'!AK93</f>
        <v>516708.27999999374</v>
      </c>
      <c r="AL2" s="125">
        <f>AL93-'FO 24 may-19'!AL93</f>
        <v>-869860.43999999762</v>
      </c>
      <c r="AM2" s="143">
        <f>AM93-'FO 24 may-19'!AM93</f>
        <v>683543.05000000075</v>
      </c>
      <c r="AN2" s="125">
        <f>AN93-'FO 24 may-19'!AN93</f>
        <v>684293.04999999702</v>
      </c>
      <c r="AO2" s="125">
        <f>AO93-'FO 24 may-19'!AO93</f>
        <v>683543.05000000075</v>
      </c>
      <c r="AP2" s="125">
        <f>AP93-'FO 24 may-19'!AP93</f>
        <v>-696246.46999999881</v>
      </c>
      <c r="AQ2" s="125">
        <f>AQ93-'FO 24 may-19'!AQ93</f>
        <v>597066.75999999791</v>
      </c>
      <c r="AR2" s="143">
        <f>AR93-'FO 24 may-19'!AR93</f>
        <v>502433.3599999994</v>
      </c>
      <c r="AS2" s="125">
        <f>AS93-'FO 24 may-19'!AS93</f>
        <v>240416.83000000007</v>
      </c>
      <c r="AT2" s="125">
        <f>AT93-'FO 24 may-19'!AT93</f>
        <v>-1646466.1099999994</v>
      </c>
      <c r="AU2" s="125">
        <f>AU93-'FO 24 may-19'!AU93</f>
        <v>-58202.019999999553</v>
      </c>
      <c r="AV2" s="143">
        <f>AV93-'FO 24 may-19'!AV93</f>
        <v>-150</v>
      </c>
      <c r="AW2" s="125">
        <f>AW93-'FO 24 may-19'!AW93</f>
        <v>0</v>
      </c>
      <c r="AX2" s="13">
        <f>AX93-'FO 24 may-19'!AX93</f>
        <v>0</v>
      </c>
      <c r="AY2" s="13">
        <f>AY93-'FO 24 may-19'!AY93</f>
        <v>-1510000</v>
      </c>
      <c r="AZ2" s="13">
        <f>AZ93-'FO 24 may-19'!AZ93</f>
        <v>0</v>
      </c>
      <c r="BA2" s="13">
        <f>BA93-'FO 24 may-19'!BA93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15860904.704</v>
      </c>
      <c r="X30" s="20">
        <v>13749668.543999998</v>
      </c>
      <c r="Y30" s="20">
        <v>18439342.493999995</v>
      </c>
      <c r="Z30" s="33">
        <v>16152655.034</v>
      </c>
      <c r="AA30" s="20">
        <v>16113024.561200002</v>
      </c>
      <c r="AB30" s="20">
        <v>16025614.351200005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837793.01877199975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-8364.5940600000013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-4045.9777900000004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-43215.389050000005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-8049.5145100000036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-65000</v>
      </c>
      <c r="Y62" s="24">
        <v>-65000</v>
      </c>
      <c r="Z62" s="31">
        <v>-65000</v>
      </c>
      <c r="AA62" s="24">
        <v>-56250</v>
      </c>
      <c r="AB62" s="24">
        <v>-56250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-1365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-4998.8254499999985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-8385.779599999998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-56460.189720000017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-17752.361660000002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-13754.752270000005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-1837.3775100000009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-6636517.8300000001</v>
      </c>
      <c r="Y82" s="121">
        <v>-6317364.1900000004</v>
      </c>
      <c r="Z82" s="120">
        <v>-16536638.470000001</v>
      </c>
      <c r="AA82" s="121">
        <v>-6091301.5800000001</v>
      </c>
      <c r="AB82" s="121">
        <v>-9971736.0199999996</v>
      </c>
      <c r="AC82" s="121">
        <v>-19820864.52</v>
      </c>
      <c r="AD82" s="121">
        <v>-5500894.0800000001</v>
      </c>
      <c r="AE82" s="120">
        <v>-7681196.9199999999</v>
      </c>
      <c r="AF82" s="121">
        <v>-18683247.109999999</v>
      </c>
      <c r="AG82" s="121">
        <v>-4295724.26</v>
      </c>
      <c r="AH82" s="121">
        <v>-4185045.35</v>
      </c>
      <c r="AI82" s="120">
        <v>-3713790.58</v>
      </c>
      <c r="AJ82" s="121">
        <v>-3571958.32</v>
      </c>
      <c r="AK82" s="121">
        <v>-17133493.350000001</v>
      </c>
      <c r="AL82" s="121">
        <v>-3051116.37</v>
      </c>
      <c r="AM82" s="120">
        <v>-3007712.88</v>
      </c>
      <c r="AN82" s="121">
        <v>-3422512.64</v>
      </c>
      <c r="AO82" s="121">
        <v>-3419512.64</v>
      </c>
      <c r="AP82" s="121">
        <v>-3483487.25</v>
      </c>
      <c r="AQ82" s="121">
        <v>-3488170.52</v>
      </c>
      <c r="AR82" s="120">
        <v>-3298143.03</v>
      </c>
      <c r="AS82" s="121">
        <v>-3761138.65</v>
      </c>
      <c r="AT82" s="121">
        <v>-17576527.280000001</v>
      </c>
      <c r="AU82" s="121">
        <v>-2648265.88</v>
      </c>
      <c r="AV82" s="120">
        <v>-1649885.51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-284929.46389999997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-1510000</v>
      </c>
      <c r="Y83" s="24">
        <v>0</v>
      </c>
      <c r="Z83" s="31">
        <v>0</v>
      </c>
      <c r="AA83" s="24">
        <v>0</v>
      </c>
      <c r="AB83" s="24">
        <v>0</v>
      </c>
      <c r="AC83" s="24">
        <v>-1510000</v>
      </c>
      <c r="AD83" s="24">
        <v>0</v>
      </c>
      <c r="AE83" s="31">
        <v>0</v>
      </c>
      <c r="AF83" s="24">
        <v>0</v>
      </c>
      <c r="AG83" s="24">
        <v>-1510000</v>
      </c>
      <c r="AH83" s="24">
        <v>0</v>
      </c>
      <c r="AI83" s="31">
        <v>0</v>
      </c>
      <c r="AJ83" s="24">
        <v>0</v>
      </c>
      <c r="AK83" s="24">
        <v>0</v>
      </c>
      <c r="AL83" s="24">
        <v>-1510000</v>
      </c>
      <c r="AM83" s="31">
        <v>0</v>
      </c>
      <c r="AN83" s="24">
        <v>0</v>
      </c>
      <c r="AO83" s="24">
        <v>0</v>
      </c>
      <c r="AP83" s="24">
        <v>-1510000</v>
      </c>
      <c r="AQ83" s="24">
        <v>0</v>
      </c>
      <c r="AR83" s="31">
        <v>0</v>
      </c>
      <c r="AS83" s="24">
        <v>0</v>
      </c>
      <c r="AT83" s="24">
        <v>-1510000</v>
      </c>
      <c r="AU83" s="24">
        <v>0</v>
      </c>
      <c r="AV83" s="31">
        <v>0</v>
      </c>
      <c r="AW83" s="24">
        <v>0</v>
      </c>
      <c r="AX83" s="19">
        <v>0</v>
      </c>
      <c r="AY83" s="19">
        <v>-1510000</v>
      </c>
      <c r="AZ83" s="19">
        <v>0</v>
      </c>
      <c r="BA83" s="19">
        <v>0</v>
      </c>
      <c r="BB83" s="37">
        <f t="shared" si="1"/>
        <v>-10570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-1282.8905399999996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-2889.3943799999997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-147685.61531999992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-531.6741199999999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-36317.774620000011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-16139312.039999999</v>
      </c>
      <c r="X93" s="18">
        <v>-18395224.98</v>
      </c>
      <c r="Y93" s="18">
        <v>-14368422.289999999</v>
      </c>
      <c r="Z93" s="32">
        <v>-25793127.800000004</v>
      </c>
      <c r="AA93" s="18">
        <v>-12415138.57</v>
      </c>
      <c r="AB93" s="18">
        <v>-19236383.77</v>
      </c>
      <c r="AC93" s="18">
        <v>-33472456.770000003</v>
      </c>
      <c r="AD93" s="18">
        <v>-11718346.290000001</v>
      </c>
      <c r="AE93" s="32">
        <v>-18261189.789999999</v>
      </c>
      <c r="AF93" s="18">
        <v>-26517794.349999998</v>
      </c>
      <c r="AG93" s="18">
        <v>-17601152.370000001</v>
      </c>
      <c r="AH93" s="18">
        <v>-12803725.810000002</v>
      </c>
      <c r="AI93" s="32">
        <v>-13203379.640000001</v>
      </c>
      <c r="AJ93" s="18">
        <v>-8451995.7200000007</v>
      </c>
      <c r="AK93" s="18">
        <v>-27410519.090000004</v>
      </c>
      <c r="AL93" s="18">
        <v>-12891687.120000001</v>
      </c>
      <c r="AM93" s="32">
        <v>-7814211.0099999998</v>
      </c>
      <c r="AN93" s="18">
        <v>-14519115.250000004</v>
      </c>
      <c r="AO93" s="18">
        <v>-10153700.210000001</v>
      </c>
      <c r="AP93" s="18">
        <v>-19022184.859999999</v>
      </c>
      <c r="AQ93" s="18">
        <v>-9766293.6700000018</v>
      </c>
      <c r="AR93" s="32">
        <v>-14220365.34</v>
      </c>
      <c r="AS93" s="18">
        <v>-10236618.859999998</v>
      </c>
      <c r="AT93" s="18">
        <v>-30723223.130000003</v>
      </c>
      <c r="AU93" s="18">
        <v>-11280851.719999999</v>
      </c>
      <c r="AV93" s="32">
        <v>-10310451.369999999</v>
      </c>
      <c r="AW93" s="18">
        <v>-5776940.6600000001</v>
      </c>
      <c r="AX93" s="18">
        <v>-18270252.879999999</v>
      </c>
      <c r="AY93" s="18">
        <v>-10797368.880000001</v>
      </c>
      <c r="AZ93" s="18">
        <v>-6053435.1699999999</v>
      </c>
      <c r="BA93" s="18">
        <v>-9487115.9199999999</v>
      </c>
      <c r="BB93" s="37">
        <f>SUM(B93:BA93)/1000</f>
        <v>-785217.37169000006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" si="3">S30+S93</f>
        <v>4053118.3300000038</v>
      </c>
      <c r="T94" s="21">
        <f>T30+T93</f>
        <v>-4858120.33</v>
      </c>
      <c r="U94" s="21">
        <f>U30+U93</f>
        <v>-1478016.3599999975</v>
      </c>
      <c r="V94" s="36">
        <f>V30+V93</f>
        <v>-14088.769999999553</v>
      </c>
      <c r="W94" s="21">
        <v>-278407.3359999992</v>
      </c>
      <c r="X94" s="21">
        <v>-4645556.4360000025</v>
      </c>
      <c r="Y94" s="21">
        <v>4070920.2039999962</v>
      </c>
      <c r="Z94" s="36">
        <v>-9640472.7660000045</v>
      </c>
      <c r="AA94" s="21">
        <v>3697885.9912000019</v>
      </c>
      <c r="AB94" s="21">
        <v>-3210769.4187999945</v>
      </c>
      <c r="AC94" s="21">
        <v>-17666271.088800006</v>
      </c>
      <c r="AD94" s="21">
        <v>4272998.9011999965</v>
      </c>
      <c r="AE94" s="36">
        <v>-2370413.0987999942</v>
      </c>
      <c r="AF94" s="21">
        <v>-10698970.186999997</v>
      </c>
      <c r="AG94" s="21">
        <v>-1980936.4169999957</v>
      </c>
      <c r="AH94" s="21">
        <v>2416326.443</v>
      </c>
      <c r="AI94" s="36">
        <v>2171632.3029999994</v>
      </c>
      <c r="AJ94" s="21">
        <v>6976313.9710000046</v>
      </c>
      <c r="AK94" s="21">
        <v>-11896935.659000007</v>
      </c>
      <c r="AL94" s="21">
        <v>2944077.9710000008</v>
      </c>
      <c r="AM94" s="36">
        <v>8062775.8210000023</v>
      </c>
      <c r="AN94" s="21">
        <v>2371823.1227999963</v>
      </c>
      <c r="AO94" s="21">
        <v>6771584.5127999969</v>
      </c>
      <c r="AP94" s="21">
        <v>-2030097.1971999966</v>
      </c>
      <c r="AQ94" s="21">
        <v>7210080.5127999932</v>
      </c>
      <c r="AR94" s="36">
        <v>2546355.1627999954</v>
      </c>
      <c r="AS94" s="21">
        <v>5181735.4500000011</v>
      </c>
      <c r="AT94" s="21">
        <v>-15555688.510000007</v>
      </c>
      <c r="AU94" s="21">
        <v>4899461.0499999989</v>
      </c>
      <c r="AV94" s="36">
        <v>5391123.2900000047</v>
      </c>
      <c r="AW94" s="21">
        <v>9426119.0700000059</v>
      </c>
      <c r="AX94" s="21">
        <v>-2762288.6300000008</v>
      </c>
      <c r="AY94" s="21">
        <v>7811497.7700000014</v>
      </c>
      <c r="AZ94" s="21">
        <v>13362498.860000005</v>
      </c>
      <c r="BA94" s="21">
        <v>-4114266.8999999994</v>
      </c>
      <c r="BB94" s="37">
        <f>SUM(B94:BA94)/1000</f>
        <v>52575.647081999996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64202.570775999993</v>
      </c>
      <c r="H100" s="60">
        <f>SUM(AA30:AE30)/1000+H97</f>
        <v>79826.946476000012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837793.01877199998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-74696.087109999993</v>
      </c>
      <c r="H101" s="60">
        <f>SUM(AA93:AE93)/1000+H98</f>
        <v>-95103.515189999991</v>
      </c>
      <c r="I101" s="39">
        <f>SUM(AF93:AI93)/1000+I98</f>
        <v>-70126.052169999995</v>
      </c>
      <c r="J101" s="39">
        <f>SUM(AJ93:AM93)/1000+J98</f>
        <v>-56568.412940000002</v>
      </c>
      <c r="K101" s="39">
        <f>SUM(AN93:AR93)/1000+K98</f>
        <v>-67681.65933000001</v>
      </c>
      <c r="L101" s="39">
        <f>SUM(AS93:AV93)/1000+L98</f>
        <v>-62551.145079999995</v>
      </c>
      <c r="M101" s="39">
        <f>SUM(AW93:BA93)/1000+M98</f>
        <v>-50385.113510000003</v>
      </c>
      <c r="N101" s="60">
        <f>SUM(B101:M101)</f>
        <v>-785217.37169000006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-10493.516334</v>
      </c>
      <c r="H102" s="60">
        <f t="shared" si="4"/>
        <v>-15276.568713999979</v>
      </c>
      <c r="I102" s="60">
        <f t="shared" si="4"/>
        <v>-8091.9478579999923</v>
      </c>
      <c r="J102" s="60">
        <f t="shared" si="4"/>
        <v>6086.2321039999952</v>
      </c>
      <c r="K102" s="60">
        <f t="shared" si="4"/>
        <v>16869.746113999965</v>
      </c>
      <c r="L102" s="60">
        <f t="shared" si="4"/>
        <v>-83.368720000005851</v>
      </c>
      <c r="M102" s="60">
        <f>SUM(M100:M101)</f>
        <v>23723.560170000004</v>
      </c>
      <c r="N102" s="60">
        <f>SUM(B102:M102)</f>
        <v>52575.647081999974</v>
      </c>
      <c r="O102" s="133">
        <f>BB94-N102+SUM(F97:M98)</f>
        <v>2.1827872842550278E-11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24 may-19'!N100</f>
        <v>2886.562774799997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24 may-19'!N100</f>
        <v>2886.562774799997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431.96703999999727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24 may-19'!B108:M108)</f>
        <v>0</v>
      </c>
      <c r="P108" s="133">
        <f>N101-'FO 24 may-19'!N101</f>
        <v>431.96704000001773</v>
      </c>
      <c r="Q108" s="61" t="s">
        <v>103</v>
      </c>
      <c r="R108" s="63"/>
      <c r="S108" s="23" t="s">
        <v>126</v>
      </c>
      <c r="T108" s="115">
        <f>SUM(W47:BA50)/1000-SUM('FO 24 may-19'!W47:BA50)/1000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SUM(W82:BA82)/1000-SUM('FO 24 may-19'!W82:BA82)/1000</f>
        <v>15340.483810000034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SUM(W31:BA92)/1000-SUM('FO 24 may-19'!W31:BA92)/1000-T108-T109</f>
        <v>-14808.271610000083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24 may-19'!N102</f>
        <v>3318.5298148000438</v>
      </c>
      <c r="Q111" s="119"/>
      <c r="S111" s="70" t="s">
        <v>129</v>
      </c>
      <c r="T111" s="77">
        <f>SUM(T108:T110)</f>
        <v>532.21219999995083</v>
      </c>
      <c r="U111" s="71">
        <f>V2/1000</f>
        <v>-100.24515999999642</v>
      </c>
      <c r="V111" s="133">
        <f>SUM(T111:U111)</f>
        <v>431.96703999995441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3318.5298148000147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3167.7332968268315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75875.440775999989</v>
      </c>
      <c r="H118" s="26">
        <f t="shared" si="10"/>
        <v>91365.386476000014</v>
      </c>
      <c r="I118" s="26">
        <f t="shared" si="10"/>
        <v>73720.567311999999</v>
      </c>
      <c r="J118" s="26">
        <f t="shared" si="10"/>
        <v>74527.858043999993</v>
      </c>
      <c r="K118" s="26">
        <f t="shared" si="10"/>
        <v>96393.252443999969</v>
      </c>
      <c r="L118" s="26">
        <f t="shared" si="10"/>
        <v>74430.927360000001</v>
      </c>
      <c r="M118" s="26">
        <f t="shared" si="10"/>
        <v>85271.927680000008</v>
      </c>
      <c r="N118" s="64">
        <f>SUM(B118:M118)</f>
        <v>975917.99077199993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-86144.73410999999</v>
      </c>
      <c r="H119" s="26">
        <f t="shared" si="10"/>
        <v>-106735.09418999999</v>
      </c>
      <c r="I119" s="26">
        <f t="shared" si="10"/>
        <v>-81607.901169999997</v>
      </c>
      <c r="J119" s="26">
        <f t="shared" si="10"/>
        <v>-68035.57594000001</v>
      </c>
      <c r="K119" s="26">
        <f t="shared" si="10"/>
        <v>-79004.689330000008</v>
      </c>
      <c r="L119" s="26">
        <f t="shared" si="10"/>
        <v>-73679.689080000011</v>
      </c>
      <c r="M119" s="26">
        <f>M101+M107+M113</f>
        <v>-61506.663509999998</v>
      </c>
      <c r="N119" s="64">
        <f>SUM(B119:M119)</f>
        <v>-921229.46168999991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-10269.293334000002</v>
      </c>
      <c r="H120" s="56">
        <f t="shared" si="11"/>
        <v>-15369.707713999975</v>
      </c>
      <c r="I120" s="56">
        <f t="shared" si="11"/>
        <v>-7887.3338579999981</v>
      </c>
      <c r="J120" s="56">
        <f t="shared" si="11"/>
        <v>6492.2821039999835</v>
      </c>
      <c r="K120" s="56">
        <f t="shared" si="11"/>
        <v>17388.56311399996</v>
      </c>
      <c r="L120" s="56">
        <f t="shared" si="11"/>
        <v>751.23827999999048</v>
      </c>
      <c r="M120" s="56">
        <f>SUM(M118:M119)</f>
        <v>23765.264170000009</v>
      </c>
      <c r="N120" s="65">
        <f>SUM(B120:M120)</f>
        <v>54688.529081999965</v>
      </c>
      <c r="O120" s="65">
        <f>'FO 24 may-19'!N120+P112+O108</f>
        <v>54688.529081999921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67293.012761999969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58866.371015173172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20877.777014000007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62552.834015173168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909622.10485217324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5.5868522333333326</v>
      </c>
      <c r="C126" s="43">
        <f>B126*4</f>
        <v>22.34740893333333</v>
      </c>
      <c r="S126" s="92" t="s">
        <v>144</v>
      </c>
      <c r="U126" s="104">
        <f>T124-U124</f>
        <v>-12033.035984826711</v>
      </c>
      <c r="X126" s="104">
        <f>W124-X124</f>
        <v>-19159.934163000027</v>
      </c>
      <c r="Z126" s="89"/>
      <c r="AA126" s="89">
        <f>Z124-AA124</f>
        <v>-31192.970147826709</v>
      </c>
      <c r="AB126" s="112">
        <f>(X126+U126)/(T122+W122)</f>
        <v>-9.8435260216029177E-2</v>
      </c>
      <c r="AC126" s="111">
        <f>AA126/Z124</f>
        <v>-3.4292229686850036E-2</v>
      </c>
    </row>
    <row r="127" spans="1:30" ht="15" hidden="1">
      <c r="A127" s="42" t="s">
        <v>121</v>
      </c>
      <c r="B127" s="43">
        <f>-(AVERAGE(B89:BA89)+AVERAGE(B68:BA68))/1000000</f>
        <v>4.0028589223529396</v>
      </c>
      <c r="C127" s="43">
        <f>B127*4</f>
        <v>16.011435689411758</v>
      </c>
      <c r="Z127" s="89"/>
      <c r="AA127" s="89"/>
    </row>
    <row r="128" spans="1:30" ht="15.75" hidden="1">
      <c r="A128" s="44" t="s">
        <v>104</v>
      </c>
      <c r="B128" s="45">
        <f>SUM(B124:B127)</f>
        <v>12.04577244490196</v>
      </c>
      <c r="C128" s="45">
        <f>SUM(C124:C127)</f>
        <v>48.18308977960784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-3167.7332968268315</v>
      </c>
      <c r="U134" s="14"/>
      <c r="V134" s="83">
        <f>W134/W138</f>
        <v>4.5171989564557168E-2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13.780310859199652</v>
      </c>
      <c r="C136" s="45">
        <f>C128+C131+C134</f>
        <v>55.121243436798608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-36476.198985066403</v>
      </c>
      <c r="U137" s="101">
        <f>'[1]Proy. 2018'!$D$116-'[1]Proy. 2018'!$C$116-U136</f>
        <v>-38522.038500000075</v>
      </c>
      <c r="V137" s="103"/>
      <c r="W137" s="101">
        <f>SUM(AK31:BA92)/1000-SUM(W132:W136)</f>
        <v>-170741.39959085998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27.567077679086506</v>
      </c>
      <c r="C138" s="47">
        <f>C136+C137</f>
        <v>68.908010256685458</v>
      </c>
      <c r="S138" s="40" t="s">
        <v>133</v>
      </c>
      <c r="T138" s="80">
        <f>I101</f>
        <v>-70126.052169999995</v>
      </c>
      <c r="W138" s="80">
        <f>SUM(AK93:BA93)/1000</f>
        <v>-228734.33513999998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-81607.901169999997</v>
      </c>
      <c r="W141" s="80">
        <f>SUM(W138:W140)</f>
        <v>-273774.62213999999</v>
      </c>
      <c r="X141" s="24"/>
      <c r="Z141" s="80">
        <f>R141+T141+W141</f>
        <v>-938032.52330999996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-66958.318873173164</v>
      </c>
      <c r="U143" s="80">
        <f>U145-U144</f>
        <v>-54186.39900000018</v>
      </c>
      <c r="W143" s="80">
        <f>W138-W134</f>
        <v>-218401.95013999997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-70440.167873173166</v>
      </c>
      <c r="U145" s="85">
        <f>'[1]Proy. 2018'!$D$61</f>
        <v>-57037.396000000183</v>
      </c>
      <c r="W145" s="85">
        <f>SUM(W143:W144)</f>
        <v>-231442.23713999998</v>
      </c>
      <c r="X145" s="85">
        <f>SUM('[1]Proy. 2018'!$E$61:$H$61)</f>
        <v>-260447.245</v>
      </c>
      <c r="Z145" s="85">
        <f>R141+T145+W145</f>
        <v>-884532.40501317312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-13402.771873172984</v>
      </c>
      <c r="V147" s="40"/>
      <c r="W147" s="40"/>
      <c r="X147" s="104">
        <f>W145-X145</f>
        <v>29005.007860000012</v>
      </c>
      <c r="Z147" s="90"/>
      <c r="AA147" s="89">
        <f>Z145-AA145</f>
        <v>15602.235986827058</v>
      </c>
      <c r="AB147" s="112">
        <f>(X147+U147)/(W145+T145)</f>
        <v>-5.168315783805353E-2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-14967.037873173089</v>
      </c>
      <c r="V149" s="106"/>
      <c r="W149" s="106"/>
      <c r="X149" s="106">
        <f>W132-X132+W136-X136+W137-X137</f>
        <v>20608.318860000116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4757.866090000025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25089.699839000008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-14413.518220999991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-15590.734160999651</v>
      </c>
    </row>
    <row r="157" spans="1:30" ht="12.75" hidden="1">
      <c r="A157" s="18">
        <v>-8256517.8300000001</v>
      </c>
      <c r="AA157" s="10">
        <f>Z154-AA154</f>
        <v>-15590.734160999767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BB200"/>
  <sheetViews>
    <sheetView showGridLines="0" zoomScale="90" zoomScaleNormal="90" workbookViewId="0">
      <pane xSplit="1" topLeftCell="Y1" activePane="topRight" state="frozen"/>
      <selection pane="topRight" activeCell="R101" sqref="R101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>
        <f>U93-'FO 17 may-19'!U93</f>
        <v>3295627.08</v>
      </c>
      <c r="V2" s="143">
        <f>V93-'FO 17 may-19'!V93</f>
        <v>-3307413.7800000012</v>
      </c>
      <c r="W2" s="125">
        <f>W93-'FO 17 may-19'!W93</f>
        <v>-801963.43999999762</v>
      </c>
      <c r="X2" s="125">
        <f>X93-'FO 17 may-19'!X93</f>
        <v>0</v>
      </c>
      <c r="Y2" s="125">
        <f>Y93-'FO 17 may-19'!Y93</f>
        <v>0</v>
      </c>
      <c r="Z2" s="143">
        <f>Z93-'FO 17 may-19'!Z93</f>
        <v>-206358.89999999851</v>
      </c>
      <c r="AA2" s="125">
        <f>AA93-'FO 17 may-19'!AA93</f>
        <v>-124825.84999999963</v>
      </c>
      <c r="AB2" s="125">
        <f>AB93-'FO 17 may-19'!AB93</f>
        <v>-113620.71000000089</v>
      </c>
      <c r="AC2" s="125">
        <f>AC93-'FO 17 may-19'!AC93</f>
        <v>-75177.609999999404</v>
      </c>
      <c r="AD2" s="125">
        <f>AD93-'FO 17 may-19'!AD93</f>
        <v>-14522.940000001341</v>
      </c>
      <c r="AE2" s="143">
        <f>AE93-'FO 17 may-19'!AE93</f>
        <v>0</v>
      </c>
      <c r="AF2" s="125">
        <f>AF93-'FO 17 may-19'!AF93</f>
        <v>0</v>
      </c>
      <c r="AG2" s="125">
        <f>AG93-'FO 17 may-19'!AG93</f>
        <v>0</v>
      </c>
      <c r="AH2" s="125">
        <f>AH93-'FO 17 may-19'!AH93</f>
        <v>0</v>
      </c>
      <c r="AI2" s="143">
        <f>AI93-'FO 17 may-19'!AI93</f>
        <v>0</v>
      </c>
      <c r="AJ2" s="125">
        <f>AJ93-'FO 17 may-19'!AJ93</f>
        <v>0</v>
      </c>
      <c r="AK2" s="125">
        <f>AK93-'FO 17 may-19'!AK93</f>
        <v>0</v>
      </c>
      <c r="AL2" s="125">
        <f>AL93-'FO 17 may-19'!AL93</f>
        <v>0</v>
      </c>
      <c r="AM2" s="143">
        <f>AM93-'FO 17 may-19'!AM93</f>
        <v>0</v>
      </c>
      <c r="AN2" s="125">
        <f>AN93-'FO 17 may-19'!AN93</f>
        <v>0</v>
      </c>
      <c r="AO2" s="125">
        <f>AO93-'FO 17 may-19'!AO93</f>
        <v>0</v>
      </c>
      <c r="AP2" s="125">
        <f>AP93-'FO 17 may-19'!AP93</f>
        <v>0</v>
      </c>
      <c r="AQ2" s="125">
        <f>AQ93-'FO 17 may-19'!AQ93</f>
        <v>0</v>
      </c>
      <c r="AR2" s="143">
        <f>AR93-'FO 17 may-19'!AR93</f>
        <v>0</v>
      </c>
      <c r="AS2" s="125">
        <f>AS93-'FO 17 may-19'!AS93</f>
        <v>0</v>
      </c>
      <c r="AT2" s="125">
        <f>AT93-'FO 17 may-19'!AT93</f>
        <v>0</v>
      </c>
      <c r="AU2" s="125">
        <f>AU93-'FO 17 may-19'!AU93</f>
        <v>0</v>
      </c>
      <c r="AV2" s="143">
        <f>AV93-'FO 17 may-19'!AV93</f>
        <v>0</v>
      </c>
      <c r="AW2" s="125">
        <f>AW93-'FO 17 may-19'!AW93</f>
        <v>0</v>
      </c>
      <c r="AX2" s="13">
        <f>AX93-'FO 17 may-19'!AX93</f>
        <v>0</v>
      </c>
      <c r="AY2" s="13">
        <f>AY93-'FO 17 may-19'!AY93</f>
        <v>0</v>
      </c>
      <c r="AZ2" s="13">
        <f>AZ93-'FO 17 may-19'!AZ93</f>
        <v>0</v>
      </c>
      <c r="BA2" s="13">
        <f>BA93-'FO 17 may-19'!BA93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16387406.865199996</v>
      </c>
      <c r="W30" s="20">
        <v>15860904.704</v>
      </c>
      <c r="X30" s="20">
        <v>13749668.543999998</v>
      </c>
      <c r="Y30" s="20">
        <v>18439342.493999995</v>
      </c>
      <c r="Z30" s="33">
        <v>16152655.034</v>
      </c>
      <c r="AA30" s="20">
        <v>16113024.561200002</v>
      </c>
      <c r="AB30" s="20">
        <v>16025614.351200005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834906.45599719964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-8166.0616000000018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-3890.2137100000004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-43215.389050000005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-7892.6635600000036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-1056262.5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-4783.0051999999996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-65000</v>
      </c>
      <c r="X62" s="24">
        <v>-65000</v>
      </c>
      <c r="Y62" s="24">
        <v>-65000</v>
      </c>
      <c r="Z62" s="31">
        <v>-65000</v>
      </c>
      <c r="AA62" s="24">
        <v>-56250</v>
      </c>
      <c r="AB62" s="24">
        <v>-56250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-1430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-5154.0766799999992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-8621.3618099999967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-58023.07966000001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-18288.140260000004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-13771.855490000004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-1890.211330000001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-7783444.29</v>
      </c>
      <c r="X82" s="121">
        <v>-7179757.2000000002</v>
      </c>
      <c r="Y82" s="121">
        <v>-7179757.2000000002</v>
      </c>
      <c r="Z82" s="120">
        <v>-17760349.129999999</v>
      </c>
      <c r="AA82" s="121">
        <v>-7476294.0599999996</v>
      </c>
      <c r="AB82" s="121">
        <v>-7527492.8499999996</v>
      </c>
      <c r="AC82" s="121">
        <v>-21386421.719999999</v>
      </c>
      <c r="AD82" s="121">
        <v>-7456944.9400000004</v>
      </c>
      <c r="AE82" s="120">
        <v>-7304104.8700000001</v>
      </c>
      <c r="AF82" s="121">
        <v>-17535560.23</v>
      </c>
      <c r="AG82" s="121">
        <v>-6013593.2800000003</v>
      </c>
      <c r="AH82" s="121">
        <v>-5844471.2199999997</v>
      </c>
      <c r="AI82" s="120">
        <v>-4853449.53</v>
      </c>
      <c r="AJ82" s="121">
        <v>-4212633.32</v>
      </c>
      <c r="AK82" s="121">
        <v>-17650201.629999999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-4085237.28</v>
      </c>
      <c r="AR82" s="120">
        <v>-3800576.39</v>
      </c>
      <c r="AS82" s="121">
        <v>-4001555.48</v>
      </c>
      <c r="AT82" s="121">
        <v>-17440061.170000002</v>
      </c>
      <c r="AU82" s="121">
        <v>-2590063.86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-300269.94770999998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-1319.5999599999996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-2889.3943799999997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-140717.03605999995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-547.93616999999995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-37263.219270000009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-19187813.250000004</v>
      </c>
      <c r="W93" s="18">
        <v>-13609894.579999998</v>
      </c>
      <c r="X93" s="18">
        <v>-17015535.18</v>
      </c>
      <c r="Y93" s="18">
        <v>-15383744.469999999</v>
      </c>
      <c r="Z93" s="32">
        <v>-27016838.460000001</v>
      </c>
      <c r="AA93" s="18">
        <v>-13800131.050000001</v>
      </c>
      <c r="AB93" s="18">
        <v>-16792140.600000001</v>
      </c>
      <c r="AC93" s="18">
        <v>-33528013.970000003</v>
      </c>
      <c r="AD93" s="18">
        <v>-13674397.150000002</v>
      </c>
      <c r="AE93" s="32">
        <v>-17884097.740000002</v>
      </c>
      <c r="AF93" s="18">
        <v>-25370107.469999999</v>
      </c>
      <c r="AG93" s="18">
        <v>-17809021.390000001</v>
      </c>
      <c r="AH93" s="18">
        <v>-14463151.680000002</v>
      </c>
      <c r="AI93" s="32">
        <v>-14343038.59</v>
      </c>
      <c r="AJ93" s="18">
        <v>-9092670.7200000007</v>
      </c>
      <c r="AK93" s="18">
        <v>-27927227.369999997</v>
      </c>
      <c r="AL93" s="18">
        <v>-12021826.680000003</v>
      </c>
      <c r="AM93" s="32">
        <v>-8497754.0600000005</v>
      </c>
      <c r="AN93" s="18">
        <v>-15203408.300000001</v>
      </c>
      <c r="AO93" s="18">
        <v>-10837243.260000002</v>
      </c>
      <c r="AP93" s="18">
        <v>-18325938.390000001</v>
      </c>
      <c r="AQ93" s="18">
        <v>-10363360.43</v>
      </c>
      <c r="AR93" s="32">
        <v>-14722798.699999999</v>
      </c>
      <c r="AS93" s="18">
        <v>-10477035.689999998</v>
      </c>
      <c r="AT93" s="18">
        <v>-29076757.020000003</v>
      </c>
      <c r="AU93" s="18">
        <v>-11222649.699999999</v>
      </c>
      <c r="AV93" s="32">
        <v>-10310301.369999999</v>
      </c>
      <c r="AW93" s="18">
        <v>-5776940.6600000001</v>
      </c>
      <c r="AX93" s="18">
        <v>-18270252.879999999</v>
      </c>
      <c r="AY93" s="18">
        <v>-9287368.8800000008</v>
      </c>
      <c r="AZ93" s="18">
        <v>-6053435.1699999999</v>
      </c>
      <c r="BA93" s="18">
        <v>-9487115.9199999999</v>
      </c>
      <c r="BB93" s="37">
        <f>SUM(B93:BA93)/1000</f>
        <v>-785649.33872999973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" si="3">S30+S93</f>
        <v>4053118.3300000038</v>
      </c>
      <c r="T94" s="21">
        <f>T30+T93</f>
        <v>-4858120.33</v>
      </c>
      <c r="U94" s="21">
        <f>U30+U93</f>
        <v>-1478016.3599999975</v>
      </c>
      <c r="V94" s="36">
        <v>-2800406.3848000076</v>
      </c>
      <c r="W94" s="21">
        <v>2251010.1240000017</v>
      </c>
      <c r="X94" s="21">
        <v>-3265866.6360000018</v>
      </c>
      <c r="Y94" s="21">
        <v>3055598.0239999965</v>
      </c>
      <c r="Z94" s="36">
        <v>-10864183.426000001</v>
      </c>
      <c r="AA94" s="21">
        <v>2312893.5112000015</v>
      </c>
      <c r="AB94" s="21">
        <v>-766526.24879999645</v>
      </c>
      <c r="AC94" s="21">
        <v>-17721828.288800001</v>
      </c>
      <c r="AD94" s="21">
        <v>2316948.0411999952</v>
      </c>
      <c r="AE94" s="36">
        <v>-1993321.0487999972</v>
      </c>
      <c r="AF94" s="21">
        <v>-9551283.3069999982</v>
      </c>
      <c r="AG94" s="21">
        <v>-2188805.4369999953</v>
      </c>
      <c r="AH94" s="21">
        <v>756900.57300000079</v>
      </c>
      <c r="AI94" s="36">
        <v>1031973.3530000001</v>
      </c>
      <c r="AJ94" s="21">
        <v>6335638.9710000046</v>
      </c>
      <c r="AK94" s="21">
        <v>-12413643.939000001</v>
      </c>
      <c r="AL94" s="21">
        <v>3813938.4109999985</v>
      </c>
      <c r="AM94" s="36">
        <v>7379232.7710000016</v>
      </c>
      <c r="AN94" s="21">
        <v>1687530.0727999993</v>
      </c>
      <c r="AO94" s="21">
        <v>6088041.4627999961</v>
      </c>
      <c r="AP94" s="21">
        <v>-1333850.7271999978</v>
      </c>
      <c r="AQ94" s="21">
        <v>6613013.7527999952</v>
      </c>
      <c r="AR94" s="36">
        <v>2043921.802799996</v>
      </c>
      <c r="AS94" s="21">
        <v>4941318.620000001</v>
      </c>
      <c r="AT94" s="21">
        <v>-13909222.400000008</v>
      </c>
      <c r="AU94" s="21">
        <v>4957663.0699999984</v>
      </c>
      <c r="AV94" s="36">
        <v>5391273.2900000047</v>
      </c>
      <c r="AW94" s="21">
        <v>9426119.0700000059</v>
      </c>
      <c r="AX94" s="21">
        <v>-2762288.6300000008</v>
      </c>
      <c r="AY94" s="21">
        <v>9321497.7700000014</v>
      </c>
      <c r="AZ94" s="21">
        <v>13362498.860000005</v>
      </c>
      <c r="BA94" s="21">
        <v>-4114266.8999999994</v>
      </c>
      <c r="BB94" s="37">
        <f>SUM(B94:BA94)/1000</f>
        <v>49257.117267200003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74601.724505199993</v>
      </c>
      <c r="G100" s="60">
        <f>SUM(W30:Z30)/1000+G97</f>
        <v>64202.570775999993</v>
      </c>
      <c r="H100" s="60">
        <f>SUM(AA30:AE30)/1000+H97</f>
        <v>79826.946476000012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834906.45599719998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-83040.529920000001</v>
      </c>
      <c r="G101" s="60">
        <f>SUM(W93:Z93)/1000+G98</f>
        <v>-73026.012690000003</v>
      </c>
      <c r="H101" s="60">
        <f>SUM(AA93:AE93)/1000+H98</f>
        <v>-95678.780510000026</v>
      </c>
      <c r="I101" s="39">
        <f>SUM(AF93:AI93)/1000+I98</f>
        <v>-71985.319129999989</v>
      </c>
      <c r="J101" s="39">
        <f>SUM(AJ93:AM93)/1000+J98</f>
        <v>-57539.47883</v>
      </c>
      <c r="K101" s="39">
        <f>SUM(AN93:AR93)/1000+K98</f>
        <v>-69452.749079999994</v>
      </c>
      <c r="L101" s="39">
        <f>SUM(AS93:AV93)/1000+L98</f>
        <v>-61086.743779999997</v>
      </c>
      <c r="M101" s="39">
        <f>SUM(AW93:BA93)/1000+M98</f>
        <v>-48875.113510000003</v>
      </c>
      <c r="N101" s="60">
        <f>SUM(B101:M101)</f>
        <v>-785649.33873000008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-8438.8054148000083</v>
      </c>
      <c r="G102" s="60">
        <f t="shared" si="4"/>
        <v>-8823.44191400001</v>
      </c>
      <c r="H102" s="60">
        <f t="shared" si="4"/>
        <v>-15851.834034000014</v>
      </c>
      <c r="I102" s="60">
        <f t="shared" si="4"/>
        <v>-9951.2148179999858</v>
      </c>
      <c r="J102" s="60">
        <f t="shared" si="4"/>
        <v>5115.1662139999971</v>
      </c>
      <c r="K102" s="60">
        <f t="shared" si="4"/>
        <v>15098.65636399998</v>
      </c>
      <c r="L102" s="60">
        <f t="shared" si="4"/>
        <v>1381.0325799999919</v>
      </c>
      <c r="M102" s="60">
        <f>SUM(M100:M101)</f>
        <v>25233.560170000004</v>
      </c>
      <c r="N102" s="60">
        <f>SUM(B102:M102)</f>
        <v>49257.11726719993</v>
      </c>
      <c r="O102" s="133">
        <f>BB94-N102+SUM(F97:M98)</f>
        <v>7.2759576141834259E-11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17 may-19'!N100</f>
        <v>486.81359480007086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17 may-19'!N100</f>
        <v>486.81359480007086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-1348.2561499999986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10 may-19'!B108:M108)</f>
        <v>0</v>
      </c>
      <c r="P108" s="133">
        <f>N101-'FO 17 may-19'!N101</f>
        <v>-1348.2561500000302</v>
      </c>
      <c r="Q108" s="61" t="s">
        <v>103</v>
      </c>
      <c r="R108" s="63"/>
      <c r="S108" s="23" t="s">
        <v>126</v>
      </c>
      <c r="T108" s="115">
        <f>SUM(V47:BA50)/1000-SUM('FO 17 may-19'!V47:BA50)/1000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SUM(V82:BA82)/1000-SUM('FO 17 may-19'!V82:BA82)/1000</f>
        <v>-1465.6242299999576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SUM(V31:BA92)/1000-SUM('FO 17 may-19'!V31:BA92)/1000-T108-T109</f>
        <v>-3178.2590000000782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17 may-19'!N102</f>
        <v>-861.44255520008301</v>
      </c>
      <c r="Q111" s="119"/>
      <c r="S111" s="70" t="s">
        <v>129</v>
      </c>
      <c r="T111" s="77">
        <f>SUM(T108:T110)</f>
        <v>-4643.8832300000358</v>
      </c>
      <c r="U111" s="71">
        <f>U2/1000</f>
        <v>3295.6270800000002</v>
      </c>
      <c r="V111" s="133">
        <f>SUM(T111:U111)</f>
        <v>-1348.2561500000356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-861.44255519995932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3264.1771898783181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86365.434505199984</v>
      </c>
      <c r="G118" s="26">
        <f t="shared" si="10"/>
        <v>75875.440775999989</v>
      </c>
      <c r="H118" s="26">
        <f t="shared" si="10"/>
        <v>91365.386476000014</v>
      </c>
      <c r="I118" s="26">
        <f t="shared" si="10"/>
        <v>73720.567311999999</v>
      </c>
      <c r="J118" s="26">
        <f t="shared" si="10"/>
        <v>74527.858043999993</v>
      </c>
      <c r="K118" s="26">
        <f t="shared" si="10"/>
        <v>96393.252443999969</v>
      </c>
      <c r="L118" s="26">
        <f t="shared" si="10"/>
        <v>74430.927360000001</v>
      </c>
      <c r="M118" s="26">
        <f t="shared" si="10"/>
        <v>85271.927680000008</v>
      </c>
      <c r="N118" s="64">
        <f>SUM(B118:M118)</f>
        <v>973031.42799719982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-94515.602920000005</v>
      </c>
      <c r="G119" s="26">
        <f t="shared" si="10"/>
        <v>-84474.65969</v>
      </c>
      <c r="H119" s="26">
        <f t="shared" si="10"/>
        <v>-107310.35951000002</v>
      </c>
      <c r="I119" s="26">
        <f t="shared" si="10"/>
        <v>-83467.168129999991</v>
      </c>
      <c r="J119" s="26">
        <f t="shared" si="10"/>
        <v>-69006.641830000008</v>
      </c>
      <c r="K119" s="26">
        <f t="shared" si="10"/>
        <v>-80775.779079999993</v>
      </c>
      <c r="L119" s="26">
        <f t="shared" si="10"/>
        <v>-72215.287780000013</v>
      </c>
      <c r="M119" s="26">
        <f>M101+M107+M113</f>
        <v>-59996.663509999998</v>
      </c>
      <c r="N119" s="64">
        <f>SUM(B119:M119)</f>
        <v>-921661.42872999993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-8150.1684148000204</v>
      </c>
      <c r="G120" s="56">
        <f t="shared" si="11"/>
        <v>-8599.2189140000119</v>
      </c>
      <c r="H120" s="56">
        <f t="shared" si="11"/>
        <v>-15944.97303400001</v>
      </c>
      <c r="I120" s="56">
        <f t="shared" si="11"/>
        <v>-9746.6008179999917</v>
      </c>
      <c r="J120" s="56">
        <f t="shared" si="11"/>
        <v>5521.2162139999855</v>
      </c>
      <c r="K120" s="56">
        <f t="shared" si="11"/>
        <v>15617.473363999976</v>
      </c>
      <c r="L120" s="56">
        <f t="shared" si="11"/>
        <v>2215.6395799999882</v>
      </c>
      <c r="M120" s="56">
        <f>SUM(M118:M119)</f>
        <v>25275.264170000009</v>
      </c>
      <c r="N120" s="65">
        <f>SUM(B120:M120)</f>
        <v>51369.999267199906</v>
      </c>
      <c r="O120" s="65">
        <f>'FO 17 may-19'!N120+P112+O108</f>
        <v>51369.999267200037</v>
      </c>
      <c r="P120" s="133">
        <f>O120-N120</f>
        <v>1.3096723705530167E-10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48647.754817199922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58769.927122121684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15390.80129480004</v>
      </c>
      <c r="G123" s="26">
        <f>SUM($B$121:G121)-SUM($B$120:G120)</f>
        <v>21994.020208800051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62456.39012212168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909525.66095912177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5.8876460335294114</v>
      </c>
      <c r="C126" s="43">
        <f>B126*4</f>
        <v>23.550584134117646</v>
      </c>
      <c r="S126" s="92" t="s">
        <v>144</v>
      </c>
      <c r="U126" s="104">
        <f>T124-U124</f>
        <v>-12129.479877878199</v>
      </c>
      <c r="X126" s="104">
        <f>W124-X124</f>
        <v>-19159.934163000027</v>
      </c>
      <c r="Z126" s="89"/>
      <c r="AA126" s="89">
        <f>Z124-AA124</f>
        <v>-31289.414040878182</v>
      </c>
      <c r="AB126" s="112">
        <f>(X126+U126)/(T122+W122)</f>
        <v>-9.8769667215134568E-2</v>
      </c>
      <c r="AC126" s="111">
        <f>AA126/Z124</f>
        <v>-3.4401903523956175E-2</v>
      </c>
    </row>
    <row r="127" spans="1:30" ht="15" hidden="1">
      <c r="A127" s="42" t="s">
        <v>121</v>
      </c>
      <c r="B127" s="43">
        <f>-(AVERAGE(B89:BA89)+AVERAGE(B68:BA68))/1000000</f>
        <v>3.8968650141176462</v>
      </c>
      <c r="C127" s="43">
        <f>B127*4</f>
        <v>15.587460056470585</v>
      </c>
      <c r="Z127" s="89"/>
      <c r="AA127" s="89"/>
    </row>
    <row r="128" spans="1:30" ht="15.75" hidden="1">
      <c r="A128" s="44" t="s">
        <v>104</v>
      </c>
      <c r="B128" s="45">
        <f>SUM(B124:B127)</f>
        <v>12.240572336862744</v>
      </c>
      <c r="C128" s="45">
        <f>SUM(C124:C127)</f>
        <v>48.962289347450977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-3264.1771898783181</v>
      </c>
      <c r="U134" s="14"/>
      <c r="V134" s="83">
        <f>W134/W138</f>
        <v>4.5345040201648111E-2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13.975110751160436</v>
      </c>
      <c r="C136" s="45">
        <f>C128+C131+C134</f>
        <v>55.900443004641744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-38239.022052014909</v>
      </c>
      <c r="U137" s="101">
        <f>'[1]Proy. 2018'!$D$116-'[1]Proy. 2018'!$C$116-U136</f>
        <v>-38522.038500000075</v>
      </c>
      <c r="V137" s="103"/>
      <c r="W137" s="101">
        <f>SUM(AK31:BA92)/1000-SUM(W132:W136)</f>
        <v>-169868.47893085997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27.76187757104729</v>
      </c>
      <c r="C138" s="47">
        <f>C136+C137</f>
        <v>69.687209824528594</v>
      </c>
      <c r="S138" s="40" t="s">
        <v>133</v>
      </c>
      <c r="T138" s="80">
        <f>I101</f>
        <v>-71985.319129999989</v>
      </c>
      <c r="W138" s="80">
        <f>SUM(AK93:BA93)/1000</f>
        <v>-227861.41447999995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-83467.168129999991</v>
      </c>
      <c r="W141" s="80">
        <f>SUM(W138:W140)</f>
        <v>-272901.70147999993</v>
      </c>
      <c r="X141" s="24"/>
      <c r="Z141" s="80">
        <f>R141+T141+W141</f>
        <v>-939018.86960999994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-68721.14194012167</v>
      </c>
      <c r="U143" s="80">
        <f>U145-U144</f>
        <v>-54186.39900000018</v>
      </c>
      <c r="W143" s="80">
        <f>W138-W134</f>
        <v>-217529.02947999994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-72202.990940121672</v>
      </c>
      <c r="U145" s="85">
        <f>'[1]Proy. 2018'!$D$61</f>
        <v>-57037.396000000183</v>
      </c>
      <c r="W145" s="85">
        <f>SUM(W143:W144)</f>
        <v>-230569.31647999995</v>
      </c>
      <c r="X145" s="85">
        <f>SUM('[1]Proy. 2018'!$E$61:$H$61)</f>
        <v>-260447.245</v>
      </c>
      <c r="Z145" s="85">
        <f>R141+T145+W145</f>
        <v>-885422.30742012162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-15165.594940121489</v>
      </c>
      <c r="V147" s="40"/>
      <c r="W147" s="40"/>
      <c r="X147" s="104">
        <f>W145-X145</f>
        <v>29877.928520000045</v>
      </c>
      <c r="Z147" s="90"/>
      <c r="AA147" s="89">
        <f>Z145-AA145</f>
        <v>14712.333579878556</v>
      </c>
      <c r="AB147" s="112">
        <f>(X147+U147)/(W145+T145)</f>
        <v>-4.8592071399264317E-2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-16729.860940121594</v>
      </c>
      <c r="V149" s="106"/>
      <c r="W149" s="106"/>
      <c r="X149" s="106">
        <f>W132-X132+W136-X136+W137-X137</f>
        <v>21481.239520000119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3771.5197900000494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24103.353539000032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-15399.864520999967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-16577.080460999627</v>
      </c>
    </row>
    <row r="157" spans="1:30" ht="12.75" hidden="1">
      <c r="A157" s="18">
        <v>-8256517.8300000001</v>
      </c>
      <c r="AA157" s="10">
        <f>Z154-AA154</f>
        <v>-16577.080460999743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B200"/>
  <sheetViews>
    <sheetView showGridLines="0" topLeftCell="A102" zoomScale="90" zoomScaleNormal="90" workbookViewId="0">
      <pane xSplit="1" topLeftCell="L1" activePane="topRight" state="frozen"/>
      <selection pane="topRight" activeCell="A116" sqref="A116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>
        <f>T93-'FO 10 may-19'!T93</f>
        <v>3003664.1099999994</v>
      </c>
      <c r="U2" s="125">
        <f>U93-'FO 10 may-19'!U93</f>
        <v>-3707832.5999999996</v>
      </c>
      <c r="V2" s="143">
        <f>V93-'FO 10 may-19'!V93</f>
        <v>-1491198.3300000019</v>
      </c>
      <c r="W2" s="125">
        <f>W93-'FO 10 may-19'!W93</f>
        <v>-1011708.1999999993</v>
      </c>
      <c r="X2" s="125">
        <f>X93-'FO 10 may-19'!X93</f>
        <v>551522.53999999911</v>
      </c>
      <c r="Y2" s="125">
        <f>Y93-'FO 10 may-19'!Y93</f>
        <v>639597.19000000134</v>
      </c>
      <c r="Z2" s="143">
        <f>Z93-'FO 10 may-19'!Z93</f>
        <v>771709.16000000015</v>
      </c>
      <c r="AA2" s="125">
        <f>AA93-'FO 10 may-19'!AA93</f>
        <v>829069.34999999963</v>
      </c>
      <c r="AB2" s="125">
        <f>AB93-'FO 10 may-19'!AB93</f>
        <v>840342.21000000089</v>
      </c>
      <c r="AC2" s="125">
        <f>AC93-'FO 10 may-19'!AC93</f>
        <v>581216.44999999925</v>
      </c>
      <c r="AD2" s="125">
        <f>AD93-'FO 10 may-19'!AD93</f>
        <v>603069.75999999978</v>
      </c>
      <c r="AE2" s="143">
        <f>AE93-'FO 10 may-19'!AE93</f>
        <v>860566.57999999821</v>
      </c>
      <c r="AF2" s="125">
        <f>AF93-'FO 10 may-19'!AF93</f>
        <v>-551191.05000000075</v>
      </c>
      <c r="AG2" s="125">
        <f>AG93-'FO 10 may-19'!AG93</f>
        <v>2254238.9699999951</v>
      </c>
      <c r="AH2" s="125">
        <f>AH93-'FO 10 may-19'!AH93</f>
        <v>-3701180.1300000008</v>
      </c>
      <c r="AI2" s="143">
        <f>AI93-'FO 10 may-19'!AI93</f>
        <v>-1119159.8099999987</v>
      </c>
      <c r="AJ2" s="125">
        <f>AJ93-'FO 10 may-19'!AJ93</f>
        <v>-277504.08999999985</v>
      </c>
      <c r="AK2" s="125">
        <f>AK93-'FO 10 may-19'!AK93</f>
        <v>-17000</v>
      </c>
      <c r="AL2" s="125">
        <f>AL93-'FO 10 may-19'!AL93</f>
        <v>-17000</v>
      </c>
      <c r="AM2" s="143">
        <f>AM93-'FO 10 may-19'!AM93</f>
        <v>-17000</v>
      </c>
      <c r="AN2" s="125">
        <f>AN93-'FO 10 may-19'!AN93</f>
        <v>-21250</v>
      </c>
      <c r="AO2" s="125">
        <f>AO93-'FO 10 may-19'!AO93</f>
        <v>-21250</v>
      </c>
      <c r="AP2" s="125">
        <f>AP93-'FO 10 may-19'!AP93</f>
        <v>-21250</v>
      </c>
      <c r="AQ2" s="125">
        <f>AQ93-'FO 10 may-19'!AQ93</f>
        <v>-21250</v>
      </c>
      <c r="AR2" s="143">
        <f>AR93-'FO 10 may-19'!AR93</f>
        <v>-137500</v>
      </c>
      <c r="AS2" s="125">
        <f>AS93-'FO 10 may-19'!AS93</f>
        <v>-137500</v>
      </c>
      <c r="AT2" s="125">
        <f>AT93-'FO 10 may-19'!AT93</f>
        <v>-137500</v>
      </c>
      <c r="AU2" s="125">
        <f>AU93-'FO 10 may-19'!AU93</f>
        <v>-137500</v>
      </c>
      <c r="AV2" s="143">
        <f>AV93-'FO 10 may-19'!AV93</f>
        <v>0</v>
      </c>
      <c r="AW2" s="125">
        <f>AW93-'FO 10 may-19'!AW93</f>
        <v>0</v>
      </c>
      <c r="AX2" s="13">
        <f>AX93-'FO 10 may-19'!AX93</f>
        <v>0</v>
      </c>
      <c r="AY2" s="13">
        <f>AY93-'FO 10 may-19'!AY93</f>
        <v>0</v>
      </c>
      <c r="AZ2" s="13">
        <f>AZ93-'FO 10 may-19'!AZ93</f>
        <v>0</v>
      </c>
      <c r="BA2" s="13">
        <f>BA93-'FO 10 may-19'!BA93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15232348.0052</v>
      </c>
      <c r="V30" s="33">
        <v>15338978.195199996</v>
      </c>
      <c r="W30" s="20">
        <v>16132473.723999999</v>
      </c>
      <c r="X30" s="20">
        <v>15835580.554000001</v>
      </c>
      <c r="Y30" s="20">
        <v>16165841.473999999</v>
      </c>
      <c r="Z30" s="33">
        <v>16159102.663999999</v>
      </c>
      <c r="AA30" s="20">
        <v>15631588.271199999</v>
      </c>
      <c r="AB30" s="20">
        <v>15721857.801200002</v>
      </c>
      <c r="AC30" s="20">
        <v>15653731.021200001</v>
      </c>
      <c r="AD30" s="20">
        <v>15777140.001199996</v>
      </c>
      <c r="AE30" s="33">
        <v>15729646.6412</v>
      </c>
      <c r="AF30" s="20">
        <v>15649228.992999999</v>
      </c>
      <c r="AG30" s="20">
        <v>15514537.953000002</v>
      </c>
      <c r="AH30" s="20">
        <v>15368854.863</v>
      </c>
      <c r="AI30" s="33">
        <v>15389815.493000001</v>
      </c>
      <c r="AJ30" s="20">
        <v>15510852.091000002</v>
      </c>
      <c r="AK30" s="20">
        <v>15672008.981000001</v>
      </c>
      <c r="AL30" s="20">
        <v>15871349.441</v>
      </c>
      <c r="AM30" s="33">
        <v>15967499.181</v>
      </c>
      <c r="AN30" s="20">
        <v>16850626.582800001</v>
      </c>
      <c r="AO30" s="20">
        <v>16883394.732799999</v>
      </c>
      <c r="AP30" s="20">
        <v>16778604.0528</v>
      </c>
      <c r="AQ30" s="20">
        <v>16764536.212799998</v>
      </c>
      <c r="AR30" s="33">
        <v>16332431.082799997</v>
      </c>
      <c r="AS30" s="20">
        <v>15324531.75</v>
      </c>
      <c r="AT30" s="20">
        <v>15988119.149999997</v>
      </c>
      <c r="AU30" s="20">
        <v>15623891.859999999</v>
      </c>
      <c r="AV30" s="33">
        <v>16050584.000000002</v>
      </c>
      <c r="AW30" s="20">
        <v>16239212.360000001</v>
      </c>
      <c r="AX30" s="20">
        <v>16263989.090000002</v>
      </c>
      <c r="AY30" s="20">
        <v>17576341.050000001</v>
      </c>
      <c r="AZ30" s="20">
        <v>17411930.370000001</v>
      </c>
      <c r="BA30" s="20">
        <v>5571933.8900000006</v>
      </c>
      <c r="BB30" s="37">
        <f>SUM(B30:BA30)/1000</f>
        <v>834419.64240239991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-8003.4635300000009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-3722.0707600000001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-43215.389050000005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-7600.9731500000034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-3955.5051999999996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-65000</v>
      </c>
      <c r="W62" s="24">
        <v>-65000</v>
      </c>
      <c r="X62" s="24">
        <v>-65000</v>
      </c>
      <c r="Y62" s="24">
        <v>-65000</v>
      </c>
      <c r="Z62" s="31">
        <v>-65000</v>
      </c>
      <c r="AA62" s="24">
        <v>-56250</v>
      </c>
      <c r="AB62" s="24">
        <v>-56250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-1495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-5309.3279099999991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-8856.9440199999954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-59585.969600000011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-18823.918860000005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-13712.466960000005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-1943.0451500000011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-6668727.9400000004</v>
      </c>
      <c r="W82" s="121">
        <v>-7808980.8499999996</v>
      </c>
      <c r="X82" s="121">
        <v>-7179757.2000000002</v>
      </c>
      <c r="Y82" s="121">
        <v>-7179757.2000000002</v>
      </c>
      <c r="Z82" s="120">
        <v>-17553990.23</v>
      </c>
      <c r="AA82" s="121">
        <v>-7351468.21</v>
      </c>
      <c r="AB82" s="121">
        <v>-7413872.1399999997</v>
      </c>
      <c r="AC82" s="121">
        <v>-21311244.109999999</v>
      </c>
      <c r="AD82" s="121">
        <v>-7442422</v>
      </c>
      <c r="AE82" s="120">
        <v>-7304104.8700000001</v>
      </c>
      <c r="AF82" s="121">
        <v>-17535560.23</v>
      </c>
      <c r="AG82" s="121">
        <v>-6013593.2800000003</v>
      </c>
      <c r="AH82" s="121">
        <v>-5844471.2199999997</v>
      </c>
      <c r="AI82" s="120">
        <v>-4853449.53</v>
      </c>
      <c r="AJ82" s="121">
        <v>-4212633.32</v>
      </c>
      <c r="AK82" s="121">
        <v>-17650201.629999999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-4085237.28</v>
      </c>
      <c r="AR82" s="120">
        <v>-3800576.39</v>
      </c>
      <c r="AS82" s="121">
        <v>-4001555.48</v>
      </c>
      <c r="AT82" s="121">
        <v>-17440061.170000002</v>
      </c>
      <c r="AU82" s="121">
        <v>-2590063.86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-298804.32347999996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-1356.3093799999997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-3313.09872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-134952.06698999996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-564.19821999999988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-38275.237690000009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-17009489.609999999</v>
      </c>
      <c r="V93" s="32">
        <v>-15880399.470000003</v>
      </c>
      <c r="W93" s="18">
        <v>-12807931.140000001</v>
      </c>
      <c r="X93" s="18">
        <v>-17015535.18</v>
      </c>
      <c r="Y93" s="18">
        <v>-15383744.469999999</v>
      </c>
      <c r="Z93" s="32">
        <v>-26810479.560000002</v>
      </c>
      <c r="AA93" s="18">
        <v>-13675305.200000001</v>
      </c>
      <c r="AB93" s="18">
        <v>-16678519.890000001</v>
      </c>
      <c r="AC93" s="18">
        <v>-33452836.360000003</v>
      </c>
      <c r="AD93" s="18">
        <v>-13659874.210000001</v>
      </c>
      <c r="AE93" s="32">
        <v>-17884097.740000002</v>
      </c>
      <c r="AF93" s="18">
        <v>-25370107.469999999</v>
      </c>
      <c r="AG93" s="18">
        <v>-17809021.390000001</v>
      </c>
      <c r="AH93" s="18">
        <v>-14463151.680000002</v>
      </c>
      <c r="AI93" s="32">
        <v>-14343038.59</v>
      </c>
      <c r="AJ93" s="18">
        <v>-9092670.7200000007</v>
      </c>
      <c r="AK93" s="18">
        <v>-27927227.369999997</v>
      </c>
      <c r="AL93" s="18">
        <v>-12021826.680000003</v>
      </c>
      <c r="AM93" s="32">
        <v>-8497754.0600000005</v>
      </c>
      <c r="AN93" s="18">
        <v>-15203408.300000001</v>
      </c>
      <c r="AO93" s="18">
        <v>-10837243.260000002</v>
      </c>
      <c r="AP93" s="18">
        <v>-18325938.390000001</v>
      </c>
      <c r="AQ93" s="18">
        <v>-10363360.43</v>
      </c>
      <c r="AR93" s="32">
        <v>-14722798.699999999</v>
      </c>
      <c r="AS93" s="18">
        <v>-10477035.689999998</v>
      </c>
      <c r="AT93" s="18">
        <v>-29076757.020000003</v>
      </c>
      <c r="AU93" s="18">
        <v>-11222649.699999999</v>
      </c>
      <c r="AV93" s="32">
        <v>-10310301.369999999</v>
      </c>
      <c r="AW93" s="18">
        <v>-5776940.6600000001</v>
      </c>
      <c r="AX93" s="18">
        <v>-18270252.879999999</v>
      </c>
      <c r="AY93" s="18">
        <v>-9287368.8800000008</v>
      </c>
      <c r="AZ93" s="18">
        <v>-6053435.1699999999</v>
      </c>
      <c r="BA93" s="18">
        <v>-9487115.9199999999</v>
      </c>
      <c r="BB93" s="37">
        <f>SUM(B93:BA93)/1000</f>
        <v>-784301.0825799997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" si="3">S30+S93</f>
        <v>4053118.3300000038</v>
      </c>
      <c r="T94" s="21">
        <f>T30+T93</f>
        <v>-4858120.33</v>
      </c>
      <c r="U94" s="21">
        <v>-1777141.6047999989</v>
      </c>
      <c r="V94" s="36">
        <v>-541421.2748000063</v>
      </c>
      <c r="W94" s="21">
        <v>3324542.5839999989</v>
      </c>
      <c r="X94" s="21">
        <v>-1179954.6259999983</v>
      </c>
      <c r="Y94" s="21">
        <v>782097.00400000066</v>
      </c>
      <c r="Z94" s="36">
        <v>-10651376.896000003</v>
      </c>
      <c r="AA94" s="21">
        <v>1956283.0711999983</v>
      </c>
      <c r="AB94" s="21">
        <v>-956662.08879999816</v>
      </c>
      <c r="AC94" s="21">
        <v>-17799105.338800002</v>
      </c>
      <c r="AD94" s="21">
        <v>2117265.7911999952</v>
      </c>
      <c r="AE94" s="36">
        <v>-2154451.0988000017</v>
      </c>
      <c r="AF94" s="21">
        <v>-9720878.477</v>
      </c>
      <c r="AG94" s="21">
        <v>-2294483.436999999</v>
      </c>
      <c r="AH94" s="21">
        <v>905703.18299999833</v>
      </c>
      <c r="AI94" s="36">
        <v>1046776.9030000009</v>
      </c>
      <c r="AJ94" s="21">
        <v>6418181.3710000012</v>
      </c>
      <c r="AK94" s="21">
        <v>-12255218.388999997</v>
      </c>
      <c r="AL94" s="21">
        <v>3849522.7609999962</v>
      </c>
      <c r="AM94" s="36">
        <v>7469745.1209999993</v>
      </c>
      <c r="AN94" s="21">
        <v>1647218.2828000002</v>
      </c>
      <c r="AO94" s="21">
        <v>6046151.4727999978</v>
      </c>
      <c r="AP94" s="21">
        <v>-1547334.3372000009</v>
      </c>
      <c r="AQ94" s="21">
        <v>6401175.7827999983</v>
      </c>
      <c r="AR94" s="36">
        <v>1609632.3827999979</v>
      </c>
      <c r="AS94" s="21">
        <v>4847496.0600000024</v>
      </c>
      <c r="AT94" s="21">
        <v>-13088637.870000007</v>
      </c>
      <c r="AU94" s="21">
        <v>4401242.16</v>
      </c>
      <c r="AV94" s="36">
        <v>5740282.6300000027</v>
      </c>
      <c r="AW94" s="21">
        <v>10462271.700000001</v>
      </c>
      <c r="AX94" s="21">
        <v>-2006263.7899999972</v>
      </c>
      <c r="AY94" s="21">
        <v>8288972.1699999999</v>
      </c>
      <c r="AZ94" s="21">
        <v>11358495.200000001</v>
      </c>
      <c r="BA94" s="21">
        <v>-3915182.0299999993</v>
      </c>
      <c r="BB94" s="37">
        <f>SUM(B94:BA94)/1000</f>
        <v>50118.559822399977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76549.797670399988</v>
      </c>
      <c r="G100" s="60">
        <f>SUM(W30:Z30)/1000+G97</f>
        <v>64292.998416000002</v>
      </c>
      <c r="H100" s="60">
        <f>SUM(AA30:AE30)/1000+H97</f>
        <v>78513.963736000005</v>
      </c>
      <c r="I100" s="60">
        <f>SUM(AF30:AI30)/1000+I97</f>
        <v>61922.437301999998</v>
      </c>
      <c r="J100" s="60">
        <f>SUM(AJ30:AM30)/1000+J97</f>
        <v>63021.709694000005</v>
      </c>
      <c r="K100" s="60">
        <f>SUM(AN30:AR30)/1000+K97</f>
        <v>83609.592664000011</v>
      </c>
      <c r="L100" s="60">
        <f>SUM(AS30:AV30)/1000+L97</f>
        <v>62987.126759999999</v>
      </c>
      <c r="M100" s="60">
        <f>SUM(AW30:BA30)/1000+M97</f>
        <v>73063.406760000013</v>
      </c>
      <c r="N100" s="60">
        <f>SUM(B100:M100)</f>
        <v>834419.64240239991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-83028.743220000004</v>
      </c>
      <c r="G101" s="60">
        <f>SUM(W93:Z93)/1000+G98</f>
        <v>-72017.69034999999</v>
      </c>
      <c r="H101" s="60">
        <f>SUM(AA93:AE93)/1000+H98</f>
        <v>-95350.633400000006</v>
      </c>
      <c r="I101" s="39">
        <f>SUM(AF93:AI93)/1000+I98</f>
        <v>-71985.319129999989</v>
      </c>
      <c r="J101" s="39">
        <f>SUM(AJ93:AM93)/1000+J98</f>
        <v>-57539.47883</v>
      </c>
      <c r="K101" s="39">
        <f>SUM(AN93:AR93)/1000+K98</f>
        <v>-69452.749079999994</v>
      </c>
      <c r="L101" s="39">
        <f>SUM(AS93:AV93)/1000+L98</f>
        <v>-61086.743779999997</v>
      </c>
      <c r="M101" s="39">
        <f>SUM(AW93:BA93)/1000+M98</f>
        <v>-48875.113510000003</v>
      </c>
      <c r="N101" s="60">
        <f>SUM(B101:M101)</f>
        <v>-784301.08258000005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-6478.9455496000155</v>
      </c>
      <c r="G102" s="60">
        <f t="shared" si="4"/>
        <v>-7724.6919339999877</v>
      </c>
      <c r="H102" s="60">
        <f t="shared" si="4"/>
        <v>-16836.669664000001</v>
      </c>
      <c r="I102" s="60">
        <f t="shared" si="4"/>
        <v>-10062.88182799999</v>
      </c>
      <c r="J102" s="60">
        <f t="shared" si="4"/>
        <v>5482.2308640000047</v>
      </c>
      <c r="K102" s="60">
        <f t="shared" si="4"/>
        <v>14156.843584000017</v>
      </c>
      <c r="L102" s="60">
        <f t="shared" si="4"/>
        <v>1900.3829800000021</v>
      </c>
      <c r="M102" s="60">
        <f>SUM(M100:M101)</f>
        <v>24188.29325000001</v>
      </c>
      <c r="N102" s="60">
        <f>SUM(B102:M102)</f>
        <v>50118.559822400013</v>
      </c>
      <c r="O102" s="133">
        <f>BB94-N102+SUM(F97:M98)</f>
        <v>-3.637978807091713E-11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10 may-19'!N100</f>
        <v>-643.0862251999788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10 may-19'!N100</f>
        <v>-643.0862251999788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-1610.777890000008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10 may-19'!B108:M108)</f>
        <v>0</v>
      </c>
      <c r="P108" s="133">
        <f>N101-'FO 10 may-19'!N101</f>
        <v>169.22210999997333</v>
      </c>
      <c r="Q108" s="61" t="s">
        <v>103</v>
      </c>
      <c r="R108" s="63"/>
      <c r="S108" s="23" t="s">
        <v>126</v>
      </c>
      <c r="T108" s="115">
        <f>SUM(U47:BA50)/1000-SUM('FO 10 may-19'!U47:BA50)/1000</f>
        <v>-2175.2047499999971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SUM(U82:BA82)/1000-SUM('FO 10 may-19'!U82:BA82)/1000</f>
        <v>-18.664749999996275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SUM(U31:BA92)/1000-SUM('FO 10 may-19'!U31:BA92)/1000-T108-T109</f>
        <v>-2420.5724999999293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10 may-19'!N102</f>
        <v>-473.86411519996182</v>
      </c>
      <c r="Q111" s="119"/>
      <c r="S111" s="70" t="s">
        <v>129</v>
      </c>
      <c r="T111" s="77">
        <f>SUM(T108:T110)</f>
        <v>-4614.4419999999227</v>
      </c>
      <c r="U111" s="71">
        <f>T2/1000</f>
        <v>3003.6641099999993</v>
      </c>
      <c r="V111" s="133">
        <f>SUM(T111:U111)</f>
        <v>-1610.7778899999234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-473.86411520000547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3264.1771898783181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61922.437301999998</v>
      </c>
      <c r="W117" s="80">
        <f>SUM(AK30:BA30)/1000</f>
        <v>267170.98378700006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88313.507670399995</v>
      </c>
      <c r="G118" s="26">
        <f t="shared" si="10"/>
        <v>75965.868415999998</v>
      </c>
      <c r="H118" s="26">
        <f t="shared" si="10"/>
        <v>90052.403736000007</v>
      </c>
      <c r="I118" s="26">
        <f t="shared" si="10"/>
        <v>73608.900301999995</v>
      </c>
      <c r="J118" s="26">
        <f t="shared" si="10"/>
        <v>74894.922694000008</v>
      </c>
      <c r="K118" s="26">
        <f t="shared" si="10"/>
        <v>95451.439664000005</v>
      </c>
      <c r="L118" s="26">
        <f t="shared" si="10"/>
        <v>74950.277759999997</v>
      </c>
      <c r="M118" s="26">
        <f t="shared" si="10"/>
        <v>84226.660760000013</v>
      </c>
      <c r="N118" s="64">
        <f>SUM(B118:M118)</f>
        <v>972544.61440239998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-94503.816220000008</v>
      </c>
      <c r="G119" s="26">
        <f t="shared" si="10"/>
        <v>-83466.337349999987</v>
      </c>
      <c r="H119" s="26">
        <f t="shared" si="10"/>
        <v>-106982.2124</v>
      </c>
      <c r="I119" s="26">
        <f t="shared" si="10"/>
        <v>-83467.168129999991</v>
      </c>
      <c r="J119" s="26">
        <f t="shared" si="10"/>
        <v>-69006.641830000008</v>
      </c>
      <c r="K119" s="26">
        <f t="shared" si="10"/>
        <v>-80775.779079999993</v>
      </c>
      <c r="L119" s="26">
        <f t="shared" si="10"/>
        <v>-72215.287780000013</v>
      </c>
      <c r="M119" s="26">
        <f>M101+M107+M113</f>
        <v>-59996.663509999998</v>
      </c>
      <c r="N119" s="64">
        <f>SUM(B119:M119)</f>
        <v>-920313.17258000001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-6190.3085496000131</v>
      </c>
      <c r="G120" s="56">
        <f t="shared" si="11"/>
        <v>-7500.4689339999895</v>
      </c>
      <c r="H120" s="56">
        <f t="shared" si="11"/>
        <v>-16929.808663999996</v>
      </c>
      <c r="I120" s="56">
        <f t="shared" si="11"/>
        <v>-9858.2678279999964</v>
      </c>
      <c r="J120" s="56">
        <f t="shared" si="11"/>
        <v>5888.2808640000003</v>
      </c>
      <c r="K120" s="56">
        <f t="shared" si="11"/>
        <v>14675.660584000012</v>
      </c>
      <c r="L120" s="56">
        <f t="shared" si="11"/>
        <v>2734.9899799999839</v>
      </c>
      <c r="M120" s="56">
        <f>SUM(M118:M119)</f>
        <v>24229.997250000015</v>
      </c>
      <c r="N120" s="65">
        <f>SUM(B120:M120)</f>
        <v>52231.441822399996</v>
      </c>
      <c r="O120" s="65">
        <f>'FO 10 may-19'!N120+P112+O108</f>
        <v>52231.441822399967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73608.900301999995</v>
      </c>
      <c r="U120" s="9"/>
      <c r="V120" s="9"/>
      <c r="W120" s="80">
        <f>SUM(W117:W119)</f>
        <v>314012.44878700009</v>
      </c>
      <c r="X120" s="9"/>
      <c r="Y120" s="9"/>
      <c r="Z120" s="76">
        <f>R120+T120+W120</f>
        <v>961827.34908900014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49509.197372400013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58658.260112121679</v>
      </c>
      <c r="U122" s="80">
        <f>U124-U123</f>
        <v>71460.380999999878</v>
      </c>
      <c r="W122" s="80">
        <f>W117-W116</f>
        <v>256838.59878700005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13430.941429600032</v>
      </c>
      <c r="G123" s="26">
        <f>SUM($B$121:G121)-SUM($B$120:G120)</f>
        <v>18935.410363600022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62344.723112121676</v>
      </c>
      <c r="U124" s="80">
        <f>'[1]Proy. 2018'!$D$60</f>
        <v>74585.869999999879</v>
      </c>
      <c r="W124" s="80">
        <f>SUM(W122:W123)</f>
        <v>271680.06378700008</v>
      </c>
      <c r="X124" s="80">
        <f>SUM('[1]Proy. 2018'!$E$60:$H$60)</f>
        <v>292023.20500000007</v>
      </c>
      <c r="Z124" s="91">
        <f>R120+T124+W124</f>
        <v>908230.78689912171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5.8589083035294109</v>
      </c>
      <c r="C126" s="43">
        <f>B126*4</f>
        <v>23.435633214117644</v>
      </c>
      <c r="S126" s="92" t="s">
        <v>144</v>
      </c>
      <c r="U126" s="104">
        <f>T124-U124</f>
        <v>-12241.146887878203</v>
      </c>
      <c r="X126" s="104">
        <f>W124-X124</f>
        <v>-20343.141212999995</v>
      </c>
      <c r="Z126" s="89"/>
      <c r="AA126" s="89">
        <f>Z124-AA124</f>
        <v>-32584.288100878242</v>
      </c>
      <c r="AB126" s="112">
        <f>(X126+U126)/(T122+W122)</f>
        <v>-0.10327927895883372</v>
      </c>
      <c r="AC126" s="111">
        <f>AA126/Z124</f>
        <v>-3.5876661054540335E-2</v>
      </c>
    </row>
    <row r="127" spans="1:30" ht="15" hidden="1">
      <c r="A127" s="42" t="s">
        <v>121</v>
      </c>
      <c r="B127" s="43">
        <f>-(AVERAGE(B89:BA89)+AVERAGE(B68:BA68))/1000000</f>
        <v>3.8144713056862738</v>
      </c>
      <c r="C127" s="43">
        <f>B127*4</f>
        <v>15.257885222745095</v>
      </c>
      <c r="Z127" s="89"/>
      <c r="AA127" s="89"/>
    </row>
    <row r="128" spans="1:30" ht="15.75" hidden="1">
      <c r="A128" s="44" t="s">
        <v>104</v>
      </c>
      <c r="B128" s="45">
        <f>SUM(B124:B127)</f>
        <v>12.129440898431371</v>
      </c>
      <c r="C128" s="45">
        <f>SUM(C124:C127)</f>
        <v>48.517763593725483</v>
      </c>
      <c r="R128" s="23"/>
      <c r="S128" s="9" t="s">
        <v>141</v>
      </c>
      <c r="Z128" s="87">
        <f>Z120-'[4]Flujo 2018'!$AQ$4</f>
        <v>-20466.258370999829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-3264.1771898783181</v>
      </c>
      <c r="U134" s="14"/>
      <c r="V134" s="83">
        <f>W134/W138</f>
        <v>4.5345040201648111E-2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13.863979312729063</v>
      </c>
      <c r="C136" s="45">
        <f>C128+C131+C134</f>
        <v>55.455917250916251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-38239.022052014909</v>
      </c>
      <c r="U137" s="101">
        <f>'[1]Proy. 2018'!$D$116-'[1]Proy. 2018'!$C$116-U136</f>
        <v>-38522.038500000075</v>
      </c>
      <c r="V137" s="103"/>
      <c r="W137" s="101">
        <f>SUM(AK31:BA92)/1000-SUM(W132:W136)</f>
        <v>-169868.47893085997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27.650746132615915</v>
      </c>
      <c r="C138" s="47">
        <f>C136+C137</f>
        <v>69.242684070803108</v>
      </c>
      <c r="S138" s="40" t="s">
        <v>133</v>
      </c>
      <c r="T138" s="80">
        <f>I101</f>
        <v>-71985.319129999989</v>
      </c>
      <c r="W138" s="80">
        <f>SUM(AK93:BA93)/1000</f>
        <v>-227861.41447999995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-83467.168129999991</v>
      </c>
      <c r="W141" s="80">
        <f>SUM(W138:W140)</f>
        <v>-272901.70147999993</v>
      </c>
      <c r="X141" s="24"/>
      <c r="Z141" s="80">
        <f>R141+T141+W141</f>
        <v>-939018.86960999994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-68721.14194012167</v>
      </c>
      <c r="U143" s="80">
        <f>U145-U144</f>
        <v>-54186.39900000018</v>
      </c>
      <c r="W143" s="80">
        <f>W138-W134</f>
        <v>-217529.02947999994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-72202.990940121672</v>
      </c>
      <c r="U145" s="85">
        <f>'[1]Proy. 2018'!$D$61</f>
        <v>-57037.396000000183</v>
      </c>
      <c r="W145" s="85">
        <f>SUM(W143:W144)</f>
        <v>-230569.31647999995</v>
      </c>
      <c r="X145" s="85">
        <f>SUM('[1]Proy. 2018'!$E$61:$H$61)</f>
        <v>-260447.245</v>
      </c>
      <c r="Z145" s="85">
        <f>R141+T145+W145</f>
        <v>-885422.30742012162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-15165.594940121489</v>
      </c>
      <c r="V147" s="40"/>
      <c r="W147" s="40"/>
      <c r="X147" s="104">
        <f>W145-X145</f>
        <v>29877.928520000045</v>
      </c>
      <c r="Z147" s="90"/>
      <c r="AA147" s="89">
        <f>Z145-AA145</f>
        <v>14712.333579878556</v>
      </c>
      <c r="AB147" s="112">
        <f>(X147+U147)/(W145+T145)</f>
        <v>-4.8592071399264317E-2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-16729.860940121594</v>
      </c>
      <c r="V149" s="106"/>
      <c r="W149" s="106"/>
      <c r="X149" s="106">
        <f>W132-X132+W136-X136+W137-X137</f>
        <v>21481.239520000119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3771.5197900000494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22808.479479000205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-16694.738580999794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-17871.954520999687</v>
      </c>
    </row>
    <row r="157" spans="1:30" ht="12.75" hidden="1">
      <c r="A157" s="18">
        <v>-8256517.8300000001</v>
      </c>
      <c r="AA157" s="10">
        <f>Z154-AA154</f>
        <v>-17871.95452099957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BB200"/>
  <sheetViews>
    <sheetView showGridLines="0" topLeftCell="A99" zoomScale="90" zoomScaleNormal="90" workbookViewId="0">
      <pane xSplit="1" topLeftCell="L1" activePane="topRight" state="frozen"/>
      <selection pane="topRight" activeCell="N116" sqref="N116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>
        <f>S93-'FO 3 may-19'!S93</f>
        <v>2412255.6400000006</v>
      </c>
      <c r="T2" s="125">
        <f>T93-'FO 3 may-19'!T93</f>
        <v>-2573960.9499999955</v>
      </c>
      <c r="U2" s="125">
        <f>U93-'FO 3 may-19'!U93</f>
        <v>-262090.1099999994</v>
      </c>
      <c r="V2" s="143">
        <f>V93-'FO 3 may-19'!V93</f>
        <v>1099807.2100000009</v>
      </c>
      <c r="W2" s="125">
        <f>W93-'FO 3 may-19'!W93</f>
        <v>322689.15999999642</v>
      </c>
      <c r="X2" s="125">
        <f>X93-'FO 3 may-19'!X93</f>
        <v>-17614.929999999702</v>
      </c>
      <c r="Y2" s="125">
        <f>Y93-'FO 3 may-19'!Y93</f>
        <v>0</v>
      </c>
      <c r="Z2" s="143">
        <f>Z93-'FO 3 may-19'!Z93</f>
        <v>0</v>
      </c>
      <c r="AA2" s="125">
        <f>AA93-'FO 3 may-19'!AA93</f>
        <v>-1984.160000000149</v>
      </c>
      <c r="AB2" s="125">
        <f>AB93-'FO 3 may-19'!AB93</f>
        <v>-4960.4000000022352</v>
      </c>
      <c r="AC2" s="125">
        <f>AC93-'FO 3 may-19'!AC93</f>
        <v>12378.95000000298</v>
      </c>
      <c r="AD2" s="125">
        <f>AD93-'FO 3 may-19'!AD93</f>
        <v>-936.95999999903142</v>
      </c>
      <c r="AE2" s="143">
        <f>AE93-'FO 3 may-19'!AE93</f>
        <v>109552.07999999821</v>
      </c>
      <c r="AF2" s="125">
        <f>AF93-'FO 3 may-19'!AF93</f>
        <v>-133940.48000000045</v>
      </c>
      <c r="AG2" s="125">
        <f>AG93-'FO 3 may-19'!AG93</f>
        <v>-102018.87999999896</v>
      </c>
      <c r="AH2" s="125">
        <f>AH93-'FO 3 may-19'!AH93</f>
        <v>-33609.470000000671</v>
      </c>
      <c r="AI2" s="143">
        <f>AI93-'FO 3 may-19'!AI93</f>
        <v>-40268.5</v>
      </c>
      <c r="AJ2" s="125">
        <f>AJ93-'FO 3 may-19'!AJ93</f>
        <v>-41392.160000000149</v>
      </c>
      <c r="AK2" s="125">
        <f>AK93-'FO 3 may-19'!AK93</f>
        <v>18717.240000002086</v>
      </c>
      <c r="AL2" s="125">
        <f>AL93-'FO 3 may-19'!AL93</f>
        <v>0</v>
      </c>
      <c r="AM2" s="143">
        <f>AM93-'FO 3 may-19'!AM93</f>
        <v>0</v>
      </c>
      <c r="AN2" s="125">
        <f>AN93-'FO 3 may-19'!AN93</f>
        <v>0</v>
      </c>
      <c r="AO2" s="125">
        <f>AO93-'FO 3 may-19'!AO93</f>
        <v>0</v>
      </c>
      <c r="AP2" s="125">
        <f>AP93-'FO 3 may-19'!AP93</f>
        <v>0</v>
      </c>
      <c r="AQ2" s="125">
        <f>AQ93-'FO 3 may-19'!AQ93</f>
        <v>17339.35000000149</v>
      </c>
      <c r="AR2" s="143">
        <f>AR93-'FO 3 may-19'!AR93</f>
        <v>17890.509999999776</v>
      </c>
      <c r="AS2" s="125">
        <f>AS93-'FO 3 may-19'!AS93</f>
        <v>0</v>
      </c>
      <c r="AT2" s="125">
        <f>AT93-'FO 3 may-19'!AT93</f>
        <v>19268.39999999851</v>
      </c>
      <c r="AU2" s="125">
        <f>AU93-'FO 3 may-19'!AU93</f>
        <v>57805.189999999478</v>
      </c>
      <c r="AV2" s="143">
        <f>AV93-'FO 3 may-19'!AV93</f>
        <v>0</v>
      </c>
      <c r="AW2" s="125">
        <f>AW93-'FO 3 may-19'!AW93</f>
        <v>0</v>
      </c>
      <c r="AX2" s="13">
        <f>AX93-'FO 3 may-19'!AX93</f>
        <v>0</v>
      </c>
      <c r="AY2" s="13">
        <f>AY93-'FO 3 may-19'!AY93</f>
        <v>0</v>
      </c>
      <c r="AZ2" s="13">
        <f>AZ93-'FO 3 may-19'!AZ93</f>
        <v>0</v>
      </c>
      <c r="BA2" s="13">
        <f>BA93-'FO 3 may-19'!BA93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/>
      <c r="V29" s="31"/>
      <c r="W29" s="24"/>
      <c r="X29" s="24"/>
      <c r="Y29" s="24"/>
      <c r="Z29" s="31"/>
      <c r="AA29" s="24"/>
      <c r="AB29" s="24"/>
      <c r="AC29" s="24"/>
      <c r="AD29" s="24"/>
      <c r="AE29" s="31"/>
      <c r="AF29" s="24"/>
      <c r="AG29" s="24"/>
      <c r="AH29" s="24"/>
      <c r="AI29" s="31"/>
      <c r="AJ29" s="24"/>
      <c r="AK29" s="24"/>
      <c r="AL29" s="24"/>
      <c r="AM29" s="31"/>
      <c r="AN29" s="24"/>
      <c r="AO29" s="24"/>
      <c r="AP29" s="24"/>
      <c r="AQ29" s="24"/>
      <c r="AR29" s="31"/>
      <c r="AS29" s="24"/>
      <c r="AT29" s="24"/>
      <c r="AU29" s="24"/>
      <c r="AV29" s="31"/>
      <c r="AW29" s="24"/>
      <c r="AX29" s="19"/>
      <c r="AY29" s="19"/>
      <c r="AZ29" s="19"/>
      <c r="BA29" s="19"/>
      <c r="BB29" s="37">
        <f t="shared" si="0"/>
        <v>5132.9078599999993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f>SUM(T4:T29)</f>
        <v>15516684.865199998</v>
      </c>
      <c r="U30" s="20">
        <f t="shared" ref="U30:BA30" si="1">SUM(U4:U29)</f>
        <v>15057548.0052</v>
      </c>
      <c r="V30" s="33">
        <f t="shared" si="1"/>
        <v>15164178.195199996</v>
      </c>
      <c r="W30" s="20">
        <f t="shared" si="1"/>
        <v>15853723.723999999</v>
      </c>
      <c r="X30" s="20">
        <f t="shared" si="1"/>
        <v>15556830.554000001</v>
      </c>
      <c r="Y30" s="20">
        <f t="shared" si="1"/>
        <v>15887091.473999999</v>
      </c>
      <c r="Z30" s="33">
        <f t="shared" si="1"/>
        <v>15880352.663999999</v>
      </c>
      <c r="AA30" s="20">
        <f t="shared" si="1"/>
        <v>15454988.271199999</v>
      </c>
      <c r="AB30" s="20">
        <f t="shared" si="1"/>
        <v>15545257.801200002</v>
      </c>
      <c r="AC30" s="20">
        <f t="shared" si="1"/>
        <v>15477131.021200001</v>
      </c>
      <c r="AD30" s="20">
        <f t="shared" si="1"/>
        <v>15600540.001199996</v>
      </c>
      <c r="AE30" s="33">
        <f t="shared" si="1"/>
        <v>15553046.6412</v>
      </c>
      <c r="AF30" s="20">
        <f t="shared" si="1"/>
        <v>15526228.992999999</v>
      </c>
      <c r="AG30" s="20">
        <f t="shared" si="1"/>
        <v>15391537.953000002</v>
      </c>
      <c r="AH30" s="20">
        <f t="shared" si="1"/>
        <v>15245854.863</v>
      </c>
      <c r="AI30" s="33">
        <f t="shared" si="1"/>
        <v>15266815.493000001</v>
      </c>
      <c r="AJ30" s="20">
        <f t="shared" si="1"/>
        <v>15479352.091000002</v>
      </c>
      <c r="AK30" s="20">
        <f t="shared" si="1"/>
        <v>15640508.981000001</v>
      </c>
      <c r="AL30" s="20">
        <f t="shared" si="1"/>
        <v>15839849.441</v>
      </c>
      <c r="AM30" s="33">
        <f t="shared" si="1"/>
        <v>15935999.181</v>
      </c>
      <c r="AN30" s="20">
        <f t="shared" si="1"/>
        <v>15707026.582800001</v>
      </c>
      <c r="AO30" s="20">
        <f t="shared" si="1"/>
        <v>15739794.732799998</v>
      </c>
      <c r="AP30" s="20">
        <f t="shared" si="1"/>
        <v>15635004.0528</v>
      </c>
      <c r="AQ30" s="20">
        <f t="shared" si="1"/>
        <v>15620936.212799998</v>
      </c>
      <c r="AR30" s="33">
        <f t="shared" si="1"/>
        <v>15188831.082799997</v>
      </c>
      <c r="AS30" s="20">
        <f t="shared" si="1"/>
        <v>15319781.75</v>
      </c>
      <c r="AT30" s="20">
        <f t="shared" si="1"/>
        <v>15983369.149999997</v>
      </c>
      <c r="AU30" s="20">
        <f t="shared" si="1"/>
        <v>15619141.859999999</v>
      </c>
      <c r="AV30" s="33">
        <f t="shared" si="1"/>
        <v>16045834.000000002</v>
      </c>
      <c r="AW30" s="20">
        <f t="shared" si="1"/>
        <v>16235412.360000001</v>
      </c>
      <c r="AX30" s="20">
        <f t="shared" si="1"/>
        <v>16260189.090000002</v>
      </c>
      <c r="AY30" s="20">
        <f t="shared" si="1"/>
        <v>17572541.050000001</v>
      </c>
      <c r="AZ30" s="20">
        <f t="shared" si="1"/>
        <v>17408130.370000001</v>
      </c>
      <c r="BA30" s="20">
        <f t="shared" si="1"/>
        <v>5568133.8900000006</v>
      </c>
      <c r="BB30" s="37">
        <f>SUM(B30:BA30)/1000</f>
        <v>825816.72862760013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2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2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2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2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2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2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2"/>
        <v>-7817.8818200000014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2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2"/>
        <v>-3460.8136800000002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2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2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2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2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2"/>
        <v>-41040.184300000008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2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2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2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2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2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2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2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2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2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2"/>
        <v>-7458.2159800000036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2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2"/>
        <v>-3955.5051999999996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/>
      <c r="V62" s="31"/>
      <c r="W62" s="24"/>
      <c r="X62" s="24"/>
      <c r="Y62" s="24"/>
      <c r="Z62" s="31"/>
      <c r="AA62" s="24"/>
      <c r="AB62" s="24"/>
      <c r="AC62" s="24"/>
      <c r="AD62" s="24"/>
      <c r="AE62" s="31"/>
      <c r="AF62" s="24"/>
      <c r="AG62" s="24"/>
      <c r="AH62" s="24"/>
      <c r="AI62" s="31"/>
      <c r="AJ62" s="24"/>
      <c r="AK62" s="24"/>
      <c r="AL62" s="24"/>
      <c r="AM62" s="31"/>
      <c r="AN62" s="24"/>
      <c r="AO62" s="24"/>
      <c r="AP62" s="24"/>
      <c r="AQ62" s="24"/>
      <c r="AR62" s="31"/>
      <c r="AS62" s="24"/>
      <c r="AT62" s="24"/>
      <c r="AU62" s="24"/>
      <c r="AV62" s="31"/>
      <c r="AW62" s="24"/>
      <c r="AX62" s="19"/>
      <c r="AY62" s="19"/>
      <c r="AZ62" s="19"/>
      <c r="BA62" s="19"/>
      <c r="BB62" s="37">
        <f t="shared" si="2"/>
        <v>0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2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2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2"/>
        <v>-5497.0151799999994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2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2"/>
        <v>-9182.8684399999966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2"/>
        <v>-61880.36063000001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-19523.885050000008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-13878.916180000006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-2029.2073200000009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-6918987.8499999996</v>
      </c>
      <c r="V82" s="120">
        <v>-5242529.6100000003</v>
      </c>
      <c r="W82" s="121">
        <v>-6862272.6500000004</v>
      </c>
      <c r="X82" s="121">
        <v>-7796279.7400000002</v>
      </c>
      <c r="Y82" s="121">
        <v>-7884354.3899999997</v>
      </c>
      <c r="Z82" s="120">
        <v>-18390699.390000001</v>
      </c>
      <c r="AA82" s="121">
        <v>-8236787.5599999996</v>
      </c>
      <c r="AB82" s="121">
        <v>-8310464.3499999996</v>
      </c>
      <c r="AC82" s="121">
        <v>-21948710.559999999</v>
      </c>
      <c r="AD82" s="121">
        <v>-8101741.7599999998</v>
      </c>
      <c r="AE82" s="120">
        <v>-8220921.4500000002</v>
      </c>
      <c r="AF82" s="121">
        <v>-17040619.18</v>
      </c>
      <c r="AG82" s="121">
        <v>-5688880.0199999996</v>
      </c>
      <c r="AH82" s="121">
        <v>-4834743.32</v>
      </c>
      <c r="AI82" s="120">
        <v>-3751289.72</v>
      </c>
      <c r="AJ82" s="121">
        <v>-3952129.23</v>
      </c>
      <c r="AK82" s="121">
        <v>-17650201.629999999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-4085237.28</v>
      </c>
      <c r="AR82" s="120">
        <v>-3800576.39</v>
      </c>
      <c r="AS82" s="121">
        <v>-4001555.48</v>
      </c>
      <c r="AT82" s="121">
        <v>-17440061.170000002</v>
      </c>
      <c r="AU82" s="121">
        <v>-2590063.86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2"/>
        <v>-298785.65872999997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-1403.3655699999997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-3313.09872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-129501.09988999992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-584.48527999999988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-39562.304700000008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f>SUM(T31:T92)</f>
        <v>-23259783.079999998</v>
      </c>
      <c r="U93" s="18">
        <f t="shared" ref="U93:BA93" si="3">SUM(U31:U92)</f>
        <v>-13301657.01</v>
      </c>
      <c r="V93" s="32">
        <f t="shared" si="3"/>
        <v>-14389201.140000001</v>
      </c>
      <c r="W93" s="18">
        <f t="shared" si="3"/>
        <v>-11796222.940000001</v>
      </c>
      <c r="X93" s="18">
        <f t="shared" si="3"/>
        <v>-17567057.719999999</v>
      </c>
      <c r="Y93" s="18">
        <f t="shared" si="3"/>
        <v>-16023341.66</v>
      </c>
      <c r="Z93" s="32">
        <f t="shared" si="3"/>
        <v>-27582188.720000003</v>
      </c>
      <c r="AA93" s="18">
        <f t="shared" si="3"/>
        <v>-14504374.550000001</v>
      </c>
      <c r="AB93" s="18">
        <f t="shared" si="3"/>
        <v>-17518862.100000001</v>
      </c>
      <c r="AC93" s="18">
        <f t="shared" si="3"/>
        <v>-34034052.810000002</v>
      </c>
      <c r="AD93" s="18">
        <f t="shared" si="3"/>
        <v>-14262943.970000001</v>
      </c>
      <c r="AE93" s="32">
        <f t="shared" si="3"/>
        <v>-18744664.32</v>
      </c>
      <c r="AF93" s="18">
        <f t="shared" si="3"/>
        <v>-24818916.419999998</v>
      </c>
      <c r="AG93" s="18">
        <f t="shared" si="3"/>
        <v>-20063260.359999996</v>
      </c>
      <c r="AH93" s="18">
        <f t="shared" si="3"/>
        <v>-10761971.550000001</v>
      </c>
      <c r="AI93" s="32">
        <f t="shared" si="3"/>
        <v>-13223878.780000001</v>
      </c>
      <c r="AJ93" s="18">
        <f t="shared" si="3"/>
        <v>-8815166.6300000008</v>
      </c>
      <c r="AK93" s="18">
        <f t="shared" si="3"/>
        <v>-27910227.369999997</v>
      </c>
      <c r="AL93" s="18">
        <f t="shared" si="3"/>
        <v>-12004826.680000003</v>
      </c>
      <c r="AM93" s="32">
        <f t="shared" si="3"/>
        <v>-8480754.0600000005</v>
      </c>
      <c r="AN93" s="18">
        <f t="shared" si="3"/>
        <v>-15182158.300000001</v>
      </c>
      <c r="AO93" s="18">
        <f t="shared" si="3"/>
        <v>-10815993.260000002</v>
      </c>
      <c r="AP93" s="18">
        <f t="shared" si="3"/>
        <v>-18304688.390000001</v>
      </c>
      <c r="AQ93" s="18">
        <f t="shared" si="3"/>
        <v>-10342110.43</v>
      </c>
      <c r="AR93" s="32">
        <f t="shared" si="3"/>
        <v>-14585298.699999999</v>
      </c>
      <c r="AS93" s="18">
        <f t="shared" si="3"/>
        <v>-10339535.689999998</v>
      </c>
      <c r="AT93" s="18">
        <f t="shared" si="3"/>
        <v>-28939257.020000003</v>
      </c>
      <c r="AU93" s="18">
        <f t="shared" si="3"/>
        <v>-11085149.699999999</v>
      </c>
      <c r="AV93" s="32">
        <f t="shared" si="3"/>
        <v>-10310301.369999999</v>
      </c>
      <c r="AW93" s="18">
        <f t="shared" si="3"/>
        <v>-5776940.6600000001</v>
      </c>
      <c r="AX93" s="18">
        <f t="shared" si="3"/>
        <v>-18270252.879999999</v>
      </c>
      <c r="AY93" s="18">
        <f t="shared" si="3"/>
        <v>-9287368.8800000008</v>
      </c>
      <c r="AZ93" s="18">
        <f t="shared" si="3"/>
        <v>-6053435.1699999999</v>
      </c>
      <c r="BA93" s="18">
        <f t="shared" si="3"/>
        <v>-9487115.9199999999</v>
      </c>
      <c r="BB93" s="37">
        <f>SUM(B93:BA93)/1000</f>
        <v>-782690.30468999979</v>
      </c>
    </row>
    <row r="94" spans="1:54" s="8" customFormat="1" ht="12.75">
      <c r="A94" s="7" t="s">
        <v>1</v>
      </c>
      <c r="B94" s="21">
        <f t="shared" ref="B94:Q94" si="4">B30+B93</f>
        <v>16436818.079999994</v>
      </c>
      <c r="C94" s="21">
        <f t="shared" si="4"/>
        <v>2892569.9699999988</v>
      </c>
      <c r="D94" s="21">
        <f t="shared" si="4"/>
        <v>5759561.1500000004</v>
      </c>
      <c r="E94" s="36">
        <f t="shared" si="4"/>
        <v>5463141.25</v>
      </c>
      <c r="F94" s="21">
        <f t="shared" si="4"/>
        <v>5815922.0000000009</v>
      </c>
      <c r="G94" s="21">
        <f t="shared" si="4"/>
        <v>2372866.3200000022</v>
      </c>
      <c r="H94" s="21">
        <f t="shared" si="4"/>
        <v>1719194</v>
      </c>
      <c r="I94" s="36">
        <f t="shared" si="4"/>
        <v>1649674.9000000004</v>
      </c>
      <c r="J94" s="21">
        <f t="shared" si="4"/>
        <v>5548984.299999997</v>
      </c>
      <c r="K94" s="21">
        <f t="shared" si="4"/>
        <v>2158884.3899999969</v>
      </c>
      <c r="L94" s="21">
        <f t="shared" si="4"/>
        <v>2905503.870000001</v>
      </c>
      <c r="M94" s="36">
        <f t="shared" si="4"/>
        <v>-8043246.629999999</v>
      </c>
      <c r="N94" s="21">
        <f t="shared" si="4"/>
        <v>5593122.0999999978</v>
      </c>
      <c r="O94" s="21">
        <f t="shared" si="4"/>
        <v>-5987461.3800000008</v>
      </c>
      <c r="P94" s="21">
        <f t="shared" si="4"/>
        <v>713113.50999999978</v>
      </c>
      <c r="Q94" s="36">
        <f t="shared" si="4"/>
        <v>495350.28999999911</v>
      </c>
      <c r="R94" s="21">
        <f>R30+R93</f>
        <v>-3355380.67</v>
      </c>
      <c r="S94" s="21">
        <f t="shared" ref="S94:BA94" si="5">S30+S93</f>
        <v>4053118.3300000038</v>
      </c>
      <c r="T94" s="21">
        <f t="shared" si="5"/>
        <v>-7743098.2148000002</v>
      </c>
      <c r="U94" s="21">
        <f t="shared" si="5"/>
        <v>1755890.9952000007</v>
      </c>
      <c r="V94" s="36">
        <f t="shared" si="5"/>
        <v>774977.05519999564</v>
      </c>
      <c r="W94" s="21">
        <f t="shared" si="5"/>
        <v>4057500.7839999981</v>
      </c>
      <c r="X94" s="21">
        <f t="shared" si="5"/>
        <v>-2010227.1659999974</v>
      </c>
      <c r="Y94" s="21">
        <f t="shared" si="5"/>
        <v>-136250.18600000069</v>
      </c>
      <c r="Z94" s="36">
        <f t="shared" si="5"/>
        <v>-11701836.056000004</v>
      </c>
      <c r="AA94" s="21">
        <f t="shared" si="5"/>
        <v>950613.72119999863</v>
      </c>
      <c r="AB94" s="21">
        <f t="shared" si="5"/>
        <v>-1973604.2987999991</v>
      </c>
      <c r="AC94" s="21">
        <f t="shared" si="5"/>
        <v>-18556921.788800001</v>
      </c>
      <c r="AD94" s="21">
        <f t="shared" si="5"/>
        <v>1337596.0311999954</v>
      </c>
      <c r="AE94" s="36">
        <f t="shared" si="5"/>
        <v>-3191617.6787999999</v>
      </c>
      <c r="AF94" s="21">
        <f t="shared" si="5"/>
        <v>-9292687.4269999992</v>
      </c>
      <c r="AG94" s="21">
        <f t="shared" si="5"/>
        <v>-4671722.4069999941</v>
      </c>
      <c r="AH94" s="21">
        <f t="shared" si="5"/>
        <v>4483883.3129999992</v>
      </c>
      <c r="AI94" s="36">
        <f t="shared" si="5"/>
        <v>2042936.7129999995</v>
      </c>
      <c r="AJ94" s="21">
        <f t="shared" si="5"/>
        <v>6664185.4610000011</v>
      </c>
      <c r="AK94" s="21">
        <f t="shared" si="5"/>
        <v>-12269718.388999997</v>
      </c>
      <c r="AL94" s="21">
        <f t="shared" si="5"/>
        <v>3835022.7609999962</v>
      </c>
      <c r="AM94" s="36">
        <f t="shared" si="5"/>
        <v>7455245.1209999993</v>
      </c>
      <c r="AN94" s="21">
        <f t="shared" si="5"/>
        <v>524868.28280000016</v>
      </c>
      <c r="AO94" s="21">
        <f t="shared" si="5"/>
        <v>4923801.4727999959</v>
      </c>
      <c r="AP94" s="21">
        <f t="shared" si="5"/>
        <v>-2669684.3372000009</v>
      </c>
      <c r="AQ94" s="21">
        <f t="shared" si="5"/>
        <v>5278825.7827999983</v>
      </c>
      <c r="AR94" s="36">
        <f t="shared" si="5"/>
        <v>603532.38279999793</v>
      </c>
      <c r="AS94" s="21">
        <f t="shared" si="5"/>
        <v>4980246.0600000024</v>
      </c>
      <c r="AT94" s="21">
        <f t="shared" si="5"/>
        <v>-12955887.870000007</v>
      </c>
      <c r="AU94" s="21">
        <f t="shared" si="5"/>
        <v>4533992.16</v>
      </c>
      <c r="AV94" s="36">
        <f t="shared" si="5"/>
        <v>5735532.6300000027</v>
      </c>
      <c r="AW94" s="21">
        <f t="shared" si="5"/>
        <v>10458471.700000001</v>
      </c>
      <c r="AX94" s="21">
        <f t="shared" si="5"/>
        <v>-2010063.7899999972</v>
      </c>
      <c r="AY94" s="21">
        <f t="shared" si="5"/>
        <v>8285172.1699999999</v>
      </c>
      <c r="AZ94" s="21">
        <f t="shared" si="5"/>
        <v>11354695.200000001</v>
      </c>
      <c r="BA94" s="21">
        <f t="shared" si="5"/>
        <v>-3918982.0299999993</v>
      </c>
      <c r="BB94" s="37">
        <f>SUM(B94:BA94)/1000</f>
        <v>43126.423937599982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>
        <v>874</v>
      </c>
      <c r="G97" s="153">
        <v>1115</v>
      </c>
      <c r="H97">
        <v>883</v>
      </c>
      <c r="I97">
        <v>492</v>
      </c>
      <c r="J97">
        <v>126</v>
      </c>
      <c r="K97" s="153">
        <v>5718</v>
      </c>
      <c r="L97">
        <v>19</v>
      </c>
      <c r="M97">
        <v>19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>
        <v>-285</v>
      </c>
      <c r="G98">
        <v>-325</v>
      </c>
      <c r="H98">
        <v>-225</v>
      </c>
      <c r="I98">
        <v>-225</v>
      </c>
      <c r="J98">
        <v>-85</v>
      </c>
      <c r="K98">
        <v>-85</v>
      </c>
      <c r="L98">
        <v>-550</v>
      </c>
      <c r="M98">
        <v>0</v>
      </c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77192.883895599996</v>
      </c>
      <c r="G100" s="60">
        <f>SUM(W30:Z30)/1000+G97</f>
        <v>64292.998416000002</v>
      </c>
      <c r="H100" s="60">
        <f>SUM(AA30:AE30)/1000+H97</f>
        <v>78513.963736000005</v>
      </c>
      <c r="I100" s="60">
        <f>SUM(AF30:AI30)/1000+I97</f>
        <v>61922.437301999998</v>
      </c>
      <c r="J100" s="60">
        <f>SUM(AJ30:AM30)/1000+J97</f>
        <v>63021.709694000005</v>
      </c>
      <c r="K100" s="60">
        <f>SUM(AN30:AR30)/1000+K97</f>
        <v>83609.592663999996</v>
      </c>
      <c r="L100" s="60">
        <f>SUM(AS30:AV30)/1000+L97</f>
        <v>62987.126759999999</v>
      </c>
      <c r="M100" s="60">
        <f>SUM(AW30:BA30)/1000+M97</f>
        <v>73063.406760000013</v>
      </c>
      <c r="N100" s="60">
        <f>SUM(B100:M100)</f>
        <v>835062.72862759989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-81118.376400000008</v>
      </c>
      <c r="G101" s="60">
        <f>SUM(W93:Z93)/1000+G98</f>
        <v>-73293.811040000001</v>
      </c>
      <c r="H101" s="60">
        <f>SUM(AA93:AE93)/1000+H98</f>
        <v>-99289.897750000004</v>
      </c>
      <c r="I101" s="39">
        <f>SUM(AF93:AI93)/1000+I98</f>
        <v>-69093.027109999995</v>
      </c>
      <c r="J101" s="39">
        <f>SUM(AJ93:AM93)/1000+J98</f>
        <v>-57295.974740000012</v>
      </c>
      <c r="K101" s="39">
        <f>SUM(AN93:AR93)/1000+K98</f>
        <v>-69315.249079999994</v>
      </c>
      <c r="L101" s="39">
        <f>SUM(AS93:AV93)/1000+L98</f>
        <v>-61224.243779999997</v>
      </c>
      <c r="M101" s="39">
        <f>SUM(AW93:BA93)/1000+M98</f>
        <v>-48875.113510000003</v>
      </c>
      <c r="N101" s="60">
        <f>SUM(B101:M101)</f>
        <v>-784470.30469000002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6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-3925.492504400012</v>
      </c>
      <c r="G102" s="60">
        <f t="shared" si="6"/>
        <v>-9000.8126239999983</v>
      </c>
      <c r="H102" s="60">
        <f t="shared" si="6"/>
        <v>-20775.934013999999</v>
      </c>
      <c r="I102" s="60">
        <f t="shared" si="6"/>
        <v>-7170.589807999997</v>
      </c>
      <c r="J102" s="60">
        <f t="shared" si="6"/>
        <v>5725.7349539999923</v>
      </c>
      <c r="K102" s="60">
        <f t="shared" si="6"/>
        <v>14294.343584000002</v>
      </c>
      <c r="L102" s="60">
        <f t="shared" si="6"/>
        <v>1762.8829800000021</v>
      </c>
      <c r="M102" s="60">
        <f>SUM(M100:M101)</f>
        <v>24188.29325000001</v>
      </c>
      <c r="N102" s="60">
        <f>SUM(B102:M102)</f>
        <v>50592.423937599975</v>
      </c>
      <c r="O102" s="133">
        <f>BB94-N102+SUM(F97:M98)</f>
        <v>7.2759576141834259E-12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3 may-19'!N100</f>
        <v>3065.2077148000244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3 may-19'!N100</f>
        <v>3065.2077148000244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7">C99</f>
        <v>43497</v>
      </c>
      <c r="D105" s="52">
        <f t="shared" si="7"/>
        <v>43525</v>
      </c>
      <c r="E105" s="52">
        <f t="shared" si="7"/>
        <v>43556</v>
      </c>
      <c r="F105" s="52">
        <f t="shared" si="7"/>
        <v>43586</v>
      </c>
      <c r="G105" s="52">
        <f t="shared" si="7"/>
        <v>43617</v>
      </c>
      <c r="H105" s="52">
        <f t="shared" si="7"/>
        <v>43647</v>
      </c>
      <c r="I105" s="52">
        <f t="shared" si="7"/>
        <v>43678</v>
      </c>
      <c r="J105" s="52">
        <f t="shared" si="7"/>
        <v>43709</v>
      </c>
      <c r="K105" s="52">
        <f t="shared" si="7"/>
        <v>43739</v>
      </c>
      <c r="L105" s="52">
        <f t="shared" si="7"/>
        <v>43770</v>
      </c>
      <c r="M105" s="52">
        <f t="shared" si="7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874.92673000000423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8">SUM(C106:C107)</f>
        <v>7.3460000000004584</v>
      </c>
      <c r="D108" s="22">
        <f t="shared" si="8"/>
        <v>-250.65999999999985</v>
      </c>
      <c r="E108" s="22">
        <f t="shared" si="8"/>
        <v>-1124.4709999999995</v>
      </c>
      <c r="F108" s="22">
        <f t="shared" si="8"/>
        <v>288.63700000000063</v>
      </c>
      <c r="G108" s="22">
        <f t="shared" si="8"/>
        <v>224.22299999999814</v>
      </c>
      <c r="H108" s="22">
        <f t="shared" si="8"/>
        <v>-93.138999999995576</v>
      </c>
      <c r="I108" s="39">
        <f t="shared" si="8"/>
        <v>204.61399999999776</v>
      </c>
      <c r="J108" s="39">
        <f t="shared" si="8"/>
        <v>406.04999999999563</v>
      </c>
      <c r="K108" s="39">
        <f t="shared" si="8"/>
        <v>518.8169999999991</v>
      </c>
      <c r="L108" s="39">
        <f t="shared" si="8"/>
        <v>834.60699999999633</v>
      </c>
      <c r="M108" s="39">
        <f t="shared" si="8"/>
        <v>41.70400000000518</v>
      </c>
      <c r="N108" s="59">
        <f>SUM(B108:M108)</f>
        <v>2112.8819999999978</v>
      </c>
      <c r="O108" s="133">
        <f>N108-SUM('FO 19 abr-19'!B108:M108)</f>
        <v>0</v>
      </c>
      <c r="P108" s="78">
        <f>N101-'FO 3 may-19'!N101</f>
        <v>874.92672999994829</v>
      </c>
      <c r="Q108" s="61" t="s">
        <v>103</v>
      </c>
      <c r="R108" s="63"/>
      <c r="S108" s="23" t="s">
        <v>126</v>
      </c>
      <c r="T108" s="115">
        <f>SUM(T47:BA50)/1000-SUM('FO 3 may-19'!T47:BA50)/1000</f>
        <v>225.51281000000017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SUM(T82:BA82)/1000-SUM('FO 3 may-19'!T82:BA82)/1000</f>
        <v>594.47380999999586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SUM(T31:BA92)/1000-SUM('FO 3 may-19'!T31:BA92)/1000-T108-T109</f>
        <v>-2357.3155300001526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9">C99</f>
        <v>43497</v>
      </c>
      <c r="D111" s="52">
        <f t="shared" si="9"/>
        <v>43525</v>
      </c>
      <c r="E111" s="52">
        <f t="shared" si="9"/>
        <v>43556</v>
      </c>
      <c r="F111" s="52">
        <f t="shared" si="9"/>
        <v>43586</v>
      </c>
      <c r="G111" s="52">
        <f t="shared" si="9"/>
        <v>43617</v>
      </c>
      <c r="H111" s="52">
        <f t="shared" si="9"/>
        <v>43647</v>
      </c>
      <c r="I111" s="52">
        <f t="shared" si="9"/>
        <v>43678</v>
      </c>
      <c r="J111" s="52">
        <f t="shared" si="9"/>
        <v>43709</v>
      </c>
      <c r="K111" s="52">
        <f t="shared" si="9"/>
        <v>43739</v>
      </c>
      <c r="L111" s="52">
        <f t="shared" si="9"/>
        <v>43770</v>
      </c>
      <c r="M111" s="52">
        <f t="shared" si="9"/>
        <v>43800</v>
      </c>
      <c r="P111" s="39">
        <f>N102-'FO 3 may-19'!N102</f>
        <v>3940.1344448000164</v>
      </c>
      <c r="Q111" s="119"/>
      <c r="S111" s="70" t="s">
        <v>129</v>
      </c>
      <c r="T111" s="77">
        <f>SUM(T108:T110)</f>
        <v>-1537.3289100001566</v>
      </c>
      <c r="U111" s="71">
        <f>S2/1000</f>
        <v>2412.2556400000008</v>
      </c>
      <c r="V111" s="75">
        <f>SUM(T111:U111)</f>
        <v>874.92672999984416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3940.1344447999727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10">SUM(C112:C113)</f>
        <v>0</v>
      </c>
      <c r="D114" s="26">
        <f t="shared" si="10"/>
        <v>0</v>
      </c>
      <c r="E114" s="26">
        <f t="shared" si="10"/>
        <v>0</v>
      </c>
      <c r="F114" s="26">
        <f t="shared" si="10"/>
        <v>0</v>
      </c>
      <c r="G114" s="26">
        <f t="shared" si="10"/>
        <v>0</v>
      </c>
      <c r="H114" s="26">
        <f t="shared" si="10"/>
        <v>0</v>
      </c>
      <c r="I114" s="26">
        <f t="shared" si="10"/>
        <v>0</v>
      </c>
      <c r="J114" s="26">
        <f t="shared" si="10"/>
        <v>0</v>
      </c>
      <c r="K114" s="26">
        <f t="shared" si="10"/>
        <v>0</v>
      </c>
      <c r="L114" s="26">
        <f t="shared" si="10"/>
        <v>0</v>
      </c>
      <c r="M114" s="26">
        <f t="shared" si="10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3142.4868687927815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11">C99</f>
        <v>43497</v>
      </c>
      <c r="D117" s="1">
        <f t="shared" si="11"/>
        <v>43525</v>
      </c>
      <c r="E117" s="1">
        <f t="shared" si="11"/>
        <v>43556</v>
      </c>
      <c r="F117" s="1">
        <f t="shared" si="11"/>
        <v>43586</v>
      </c>
      <c r="G117" s="1">
        <f t="shared" si="11"/>
        <v>43617</v>
      </c>
      <c r="H117" s="1">
        <f t="shared" si="11"/>
        <v>43647</v>
      </c>
      <c r="I117" s="1">
        <f t="shared" si="11"/>
        <v>43678</v>
      </c>
      <c r="J117" s="1">
        <f t="shared" si="11"/>
        <v>43709</v>
      </c>
      <c r="K117" s="1">
        <f t="shared" si="11"/>
        <v>43739</v>
      </c>
      <c r="L117" s="1">
        <f t="shared" si="11"/>
        <v>43770</v>
      </c>
      <c r="M117" s="1">
        <f t="shared" si="11"/>
        <v>43800</v>
      </c>
      <c r="S117" s="40" t="s">
        <v>133</v>
      </c>
      <c r="T117" s="80">
        <f>I100</f>
        <v>61922.437301999998</v>
      </c>
      <c r="W117" s="80">
        <f>SUM(AK30:BA30)/1000</f>
        <v>261320.48378700006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2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88956.593895600003</v>
      </c>
      <c r="G118" s="26">
        <f t="shared" si="12"/>
        <v>75965.868415999998</v>
      </c>
      <c r="H118" s="26">
        <f t="shared" si="12"/>
        <v>90052.403736000007</v>
      </c>
      <c r="I118" s="26">
        <f t="shared" si="12"/>
        <v>73608.900301999995</v>
      </c>
      <c r="J118" s="26">
        <f t="shared" si="12"/>
        <v>74894.922694000008</v>
      </c>
      <c r="K118" s="26">
        <f t="shared" si="12"/>
        <v>95451.43966399999</v>
      </c>
      <c r="L118" s="26">
        <f t="shared" si="12"/>
        <v>74950.277759999997</v>
      </c>
      <c r="M118" s="26">
        <f t="shared" si="12"/>
        <v>84226.660760000013</v>
      </c>
      <c r="N118" s="64">
        <f>SUM(B118:M118)</f>
        <v>973187.70062759996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2"/>
        <v>-72374.237469999993</v>
      </c>
      <c r="E119" s="26">
        <f>E101+E107+E113</f>
        <v>-69962.135510000007</v>
      </c>
      <c r="F119" s="26">
        <f>F101+F107+F113</f>
        <v>-92593.449400000012</v>
      </c>
      <c r="G119" s="26">
        <f t="shared" si="12"/>
        <v>-84742.458039999998</v>
      </c>
      <c r="H119" s="26">
        <f t="shared" si="12"/>
        <v>-110921.47675</v>
      </c>
      <c r="I119" s="26">
        <f t="shared" si="12"/>
        <v>-80574.876109999997</v>
      </c>
      <c r="J119" s="26">
        <f t="shared" si="12"/>
        <v>-68763.137740000006</v>
      </c>
      <c r="K119" s="26">
        <f t="shared" si="12"/>
        <v>-80638.279079999993</v>
      </c>
      <c r="L119" s="26">
        <f t="shared" si="12"/>
        <v>-72352.787780000013</v>
      </c>
      <c r="M119" s="26">
        <f>M101+M107+M113</f>
        <v>-59996.663509999998</v>
      </c>
      <c r="N119" s="64">
        <f>SUM(B119:M119)</f>
        <v>-920482.39468999999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3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-3636.8555044000095</v>
      </c>
      <c r="G120" s="56">
        <f t="shared" si="13"/>
        <v>-8776.5896240000002</v>
      </c>
      <c r="H120" s="56">
        <f t="shared" si="13"/>
        <v>-20869.073013999994</v>
      </c>
      <c r="I120" s="56">
        <f t="shared" si="13"/>
        <v>-6965.9758080000029</v>
      </c>
      <c r="J120" s="56">
        <f t="shared" si="13"/>
        <v>6131.7849540000025</v>
      </c>
      <c r="K120" s="56">
        <f t="shared" si="13"/>
        <v>14813.160583999997</v>
      </c>
      <c r="L120" s="56">
        <f t="shared" si="13"/>
        <v>2597.4899799999839</v>
      </c>
      <c r="M120" s="56">
        <f>SUM(M118:M119)</f>
        <v>24229.997250000015</v>
      </c>
      <c r="N120" s="65">
        <f>SUM(B120:M120)</f>
        <v>52705.305937599973</v>
      </c>
      <c r="O120" s="65">
        <f>'FO 3 may-19'!N120+P112+O108</f>
        <v>52705.305937599915</v>
      </c>
      <c r="P120" s="133">
        <f>O120-N120</f>
        <v>-5.8207660913467407E-11</v>
      </c>
      <c r="R120" s="86">
        <f>[1]EEFF!$H$63</f>
        <v>574206</v>
      </c>
      <c r="S120" s="40" t="s">
        <v>135</v>
      </c>
      <c r="T120" s="80">
        <f>SUM(T117:T119)</f>
        <v>73608.900301999995</v>
      </c>
      <c r="U120" s="9"/>
      <c r="V120" s="9"/>
      <c r="W120" s="80">
        <f>SUM(W117:W119)</f>
        <v>308161.94878700009</v>
      </c>
      <c r="X120" s="9"/>
      <c r="Y120" s="9"/>
      <c r="Z120" s="76">
        <f>R120+T120+W120</f>
        <v>955976.84908900014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49983.061487599989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58779.950433207217</v>
      </c>
      <c r="U122" s="80">
        <f>U124-U123</f>
        <v>71460.380999999878</v>
      </c>
      <c r="W122" s="80">
        <f>W117-W116</f>
        <v>250988.09878700005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10877.488384400029</v>
      </c>
      <c r="G123" s="26">
        <f>SUM($B$121:G121)-SUM($B$120:G120)</f>
        <v>17658.078008400029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62466.413433207214</v>
      </c>
      <c r="U124" s="80">
        <f>'[1]Proy. 2018'!$D$60</f>
        <v>74585.869999999879</v>
      </c>
      <c r="W124" s="80">
        <f>SUM(W122:W123)</f>
        <v>265829.56378700008</v>
      </c>
      <c r="X124" s="80">
        <f>SUM('[1]Proy. 2018'!$E$60:$H$60)</f>
        <v>292023.20500000007</v>
      </c>
      <c r="Z124" s="91">
        <f>R120+T124+W124</f>
        <v>902501.97722020722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5.8585423280392153</v>
      </c>
      <c r="C126" s="43">
        <f>B126*4</f>
        <v>23.434169312156861</v>
      </c>
      <c r="S126" s="92" t="s">
        <v>144</v>
      </c>
      <c r="U126" s="104">
        <f>T124-U124</f>
        <v>-12119.456566792665</v>
      </c>
      <c r="X126" s="104">
        <f>W124-X124</f>
        <v>-26193.641212999995</v>
      </c>
      <c r="Z126" s="89"/>
      <c r="AA126" s="89">
        <f>Z124-AA124</f>
        <v>-38313.097779792733</v>
      </c>
      <c r="AB126" s="112">
        <f>(X126+U126)/(T122+W122)</f>
        <v>-0.12368318125849295</v>
      </c>
      <c r="AC126" s="111">
        <f>AA126/Z124</f>
        <v>-4.2452092900450759E-2</v>
      </c>
    </row>
    <row r="127" spans="1:30" ht="15" hidden="1">
      <c r="A127" s="42" t="s">
        <v>121</v>
      </c>
      <c r="B127" s="43">
        <f>-(AVERAGE(B89:BA89)+AVERAGE(B68:BA68))/1000000</f>
        <v>3.7525776572549008</v>
      </c>
      <c r="C127" s="43">
        <f>B127*4</f>
        <v>15.010310629019603</v>
      </c>
      <c r="Z127" s="89"/>
      <c r="AA127" s="89"/>
    </row>
    <row r="128" spans="1:30" ht="15.75" hidden="1">
      <c r="A128" s="44" t="s">
        <v>104</v>
      </c>
      <c r="B128" s="45">
        <f>SUM(B124:B127)</f>
        <v>12.067181274509803</v>
      </c>
      <c r="C128" s="45">
        <f>SUM(C124:C127)</f>
        <v>48.268725098039212</v>
      </c>
      <c r="R128" s="23"/>
      <c r="S128" s="9" t="s">
        <v>141</v>
      </c>
      <c r="Z128" s="87">
        <f>Z120-'[4]Flujo 2018'!$AQ$4</f>
        <v>-26316.758370999829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-3142.4868687927815</v>
      </c>
      <c r="U134" s="14"/>
      <c r="V134" s="83">
        <f>W134/W138</f>
        <v>4.5481968300357792E-2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13.801719688807495</v>
      </c>
      <c r="C136" s="45">
        <f>C128+C131+C134</f>
        <v>55.20687875522998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-35468.420353100453</v>
      </c>
      <c r="U137" s="101">
        <f>'[1]Proy. 2018'!$D$116-'[1]Proy. 2018'!$C$116-U136</f>
        <v>-38522.038500000075</v>
      </c>
      <c r="V137" s="103"/>
      <c r="W137" s="101">
        <f>SUM(AK31:BA92)/1000-SUM(W132:W136)</f>
        <v>-169182.47893085997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27.588486508694348</v>
      </c>
      <c r="C138" s="47">
        <f>C136+C137</f>
        <v>68.99364557511683</v>
      </c>
      <c r="S138" s="40" t="s">
        <v>133</v>
      </c>
      <c r="T138" s="80">
        <f>I101</f>
        <v>-69093.027109999995</v>
      </c>
      <c r="W138" s="80">
        <f>SUM(AK93:BA93)/1000</f>
        <v>-227175.41447999995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-80574.876109999997</v>
      </c>
      <c r="W141" s="80">
        <f>SUM(W138:W140)</f>
        <v>-272215.70147999993</v>
      </c>
      <c r="X141" s="24"/>
      <c r="Z141" s="80">
        <f>R141+T141+W141</f>
        <v>-935440.57758999988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-65950.540241207214</v>
      </c>
      <c r="U143" s="80">
        <f>U145-U144</f>
        <v>-54186.39900000018</v>
      </c>
      <c r="W143" s="80">
        <f>W138-W134</f>
        <v>-216843.02947999994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-69432.389241207216</v>
      </c>
      <c r="U145" s="85">
        <f>'[1]Proy. 2018'!$D$61</f>
        <v>-57037.396000000183</v>
      </c>
      <c r="W145" s="85">
        <f>SUM(W143:W144)</f>
        <v>-229883.31647999995</v>
      </c>
      <c r="X145" s="85">
        <f>SUM('[1]Proy. 2018'!$E$61:$H$61)</f>
        <v>-260447.245</v>
      </c>
      <c r="Z145" s="85">
        <f>R141+T145+W145</f>
        <v>-881965.70572120708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-12394.993241207034</v>
      </c>
      <c r="V147" s="40"/>
      <c r="W147" s="40"/>
      <c r="X147" s="104">
        <f>W145-X145</f>
        <v>30563.928520000045</v>
      </c>
      <c r="Z147" s="90"/>
      <c r="AA147" s="89">
        <f>Z145-AA145</f>
        <v>18168.935278793098</v>
      </c>
      <c r="AB147" s="112">
        <f>(X147+U147)/(W145+T145)</f>
        <v>-6.0701576734887991E-2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-13959.259241207139</v>
      </c>
      <c r="V149" s="106"/>
      <c r="W149" s="106"/>
      <c r="X149" s="106">
        <f>W132-X132+W136-X136+W137-X137</f>
        <v>22167.239520000119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7349.8118100001011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20536.271499000257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-18966.946560999742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-20144.162500999635</v>
      </c>
    </row>
    <row r="157" spans="1:30" ht="12.75" hidden="1">
      <c r="A157" s="18">
        <v>-8256517.8300000001</v>
      </c>
      <c r="AA157" s="10">
        <f>Z154-AA154</f>
        <v>-20144.162500999519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BB200"/>
  <sheetViews>
    <sheetView showGridLines="0" zoomScale="80" zoomScaleNormal="80" workbookViewId="0">
      <pane xSplit="1" topLeftCell="P1" activePane="topRight" state="frozen"/>
      <selection pane="topRight" activeCell="T110" sqref="T110"/>
    </sheetView>
  </sheetViews>
  <sheetFormatPr baseColWidth="10" defaultRowHeight="12" outlineLevelRow="1"/>
  <cols>
    <col min="1" max="1" width="20.140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>
        <f>R93-'FO 26 abr-19 (Escenario)'!R93</f>
        <v>2438837.2100000009</v>
      </c>
      <c r="S2" s="129">
        <f>S93-'FO 26 abr-19 (Escenario)'!S93</f>
        <v>8382777.4300000016</v>
      </c>
      <c r="T2" s="129">
        <f>T93-'FO 26 abr-19 (Escenario)'!T93</f>
        <v>461872.33999999613</v>
      </c>
      <c r="U2" s="129">
        <f>U93-'FO 26 abr-19 (Escenario)'!U93</f>
        <v>433116.8599999994</v>
      </c>
      <c r="V2" s="130">
        <f>V93-'FO 26 abr-19 (Escenario)'!V93</f>
        <v>642075.43999999762</v>
      </c>
      <c r="W2" s="129">
        <f>W93-'FO 26 abr-19 (Escenario)'!W93</f>
        <v>194558.8200000003</v>
      </c>
      <c r="X2" s="129">
        <f>X93-'FO 26 abr-19 (Escenario)'!X93</f>
        <v>0</v>
      </c>
      <c r="Y2" s="129">
        <f>Y93-'FO 26 abr-19 (Escenario)'!Y93</f>
        <v>0</v>
      </c>
      <c r="Z2" s="130">
        <f>Z93-'FO 26 abr-19 (Escenario)'!Z93</f>
        <v>0</v>
      </c>
      <c r="AA2" s="129">
        <f>AA93-'FO 26 abr-19 (Escenario)'!AA93</f>
        <v>0.25</v>
      </c>
      <c r="AB2" s="129">
        <f>AB93-'FO 26 abr-19 (Escenario)'!AB93</f>
        <v>0</v>
      </c>
      <c r="AC2" s="129">
        <f>AC93-'FO 26 abr-19 (Escenario)'!AC93</f>
        <v>0</v>
      </c>
      <c r="AD2" s="129">
        <f>AD93-'FO 26 abr-19 (Escenario)'!AD93</f>
        <v>0</v>
      </c>
      <c r="AE2" s="130">
        <f>AE93-'FO 26 abr-19 (Escenario)'!AE93</f>
        <v>-55556.469999998808</v>
      </c>
      <c r="AF2" s="129">
        <f>AF93-'FO 26 abr-19 (Escenario)'!AF93</f>
        <v>-11600971.679999996</v>
      </c>
      <c r="AG2" s="129">
        <f>AG93-'FO 26 abr-19 (Escenario)'!AG93</f>
        <v>-99042.650000002235</v>
      </c>
      <c r="AH2" s="129">
        <f>AH93-'FO 26 abr-19 (Escenario)'!AH93</f>
        <v>-144402.73999999836</v>
      </c>
      <c r="AI2" s="130">
        <f>AI93-'FO 26 abr-19 (Escenario)'!AI93</f>
        <v>-165098.58000000194</v>
      </c>
      <c r="AJ2" s="129">
        <f>AJ93-'FO 26 abr-19 (Escenario)'!AJ93</f>
        <v>-49385.740000000224</v>
      </c>
      <c r="AK2" s="129">
        <f>AK93-'FO 26 abr-19 (Escenario)'!AK93</f>
        <v>0</v>
      </c>
      <c r="AL2" s="129">
        <f>AL93-'FO 26 abr-19 (Escenario)'!AL93</f>
        <v>0</v>
      </c>
      <c r="AM2" s="130">
        <f>AM93-'FO 26 abr-19 (Escenario)'!AM93</f>
        <v>0</v>
      </c>
      <c r="AN2" s="129">
        <f>AN93-'FO 26 abr-19 (Escenario)'!AN93</f>
        <v>0</v>
      </c>
      <c r="AO2" s="129">
        <f>AO93-'FO 26 abr-19 (Escenario)'!AO93</f>
        <v>0</v>
      </c>
      <c r="AP2" s="129">
        <f>AP93-'FO 26 abr-19 (Escenario)'!AP93</f>
        <v>0</v>
      </c>
      <c r="AQ2" s="129">
        <f>AQ93-'FO 26 abr-19 (Escenario)'!AQ93</f>
        <v>0</v>
      </c>
      <c r="AR2" s="130">
        <f>AR93-'FO 26 abr-19 (Escenario)'!AR93</f>
        <v>0</v>
      </c>
      <c r="AS2" s="129">
        <f>AS93-'FO 26 abr-19 (Escenario)'!AS93</f>
        <v>0</v>
      </c>
      <c r="AT2" s="129">
        <f>AT93-'FO 26 abr-19 (Escenario)'!AT93</f>
        <v>0</v>
      </c>
      <c r="AU2" s="129">
        <f>AU93-'FO 26 abr-19 (Escenario)'!AU93</f>
        <v>0</v>
      </c>
      <c r="AV2" s="130">
        <f>AV93-'FO 26 abr-19 (Escenario)'!AV93</f>
        <v>0</v>
      </c>
      <c r="AW2" s="129">
        <f>AW93-'FO 26 abr-19 (Escenario)'!AW93</f>
        <v>0</v>
      </c>
      <c r="AX2" s="131">
        <f>AX93-'FO 26 abr-19 (Escenario)'!AX93</f>
        <v>0</v>
      </c>
      <c r="AY2" s="131">
        <f>AY93-'FO 26 abr-19 (Escenario)'!AY93</f>
        <v>0</v>
      </c>
      <c r="AZ2" s="131">
        <f>AZ93-'FO 26 abr-19 (Escenario)'!AZ93</f>
        <v>0</v>
      </c>
      <c r="BA2" s="131">
        <f>BA93-'FO 26 abr-19 (Escenario)'!BA93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>
        <v>19305028.07</v>
      </c>
      <c r="T3" s="18">
        <v>13376803.375199996</v>
      </c>
      <c r="U3" s="18">
        <v>11939583.940399993</v>
      </c>
      <c r="V3" s="32">
        <v>15671763.625599992</v>
      </c>
      <c r="W3" s="18">
        <v>17010878.400799986</v>
      </c>
      <c r="X3" s="18">
        <v>10651120.534799986</v>
      </c>
      <c r="Y3" s="18">
        <v>13518901.628799988</v>
      </c>
      <c r="Z3" s="32">
        <v>18779635.722799994</v>
      </c>
      <c r="AA3" s="18">
        <v>16517641.95679999</v>
      </c>
      <c r="AB3" s="18">
        <v>16725375.837999986</v>
      </c>
      <c r="AC3" s="18">
        <v>12034888.229199989</v>
      </c>
      <c r="AD3" s="18">
        <v>-887073.88960000873</v>
      </c>
      <c r="AE3" s="32">
        <v>-1898046.538400013</v>
      </c>
      <c r="AF3" s="18">
        <v>-7628855.8472000137</v>
      </c>
      <c r="AG3" s="18">
        <v>-15430486.594200011</v>
      </c>
      <c r="AH3" s="18">
        <v>-23587090.991200004</v>
      </c>
      <c r="AI3" s="32">
        <v>-21511197.108200006</v>
      </c>
      <c r="AJ3" s="18">
        <v>-20355054.135200009</v>
      </c>
      <c r="AK3" s="18">
        <v>-14597732.644200008</v>
      </c>
      <c r="AL3" s="18">
        <v>-27834656.093200009</v>
      </c>
      <c r="AM3" s="32">
        <v>-26459110.99220001</v>
      </c>
      <c r="AN3" s="18">
        <v>-34305450.841200009</v>
      </c>
      <c r="AO3" s="18">
        <v>-38109817.888400011</v>
      </c>
      <c r="AP3" s="18">
        <v>-34571782.915600017</v>
      </c>
      <c r="AQ3" s="18">
        <v>-39002184.402800016</v>
      </c>
      <c r="AR3" s="32">
        <v>-35131232.200000018</v>
      </c>
      <c r="AS3" s="18">
        <v>-37016991.877200022</v>
      </c>
      <c r="AT3" s="18">
        <v>-33025363.06720002</v>
      </c>
      <c r="AU3" s="18">
        <v>-48311333.187200025</v>
      </c>
      <c r="AV3" s="32">
        <v>-44824230.907200024</v>
      </c>
      <c r="AW3" s="18">
        <v>-41275183.727200016</v>
      </c>
      <c r="AX3" s="18">
        <v>-31776276.677200012</v>
      </c>
      <c r="AY3" s="18">
        <v>-33591804.227200009</v>
      </c>
      <c r="AZ3" s="18">
        <v>-26426487.567200009</v>
      </c>
      <c r="BA3" s="18">
        <v>-15080830.597200008</v>
      </c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/>
      <c r="V29" s="31"/>
      <c r="W29" s="24"/>
      <c r="X29" s="24"/>
      <c r="Y29" s="24"/>
      <c r="Z29" s="31"/>
      <c r="AA29" s="24"/>
      <c r="AB29" s="24"/>
      <c r="AC29" s="24"/>
      <c r="AD29" s="24"/>
      <c r="AE29" s="31"/>
      <c r="AF29" s="24"/>
      <c r="AG29" s="24"/>
      <c r="AH29" s="24"/>
      <c r="AI29" s="31"/>
      <c r="AJ29" s="24"/>
      <c r="AK29" s="24"/>
      <c r="AL29" s="24"/>
      <c r="AM29" s="31"/>
      <c r="AN29" s="24"/>
      <c r="AO29" s="24"/>
      <c r="AP29" s="24"/>
      <c r="AQ29" s="24"/>
      <c r="AR29" s="31"/>
      <c r="AS29" s="24"/>
      <c r="AT29" s="24"/>
      <c r="AU29" s="24"/>
      <c r="AV29" s="31"/>
      <c r="AW29" s="24"/>
      <c r="AX29" s="19"/>
      <c r="AY29" s="19"/>
      <c r="AZ29" s="19"/>
      <c r="BA29" s="19"/>
      <c r="BB29" s="37">
        <f t="shared" si="0"/>
        <v>5132.9078599999993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f>SUM(S4:S29)</f>
        <v>14685781.445199998</v>
      </c>
      <c r="T30" s="20">
        <f t="shared" ref="T30:BA30" si="1">SUM(T4:T29)</f>
        <v>15516684.865199998</v>
      </c>
      <c r="U30" s="20">
        <f t="shared" si="1"/>
        <v>15057548.0052</v>
      </c>
      <c r="V30" s="33">
        <f t="shared" si="1"/>
        <v>15164178.195199996</v>
      </c>
      <c r="W30" s="20">
        <f t="shared" si="1"/>
        <v>15853723.723999999</v>
      </c>
      <c r="X30" s="20">
        <f t="shared" si="1"/>
        <v>15556830.554000001</v>
      </c>
      <c r="Y30" s="20">
        <f t="shared" si="1"/>
        <v>15887091.473999999</v>
      </c>
      <c r="Z30" s="33">
        <f t="shared" si="1"/>
        <v>15880352.663999999</v>
      </c>
      <c r="AA30" s="20">
        <f t="shared" si="1"/>
        <v>15454988.271199999</v>
      </c>
      <c r="AB30" s="20">
        <f t="shared" si="1"/>
        <v>15545257.801200002</v>
      </c>
      <c r="AC30" s="20">
        <f t="shared" si="1"/>
        <v>15477131.021200001</v>
      </c>
      <c r="AD30" s="20">
        <f t="shared" si="1"/>
        <v>15600540.001199996</v>
      </c>
      <c r="AE30" s="33">
        <f t="shared" si="1"/>
        <v>15553046.6412</v>
      </c>
      <c r="AF30" s="20">
        <f t="shared" si="1"/>
        <v>15526228.992999999</v>
      </c>
      <c r="AG30" s="20">
        <f t="shared" si="1"/>
        <v>15391537.953000002</v>
      </c>
      <c r="AH30" s="20">
        <f t="shared" si="1"/>
        <v>15245854.863</v>
      </c>
      <c r="AI30" s="33">
        <f t="shared" si="1"/>
        <v>15266815.493000001</v>
      </c>
      <c r="AJ30" s="20">
        <f t="shared" si="1"/>
        <v>15479352.091000002</v>
      </c>
      <c r="AK30" s="20">
        <f t="shared" si="1"/>
        <v>15640508.981000001</v>
      </c>
      <c r="AL30" s="20">
        <f t="shared" si="1"/>
        <v>15839849.441</v>
      </c>
      <c r="AM30" s="33">
        <f t="shared" si="1"/>
        <v>15935999.181</v>
      </c>
      <c r="AN30" s="20">
        <f t="shared" si="1"/>
        <v>15707026.582800001</v>
      </c>
      <c r="AO30" s="20">
        <f t="shared" si="1"/>
        <v>15739794.732799998</v>
      </c>
      <c r="AP30" s="20">
        <f t="shared" si="1"/>
        <v>15635004.0528</v>
      </c>
      <c r="AQ30" s="20">
        <f t="shared" si="1"/>
        <v>15620936.212799998</v>
      </c>
      <c r="AR30" s="33">
        <f t="shared" si="1"/>
        <v>15188831.082799997</v>
      </c>
      <c r="AS30" s="20">
        <f t="shared" si="1"/>
        <v>15319781.75</v>
      </c>
      <c r="AT30" s="20">
        <f t="shared" si="1"/>
        <v>15983369.149999997</v>
      </c>
      <c r="AU30" s="20">
        <f t="shared" si="1"/>
        <v>15619141.859999999</v>
      </c>
      <c r="AV30" s="33">
        <f t="shared" si="1"/>
        <v>16045834.000000002</v>
      </c>
      <c r="AW30" s="20">
        <f t="shared" si="1"/>
        <v>16235412.360000001</v>
      </c>
      <c r="AX30" s="20">
        <f t="shared" si="1"/>
        <v>16260189.090000002</v>
      </c>
      <c r="AY30" s="20">
        <f t="shared" si="1"/>
        <v>17572541.050000001</v>
      </c>
      <c r="AZ30" s="20">
        <f t="shared" si="1"/>
        <v>17408130.370000001</v>
      </c>
      <c r="BA30" s="20">
        <f t="shared" si="1"/>
        <v>5568133.8900000006</v>
      </c>
      <c r="BB30" s="37">
        <f>SUM(B30:BA30)/1000</f>
        <v>822751.52091279998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2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2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2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2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2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2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2"/>
        <v>-7656.1664400000018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2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2"/>
        <v>-3232.3859500000003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2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2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2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2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2"/>
        <v>-41265.697110000001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2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2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2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2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2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2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2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2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2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2"/>
        <v>-7391.3268500000031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2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2"/>
        <v>-3955.5051999999996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/>
      <c r="V62" s="31"/>
      <c r="W62" s="24"/>
      <c r="X62" s="24"/>
      <c r="Y62" s="24"/>
      <c r="Z62" s="31"/>
      <c r="AA62" s="24"/>
      <c r="AB62" s="24"/>
      <c r="AC62" s="24"/>
      <c r="AD62" s="24"/>
      <c r="AE62" s="31"/>
      <c r="AF62" s="24"/>
      <c r="AG62" s="24"/>
      <c r="AH62" s="24"/>
      <c r="AI62" s="31"/>
      <c r="AJ62" s="24"/>
      <c r="AK62" s="24"/>
      <c r="AL62" s="24"/>
      <c r="AM62" s="31"/>
      <c r="AN62" s="24"/>
      <c r="AO62" s="24"/>
      <c r="AP62" s="24"/>
      <c r="AQ62" s="24"/>
      <c r="AR62" s="31"/>
      <c r="AS62" s="24"/>
      <c r="AT62" s="24"/>
      <c r="AU62" s="24"/>
      <c r="AV62" s="31"/>
      <c r="AW62" s="24"/>
      <c r="AX62" s="19"/>
      <c r="AY62" s="19"/>
      <c r="AZ62" s="19"/>
      <c r="BA62" s="19"/>
      <c r="BB62" s="37">
        <f t="shared" si="2"/>
        <v>0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2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2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2"/>
        <v>-5684.7024499999998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2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2"/>
        <v>-9508.7928599999941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2" si="3">SUM(B68:BA68)/1000</f>
        <v>-64174.751660000009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3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3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3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3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3"/>
        <v>-20223.851240000007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3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3"/>
        <v>-14083.138580000004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3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3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3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3"/>
        <v>-2115.369490000001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3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3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-6699670.8399999999</v>
      </c>
      <c r="U82" s="121">
        <v>-6656897.7400000002</v>
      </c>
      <c r="V82" s="120">
        <v>-6342336.8200000003</v>
      </c>
      <c r="W82" s="121">
        <v>-7184961.8099999996</v>
      </c>
      <c r="X82" s="121">
        <v>-7778664.8099999996</v>
      </c>
      <c r="Y82" s="121">
        <v>-7884354.3899999997</v>
      </c>
      <c r="Z82" s="120">
        <v>-18390699.390000001</v>
      </c>
      <c r="AA82" s="121">
        <v>-8234803.4000000004</v>
      </c>
      <c r="AB82" s="121">
        <v>-8305503.9500000002</v>
      </c>
      <c r="AC82" s="121">
        <v>-21961089.510000002</v>
      </c>
      <c r="AD82" s="121">
        <v>-8100804.7999999998</v>
      </c>
      <c r="AE82" s="120">
        <v>-8330473.5300000003</v>
      </c>
      <c r="AF82" s="121">
        <v>-16906678.699999999</v>
      </c>
      <c r="AG82" s="121">
        <v>-5586861.1399999997</v>
      </c>
      <c r="AH82" s="121">
        <v>-4801133.8499999996</v>
      </c>
      <c r="AI82" s="120">
        <v>-3711021.22</v>
      </c>
      <c r="AJ82" s="121">
        <v>-3910737.07</v>
      </c>
      <c r="AK82" s="121">
        <v>-17668918.870000001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-4102576.63</v>
      </c>
      <c r="AR82" s="120">
        <v>-3818466.9</v>
      </c>
      <c r="AS82" s="121">
        <v>-4001555.48</v>
      </c>
      <c r="AT82" s="121">
        <v>-17459329.57</v>
      </c>
      <c r="AU82" s="121">
        <v>-2647869.0499999998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3"/>
        <v>-299380.13253999996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3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3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3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3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3"/>
        <v>-1450.4217599999995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3"/>
        <v>-3313.09872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3"/>
        <v>-126100.62976999993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3"/>
        <v>-604.77233999999987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3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3"/>
        <v>-40796.794800000011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f t="shared" ref="S93:BA93" si="4">SUM(S31:S92)</f>
        <v>-16110126.470000001</v>
      </c>
      <c r="T93" s="18">
        <f t="shared" si="4"/>
        <v>-20685822.130000003</v>
      </c>
      <c r="U93" s="18">
        <f t="shared" si="4"/>
        <v>-13039566.9</v>
      </c>
      <c r="V93" s="32">
        <f t="shared" si="4"/>
        <v>-15489008.350000001</v>
      </c>
      <c r="W93" s="18">
        <f t="shared" si="4"/>
        <v>-12118912.099999998</v>
      </c>
      <c r="X93" s="18">
        <f t="shared" si="4"/>
        <v>-17549442.789999999</v>
      </c>
      <c r="Y93" s="18">
        <f t="shared" si="4"/>
        <v>-16023341.66</v>
      </c>
      <c r="Z93" s="32">
        <f t="shared" si="4"/>
        <v>-27582188.720000003</v>
      </c>
      <c r="AA93" s="18">
        <f t="shared" si="4"/>
        <v>-14502390.390000001</v>
      </c>
      <c r="AB93" s="18">
        <f t="shared" si="4"/>
        <v>-17513901.699999999</v>
      </c>
      <c r="AC93" s="18">
        <f t="shared" si="4"/>
        <v>-34046431.760000005</v>
      </c>
      <c r="AD93" s="18">
        <f t="shared" si="4"/>
        <v>-14262007.010000002</v>
      </c>
      <c r="AE93" s="32">
        <f t="shared" si="4"/>
        <v>-18854216.399999999</v>
      </c>
      <c r="AF93" s="18">
        <f t="shared" si="4"/>
        <v>-24684975.939999998</v>
      </c>
      <c r="AG93" s="18">
        <f t="shared" si="4"/>
        <v>-19961241.479999997</v>
      </c>
      <c r="AH93" s="18">
        <f t="shared" si="4"/>
        <v>-10728362.08</v>
      </c>
      <c r="AI93" s="32">
        <f t="shared" si="4"/>
        <v>-13183610.280000001</v>
      </c>
      <c r="AJ93" s="18">
        <f t="shared" si="4"/>
        <v>-8773774.4700000007</v>
      </c>
      <c r="AK93" s="18">
        <f t="shared" si="4"/>
        <v>-27928944.609999999</v>
      </c>
      <c r="AL93" s="18">
        <f t="shared" si="4"/>
        <v>-12004826.680000003</v>
      </c>
      <c r="AM93" s="32">
        <f t="shared" si="4"/>
        <v>-8480754.0600000005</v>
      </c>
      <c r="AN93" s="18">
        <f t="shared" si="4"/>
        <v>-15182158.300000001</v>
      </c>
      <c r="AO93" s="18">
        <f t="shared" si="4"/>
        <v>-10815993.260000002</v>
      </c>
      <c r="AP93" s="18">
        <f t="shared" si="4"/>
        <v>-18304688.390000001</v>
      </c>
      <c r="AQ93" s="18">
        <f t="shared" si="4"/>
        <v>-10359449.780000001</v>
      </c>
      <c r="AR93" s="32">
        <f t="shared" si="4"/>
        <v>-14603189.209999999</v>
      </c>
      <c r="AS93" s="18">
        <f t="shared" si="4"/>
        <v>-10339535.689999998</v>
      </c>
      <c r="AT93" s="18">
        <f t="shared" si="4"/>
        <v>-28958525.420000002</v>
      </c>
      <c r="AU93" s="18">
        <f t="shared" si="4"/>
        <v>-11142954.889999999</v>
      </c>
      <c r="AV93" s="32">
        <f t="shared" si="4"/>
        <v>-10310301.369999999</v>
      </c>
      <c r="AW93" s="18">
        <f t="shared" si="4"/>
        <v>-5776940.6600000001</v>
      </c>
      <c r="AX93" s="18">
        <f t="shared" si="4"/>
        <v>-18270252.879999999</v>
      </c>
      <c r="AY93" s="18">
        <f t="shared" si="4"/>
        <v>-9287368.8800000008</v>
      </c>
      <c r="AZ93" s="18">
        <f t="shared" si="4"/>
        <v>-6053435.1699999999</v>
      </c>
      <c r="BA93" s="18">
        <f t="shared" si="4"/>
        <v>-9487115.9199999999</v>
      </c>
      <c r="BB93" s="37">
        <f>SUM(B93:BA93)/1000</f>
        <v>-783565.23141999962</v>
      </c>
    </row>
    <row r="94" spans="1:54" s="8" customFormat="1" ht="12.75">
      <c r="A94" s="7" t="s">
        <v>1</v>
      </c>
      <c r="B94" s="21">
        <f t="shared" ref="B94:Q94" si="5">B30+B93</f>
        <v>16436818.079999994</v>
      </c>
      <c r="C94" s="21">
        <f t="shared" si="5"/>
        <v>2892569.9699999988</v>
      </c>
      <c r="D94" s="21">
        <f t="shared" si="5"/>
        <v>5759561.1500000004</v>
      </c>
      <c r="E94" s="36">
        <f t="shared" si="5"/>
        <v>5463141.25</v>
      </c>
      <c r="F94" s="21">
        <f t="shared" si="5"/>
        <v>5815922.0000000009</v>
      </c>
      <c r="G94" s="21">
        <f t="shared" si="5"/>
        <v>2372866.3200000022</v>
      </c>
      <c r="H94" s="21">
        <f t="shared" si="5"/>
        <v>1719194</v>
      </c>
      <c r="I94" s="36">
        <f t="shared" si="5"/>
        <v>1649674.9000000004</v>
      </c>
      <c r="J94" s="21">
        <f t="shared" si="5"/>
        <v>5548984.299999997</v>
      </c>
      <c r="K94" s="21">
        <f t="shared" si="5"/>
        <v>2158884.3899999969</v>
      </c>
      <c r="L94" s="21">
        <f t="shared" si="5"/>
        <v>2905503.870000001</v>
      </c>
      <c r="M94" s="36">
        <f t="shared" si="5"/>
        <v>-8043246.629999999</v>
      </c>
      <c r="N94" s="21">
        <f t="shared" si="5"/>
        <v>5593122.0999999978</v>
      </c>
      <c r="O94" s="21">
        <f t="shared" si="5"/>
        <v>-5987461.3800000008</v>
      </c>
      <c r="P94" s="21">
        <f t="shared" si="5"/>
        <v>713113.50999999978</v>
      </c>
      <c r="Q94" s="36">
        <f t="shared" si="5"/>
        <v>495350.28999999911</v>
      </c>
      <c r="R94" s="21">
        <f>R30+R93</f>
        <v>-3355380.67</v>
      </c>
      <c r="S94" s="21">
        <f t="shared" ref="S94:BA94" si="6">S30+S93</f>
        <v>-1424345.0248000026</v>
      </c>
      <c r="T94" s="21">
        <f t="shared" si="6"/>
        <v>-5169137.2648000047</v>
      </c>
      <c r="U94" s="21">
        <f t="shared" si="6"/>
        <v>2017981.1052000001</v>
      </c>
      <c r="V94" s="36">
        <f t="shared" si="6"/>
        <v>-324830.15480000526</v>
      </c>
      <c r="W94" s="21">
        <f t="shared" si="6"/>
        <v>3734811.6240000017</v>
      </c>
      <c r="X94" s="21">
        <f t="shared" si="6"/>
        <v>-1992612.2359999977</v>
      </c>
      <c r="Y94" s="21">
        <f t="shared" si="6"/>
        <v>-136250.18600000069</v>
      </c>
      <c r="Z94" s="36">
        <f t="shared" si="6"/>
        <v>-11701836.056000004</v>
      </c>
      <c r="AA94" s="21">
        <f t="shared" si="6"/>
        <v>952597.88119999878</v>
      </c>
      <c r="AB94" s="21">
        <f t="shared" si="6"/>
        <v>-1968643.8987999968</v>
      </c>
      <c r="AC94" s="21">
        <f t="shared" si="6"/>
        <v>-18569300.738800004</v>
      </c>
      <c r="AD94" s="21">
        <f t="shared" si="6"/>
        <v>1338532.9911999945</v>
      </c>
      <c r="AE94" s="36">
        <f t="shared" si="6"/>
        <v>-3301169.7587999981</v>
      </c>
      <c r="AF94" s="21">
        <f t="shared" si="6"/>
        <v>-9158746.9469999988</v>
      </c>
      <c r="AG94" s="21">
        <f t="shared" si="6"/>
        <v>-4569703.5269999951</v>
      </c>
      <c r="AH94" s="21">
        <f t="shared" si="6"/>
        <v>4517492.7829999998</v>
      </c>
      <c r="AI94" s="36">
        <f t="shared" si="6"/>
        <v>2083205.2129999995</v>
      </c>
      <c r="AJ94" s="21">
        <f t="shared" si="6"/>
        <v>6705577.6210000012</v>
      </c>
      <c r="AK94" s="21">
        <f t="shared" si="6"/>
        <v>-12288435.628999999</v>
      </c>
      <c r="AL94" s="21">
        <f t="shared" si="6"/>
        <v>3835022.7609999962</v>
      </c>
      <c r="AM94" s="36">
        <f t="shared" si="6"/>
        <v>7455245.1209999993</v>
      </c>
      <c r="AN94" s="21">
        <f t="shared" si="6"/>
        <v>524868.28280000016</v>
      </c>
      <c r="AO94" s="21">
        <f t="shared" si="6"/>
        <v>4923801.4727999959</v>
      </c>
      <c r="AP94" s="21">
        <f t="shared" si="6"/>
        <v>-2669684.3372000009</v>
      </c>
      <c r="AQ94" s="21">
        <f t="shared" si="6"/>
        <v>5261486.4327999968</v>
      </c>
      <c r="AR94" s="36">
        <f t="shared" si="6"/>
        <v>585641.87279999815</v>
      </c>
      <c r="AS94" s="21">
        <f t="shared" si="6"/>
        <v>4980246.0600000024</v>
      </c>
      <c r="AT94" s="21">
        <f t="shared" si="6"/>
        <v>-12975156.270000005</v>
      </c>
      <c r="AU94" s="21">
        <f t="shared" si="6"/>
        <v>4476186.9700000007</v>
      </c>
      <c r="AV94" s="36">
        <f t="shared" si="6"/>
        <v>5735532.6300000027</v>
      </c>
      <c r="AW94" s="21">
        <f t="shared" si="6"/>
        <v>10458471.700000001</v>
      </c>
      <c r="AX94" s="21">
        <f t="shared" si="6"/>
        <v>-2010063.7899999972</v>
      </c>
      <c r="AY94" s="21">
        <f t="shared" si="6"/>
        <v>8285172.1699999999</v>
      </c>
      <c r="AZ94" s="21">
        <f t="shared" si="6"/>
        <v>11354695.200000001</v>
      </c>
      <c r="BA94" s="21">
        <f t="shared" si="6"/>
        <v>-3918982.0299999993</v>
      </c>
      <c r="BB94" s="37">
        <f>SUM(B94:BA94)/1000</f>
        <v>39186.289492799951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>
        <v>874</v>
      </c>
      <c r="G97" s="153">
        <v>1115</v>
      </c>
      <c r="H97">
        <v>883</v>
      </c>
      <c r="I97">
        <v>492</v>
      </c>
      <c r="J97">
        <v>126</v>
      </c>
      <c r="K97" s="153">
        <v>5718</v>
      </c>
      <c r="L97">
        <v>19</v>
      </c>
      <c r="M97">
        <v>19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>
        <v>-285</v>
      </c>
      <c r="G98">
        <v>-325</v>
      </c>
      <c r="H98">
        <v>-225</v>
      </c>
      <c r="I98">
        <v>-225</v>
      </c>
      <c r="J98">
        <v>-85</v>
      </c>
      <c r="K98">
        <v>-85</v>
      </c>
      <c r="L98">
        <v>-550</v>
      </c>
      <c r="M98">
        <v>0</v>
      </c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74127.676180799986</v>
      </c>
      <c r="G100" s="60">
        <f>SUM(W30:Z30)/1000+G97</f>
        <v>64292.998416000002</v>
      </c>
      <c r="H100" s="60">
        <f>SUM(AA30:AE30)/1000+H97</f>
        <v>78513.963736000005</v>
      </c>
      <c r="I100" s="60">
        <f>SUM(AF30:AI30)/1000+I97</f>
        <v>61922.437301999998</v>
      </c>
      <c r="J100" s="60">
        <f>SUM(AJ30:AM30)/1000+J97</f>
        <v>63021.709694000005</v>
      </c>
      <c r="K100" s="60">
        <f>SUM(AN30:AR30)/1000+K97</f>
        <v>83609.592663999996</v>
      </c>
      <c r="L100" s="60">
        <f>SUM(AS30:AV30)/1000+L97</f>
        <v>62987.126759999999</v>
      </c>
      <c r="M100" s="60">
        <f>SUM(AW30:BA30)/1000+M97</f>
        <v>73063.406760000013</v>
      </c>
      <c r="N100" s="60">
        <f>SUM(B100:M100)</f>
        <v>831997.52091279987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-81794.388189999998</v>
      </c>
      <c r="G101" s="60">
        <f>SUM(W93:Z93)/1000+G98</f>
        <v>-73598.885269999999</v>
      </c>
      <c r="H101" s="60">
        <f>SUM(AA93:AE93)/1000+H98</f>
        <v>-99403.947260000015</v>
      </c>
      <c r="I101" s="39">
        <f>SUM(AF93:AI93)/1000+I98</f>
        <v>-68783.189780000001</v>
      </c>
      <c r="J101" s="39">
        <f>SUM(AJ93:AM93)/1000+J98</f>
        <v>-57273.299820000007</v>
      </c>
      <c r="K101" s="39">
        <f>SUM(AN93:AR93)/1000+K98</f>
        <v>-69350.478940000001</v>
      </c>
      <c r="L101" s="39">
        <f>SUM(AS93:AV93)/1000+L98</f>
        <v>-61301.317369999997</v>
      </c>
      <c r="M101" s="39">
        <f>SUM(AW93:BA93)/1000+M98</f>
        <v>-48875.113510000003</v>
      </c>
      <c r="N101" s="60">
        <f>SUM(B101:M101)</f>
        <v>-785345.23141999997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7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-7666.7120092000114</v>
      </c>
      <c r="G102" s="60">
        <f t="shared" si="7"/>
        <v>-9305.8868539999967</v>
      </c>
      <c r="H102" s="60">
        <f t="shared" si="7"/>
        <v>-20889.98352400001</v>
      </c>
      <c r="I102" s="60">
        <f t="shared" si="7"/>
        <v>-6860.7524780000022</v>
      </c>
      <c r="J102" s="60">
        <f t="shared" si="7"/>
        <v>5748.4098739999972</v>
      </c>
      <c r="K102" s="60">
        <f t="shared" si="7"/>
        <v>14259.113723999995</v>
      </c>
      <c r="L102" s="60">
        <f t="shared" si="7"/>
        <v>1685.8093900000022</v>
      </c>
      <c r="M102" s="60">
        <f>SUM(M100:M101)</f>
        <v>24188.29325000001</v>
      </c>
      <c r="N102" s="60">
        <f>SUM(B102:M102)</f>
        <v>46652.289492799959</v>
      </c>
      <c r="O102" s="133">
        <f>BB94-N102+SUM(F97:M98)</f>
        <v>-7.2759576141834259E-12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26 abr-19 (Escenario)'!N100</f>
        <v>-458.04020520008635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26 abr-19 (Escenario)'!N100</f>
        <v>-458.04020520008635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8">C99</f>
        <v>43497</v>
      </c>
      <c r="D105" s="52">
        <f t="shared" si="8"/>
        <v>43525</v>
      </c>
      <c r="E105" s="52">
        <f t="shared" si="8"/>
        <v>43556</v>
      </c>
      <c r="F105" s="52">
        <f t="shared" si="8"/>
        <v>43586</v>
      </c>
      <c r="G105" s="52">
        <f t="shared" si="8"/>
        <v>43617</v>
      </c>
      <c r="H105" s="52">
        <f t="shared" si="8"/>
        <v>43647</v>
      </c>
      <c r="I105" s="52">
        <f t="shared" si="8"/>
        <v>43678</v>
      </c>
      <c r="J105" s="52">
        <f t="shared" si="8"/>
        <v>43709</v>
      </c>
      <c r="K105" s="52">
        <f t="shared" si="8"/>
        <v>43739</v>
      </c>
      <c r="L105" s="52">
        <f t="shared" si="8"/>
        <v>43770</v>
      </c>
      <c r="M105" s="52">
        <f t="shared" si="8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438.78048999999834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9">SUM(C106:C107)</f>
        <v>7.3460000000004584</v>
      </c>
      <c r="D108" s="22">
        <f t="shared" si="9"/>
        <v>-250.65999999999985</v>
      </c>
      <c r="E108" s="22">
        <f t="shared" si="9"/>
        <v>-1124.4709999999995</v>
      </c>
      <c r="F108" s="22">
        <f t="shared" si="9"/>
        <v>288.63700000000063</v>
      </c>
      <c r="G108" s="22">
        <f t="shared" si="9"/>
        <v>224.22299999999814</v>
      </c>
      <c r="H108" s="22">
        <f t="shared" si="9"/>
        <v>-93.138999999995576</v>
      </c>
      <c r="I108" s="39">
        <f t="shared" si="9"/>
        <v>204.61399999999776</v>
      </c>
      <c r="J108" s="39">
        <f t="shared" si="9"/>
        <v>406.04999999999563</v>
      </c>
      <c r="K108" s="39">
        <f t="shared" si="9"/>
        <v>518.8169999999991</v>
      </c>
      <c r="L108" s="39">
        <f t="shared" si="9"/>
        <v>834.60699999999633</v>
      </c>
      <c r="M108" s="39">
        <f t="shared" si="9"/>
        <v>41.70400000000518</v>
      </c>
      <c r="N108" s="59">
        <f>SUM(B108:M108)</f>
        <v>2112.8819999999978</v>
      </c>
      <c r="O108" s="133">
        <f>N108-SUM('FO 19 abr-19'!B108:M108)</f>
        <v>0</v>
      </c>
      <c r="P108" s="78">
        <f>N101-'FO 26 abr-19 (Escenario)'!N101</f>
        <v>438.78049000003375</v>
      </c>
      <c r="Q108" s="61" t="s">
        <v>103</v>
      </c>
      <c r="R108" s="63"/>
      <c r="S108" s="23" t="s">
        <v>126</v>
      </c>
      <c r="T108" s="115">
        <f>SUM(S47:BA50)/1000-SUM('FO 26 abr-19 (Escenario)'!S47:BA50)/1000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SUM(S82:BA82)/1000-SUM('FO 26 abr-19 (Escenario)'!S82:BA82)/1000</f>
        <v>-1246.8266599999333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SUM(S31:BA92)/1000-SUM('FO 26 abr-19 (Escenario)'!S31:BA92)/1000-T108-T109</f>
        <v>-753.23006000017631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10">C99</f>
        <v>43497</v>
      </c>
      <c r="D111" s="52">
        <f t="shared" si="10"/>
        <v>43525</v>
      </c>
      <c r="E111" s="52">
        <f t="shared" si="10"/>
        <v>43556</v>
      </c>
      <c r="F111" s="52">
        <f t="shared" si="10"/>
        <v>43586</v>
      </c>
      <c r="G111" s="52">
        <f t="shared" si="10"/>
        <v>43617</v>
      </c>
      <c r="H111" s="52">
        <f t="shared" si="10"/>
        <v>43647</v>
      </c>
      <c r="I111" s="52">
        <f t="shared" si="10"/>
        <v>43678</v>
      </c>
      <c r="J111" s="52">
        <f t="shared" si="10"/>
        <v>43709</v>
      </c>
      <c r="K111" s="52">
        <f t="shared" si="10"/>
        <v>43739</v>
      </c>
      <c r="L111" s="52">
        <f t="shared" si="10"/>
        <v>43770</v>
      </c>
      <c r="M111" s="52">
        <f t="shared" si="10"/>
        <v>43800</v>
      </c>
      <c r="P111" s="39">
        <f>N102-'FO 26 abr-19 (Escenario)'!N102</f>
        <v>-19.259715200001665</v>
      </c>
      <c r="Q111" s="119"/>
      <c r="S111" s="70" t="s">
        <v>129</v>
      </c>
      <c r="T111" s="77">
        <f>SUM(T108:T110)</f>
        <v>-2000.0567200001096</v>
      </c>
      <c r="U111" s="71">
        <f>R2/1000</f>
        <v>2438.8372100000011</v>
      </c>
      <c r="V111" s="75">
        <f>SUM(T111:U111)</f>
        <v>438.78048999989142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-19.259715200052597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11">SUM(C112:C113)</f>
        <v>0</v>
      </c>
      <c r="D114" s="26">
        <f t="shared" si="11"/>
        <v>0</v>
      </c>
      <c r="E114" s="26">
        <f t="shared" si="11"/>
        <v>0</v>
      </c>
      <c r="F114" s="26">
        <f t="shared" si="11"/>
        <v>0</v>
      </c>
      <c r="G114" s="26">
        <f t="shared" si="11"/>
        <v>0</v>
      </c>
      <c r="H114" s="26">
        <f t="shared" si="11"/>
        <v>0</v>
      </c>
      <c r="I114" s="26">
        <f t="shared" si="11"/>
        <v>0</v>
      </c>
      <c r="J114" s="26">
        <f t="shared" si="11"/>
        <v>0</v>
      </c>
      <c r="K114" s="26">
        <f t="shared" si="11"/>
        <v>0</v>
      </c>
      <c r="L114" s="26">
        <f t="shared" si="11"/>
        <v>0</v>
      </c>
      <c r="M114" s="26">
        <f t="shared" si="11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3126.5916330239615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12">C99</f>
        <v>43497</v>
      </c>
      <c r="D117" s="1">
        <f t="shared" si="12"/>
        <v>43525</v>
      </c>
      <c r="E117" s="1">
        <f t="shared" si="12"/>
        <v>43556</v>
      </c>
      <c r="F117" s="1">
        <f t="shared" si="12"/>
        <v>43586</v>
      </c>
      <c r="G117" s="1">
        <f t="shared" si="12"/>
        <v>43617</v>
      </c>
      <c r="H117" s="1">
        <f t="shared" si="12"/>
        <v>43647</v>
      </c>
      <c r="I117" s="1">
        <f t="shared" si="12"/>
        <v>43678</v>
      </c>
      <c r="J117" s="1">
        <f t="shared" si="12"/>
        <v>43709</v>
      </c>
      <c r="K117" s="1">
        <f t="shared" si="12"/>
        <v>43739</v>
      </c>
      <c r="L117" s="1">
        <f t="shared" si="12"/>
        <v>43770</v>
      </c>
      <c r="M117" s="1">
        <f t="shared" si="12"/>
        <v>43800</v>
      </c>
      <c r="S117" s="40" t="s">
        <v>133</v>
      </c>
      <c r="T117" s="80">
        <f>I100</f>
        <v>61922.437301999998</v>
      </c>
      <c r="W117" s="80">
        <f>SUM(AK30:BA30)/1000</f>
        <v>261320.48378700006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3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85891.386180799978</v>
      </c>
      <c r="G118" s="26">
        <f t="shared" si="13"/>
        <v>75965.868415999998</v>
      </c>
      <c r="H118" s="26">
        <f t="shared" si="13"/>
        <v>90052.403736000007</v>
      </c>
      <c r="I118" s="26">
        <f t="shared" si="13"/>
        <v>73608.900301999995</v>
      </c>
      <c r="J118" s="26">
        <f t="shared" si="13"/>
        <v>74894.922694000008</v>
      </c>
      <c r="K118" s="26">
        <f t="shared" si="13"/>
        <v>95451.43966399999</v>
      </c>
      <c r="L118" s="26">
        <f t="shared" si="13"/>
        <v>74950.277759999997</v>
      </c>
      <c r="M118" s="26">
        <f t="shared" si="13"/>
        <v>84226.660760000013</v>
      </c>
      <c r="N118" s="64">
        <f>SUM(B118:M118)</f>
        <v>970122.49291279993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3"/>
        <v>-72374.237469999993</v>
      </c>
      <c r="E119" s="26">
        <f>E101+E107+E113</f>
        <v>-69962.135510000007</v>
      </c>
      <c r="F119" s="26">
        <f>F101+F107+F113</f>
        <v>-93269.461190000002</v>
      </c>
      <c r="G119" s="26">
        <f t="shared" si="13"/>
        <v>-85047.532269999996</v>
      </c>
      <c r="H119" s="26">
        <f t="shared" si="13"/>
        <v>-111035.52626000001</v>
      </c>
      <c r="I119" s="26">
        <f t="shared" si="13"/>
        <v>-80265.038780000003</v>
      </c>
      <c r="J119" s="26">
        <f t="shared" si="13"/>
        <v>-68740.462820000015</v>
      </c>
      <c r="K119" s="26">
        <f t="shared" si="13"/>
        <v>-80673.50894</v>
      </c>
      <c r="L119" s="26">
        <f t="shared" si="13"/>
        <v>-72429.861369999999</v>
      </c>
      <c r="M119" s="26">
        <f>M101+M107+M113</f>
        <v>-59996.663509999998</v>
      </c>
      <c r="N119" s="64">
        <f>SUM(B119:M119)</f>
        <v>-921357.32142000005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4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-7378.0750092000235</v>
      </c>
      <c r="G120" s="56">
        <f t="shared" si="14"/>
        <v>-9081.6638539999985</v>
      </c>
      <c r="H120" s="56">
        <f t="shared" si="14"/>
        <v>-20983.122524000006</v>
      </c>
      <c r="I120" s="56">
        <f t="shared" si="14"/>
        <v>-6656.138478000008</v>
      </c>
      <c r="J120" s="56">
        <f t="shared" si="14"/>
        <v>6154.4598739999929</v>
      </c>
      <c r="K120" s="56">
        <f t="shared" si="14"/>
        <v>14777.930723999991</v>
      </c>
      <c r="L120" s="56">
        <f t="shared" si="14"/>
        <v>2520.4163899999985</v>
      </c>
      <c r="M120" s="56">
        <f>SUM(M118:M119)</f>
        <v>24229.997250000015</v>
      </c>
      <c r="N120" s="65">
        <f>SUM(B120:M120)</f>
        <v>48765.171492799942</v>
      </c>
      <c r="O120" s="65">
        <f>'FO 26 abr-19 (Escenario)'!N120+P112+O108</f>
        <v>48765.171492799898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73608.900301999995</v>
      </c>
      <c r="U120" s="9"/>
      <c r="V120" s="9"/>
      <c r="W120" s="80">
        <f>SUM(W117:W119)</f>
        <v>308161.94878700009</v>
      </c>
      <c r="X120" s="9"/>
      <c r="Y120" s="9"/>
      <c r="Z120" s="76">
        <f>R120+T120+W120</f>
        <v>955976.84908900014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46042.927042799958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58795.845668976035</v>
      </c>
      <c r="U122" s="80">
        <f>U124-U123</f>
        <v>71460.380999999878</v>
      </c>
      <c r="W122" s="80">
        <f>W117-W116</f>
        <v>250988.09878700005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14618.707889200043</v>
      </c>
      <c r="G123" s="26">
        <f>SUM($B$121:G121)-SUM($B$120:G120)</f>
        <v>21704.371743200041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62482.308668976038</v>
      </c>
      <c r="U124" s="80">
        <f>'[1]Proy. 2018'!$D$60</f>
        <v>74585.869999999879</v>
      </c>
      <c r="W124" s="80">
        <f>SUM(W122:W123)</f>
        <v>265829.56378700008</v>
      </c>
      <c r="X124" s="80">
        <f>SUM('[1]Proy. 2018'!$E$60:$H$60)</f>
        <v>292023.20500000007</v>
      </c>
      <c r="Z124" s="91">
        <f>R120+T124+W124</f>
        <v>902517.8724559762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5.8701986772549013</v>
      </c>
      <c r="C126" s="43">
        <f>B126*4</f>
        <v>23.480794709019605</v>
      </c>
      <c r="S126" s="92" t="s">
        <v>144</v>
      </c>
      <c r="U126" s="104">
        <f>T124-U124</f>
        <v>-12103.56133102384</v>
      </c>
      <c r="X126" s="104">
        <f>W124-X124</f>
        <v>-26193.641212999995</v>
      </c>
      <c r="Z126" s="89"/>
      <c r="AA126" s="89">
        <f>Z124-AA124</f>
        <v>-38297.202544023748</v>
      </c>
      <c r="AB126" s="112">
        <f>(X126+U126)/(T122+W122)</f>
        <v>-0.12362552427072707</v>
      </c>
      <c r="AC126" s="111">
        <f>AA126/Z124</f>
        <v>-4.2433733129081989E-2</v>
      </c>
    </row>
    <row r="127" spans="1:30" ht="15" hidden="1">
      <c r="A127" s="42" t="s">
        <v>121</v>
      </c>
      <c r="B127" s="43">
        <f>-(AVERAGE(B89:BA89)+AVERAGE(B68:BA68))/1000000</f>
        <v>3.7308898319607828</v>
      </c>
      <c r="C127" s="43">
        <f>B127*4</f>
        <v>14.923559327843131</v>
      </c>
      <c r="Z127" s="89"/>
      <c r="AA127" s="89"/>
    </row>
    <row r="128" spans="1:30" ht="15.75" hidden="1">
      <c r="A128" s="44" t="s">
        <v>104</v>
      </c>
      <c r="B128" s="45">
        <f>SUM(B124:B127)</f>
        <v>12.05714979843137</v>
      </c>
      <c r="C128" s="45">
        <f>SUM(C124:C127)</f>
        <v>48.228599193725479</v>
      </c>
      <c r="R128" s="23"/>
      <c r="S128" s="9" t="s">
        <v>141</v>
      </c>
      <c r="Z128" s="87">
        <f>Z120-'[4]Flujo 2018'!$AQ$4</f>
        <v>-26316.758370999829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-3126.5916330239615</v>
      </c>
      <c r="U134" s="14"/>
      <c r="V134" s="83">
        <f>W134/W138</f>
        <v>4.5455752241561155E-2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13.791688212729062</v>
      </c>
      <c r="C136" s="45">
        <f>C128+C131+C134</f>
        <v>55.166752850916247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-35174.478258869276</v>
      </c>
      <c r="U137" s="101">
        <f>'[1]Proy. 2018'!$D$116-'[1]Proy. 2018'!$C$116-U136</f>
        <v>-38522.038500000075</v>
      </c>
      <c r="V137" s="103"/>
      <c r="W137" s="101">
        <f>SUM(AK31:BA92)/1000-SUM(W132:W136)</f>
        <v>-169313.49962085998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27.578455032615913</v>
      </c>
      <c r="C138" s="47">
        <f>C136+C137</f>
        <v>68.953519670803104</v>
      </c>
      <c r="S138" s="40" t="s">
        <v>133</v>
      </c>
      <c r="T138" s="80">
        <f>I101</f>
        <v>-68783.189780000001</v>
      </c>
      <c r="W138" s="80">
        <f>SUM(AK93:BA93)/1000</f>
        <v>-227306.43516999995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-80265.038780000003</v>
      </c>
      <c r="W141" s="80">
        <f>SUM(W138:W140)</f>
        <v>-272346.72216999996</v>
      </c>
      <c r="X141" s="24"/>
      <c r="Z141" s="80">
        <f>R141+T141+W141</f>
        <v>-935261.76095000003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-65656.598146976045</v>
      </c>
      <c r="U143" s="80">
        <f>U145-U144</f>
        <v>-54186.39900000018</v>
      </c>
      <c r="W143" s="80">
        <f>W138-W134</f>
        <v>-216974.05016999994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-69138.447146976046</v>
      </c>
      <c r="U145" s="85">
        <f>'[1]Proy. 2018'!$D$61</f>
        <v>-57037.396000000183</v>
      </c>
      <c r="W145" s="85">
        <f>SUM(W143:W144)</f>
        <v>-230014.33716999996</v>
      </c>
      <c r="X145" s="85">
        <f>SUM('[1]Proy. 2018'!$E$61:$H$61)</f>
        <v>-260447.245</v>
      </c>
      <c r="Z145" s="85">
        <f>R141+T145+W145</f>
        <v>-881802.78431697597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-12101.051146975864</v>
      </c>
      <c r="V147" s="40"/>
      <c r="W147" s="40"/>
      <c r="X147" s="104">
        <f>W145-X145</f>
        <v>30432.90783000004</v>
      </c>
      <c r="Z147" s="90"/>
      <c r="AA147" s="89">
        <f>Z145-AA145</f>
        <v>18331.856683024205</v>
      </c>
      <c r="AB147" s="112">
        <f>(X147+U147)/(W145+T145)</f>
        <v>-6.127924473402236E-2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-13665.317146975962</v>
      </c>
      <c r="V149" s="106"/>
      <c r="W149" s="106"/>
      <c r="X149" s="106">
        <f>W132-X132+W136-X136+W137-X137</f>
        <v>22036.218830000114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7528.6284499999601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20715.088139000116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-18788.129920999883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-19965.345860999543</v>
      </c>
    </row>
    <row r="157" spans="1:30" ht="12.75" hidden="1">
      <c r="A157" s="18">
        <v>-8256517.8300000001</v>
      </c>
      <c r="AA157" s="10">
        <f>Z154-AA154</f>
        <v>-19965.34586099966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BB200"/>
  <sheetViews>
    <sheetView showGridLines="0" zoomScaleNormal="100" workbookViewId="0">
      <pane xSplit="1" topLeftCell="Q1" activePane="topRight" state="frozen"/>
      <selection pane="topRight" activeCell="T108" sqref="T108"/>
    </sheetView>
  </sheetViews>
  <sheetFormatPr baseColWidth="10" defaultRowHeight="12" outlineLevelRow="1"/>
  <cols>
    <col min="1" max="1" width="20.140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3.28515625" style="9" bestFit="1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>
        <f>Q93-'FO 19 abr-19'!Q93</f>
        <v>1398683.6799999997</v>
      </c>
      <c r="R2" s="129">
        <f>R93-'FO 19 abr-19'!R93</f>
        <v>-2785336.9700000044</v>
      </c>
      <c r="S2" s="129">
        <f>S93-'FO 19 abr-19'!S93</f>
        <v>170679.33000000194</v>
      </c>
      <c r="T2" s="129">
        <f>T93-'FO 19 abr-19'!T93</f>
        <v>637964.92000000179</v>
      </c>
      <c r="U2" s="129">
        <f>U93-'FO 19 abr-19'!U93</f>
        <v>661599.5700000003</v>
      </c>
      <c r="V2" s="130">
        <f>V93-'FO 19 abr-19'!V93</f>
        <v>604720.48000000045</v>
      </c>
      <c r="W2" s="129">
        <f>W93-'FO 19 abr-19'!W93</f>
        <v>356415.01000000164</v>
      </c>
      <c r="X2" s="129">
        <f>X93-'FO 19 abr-19'!X93</f>
        <v>256236.98999999836</v>
      </c>
      <c r="Y2" s="129">
        <f>Y93-'FO 19 abr-19'!Y93</f>
        <v>238622.05999999866</v>
      </c>
      <c r="Z2" s="130">
        <f>Z93-'FO 19 abr-19'!Z93</f>
        <v>238622.06000000238</v>
      </c>
      <c r="AA2" s="129">
        <f>AA93-'FO 19 abr-19'!AA93</f>
        <v>354439.12000000104</v>
      </c>
      <c r="AB2" s="129">
        <f>AB93-'FO 19 abr-19'!AB93</f>
        <v>357415.36000000313</v>
      </c>
      <c r="AC2" s="129">
        <f>AC93-'FO 19 abr-19'!AC93</f>
        <v>340076.00999999046</v>
      </c>
      <c r="AD2" s="129">
        <f>AD93-'FO 19 abr-19'!AD93</f>
        <v>353391.91999999806</v>
      </c>
      <c r="AE2" s="130">
        <f>AE93-'FO 19 abr-19'!AE93</f>
        <v>115145.12000000104</v>
      </c>
      <c r="AF2" s="129">
        <f>AF93-'FO 19 abr-19'!AF93</f>
        <v>319566.48999999836</v>
      </c>
      <c r="AG2" s="129">
        <f>AG93-'FO 19 abr-19'!AG93</f>
        <v>419662.95000000298</v>
      </c>
      <c r="AH2" s="129">
        <f>AH93-'FO 19 abr-19'!AH93</f>
        <v>430355.3599999994</v>
      </c>
      <c r="AI2" s="130">
        <f>AI93-'FO 19 abr-19'!AI93</f>
        <v>164099.3900000006</v>
      </c>
      <c r="AJ2" s="129">
        <f>AJ93-'FO 19 abr-19'!AJ93</f>
        <v>242978.53999999911</v>
      </c>
      <c r="AK2" s="129">
        <f>AK93-'FO 19 abr-19'!AK93</f>
        <v>219512.53999999911</v>
      </c>
      <c r="AL2" s="129">
        <f>AL93-'FO 19 abr-19'!AL93</f>
        <v>238229.77999999747</v>
      </c>
      <c r="AM2" s="130">
        <f>AM93-'FO 19 abr-19'!AM93</f>
        <v>238229.77999999933</v>
      </c>
      <c r="AN2" s="129">
        <f>AN93-'FO 19 abr-19'!AN93</f>
        <v>372011.6799999997</v>
      </c>
      <c r="AO2" s="129">
        <f>AO93-'FO 19 abr-19'!AO93</f>
        <v>372011.6799999997</v>
      </c>
      <c r="AP2" s="129">
        <f>AP93-'FO 19 abr-19'!AP93</f>
        <v>372011.6799999997</v>
      </c>
      <c r="AQ2" s="129">
        <f>AQ93-'FO 19 abr-19'!AQ93</f>
        <v>354672.32999999821</v>
      </c>
      <c r="AR2" s="130">
        <f>AR93-'FO 19 abr-19'!AR93</f>
        <v>173633.66000000201</v>
      </c>
      <c r="AS2" s="129">
        <f>AS93-'FO 19 abr-19'!AS93</f>
        <v>191524.16999999993</v>
      </c>
      <c r="AT2" s="129">
        <f>AT93-'FO 19 abr-19'!AT93</f>
        <v>172255.77000000328</v>
      </c>
      <c r="AU2" s="129">
        <f>AU93-'FO 19 abr-19'!AU93</f>
        <v>133718.98000000045</v>
      </c>
      <c r="AV2" s="130">
        <f>AV93-'FO 19 abr-19'!AV93</f>
        <v>274603.66000000015</v>
      </c>
      <c r="AW2" s="129">
        <f>AW93-'FO 19 abr-19'!AW93</f>
        <v>274603.66000000015</v>
      </c>
      <c r="AX2" s="131">
        <f>AX93-'FO 19 abr-19'!AX93</f>
        <v>274603.66000000015</v>
      </c>
      <c r="AY2" s="131">
        <f>AY93-'FO 19 abr-19'!AY93</f>
        <v>274603.66000000015</v>
      </c>
      <c r="AZ2" s="131">
        <f>AZ93-'FO 19 abr-19'!AZ93</f>
        <v>274603.66000000015</v>
      </c>
      <c r="BA2" s="131">
        <f>BA93-'FO 19 abr-19'!BA93</f>
        <v>274603.66000000015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/>
      <c r="V29" s="31"/>
      <c r="W29" s="24"/>
      <c r="X29" s="24"/>
      <c r="Y29" s="24"/>
      <c r="Z29" s="31"/>
      <c r="AA29" s="24"/>
      <c r="AB29" s="24"/>
      <c r="AC29" s="24"/>
      <c r="AD29" s="24"/>
      <c r="AE29" s="31"/>
      <c r="AF29" s="24"/>
      <c r="AG29" s="24"/>
      <c r="AH29" s="24"/>
      <c r="AI29" s="31"/>
      <c r="AJ29" s="24"/>
      <c r="AK29" s="24"/>
      <c r="AL29" s="24"/>
      <c r="AM29" s="31"/>
      <c r="AN29" s="24"/>
      <c r="AO29" s="24"/>
      <c r="AP29" s="24"/>
      <c r="AQ29" s="24"/>
      <c r="AR29" s="31"/>
      <c r="AS29" s="24"/>
      <c r="AT29" s="24"/>
      <c r="AU29" s="24"/>
      <c r="AV29" s="31"/>
      <c r="AW29" s="24"/>
      <c r="AX29" s="19"/>
      <c r="AY29" s="19"/>
      <c r="AZ29" s="19"/>
      <c r="BA29" s="19"/>
      <c r="BB29" s="37">
        <f t="shared" si="0"/>
        <v>5132.9078599999993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f>SUM(R4:R29)-6000000</f>
        <v>9287523.8752000034</v>
      </c>
      <c r="S30" s="20">
        <f>SUM(S4:S29)+4000000</f>
        <v>18685781.445199996</v>
      </c>
      <c r="T30" s="20">
        <f t="shared" ref="T30:BA30" si="1">SUM(T4:T29)</f>
        <v>15516684.865199998</v>
      </c>
      <c r="U30" s="20">
        <f t="shared" si="1"/>
        <v>15057548.0052</v>
      </c>
      <c r="V30" s="33">
        <f t="shared" si="1"/>
        <v>15164178.195199996</v>
      </c>
      <c r="W30" s="20">
        <f t="shared" si="1"/>
        <v>15853723.723999999</v>
      </c>
      <c r="X30" s="20">
        <f t="shared" si="1"/>
        <v>15556830.554000001</v>
      </c>
      <c r="Y30" s="20">
        <f t="shared" si="1"/>
        <v>15887091.473999999</v>
      </c>
      <c r="Z30" s="33">
        <f t="shared" si="1"/>
        <v>15880352.663999999</v>
      </c>
      <c r="AA30" s="20">
        <f t="shared" si="1"/>
        <v>15454988.271199999</v>
      </c>
      <c r="AB30" s="20">
        <f t="shared" si="1"/>
        <v>15545257.801200002</v>
      </c>
      <c r="AC30" s="20">
        <f t="shared" si="1"/>
        <v>15477131.021200001</v>
      </c>
      <c r="AD30" s="20">
        <f t="shared" si="1"/>
        <v>15600540.001199996</v>
      </c>
      <c r="AE30" s="33">
        <f t="shared" si="1"/>
        <v>15553046.6412</v>
      </c>
      <c r="AF30" s="20">
        <f t="shared" si="1"/>
        <v>15526228.992999999</v>
      </c>
      <c r="AG30" s="20">
        <f t="shared" si="1"/>
        <v>15391537.953000002</v>
      </c>
      <c r="AH30" s="20">
        <f t="shared" si="1"/>
        <v>15245854.863</v>
      </c>
      <c r="AI30" s="33">
        <f t="shared" si="1"/>
        <v>15266815.493000001</v>
      </c>
      <c r="AJ30" s="20">
        <f t="shared" si="1"/>
        <v>15479352.091000002</v>
      </c>
      <c r="AK30" s="20">
        <f t="shared" si="1"/>
        <v>15640508.981000001</v>
      </c>
      <c r="AL30" s="20">
        <f t="shared" si="1"/>
        <v>15839849.441</v>
      </c>
      <c r="AM30" s="33">
        <f t="shared" si="1"/>
        <v>15935999.181</v>
      </c>
      <c r="AN30" s="20">
        <f t="shared" si="1"/>
        <v>15707026.582800001</v>
      </c>
      <c r="AO30" s="20">
        <f t="shared" si="1"/>
        <v>15739794.732799998</v>
      </c>
      <c r="AP30" s="20">
        <f t="shared" si="1"/>
        <v>15635004.0528</v>
      </c>
      <c r="AQ30" s="20">
        <f t="shared" si="1"/>
        <v>15620936.212799998</v>
      </c>
      <c r="AR30" s="33">
        <f t="shared" si="1"/>
        <v>15188831.082799997</v>
      </c>
      <c r="AS30" s="20">
        <f t="shared" si="1"/>
        <v>15319781.75</v>
      </c>
      <c r="AT30" s="20">
        <f t="shared" si="1"/>
        <v>15983369.149999997</v>
      </c>
      <c r="AU30" s="20">
        <f t="shared" si="1"/>
        <v>15619141.859999999</v>
      </c>
      <c r="AV30" s="33">
        <f t="shared" si="1"/>
        <v>16045834.000000002</v>
      </c>
      <c r="AW30" s="20">
        <f t="shared" si="1"/>
        <v>16235412.360000001</v>
      </c>
      <c r="AX30" s="20">
        <f t="shared" si="1"/>
        <v>16260189.090000002</v>
      </c>
      <c r="AY30" s="20">
        <f t="shared" si="1"/>
        <v>17572541.050000001</v>
      </c>
      <c r="AZ30" s="20">
        <f t="shared" si="1"/>
        <v>17408130.370000001</v>
      </c>
      <c r="BA30" s="20">
        <f t="shared" si="1"/>
        <v>5568133.8900000006</v>
      </c>
      <c r="BB30" s="37">
        <f t="shared" si="0"/>
        <v>823209.56111799995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2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2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2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2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2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2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2"/>
        <v>-7458.1111500000015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2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2"/>
        <v>-2887.2982099999999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2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2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2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2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2"/>
        <v>-41265.697110000001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2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2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2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2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2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2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2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2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2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2"/>
        <v>-7295.2921800000031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2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2"/>
        <v>-3738.0051999999991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/>
      <c r="V62" s="31"/>
      <c r="W62" s="24"/>
      <c r="X62" s="24"/>
      <c r="Y62" s="24"/>
      <c r="Z62" s="31"/>
      <c r="AA62" s="24"/>
      <c r="AB62" s="24"/>
      <c r="AC62" s="24"/>
      <c r="AD62" s="24"/>
      <c r="AE62" s="31"/>
      <c r="AF62" s="24"/>
      <c r="AG62" s="24"/>
      <c r="AH62" s="24"/>
      <c r="AI62" s="31"/>
      <c r="AJ62" s="24"/>
      <c r="AK62" s="24"/>
      <c r="AL62" s="24"/>
      <c r="AM62" s="31"/>
      <c r="AN62" s="24"/>
      <c r="AO62" s="24"/>
      <c r="AP62" s="24"/>
      <c r="AQ62" s="24"/>
      <c r="AR62" s="31"/>
      <c r="AS62" s="24"/>
      <c r="AT62" s="24"/>
      <c r="AU62" s="24"/>
      <c r="AV62" s="31"/>
      <c r="AW62" s="24"/>
      <c r="AX62" s="19"/>
      <c r="AY62" s="19"/>
      <c r="AZ62" s="19"/>
      <c r="BA62" s="19"/>
      <c r="BB62" s="37">
        <f t="shared" si="2"/>
        <v>0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2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2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2"/>
        <v>-5872.389720000001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2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2"/>
        <v>-9834.7172799999935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3" si="3">SUM(B68:BA68)/1000</f>
        <v>-66469.142690000008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3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3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3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3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3"/>
        <v>-20923.817430000003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3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3"/>
        <v>-14219.099450000005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3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3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3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3"/>
        <v>-2201.531660000001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3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3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-17434466.23</v>
      </c>
      <c r="T82" s="121">
        <v>-7161543.1799999997</v>
      </c>
      <c r="U82" s="121">
        <v>-7090014.5999999996</v>
      </c>
      <c r="V82" s="120">
        <v>-6984412.2599999998</v>
      </c>
      <c r="W82" s="121">
        <v>-7379520.6299999999</v>
      </c>
      <c r="X82" s="121">
        <v>-7778664.8099999996</v>
      </c>
      <c r="Y82" s="121">
        <v>-7884354.3899999997</v>
      </c>
      <c r="Z82" s="120">
        <v>-18390699.390000001</v>
      </c>
      <c r="AA82" s="121">
        <v>-8234803.6499999985</v>
      </c>
      <c r="AB82" s="121">
        <v>-8305503.9500000002</v>
      </c>
      <c r="AC82" s="121">
        <v>-21961089.510000002</v>
      </c>
      <c r="AD82" s="121">
        <v>-8100804.7999999998</v>
      </c>
      <c r="AE82" s="120">
        <v>-8274917.0599999996</v>
      </c>
      <c r="AF82" s="121">
        <v>-5305707.0199999996</v>
      </c>
      <c r="AG82" s="121">
        <v>-5487818.4900000002</v>
      </c>
      <c r="AH82" s="121">
        <v>-4656731.1100000003</v>
      </c>
      <c r="AI82" s="120">
        <v>-3545922.64</v>
      </c>
      <c r="AJ82" s="121">
        <v>-3861351.33</v>
      </c>
      <c r="AK82" s="121">
        <v>-17668918.870000001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-4102576.63</v>
      </c>
      <c r="AR82" s="120">
        <v>-3818466.9</v>
      </c>
      <c r="AS82" s="121">
        <v>-4001555.48</v>
      </c>
      <c r="AT82" s="121">
        <v>-17459329.57</v>
      </c>
      <c r="AU82" s="121">
        <v>-2647869.0499999998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3"/>
        <v>-298133.30588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3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3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3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3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3"/>
        <v>-1497.4779499999995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3"/>
        <v>-3313.09872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3"/>
        <v>-121145.05378999992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3"/>
        <v>-625.05939999999987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3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3"/>
        <v>-42058.383220000003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f>SUM(R31:R92)</f>
        <v>-18623701.550000001</v>
      </c>
      <c r="S93" s="18">
        <f t="shared" ref="S93:BA93" si="4">SUM(S31:S92)</f>
        <v>-24492903.900000002</v>
      </c>
      <c r="T93" s="18">
        <f t="shared" si="4"/>
        <v>-21147694.469999999</v>
      </c>
      <c r="U93" s="18">
        <f t="shared" si="4"/>
        <v>-13472683.76</v>
      </c>
      <c r="V93" s="32">
        <f t="shared" si="4"/>
        <v>-16131083.789999999</v>
      </c>
      <c r="W93" s="18">
        <f t="shared" si="4"/>
        <v>-12313470.919999998</v>
      </c>
      <c r="X93" s="18">
        <f t="shared" si="4"/>
        <v>-17549442.789999999</v>
      </c>
      <c r="Y93" s="18">
        <f t="shared" si="4"/>
        <v>-16023341.66</v>
      </c>
      <c r="Z93" s="32">
        <f t="shared" si="4"/>
        <v>-27582188.720000003</v>
      </c>
      <c r="AA93" s="18">
        <f t="shared" si="4"/>
        <v>-14502390.640000001</v>
      </c>
      <c r="AB93" s="18">
        <f t="shared" si="4"/>
        <v>-17513901.699999999</v>
      </c>
      <c r="AC93" s="18">
        <f t="shared" si="4"/>
        <v>-34046431.760000005</v>
      </c>
      <c r="AD93" s="18">
        <f t="shared" si="4"/>
        <v>-14262007.010000002</v>
      </c>
      <c r="AE93" s="32">
        <f t="shared" si="4"/>
        <v>-18798659.93</v>
      </c>
      <c r="AF93" s="18">
        <f t="shared" si="4"/>
        <v>-13084004.260000002</v>
      </c>
      <c r="AG93" s="18">
        <f t="shared" si="4"/>
        <v>-19862198.829999994</v>
      </c>
      <c r="AH93" s="18">
        <f t="shared" si="4"/>
        <v>-10583959.340000002</v>
      </c>
      <c r="AI93" s="32">
        <f t="shared" si="4"/>
        <v>-13018511.699999999</v>
      </c>
      <c r="AJ93" s="18">
        <f t="shared" si="4"/>
        <v>-8724388.7300000004</v>
      </c>
      <c r="AK93" s="18">
        <f t="shared" si="4"/>
        <v>-27928944.609999999</v>
      </c>
      <c r="AL93" s="18">
        <f t="shared" si="4"/>
        <v>-12004826.680000003</v>
      </c>
      <c r="AM93" s="32">
        <f t="shared" si="4"/>
        <v>-8480754.0600000005</v>
      </c>
      <c r="AN93" s="18">
        <f t="shared" si="4"/>
        <v>-15182158.300000001</v>
      </c>
      <c r="AO93" s="18">
        <f t="shared" si="4"/>
        <v>-10815993.260000002</v>
      </c>
      <c r="AP93" s="18">
        <f t="shared" si="4"/>
        <v>-18304688.390000001</v>
      </c>
      <c r="AQ93" s="18">
        <f t="shared" si="4"/>
        <v>-10359449.780000001</v>
      </c>
      <c r="AR93" s="32">
        <f t="shared" si="4"/>
        <v>-14603189.209999999</v>
      </c>
      <c r="AS93" s="18">
        <f t="shared" si="4"/>
        <v>-10339535.689999998</v>
      </c>
      <c r="AT93" s="18">
        <f t="shared" si="4"/>
        <v>-28958525.420000002</v>
      </c>
      <c r="AU93" s="18">
        <f t="shared" si="4"/>
        <v>-11142954.889999999</v>
      </c>
      <c r="AV93" s="32">
        <f t="shared" si="4"/>
        <v>-10310301.369999999</v>
      </c>
      <c r="AW93" s="18">
        <f t="shared" si="4"/>
        <v>-5776940.6600000001</v>
      </c>
      <c r="AX93" s="18">
        <f t="shared" si="4"/>
        <v>-18270252.879999999</v>
      </c>
      <c r="AY93" s="18">
        <f t="shared" si="4"/>
        <v>-9287368.8800000008</v>
      </c>
      <c r="AZ93" s="18">
        <f t="shared" si="4"/>
        <v>-6053435.1699999999</v>
      </c>
      <c r="BA93" s="18">
        <f t="shared" si="4"/>
        <v>-9487115.9199999999</v>
      </c>
      <c r="BB93" s="37">
        <f t="shared" si="3"/>
        <v>-784004.01190999965</v>
      </c>
    </row>
    <row r="94" spans="1:54" s="8" customFormat="1" ht="12.75">
      <c r="A94" s="7" t="s">
        <v>1</v>
      </c>
      <c r="B94" s="21">
        <f t="shared" ref="B94:Q94" si="5">B30+B93</f>
        <v>16436818.079999994</v>
      </c>
      <c r="C94" s="21">
        <f t="shared" si="5"/>
        <v>2892569.9699999988</v>
      </c>
      <c r="D94" s="21">
        <f t="shared" si="5"/>
        <v>5759561.1500000004</v>
      </c>
      <c r="E94" s="36">
        <f t="shared" si="5"/>
        <v>5463141.25</v>
      </c>
      <c r="F94" s="21">
        <f t="shared" si="5"/>
        <v>5815922.0000000009</v>
      </c>
      <c r="G94" s="21">
        <f t="shared" si="5"/>
        <v>2372866.3200000022</v>
      </c>
      <c r="H94" s="21">
        <f t="shared" si="5"/>
        <v>1719194</v>
      </c>
      <c r="I94" s="36">
        <f t="shared" si="5"/>
        <v>1649674.9000000004</v>
      </c>
      <c r="J94" s="21">
        <f t="shared" si="5"/>
        <v>5548984.299999997</v>
      </c>
      <c r="K94" s="21">
        <f t="shared" si="5"/>
        <v>2158884.3899999969</v>
      </c>
      <c r="L94" s="21">
        <f t="shared" si="5"/>
        <v>2905503.870000001</v>
      </c>
      <c r="M94" s="36">
        <f t="shared" si="5"/>
        <v>-8043246.629999999</v>
      </c>
      <c r="N94" s="21">
        <f t="shared" si="5"/>
        <v>5593122.0999999978</v>
      </c>
      <c r="O94" s="21">
        <f t="shared" si="5"/>
        <v>-5987461.3800000008</v>
      </c>
      <c r="P94" s="21">
        <f t="shared" si="5"/>
        <v>713113.50999999978</v>
      </c>
      <c r="Q94" s="36">
        <f t="shared" si="5"/>
        <v>495350.28999999911</v>
      </c>
      <c r="R94" s="21">
        <f>R30+R93</f>
        <v>-9336177.6747999974</v>
      </c>
      <c r="S94" s="21">
        <f t="shared" ref="S94:BA94" si="6">S30+S93</f>
        <v>-5807122.454800006</v>
      </c>
      <c r="T94" s="21">
        <f t="shared" si="6"/>
        <v>-5631009.6048000008</v>
      </c>
      <c r="U94" s="21">
        <f t="shared" si="6"/>
        <v>1584864.2452000007</v>
      </c>
      <c r="V94" s="36">
        <f t="shared" si="6"/>
        <v>-966905.59480000287</v>
      </c>
      <c r="W94" s="21">
        <f t="shared" si="6"/>
        <v>3540252.8040000014</v>
      </c>
      <c r="X94" s="21">
        <f t="shared" si="6"/>
        <v>-1992612.2359999977</v>
      </c>
      <c r="Y94" s="21">
        <f t="shared" si="6"/>
        <v>-136250.18600000069</v>
      </c>
      <c r="Z94" s="36">
        <f t="shared" si="6"/>
        <v>-11701836.056000004</v>
      </c>
      <c r="AA94" s="21">
        <f t="shared" si="6"/>
        <v>952597.63119999878</v>
      </c>
      <c r="AB94" s="21">
        <f t="shared" si="6"/>
        <v>-1968643.8987999968</v>
      </c>
      <c r="AC94" s="21">
        <f t="shared" si="6"/>
        <v>-18569300.738800004</v>
      </c>
      <c r="AD94" s="21">
        <f t="shared" si="6"/>
        <v>1338532.9911999945</v>
      </c>
      <c r="AE94" s="36">
        <f t="shared" si="6"/>
        <v>-3245613.2887999993</v>
      </c>
      <c r="AF94" s="21">
        <f t="shared" si="6"/>
        <v>2442224.7329999972</v>
      </c>
      <c r="AG94" s="21">
        <f t="shared" si="6"/>
        <v>-4470660.8769999929</v>
      </c>
      <c r="AH94" s="21">
        <f t="shared" si="6"/>
        <v>4661895.5229999982</v>
      </c>
      <c r="AI94" s="36">
        <f t="shared" si="6"/>
        <v>2248303.7930000015</v>
      </c>
      <c r="AJ94" s="21">
        <f t="shared" si="6"/>
        <v>6754963.3610000014</v>
      </c>
      <c r="AK94" s="21">
        <f t="shared" si="6"/>
        <v>-12288435.628999999</v>
      </c>
      <c r="AL94" s="21">
        <f t="shared" si="6"/>
        <v>3835022.7609999962</v>
      </c>
      <c r="AM94" s="36">
        <f t="shared" si="6"/>
        <v>7455245.1209999993</v>
      </c>
      <c r="AN94" s="21">
        <f t="shared" si="6"/>
        <v>524868.28280000016</v>
      </c>
      <c r="AO94" s="21">
        <f t="shared" si="6"/>
        <v>4923801.4727999959</v>
      </c>
      <c r="AP94" s="21">
        <f t="shared" si="6"/>
        <v>-2669684.3372000009</v>
      </c>
      <c r="AQ94" s="21">
        <f t="shared" si="6"/>
        <v>5261486.4327999968</v>
      </c>
      <c r="AR94" s="36">
        <f t="shared" si="6"/>
        <v>585641.87279999815</v>
      </c>
      <c r="AS94" s="21">
        <f t="shared" si="6"/>
        <v>4980246.0600000024</v>
      </c>
      <c r="AT94" s="21">
        <f t="shared" si="6"/>
        <v>-12975156.270000005</v>
      </c>
      <c r="AU94" s="21">
        <f t="shared" si="6"/>
        <v>4476186.9700000007</v>
      </c>
      <c r="AV94" s="36">
        <f t="shared" si="6"/>
        <v>5735532.6300000027</v>
      </c>
      <c r="AW94" s="21">
        <f t="shared" si="6"/>
        <v>10458471.700000001</v>
      </c>
      <c r="AX94" s="21">
        <f t="shared" si="6"/>
        <v>-2010063.7899999972</v>
      </c>
      <c r="AY94" s="21">
        <f t="shared" si="6"/>
        <v>8285172.1699999999</v>
      </c>
      <c r="AZ94" s="21">
        <f t="shared" si="6"/>
        <v>11354695.200000001</v>
      </c>
      <c r="BA94" s="21">
        <f t="shared" si="6"/>
        <v>-3918982.0299999993</v>
      </c>
      <c r="BB94" s="37">
        <f>SUM(B94:BA94)/1000</f>
        <v>39205.549207999968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>
        <v>874</v>
      </c>
      <c r="G97" s="153">
        <v>1115</v>
      </c>
      <c r="H97">
        <v>883</v>
      </c>
      <c r="I97">
        <v>492</v>
      </c>
      <c r="J97">
        <v>126</v>
      </c>
      <c r="K97" s="153">
        <v>5718</v>
      </c>
      <c r="L97">
        <v>19</v>
      </c>
      <c r="M97">
        <v>19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>
        <v>-285</v>
      </c>
      <c r="G98">
        <v>-325</v>
      </c>
      <c r="H98">
        <v>-225</v>
      </c>
      <c r="I98">
        <v>-225</v>
      </c>
      <c r="J98">
        <v>-85</v>
      </c>
      <c r="K98">
        <v>-85</v>
      </c>
      <c r="L98">
        <v>-550</v>
      </c>
      <c r="M98">
        <v>0</v>
      </c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74585.716385999986</v>
      </c>
      <c r="G100" s="60">
        <f>SUM(W30:Z30)/1000+G97</f>
        <v>64292.998416000002</v>
      </c>
      <c r="H100" s="60">
        <f>SUM(AA30:AE30)/1000+H97</f>
        <v>78513.963736000005</v>
      </c>
      <c r="I100" s="60">
        <f>SUM(AF30:AI30)/1000+I97</f>
        <v>61922.437301999998</v>
      </c>
      <c r="J100" s="60">
        <f>SUM(AJ30:AM30)/1000+J97</f>
        <v>63021.709694000005</v>
      </c>
      <c r="K100" s="60">
        <f>SUM(AN30:AR30)/1000+K97</f>
        <v>83609.592663999996</v>
      </c>
      <c r="L100" s="60">
        <f>SUM(AS30:AV30)/1000+L97</f>
        <v>62987.126759999999</v>
      </c>
      <c r="M100" s="60">
        <f>SUM(AW30:BA30)/1000+M97</f>
        <v>73063.406760000013</v>
      </c>
      <c r="N100" s="60">
        <f>SUM(B100:M100)</f>
        <v>832455.56111799995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-94153.067469999995</v>
      </c>
      <c r="G101" s="60">
        <f>SUM(W93:Z93)/1000+G98</f>
        <v>-73793.444090000005</v>
      </c>
      <c r="H101" s="60">
        <f>SUM(AA93:AE93)/1000+H98</f>
        <v>-99348.391040000017</v>
      </c>
      <c r="I101" s="39">
        <f>SUM(AF93:AI93)/1000+I98</f>
        <v>-56773.674129999992</v>
      </c>
      <c r="J101" s="39">
        <f>SUM(AJ93:AM93)/1000+J98</f>
        <v>-57223.91408000001</v>
      </c>
      <c r="K101" s="39">
        <f>SUM(AN93:AR93)/1000+K98</f>
        <v>-69350.478940000001</v>
      </c>
      <c r="L101" s="39">
        <f>SUM(AS93:AV93)/1000+L98</f>
        <v>-61301.317369999997</v>
      </c>
      <c r="M101" s="39">
        <f>SUM(AW93:BA93)/1000+M98</f>
        <v>-48875.113510000003</v>
      </c>
      <c r="N101" s="60">
        <f>SUM(B101:M101)</f>
        <v>-785784.01191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7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-19567.351084000009</v>
      </c>
      <c r="G102" s="60">
        <f t="shared" si="7"/>
        <v>-9500.4456740000023</v>
      </c>
      <c r="H102" s="60">
        <f t="shared" si="7"/>
        <v>-20834.427304000012</v>
      </c>
      <c r="I102" s="60">
        <f t="shared" si="7"/>
        <v>5148.7631720000063</v>
      </c>
      <c r="J102" s="60">
        <f t="shared" si="7"/>
        <v>5797.7956139999951</v>
      </c>
      <c r="K102" s="60">
        <f t="shared" si="7"/>
        <v>14259.113723999995</v>
      </c>
      <c r="L102" s="60">
        <f t="shared" si="7"/>
        <v>1685.8093900000022</v>
      </c>
      <c r="M102" s="60">
        <f>SUM(M100:M101)</f>
        <v>24188.29325000001</v>
      </c>
      <c r="N102" s="60">
        <f>SUM(B102:M102)</f>
        <v>46671.54920799996</v>
      </c>
      <c r="O102" s="133">
        <f>BB94-N102+SUM(F97:M98)</f>
        <v>7.2759576141834259E-12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19 abr-19'!N100</f>
        <v>-3460.4960999999894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19 abr-19'!N100</f>
        <v>-3460.4960999999894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8">C99</f>
        <v>43497</v>
      </c>
      <c r="D105" s="52">
        <f t="shared" si="8"/>
        <v>43525</v>
      </c>
      <c r="E105" s="52">
        <f t="shared" si="8"/>
        <v>43556</v>
      </c>
      <c r="F105" s="52">
        <f t="shared" si="8"/>
        <v>43586</v>
      </c>
      <c r="G105" s="52">
        <f t="shared" si="8"/>
        <v>43617</v>
      </c>
      <c r="H105" s="52">
        <f t="shared" si="8"/>
        <v>43647</v>
      </c>
      <c r="I105" s="52">
        <f t="shared" si="8"/>
        <v>43678</v>
      </c>
      <c r="J105" s="52">
        <f t="shared" si="8"/>
        <v>43709</v>
      </c>
      <c r="K105" s="52">
        <f t="shared" si="8"/>
        <v>43739</v>
      </c>
      <c r="L105" s="52">
        <f t="shared" si="8"/>
        <v>43770</v>
      </c>
      <c r="M105" s="52">
        <f t="shared" si="8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9360.7713999999942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9">SUM(C106:C107)</f>
        <v>7.3460000000004584</v>
      </c>
      <c r="D108" s="22">
        <f t="shared" si="9"/>
        <v>-250.65999999999985</v>
      </c>
      <c r="E108" s="22">
        <f t="shared" si="9"/>
        <v>-1124.4709999999995</v>
      </c>
      <c r="F108" s="22">
        <f t="shared" si="9"/>
        <v>288.63700000000063</v>
      </c>
      <c r="G108" s="22">
        <f t="shared" si="9"/>
        <v>224.22299999999814</v>
      </c>
      <c r="H108" s="22">
        <f t="shared" si="9"/>
        <v>-93.138999999995576</v>
      </c>
      <c r="I108" s="39">
        <f t="shared" si="9"/>
        <v>204.61399999999776</v>
      </c>
      <c r="J108" s="39">
        <f t="shared" si="9"/>
        <v>406.04999999999563</v>
      </c>
      <c r="K108" s="39">
        <f t="shared" si="9"/>
        <v>518.8169999999991</v>
      </c>
      <c r="L108" s="39">
        <f t="shared" si="9"/>
        <v>834.60699999999633</v>
      </c>
      <c r="M108" s="39">
        <f t="shared" si="9"/>
        <v>41.70400000000518</v>
      </c>
      <c r="N108" s="59">
        <f>SUM(B108:M108)</f>
        <v>2112.8819999999978</v>
      </c>
      <c r="O108" s="133">
        <f>N108-SUM('FO 19 abr-19'!B108:M108)</f>
        <v>0</v>
      </c>
      <c r="P108" s="78">
        <f>N101-'FO 19 abr-19'!N101</f>
        <v>7580.7713999998523</v>
      </c>
      <c r="Q108" s="61" t="s">
        <v>103</v>
      </c>
      <c r="R108" s="63"/>
      <c r="S108" s="23" t="s">
        <v>126</v>
      </c>
      <c r="T108" s="115">
        <f>SUM(R47:BA50)/1000-SUM('FO 19 abr-19'!R47:BA50)/1000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SUM(R82:BA82)/1000-SUM('FO 19 abr-19'!R82:BA82)/1000</f>
        <v>-790.55857000002288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SUM(R31:BA92)/1000-SUM('FO 19 abr-19'!R31:BA92)/1000-T108-T109</f>
        <v>8752.6462899999751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10">C99</f>
        <v>43497</v>
      </c>
      <c r="D111" s="52">
        <f t="shared" si="10"/>
        <v>43525</v>
      </c>
      <c r="E111" s="52">
        <f t="shared" si="10"/>
        <v>43556</v>
      </c>
      <c r="F111" s="52">
        <f t="shared" si="10"/>
        <v>43586</v>
      </c>
      <c r="G111" s="52">
        <f t="shared" si="10"/>
        <v>43617</v>
      </c>
      <c r="H111" s="52">
        <f t="shared" si="10"/>
        <v>43647</v>
      </c>
      <c r="I111" s="52">
        <f t="shared" si="10"/>
        <v>43678</v>
      </c>
      <c r="J111" s="52">
        <f t="shared" si="10"/>
        <v>43709</v>
      </c>
      <c r="K111" s="52">
        <f t="shared" si="10"/>
        <v>43739</v>
      </c>
      <c r="L111" s="52">
        <f t="shared" si="10"/>
        <v>43770</v>
      </c>
      <c r="M111" s="52">
        <f t="shared" si="10"/>
        <v>43800</v>
      </c>
      <c r="P111" s="39">
        <f>N102-'FO 19 abr-19'!N102</f>
        <v>4120.2752999999866</v>
      </c>
      <c r="Q111" s="119"/>
      <c r="S111" s="70" t="s">
        <v>129</v>
      </c>
      <c r="T111" s="77">
        <f>SUM(T108:T110)</f>
        <v>7962.0877199999522</v>
      </c>
      <c r="U111" s="71">
        <f>Q2/1000</f>
        <v>1398.6836799999996</v>
      </c>
      <c r="V111" s="75">
        <f>SUM(T111:U111)</f>
        <v>9360.7713999999523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4120.2752999998629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11">SUM(C112:C113)</f>
        <v>0</v>
      </c>
      <c r="D114" s="26">
        <f t="shared" si="11"/>
        <v>0</v>
      </c>
      <c r="E114" s="26">
        <f t="shared" si="11"/>
        <v>0</v>
      </c>
      <c r="F114" s="26">
        <f t="shared" si="11"/>
        <v>0</v>
      </c>
      <c r="G114" s="26">
        <f t="shared" si="11"/>
        <v>0</v>
      </c>
      <c r="H114" s="26">
        <f t="shared" si="11"/>
        <v>0</v>
      </c>
      <c r="I114" s="26">
        <f t="shared" si="11"/>
        <v>0</v>
      </c>
      <c r="J114" s="26">
        <f t="shared" si="11"/>
        <v>0</v>
      </c>
      <c r="K114" s="26">
        <f t="shared" si="11"/>
        <v>0</v>
      </c>
      <c r="L114" s="26">
        <f t="shared" si="11"/>
        <v>0</v>
      </c>
      <c r="M114" s="26">
        <f t="shared" si="11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2580.6900650964099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12">C99</f>
        <v>43497</v>
      </c>
      <c r="D117" s="1">
        <f t="shared" si="12"/>
        <v>43525</v>
      </c>
      <c r="E117" s="1">
        <f t="shared" si="12"/>
        <v>43556</v>
      </c>
      <c r="F117" s="1">
        <f t="shared" si="12"/>
        <v>43586</v>
      </c>
      <c r="G117" s="1">
        <f t="shared" si="12"/>
        <v>43617</v>
      </c>
      <c r="H117" s="1">
        <f t="shared" si="12"/>
        <v>43647</v>
      </c>
      <c r="I117" s="1">
        <f t="shared" si="12"/>
        <v>43678</v>
      </c>
      <c r="J117" s="1">
        <f t="shared" si="12"/>
        <v>43709</v>
      </c>
      <c r="K117" s="1">
        <f t="shared" si="12"/>
        <v>43739</v>
      </c>
      <c r="L117" s="1">
        <f t="shared" si="12"/>
        <v>43770</v>
      </c>
      <c r="M117" s="1">
        <f t="shared" si="12"/>
        <v>43800</v>
      </c>
      <c r="S117" s="40" t="s">
        <v>133</v>
      </c>
      <c r="T117" s="80">
        <f>I100</f>
        <v>61922.437301999998</v>
      </c>
      <c r="W117" s="80">
        <f>SUM(AK30:BA30)/1000</f>
        <v>261320.48378700006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3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86349.426385999977</v>
      </c>
      <c r="G118" s="26">
        <f t="shared" si="13"/>
        <v>75965.868415999998</v>
      </c>
      <c r="H118" s="26">
        <f t="shared" si="13"/>
        <v>90052.403736000007</v>
      </c>
      <c r="I118" s="26">
        <f t="shared" si="13"/>
        <v>73608.900301999995</v>
      </c>
      <c r="J118" s="26">
        <f t="shared" si="13"/>
        <v>74894.922694000008</v>
      </c>
      <c r="K118" s="26">
        <f t="shared" si="13"/>
        <v>95451.43966399999</v>
      </c>
      <c r="L118" s="26">
        <f t="shared" si="13"/>
        <v>74950.277759999997</v>
      </c>
      <c r="M118" s="26">
        <f t="shared" si="13"/>
        <v>84226.660760000013</v>
      </c>
      <c r="N118" s="64">
        <f>SUM(B118:M118)</f>
        <v>970580.5331179999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3"/>
        <v>-72374.237469999993</v>
      </c>
      <c r="E119" s="26">
        <f>E101+E107+E113</f>
        <v>-69962.135510000007</v>
      </c>
      <c r="F119" s="26">
        <f>F101+F107+F113</f>
        <v>-105628.14047</v>
      </c>
      <c r="G119" s="26">
        <f t="shared" si="13"/>
        <v>-85242.091090000002</v>
      </c>
      <c r="H119" s="26">
        <f t="shared" si="13"/>
        <v>-110979.97004000001</v>
      </c>
      <c r="I119" s="26">
        <f t="shared" si="13"/>
        <v>-68255.523129999987</v>
      </c>
      <c r="J119" s="26">
        <f t="shared" si="13"/>
        <v>-68691.077080000017</v>
      </c>
      <c r="K119" s="26">
        <f t="shared" si="13"/>
        <v>-80673.50894</v>
      </c>
      <c r="L119" s="26">
        <f t="shared" si="13"/>
        <v>-72429.861369999999</v>
      </c>
      <c r="M119" s="26">
        <f>M101+M107+M113</f>
        <v>-59996.663509999998</v>
      </c>
      <c r="N119" s="64">
        <f>SUM(B119:M119)</f>
        <v>-921796.10190999985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4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-19278.714084000021</v>
      </c>
      <c r="G120" s="56">
        <f t="shared" si="14"/>
        <v>-9276.2226740000042</v>
      </c>
      <c r="H120" s="56">
        <f t="shared" si="14"/>
        <v>-20927.566304000007</v>
      </c>
      <c r="I120" s="56">
        <f t="shared" si="14"/>
        <v>5353.3771720000077</v>
      </c>
      <c r="J120" s="56">
        <f t="shared" si="14"/>
        <v>6203.8456139999907</v>
      </c>
      <c r="K120" s="56">
        <f t="shared" si="14"/>
        <v>14777.930723999991</v>
      </c>
      <c r="L120" s="56">
        <f t="shared" si="14"/>
        <v>2520.4163899999985</v>
      </c>
      <c r="M120" s="56">
        <f>SUM(M118:M119)</f>
        <v>24229.997250000015</v>
      </c>
      <c r="N120" s="65">
        <f>SUM(B120:M120)</f>
        <v>48784.431207999951</v>
      </c>
      <c r="O120" s="65">
        <f>'FO 19 abr-19'!N120+P112+O108</f>
        <v>48784.431207999842</v>
      </c>
      <c r="P120" s="133">
        <f>O120-N120</f>
        <v>-1.0913936421275139E-10</v>
      </c>
      <c r="R120" s="86">
        <f>[1]EEFF!$H$63</f>
        <v>574206</v>
      </c>
      <c r="S120" s="40" t="s">
        <v>135</v>
      </c>
      <c r="T120" s="80">
        <f>SUM(T117:T119)</f>
        <v>73608.900301999995</v>
      </c>
      <c r="U120" s="9"/>
      <c r="V120" s="9"/>
      <c r="W120" s="80">
        <f>SUM(W117:W119)</f>
        <v>308161.94878700009</v>
      </c>
      <c r="X120" s="9"/>
      <c r="Y120" s="9"/>
      <c r="Z120" s="76">
        <f>R120+T120+W120</f>
        <v>955976.84908900014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46062.186757999967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59341.74723690359</v>
      </c>
      <c r="U122" s="80">
        <f>U124-U123</f>
        <v>71460.380999999878</v>
      </c>
      <c r="W122" s="80">
        <f>W117-W116</f>
        <v>250988.09878700005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26519.34696400004</v>
      </c>
      <c r="G123" s="26">
        <f>SUM($B$121:G121)-SUM($B$120:G120)</f>
        <v>33799.569638000045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63028.210236903586</v>
      </c>
      <c r="U124" s="80">
        <f>'[1]Proy. 2018'!$D$60</f>
        <v>74585.869999999879</v>
      </c>
      <c r="W124" s="80">
        <f>SUM(W122:W123)</f>
        <v>265829.56378700008</v>
      </c>
      <c r="X124" s="80">
        <f>SUM('[1]Proy. 2018'!$E$60:$H$60)</f>
        <v>292023.20500000007</v>
      </c>
      <c r="Z124" s="91">
        <f>R120+T124+W124</f>
        <v>903063.77402390377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5.8457510956862748</v>
      </c>
      <c r="C126" s="43">
        <f>B126*4</f>
        <v>23.383004382745099</v>
      </c>
      <c r="S126" s="92" t="s">
        <v>144</v>
      </c>
      <c r="U126" s="104">
        <f>T124-U124</f>
        <v>-11557.659763096293</v>
      </c>
      <c r="X126" s="104">
        <f>W124-X124</f>
        <v>-26193.641212999995</v>
      </c>
      <c r="Z126" s="89"/>
      <c r="AA126" s="89">
        <f>Z124-AA124</f>
        <v>-37751.300976096187</v>
      </c>
      <c r="AB126" s="112">
        <f>(X126+U126)/(T122+W122)</f>
        <v>-0.12164895339518338</v>
      </c>
      <c r="AC126" s="111">
        <f>AA126/Z124</f>
        <v>-4.1803582495489322E-2</v>
      </c>
    </row>
    <row r="127" spans="1:30" ht="15" hidden="1">
      <c r="A127" s="42" t="s">
        <v>121</v>
      </c>
      <c r="B127" s="43">
        <f>-(AVERAGE(B89:BA89)+AVERAGE(B68:BA68))/1000000</f>
        <v>3.6787097349019593</v>
      </c>
      <c r="C127" s="43">
        <f>B127*4</f>
        <v>14.714838939607837</v>
      </c>
      <c r="Z127" s="89"/>
      <c r="AA127" s="89"/>
    </row>
    <row r="128" spans="1:30" ht="15.75" hidden="1">
      <c r="A128" s="44" t="s">
        <v>104</v>
      </c>
      <c r="B128" s="45">
        <f>SUM(B124:B127)</f>
        <v>11.98052211980392</v>
      </c>
      <c r="C128" s="45">
        <f>SUM(C124:C127)</f>
        <v>47.922088479215681</v>
      </c>
      <c r="R128" s="23"/>
      <c r="S128" s="9" t="s">
        <v>141</v>
      </c>
      <c r="Z128" s="87">
        <f>Z120-'[4]Flujo 2018'!$AQ$4</f>
        <v>-26316.758370999829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-2580.6900650964099</v>
      </c>
      <c r="U134" s="14"/>
      <c r="V134" s="83">
        <f>W134/W138</f>
        <v>4.5455752241561155E-2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13.715060534101612</v>
      </c>
      <c r="C136" s="45">
        <f>C128+C131+C134</f>
        <v>54.860242136406448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-23710.864176796822</v>
      </c>
      <c r="U137" s="101">
        <f>'[1]Proy. 2018'!$D$116-'[1]Proy. 2018'!$C$116-U136</f>
        <v>-38522.038500000075</v>
      </c>
      <c r="V137" s="103"/>
      <c r="W137" s="101">
        <f>SUM(AK31:BA92)/1000-SUM(W132:W136)</f>
        <v>-169313.49962085998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27.501827353988467</v>
      </c>
      <c r="C138" s="47">
        <f>C136+C137</f>
        <v>68.647008956293305</v>
      </c>
      <c r="S138" s="40" t="s">
        <v>133</v>
      </c>
      <c r="T138" s="80">
        <f>I101</f>
        <v>-56773.674129999992</v>
      </c>
      <c r="W138" s="80">
        <f>SUM(AK93:BA93)/1000</f>
        <v>-227306.43516999995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-68255.523129999987</v>
      </c>
      <c r="W141" s="80">
        <f>SUM(W138:W140)</f>
        <v>-272346.72216999996</v>
      </c>
      <c r="X141" s="24"/>
      <c r="Z141" s="80">
        <f>R141+T141+W141</f>
        <v>-923252.24529999995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-54192.984064903583</v>
      </c>
      <c r="U143" s="80">
        <f>U145-U144</f>
        <v>-54186.39900000018</v>
      </c>
      <c r="W143" s="80">
        <f>W138-W134</f>
        <v>-216974.05016999994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-57674.833064903585</v>
      </c>
      <c r="U145" s="85">
        <f>'[1]Proy. 2018'!$D$61</f>
        <v>-57037.396000000183</v>
      </c>
      <c r="W145" s="85">
        <f>SUM(W143:W144)</f>
        <v>-230014.33716999996</v>
      </c>
      <c r="X145" s="85">
        <f>SUM('[1]Proy. 2018'!$E$61:$H$61)</f>
        <v>-260447.245</v>
      </c>
      <c r="Z145" s="85">
        <f>R141+T145+W145</f>
        <v>-870339.17023490358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-637.43706490340264</v>
      </c>
      <c r="V147" s="40"/>
      <c r="W147" s="40"/>
      <c r="X147" s="104">
        <f>W145-X145</f>
        <v>30432.90783000004</v>
      </c>
      <c r="Z147" s="90"/>
      <c r="AA147" s="89">
        <f>Z145-AA145</f>
        <v>29795.470765096601</v>
      </c>
      <c r="AB147" s="112">
        <f>(X147+U147)/(W145+T145)</f>
        <v>-0.10356827384488643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-2201.7030649035078</v>
      </c>
      <c r="V149" s="106"/>
      <c r="W149" s="106"/>
      <c r="X149" s="106">
        <f>W132-X132+W136-X136+W137-X137</f>
        <v>22036.218830000114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19538.144100000034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32724.60378900019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-6778.6142709998094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-7955.8302109995857</v>
      </c>
    </row>
    <row r="157" spans="1:30" ht="12.75" hidden="1">
      <c r="A157" s="18">
        <v>-8256517.8300000001</v>
      </c>
      <c r="AA157" s="10">
        <f>Z154-AA154</f>
        <v>-7955.8302109995857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E6:G13"/>
  <sheetViews>
    <sheetView workbookViewId="0">
      <selection activeCell="G6" sqref="G6:G13"/>
    </sheetView>
  </sheetViews>
  <sheetFormatPr baseColWidth="10" defaultRowHeight="15"/>
  <sheetData>
    <row r="6" spans="5:7">
      <c r="E6">
        <v>874</v>
      </c>
      <c r="G6">
        <v>285</v>
      </c>
    </row>
    <row r="7" spans="5:7">
      <c r="E7" s="153">
        <v>1115</v>
      </c>
      <c r="G7">
        <v>325</v>
      </c>
    </row>
    <row r="8" spans="5:7">
      <c r="E8">
        <v>883</v>
      </c>
      <c r="G8">
        <v>225</v>
      </c>
    </row>
    <row r="9" spans="5:7">
      <c r="E9">
        <v>492</v>
      </c>
      <c r="G9">
        <v>225</v>
      </c>
    </row>
    <row r="10" spans="5:7">
      <c r="E10">
        <v>126</v>
      </c>
      <c r="G10">
        <v>85</v>
      </c>
    </row>
    <row r="11" spans="5:7">
      <c r="E11" s="153">
        <v>5718</v>
      </c>
      <c r="G11">
        <v>85</v>
      </c>
    </row>
    <row r="12" spans="5:7">
      <c r="E12">
        <v>19</v>
      </c>
      <c r="G12">
        <v>550</v>
      </c>
    </row>
    <row r="13" spans="5:7">
      <c r="E13">
        <v>19</v>
      </c>
      <c r="G1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BB200"/>
  <sheetViews>
    <sheetView showGridLines="0" topLeftCell="A84" zoomScaleNormal="100" workbookViewId="0">
      <pane xSplit="1" topLeftCell="B1" activePane="topRight" state="frozen"/>
      <selection pane="topRight" activeCell="K105" sqref="K105"/>
    </sheetView>
  </sheetViews>
  <sheetFormatPr baseColWidth="10" defaultRowHeight="12" outlineLevelRow="1"/>
  <cols>
    <col min="1" max="1" width="20.140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3.28515625" style="9" bestFit="1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7" t="s">
        <v>306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>
        <f>Q93-'FO 19 abr-19'!Q93</f>
        <v>1398683.6799999997</v>
      </c>
      <c r="R2" s="129">
        <f>R93-'FO 19 abr-19'!R93</f>
        <v>-2785336.9700000044</v>
      </c>
      <c r="S2" s="129">
        <f>S93-'FO 19 abr-19'!S93</f>
        <v>-92940.769999995828</v>
      </c>
      <c r="T2" s="129">
        <f>T93-'FO 19 abr-19'!T93</f>
        <v>374344.8200000003</v>
      </c>
      <c r="U2" s="129">
        <f>U93-'FO 19 abr-19'!U93</f>
        <v>397979.46999999881</v>
      </c>
      <c r="V2" s="130">
        <f>V93-'FO 19 abr-19'!V93</f>
        <v>366098.42000000179</v>
      </c>
      <c r="W2" s="129">
        <f>W93-'FO 19 abr-19'!W93</f>
        <v>117792.94999999925</v>
      </c>
      <c r="X2" s="129">
        <f>X93-'FO 19 abr-19'!X93</f>
        <v>17614.929999999702</v>
      </c>
      <c r="Y2" s="129">
        <f>Y93-'FO 19 abr-19'!Y93</f>
        <v>0</v>
      </c>
      <c r="Z2" s="130">
        <f>Z93-'FO 19 abr-19'!Z93</f>
        <v>0</v>
      </c>
      <c r="AA2" s="129">
        <f>AA93-'FO 19 abr-19'!AA93</f>
        <v>1984.160000000149</v>
      </c>
      <c r="AB2" s="129">
        <f>AB93-'FO 19 abr-19'!AB93</f>
        <v>4960.4000000022352</v>
      </c>
      <c r="AC2" s="129">
        <f>AC93-'FO 19 abr-19'!AC93</f>
        <v>-12378.95000000298</v>
      </c>
      <c r="AD2" s="129">
        <f>AD93-'FO 19 abr-19'!AD93</f>
        <v>936.95999999903142</v>
      </c>
      <c r="AE2" s="130">
        <f>AE93-'FO 19 abr-19'!AE93</f>
        <v>-213522.04999999702</v>
      </c>
      <c r="AF2" s="129">
        <f>AF93-'FO 19 abr-19'!AF93</f>
        <v>-9100.679999999702</v>
      </c>
      <c r="AG2" s="129">
        <f>AG93-'FO 19 abr-19'!AG93</f>
        <v>90995.780000001192</v>
      </c>
      <c r="AH2" s="129">
        <f>AH93-'FO 19 abr-19'!AH93</f>
        <v>101688.18999999948</v>
      </c>
      <c r="AI2" s="130">
        <f>AI93-'FO 19 abr-19'!AI93</f>
        <v>-74130.390000000596</v>
      </c>
      <c r="AJ2" s="129">
        <f>AJ93-'FO 19 abr-19'!AJ93</f>
        <v>4748.7599999997765</v>
      </c>
      <c r="AK2" s="129">
        <f>AK93-'FO 19 abr-19'!AK93</f>
        <v>-18717.240000002086</v>
      </c>
      <c r="AL2" s="129">
        <f>AL93-'FO 19 abr-19'!AL93</f>
        <v>0</v>
      </c>
      <c r="AM2" s="130">
        <f>AM93-'FO 19 abr-19'!AM93</f>
        <v>0</v>
      </c>
      <c r="AN2" s="129">
        <f>AN93-'FO 19 abr-19'!AN93</f>
        <v>0</v>
      </c>
      <c r="AO2" s="129">
        <f>AO93-'FO 19 abr-19'!AO93</f>
        <v>0</v>
      </c>
      <c r="AP2" s="129">
        <f>AP93-'FO 19 abr-19'!AP93</f>
        <v>0</v>
      </c>
      <c r="AQ2" s="129">
        <f>AQ93-'FO 19 abr-19'!AQ93</f>
        <v>-17339.35000000149</v>
      </c>
      <c r="AR2" s="130">
        <f>AR93-'FO 19 abr-19'!AR93</f>
        <v>-17890.509999999776</v>
      </c>
      <c r="AS2" s="129">
        <f>AS93-'FO 19 abr-19'!AS93</f>
        <v>0</v>
      </c>
      <c r="AT2" s="129">
        <f>AT93-'FO 19 abr-19'!AT93</f>
        <v>-19268.39999999851</v>
      </c>
      <c r="AU2" s="129">
        <f>AU93-'FO 19 abr-19'!AU93</f>
        <v>-57805.189999999478</v>
      </c>
      <c r="AV2" s="130">
        <f>AV93-'FO 19 abr-19'!AV93</f>
        <v>0</v>
      </c>
      <c r="AW2" s="129">
        <f>AW93-'FO 19 abr-19'!AW93</f>
        <v>0</v>
      </c>
      <c r="AX2" s="131">
        <f>AX93-'FO 19 abr-19'!AX93</f>
        <v>0</v>
      </c>
      <c r="AY2" s="131">
        <f>AY93-'FO 19 abr-19'!AY93</f>
        <v>0</v>
      </c>
      <c r="AZ2" s="131">
        <f>AZ93-'FO 19 abr-19'!AZ93</f>
        <v>0</v>
      </c>
      <c r="BA2" s="131">
        <f>BA93-'FO 19 abr-19'!BA93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f>SUM(R4:R29)-6000000</f>
        <v>9660273.2552000042</v>
      </c>
      <c r="S30" s="20">
        <f>SUM(S4:S29)+4000000</f>
        <v>19220367.735199999</v>
      </c>
      <c r="T30" s="20">
        <f t="shared" ref="T30:V30" si="1">SUM(T4:T29)</f>
        <v>16050949.595199998</v>
      </c>
      <c r="U30" s="20">
        <f t="shared" si="1"/>
        <v>15592619.245200001</v>
      </c>
      <c r="V30" s="33">
        <f t="shared" si="1"/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835765.25917800004</v>
      </c>
    </row>
    <row r="31" spans="1:54" s="4" customFormat="1" ht="15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2">SUM(B36:BA36)/1000</f>
        <v>0</v>
      </c>
    </row>
    <row r="37" spans="1:54" s="4" customFormat="1" ht="15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2"/>
        <v>0</v>
      </c>
    </row>
    <row r="38" spans="1:54" s="4" customFormat="1" ht="15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2"/>
        <v>0</v>
      </c>
    </row>
    <row r="39" spans="1:54" s="4" customFormat="1" ht="15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2"/>
        <v>0</v>
      </c>
    </row>
    <row r="40" spans="1:54" s="4" customFormat="1" ht="15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2"/>
        <v>0</v>
      </c>
    </row>
    <row r="41" spans="1:54" s="4" customFormat="1" ht="15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2"/>
        <v>0</v>
      </c>
    </row>
    <row r="42" spans="1:54" s="4" customFormat="1" ht="15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2"/>
        <v>-7458.1111500000015</v>
      </c>
    </row>
    <row r="43" spans="1:54" s="4" customFormat="1" ht="15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2"/>
        <v>-87185.968030000018</v>
      </c>
    </row>
    <row r="44" spans="1:54" s="4" customFormat="1" ht="15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2"/>
        <v>-2887.2982099999999</v>
      </c>
    </row>
    <row r="45" spans="1:54" s="4" customFormat="1" ht="15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2"/>
        <v>-12617.774820000001</v>
      </c>
    </row>
    <row r="46" spans="1:54" s="4" customFormat="1" ht="15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2"/>
        <v>-14101.460000000006</v>
      </c>
    </row>
    <row r="47" spans="1:54" s="150" customFormat="1" ht="15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2"/>
        <v>-38073.157719999996</v>
      </c>
    </row>
    <row r="48" spans="1:54" s="150" customFormat="1" ht="15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2"/>
        <v>0</v>
      </c>
    </row>
    <row r="49" spans="1:54" s="150" customFormat="1" ht="15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2"/>
        <v>-41265.697110000001</v>
      </c>
    </row>
    <row r="50" spans="1:54" s="150" customFormat="1" ht="15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2"/>
        <v>0</v>
      </c>
    </row>
    <row r="51" spans="1:54" s="4" customFormat="1" ht="15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2"/>
        <v>0</v>
      </c>
    </row>
    <row r="52" spans="1:54" s="4" customFormat="1" ht="15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2"/>
        <v>0</v>
      </c>
    </row>
    <row r="53" spans="1:54" s="4" customFormat="1" ht="15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2"/>
        <v>0</v>
      </c>
    </row>
    <row r="54" spans="1:54" s="4" customFormat="1" ht="15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2"/>
        <v>0</v>
      </c>
    </row>
    <row r="55" spans="1:54" s="4" customFormat="1" ht="15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2"/>
        <v>0</v>
      </c>
    </row>
    <row r="56" spans="1:54" s="4" customFormat="1" ht="15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2"/>
        <v>0</v>
      </c>
    </row>
    <row r="57" spans="1:54" s="4" customFormat="1" ht="15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2"/>
        <v>0</v>
      </c>
    </row>
    <row r="58" spans="1:54" s="4" customFormat="1" ht="15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2"/>
        <v>0</v>
      </c>
    </row>
    <row r="59" spans="1:54" s="4" customFormat="1" ht="15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2"/>
        <v>-7295.2921800000031</v>
      </c>
    </row>
    <row r="60" spans="1:54" s="6" customFormat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2"/>
        <v>-671.62031000000002</v>
      </c>
    </row>
    <row r="61" spans="1:54" s="6" customFormat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2"/>
        <v>-3738.0051999999991</v>
      </c>
    </row>
    <row r="62" spans="1:54" s="4" customFormat="1" ht="15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>
        <v>0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2"/>
        <v>-9801.3733800000009</v>
      </c>
    </row>
    <row r="63" spans="1:54" s="4" customFormat="1" ht="15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2"/>
        <v>0</v>
      </c>
    </row>
    <row r="64" spans="1:54" s="4" customFormat="1" ht="15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2"/>
        <v>0</v>
      </c>
    </row>
    <row r="65" spans="1:54" s="4" customFormat="1" ht="15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2"/>
        <v>-5872.389720000001</v>
      </c>
    </row>
    <row r="66" spans="1:54" s="4" customFormat="1" ht="15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2"/>
        <v>0</v>
      </c>
    </row>
    <row r="67" spans="1:54" s="4" customFormat="1" ht="15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2"/>
        <v>-9834.7172799999935</v>
      </c>
    </row>
    <row r="68" spans="1:54" s="4" customFormat="1" ht="15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3" si="3">SUM(B68:BA68)/1000</f>
        <v>-66469.142690000008</v>
      </c>
    </row>
    <row r="69" spans="1:54" s="4" customFormat="1" ht="15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3"/>
        <v>0</v>
      </c>
    </row>
    <row r="70" spans="1:54" s="4" customFormat="1" ht="15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3"/>
        <v>0</v>
      </c>
    </row>
    <row r="71" spans="1:54" s="4" customFormat="1" ht="15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3"/>
        <v>0</v>
      </c>
    </row>
    <row r="72" spans="1:54" s="4" customFormat="1" ht="15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3"/>
        <v>0</v>
      </c>
    </row>
    <row r="73" spans="1:54" s="5" customFormat="1" ht="12.75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3"/>
        <v>-20923.817430000003</v>
      </c>
    </row>
    <row r="74" spans="1:54" s="4" customFormat="1" ht="15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3"/>
        <v>0</v>
      </c>
    </row>
    <row r="75" spans="1:54" s="4" customFormat="1" ht="15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3"/>
        <v>-14219.099450000005</v>
      </c>
    </row>
    <row r="76" spans="1:54" s="4" customFormat="1" ht="15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3"/>
        <v>0</v>
      </c>
    </row>
    <row r="77" spans="1:54" s="4" customFormat="1" ht="15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3"/>
        <v>0</v>
      </c>
    </row>
    <row r="78" spans="1:54" s="4" customFormat="1" ht="15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3"/>
        <v>0</v>
      </c>
    </row>
    <row r="79" spans="1:54" s="4" customFormat="1" ht="15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3"/>
        <v>-2201.531660000001</v>
      </c>
    </row>
    <row r="80" spans="1:54" s="4" customFormat="1" ht="15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3"/>
        <v>0</v>
      </c>
    </row>
    <row r="81" spans="1:54" s="4" customFormat="1" ht="15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3"/>
        <v>0</v>
      </c>
    </row>
    <row r="82" spans="1:54" s="118" customFormat="1" ht="15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-17434466.23</v>
      </c>
      <c r="T82" s="121">
        <v>-7161543.1799999997</v>
      </c>
      <c r="U82" s="121">
        <v>-7090014.5999999996</v>
      </c>
      <c r="V82" s="120">
        <v>-6984412.2599999998</v>
      </c>
      <c r="W82" s="121">
        <v>-7379520.6299999999</v>
      </c>
      <c r="X82" s="121">
        <v>-7778664.8099999996</v>
      </c>
      <c r="Y82" s="121">
        <v>-7884354.3899999997</v>
      </c>
      <c r="Z82" s="120">
        <v>-18390699.390000001</v>
      </c>
      <c r="AA82" s="121">
        <v>-8234803.6499999985</v>
      </c>
      <c r="AB82" s="121">
        <v>-8305503.9500000002</v>
      </c>
      <c r="AC82" s="121">
        <v>-21961089.510000002</v>
      </c>
      <c r="AD82" s="121">
        <v>-8100804.7999999998</v>
      </c>
      <c r="AE82" s="120">
        <v>-8274917.0599999996</v>
      </c>
      <c r="AF82" s="121">
        <v>-5305707.0199999996</v>
      </c>
      <c r="AG82" s="121">
        <v>-5487818.4900000002</v>
      </c>
      <c r="AH82" s="121">
        <v>-4656731.1100000003</v>
      </c>
      <c r="AI82" s="120">
        <v>-3545922.64</v>
      </c>
      <c r="AJ82" s="121">
        <v>-3861351.33</v>
      </c>
      <c r="AK82" s="121">
        <v>-17668918.870000001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-4102576.63</v>
      </c>
      <c r="AR82" s="120">
        <v>-3818466.9</v>
      </c>
      <c r="AS82" s="121">
        <v>-4001555.48</v>
      </c>
      <c r="AT82" s="121">
        <v>-17459329.57</v>
      </c>
      <c r="AU82" s="121">
        <v>-2647869.0499999998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3"/>
        <v>-298133.30588</v>
      </c>
    </row>
    <row r="83" spans="1:54" s="4" customFormat="1" ht="15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3"/>
        <v>0</v>
      </c>
    </row>
    <row r="84" spans="1:54" s="4" customFormat="1" ht="15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3"/>
        <v>0</v>
      </c>
    </row>
    <row r="85" spans="1:54" s="4" customFormat="1" ht="15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3"/>
        <v>0</v>
      </c>
    </row>
    <row r="86" spans="1:54" s="4" customFormat="1" ht="15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3"/>
        <v>0</v>
      </c>
    </row>
    <row r="87" spans="1:54" s="4" customFormat="1" ht="15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3"/>
        <v>-1497.4779499999995</v>
      </c>
    </row>
    <row r="88" spans="1:54" s="4" customFormat="1" ht="15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3"/>
        <v>-3313.09872</v>
      </c>
    </row>
    <row r="89" spans="1:54" s="4" customFormat="1" ht="15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3"/>
        <v>-121145.05378999992</v>
      </c>
    </row>
    <row r="90" spans="1:54" s="4" customFormat="1" ht="15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3"/>
        <v>-625.05939999999987</v>
      </c>
    </row>
    <row r="91" spans="1:54" s="4" customFormat="1" ht="15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3"/>
        <v>0</v>
      </c>
    </row>
    <row r="92" spans="1:54" s="4" customFormat="1" ht="15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3"/>
        <v>-42058.383220000003</v>
      </c>
    </row>
    <row r="93" spans="1:54" s="4" customFormat="1" ht="12.75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f>SUM(R31:R92)</f>
        <v>-18623701.550000001</v>
      </c>
      <c r="S93" s="18">
        <f t="shared" ref="S93:V93" si="4">SUM(S31:S92)</f>
        <v>-24756524</v>
      </c>
      <c r="T93" s="18">
        <f t="shared" si="4"/>
        <v>-21411314.57</v>
      </c>
      <c r="U93" s="18">
        <f t="shared" si="4"/>
        <v>-13736303.860000001</v>
      </c>
      <c r="V93" s="32">
        <f t="shared" si="4"/>
        <v>-16369705.849999998</v>
      </c>
      <c r="W93" s="18">
        <v>-12552092.98</v>
      </c>
      <c r="X93" s="18">
        <v>-17788064.849999998</v>
      </c>
      <c r="Y93" s="18">
        <v>-16261963.719999999</v>
      </c>
      <c r="Z93" s="32">
        <v>-27820810.780000005</v>
      </c>
      <c r="AA93" s="18">
        <v>-14854845.600000001</v>
      </c>
      <c r="AB93" s="18">
        <v>-17866356.66</v>
      </c>
      <c r="AC93" s="18">
        <v>-34398886.719999999</v>
      </c>
      <c r="AD93" s="18">
        <v>-14614461.970000001</v>
      </c>
      <c r="AE93" s="32">
        <v>-19127327.099999998</v>
      </c>
      <c r="AF93" s="18">
        <v>-13412671.43</v>
      </c>
      <c r="AG93" s="18">
        <v>-20190865.999999996</v>
      </c>
      <c r="AH93" s="18">
        <v>-10912626.510000002</v>
      </c>
      <c r="AI93" s="32">
        <v>-13256741.48</v>
      </c>
      <c r="AJ93" s="18">
        <v>-8962618.5099999998</v>
      </c>
      <c r="AK93" s="18">
        <v>-28167174.390000001</v>
      </c>
      <c r="AL93" s="18">
        <v>-12243056.460000001</v>
      </c>
      <c r="AM93" s="32">
        <v>-8718983.8399999999</v>
      </c>
      <c r="AN93" s="18">
        <v>-15554169.98</v>
      </c>
      <c r="AO93" s="18">
        <v>-11188004.940000001</v>
      </c>
      <c r="AP93" s="18">
        <v>-18676700.07</v>
      </c>
      <c r="AQ93" s="18">
        <v>-10731461.460000001</v>
      </c>
      <c r="AR93" s="32">
        <v>-14794713.380000001</v>
      </c>
      <c r="AS93" s="18">
        <v>-10531059.859999998</v>
      </c>
      <c r="AT93" s="18">
        <v>-29150049.590000004</v>
      </c>
      <c r="AU93" s="18">
        <v>-11334479.059999999</v>
      </c>
      <c r="AV93" s="32">
        <v>-10584905.029999999</v>
      </c>
      <c r="AW93" s="18">
        <v>-6051544.3200000003</v>
      </c>
      <c r="AX93" s="18">
        <v>-18544856.539999999</v>
      </c>
      <c r="AY93" s="18">
        <v>-9561972.540000001</v>
      </c>
      <c r="AZ93" s="18">
        <v>-6328038.8300000001</v>
      </c>
      <c r="BA93" s="18">
        <v>-9761719.5800000001</v>
      </c>
      <c r="BB93" s="37">
        <f t="shared" si="3"/>
        <v>-793805.38529000059</v>
      </c>
    </row>
    <row r="94" spans="1:54" s="8" customFormat="1" ht="12.75">
      <c r="A94" s="7" t="s">
        <v>1</v>
      </c>
      <c r="B94" s="21">
        <f t="shared" ref="B94:Q94" si="5">B30+B93</f>
        <v>16436818.079999994</v>
      </c>
      <c r="C94" s="21">
        <f t="shared" si="5"/>
        <v>2892569.9699999988</v>
      </c>
      <c r="D94" s="21">
        <f t="shared" si="5"/>
        <v>5759561.1500000004</v>
      </c>
      <c r="E94" s="36">
        <f t="shared" si="5"/>
        <v>5463141.25</v>
      </c>
      <c r="F94" s="21">
        <f t="shared" si="5"/>
        <v>5815922.0000000009</v>
      </c>
      <c r="G94" s="21">
        <f t="shared" si="5"/>
        <v>2372866.3200000022</v>
      </c>
      <c r="H94" s="21">
        <f t="shared" si="5"/>
        <v>1719194</v>
      </c>
      <c r="I94" s="36">
        <f t="shared" si="5"/>
        <v>1649674.9000000004</v>
      </c>
      <c r="J94" s="21">
        <f t="shared" si="5"/>
        <v>5548984.299999997</v>
      </c>
      <c r="K94" s="21">
        <f t="shared" si="5"/>
        <v>2158884.3899999969</v>
      </c>
      <c r="L94" s="21">
        <f t="shared" si="5"/>
        <v>2905503.870000001</v>
      </c>
      <c r="M94" s="36">
        <f t="shared" si="5"/>
        <v>-8043246.629999999</v>
      </c>
      <c r="N94" s="21">
        <f t="shared" si="5"/>
        <v>5593122.0999999978</v>
      </c>
      <c r="O94" s="21">
        <f t="shared" si="5"/>
        <v>-5987461.3800000008</v>
      </c>
      <c r="P94" s="21">
        <f t="shared" si="5"/>
        <v>713113.50999999978</v>
      </c>
      <c r="Q94" s="36">
        <f t="shared" si="5"/>
        <v>495350.28999999911</v>
      </c>
      <c r="R94" s="21">
        <f>R30+R93</f>
        <v>-8963428.2947999965</v>
      </c>
      <c r="S94" s="21">
        <f t="shared" ref="S94:V94" si="6">S30+S93</f>
        <v>-5536156.2648000009</v>
      </c>
      <c r="T94" s="21">
        <f t="shared" si="6"/>
        <v>-5360364.9748000018</v>
      </c>
      <c r="U94" s="21">
        <f t="shared" si="6"/>
        <v>1856315.3851999994</v>
      </c>
      <c r="V94" s="36">
        <f t="shared" si="6"/>
        <v>-728628.06480000168</v>
      </c>
      <c r="W94" s="21">
        <v>3641954.243999999</v>
      </c>
      <c r="X94" s="21">
        <v>-1885781.3059999961</v>
      </c>
      <c r="Y94" s="21">
        <v>-28435.03599999845</v>
      </c>
      <c r="Z94" s="36">
        <v>-11565556.166000007</v>
      </c>
      <c r="AA94" s="21">
        <v>806923.55119999871</v>
      </c>
      <c r="AB94" s="21">
        <v>-2113272.9187999982</v>
      </c>
      <c r="AC94" s="21">
        <v>-18714438.868799999</v>
      </c>
      <c r="AD94" s="21">
        <v>1196550.6011999957</v>
      </c>
      <c r="AE94" s="36">
        <v>-3361135.5887999982</v>
      </c>
      <c r="AF94" s="21">
        <v>2313458.1829999983</v>
      </c>
      <c r="AG94" s="21">
        <v>-4598616.946999995</v>
      </c>
      <c r="AH94" s="21">
        <v>4534413.8729999978</v>
      </c>
      <c r="AI94" s="36">
        <v>2141764.3530000001</v>
      </c>
      <c r="AJ94" s="21">
        <v>6627230.0310000014</v>
      </c>
      <c r="AK94" s="21">
        <v>-12416400.649</v>
      </c>
      <c r="AL94" s="21">
        <v>3710461.1709999982</v>
      </c>
      <c r="AM94" s="36">
        <v>7333422.1610000003</v>
      </c>
      <c r="AN94" s="21">
        <v>287880.82280000113</v>
      </c>
      <c r="AO94" s="21">
        <v>4683806.7227999959</v>
      </c>
      <c r="AP94" s="21">
        <v>-2910573.2971999999</v>
      </c>
      <c r="AQ94" s="21">
        <v>5016723.9527999964</v>
      </c>
      <c r="AR94" s="36">
        <v>508035.82279999554</v>
      </c>
      <c r="AS94" s="21">
        <v>4968924.3100000024</v>
      </c>
      <c r="AT94" s="21">
        <v>-12986868.010000007</v>
      </c>
      <c r="AU94" s="21">
        <v>4464397.7800000012</v>
      </c>
      <c r="AV94" s="36">
        <v>5628964.8000000026</v>
      </c>
      <c r="AW94" s="21">
        <v>11411205.060000002</v>
      </c>
      <c r="AX94" s="21">
        <v>-1056341.8699999973</v>
      </c>
      <c r="AY94" s="21">
        <v>9238895.6100000013</v>
      </c>
      <c r="AZ94" s="21">
        <v>12104842.65</v>
      </c>
      <c r="BA94" s="21">
        <v>-3784297.0599999996</v>
      </c>
      <c r="BB94" s="37">
        <f>SUM(B94:BA94)/1000</f>
        <v>41959.873887999966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</f>
        <v>76165.287616000001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835765.25917799992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</f>
        <v>-94897.549830000004</v>
      </c>
      <c r="G101" s="60">
        <f>SUM(W93:Z93)/1000</f>
        <v>-74422.932329999996</v>
      </c>
      <c r="H101" s="60">
        <f>SUM(AA93:AE93)/1000</f>
        <v>-100861.87805</v>
      </c>
      <c r="I101" s="39">
        <f>SUM(AF93:AI93)/1000</f>
        <v>-57772.905420000003</v>
      </c>
      <c r="J101" s="39">
        <f>SUM(AJ93:AM93)/1000</f>
        <v>-58091.833200000001</v>
      </c>
      <c r="K101" s="39">
        <f>SUM(AN93:AR93)/1000</f>
        <v>-70945.049830000004</v>
      </c>
      <c r="L101" s="39">
        <f>SUM(AS93:AV93)/1000</f>
        <v>-61600.493540000003</v>
      </c>
      <c r="M101" s="39">
        <f>SUM(AW93:BA93)/1000</f>
        <v>-50248.131809999992</v>
      </c>
      <c r="N101" s="60">
        <f>SUM(B101:M101)</f>
        <v>-793805.38529000012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7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-18732.262214000002</v>
      </c>
      <c r="G102" s="60">
        <f t="shared" si="7"/>
        <v>-9837.8182639999941</v>
      </c>
      <c r="H102" s="60">
        <f t="shared" si="7"/>
        <v>-22185.373223999995</v>
      </c>
      <c r="I102" s="60">
        <f t="shared" si="7"/>
        <v>4391.0194619999966</v>
      </c>
      <c r="J102" s="60">
        <f t="shared" si="7"/>
        <v>5254.7127140000011</v>
      </c>
      <c r="K102" s="60">
        <f t="shared" si="7"/>
        <v>7585.8740239999897</v>
      </c>
      <c r="L102" s="60">
        <f t="shared" si="7"/>
        <v>2075.4188799999974</v>
      </c>
      <c r="M102" s="60">
        <f>SUM(M100:M101)</f>
        <v>27914.304390000005</v>
      </c>
      <c r="N102" s="60">
        <f>SUM(B102:M102)</f>
        <v>41959.873887999973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19 abr-19'!N100</f>
        <v>-150.79804000002332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19 abr-19'!N100</f>
        <v>-150.79804000002332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8">C99</f>
        <v>43497</v>
      </c>
      <c r="D105" s="52">
        <f t="shared" si="8"/>
        <v>43525</v>
      </c>
      <c r="E105" s="52">
        <f t="shared" si="8"/>
        <v>43556</v>
      </c>
      <c r="F105" s="52">
        <f t="shared" si="8"/>
        <v>43586</v>
      </c>
      <c r="G105" s="52">
        <f t="shared" si="8"/>
        <v>43617</v>
      </c>
      <c r="H105" s="52">
        <f t="shared" si="8"/>
        <v>43647</v>
      </c>
      <c r="I105" s="52">
        <f t="shared" si="8"/>
        <v>43678</v>
      </c>
      <c r="J105" s="52">
        <f t="shared" si="8"/>
        <v>43709</v>
      </c>
      <c r="K105" s="52">
        <f t="shared" si="8"/>
        <v>43739</v>
      </c>
      <c r="L105" s="52">
        <f t="shared" si="8"/>
        <v>43770</v>
      </c>
      <c r="M105" s="52">
        <f t="shared" si="8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-440.60198000000042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9">SUM(C106:C107)</f>
        <v>7.3460000000004584</v>
      </c>
      <c r="D108" s="22">
        <f t="shared" si="9"/>
        <v>-250.65999999999985</v>
      </c>
      <c r="E108" s="22">
        <f t="shared" si="9"/>
        <v>-1124.4709999999995</v>
      </c>
      <c r="F108" s="22">
        <f t="shared" si="9"/>
        <v>288.63700000000063</v>
      </c>
      <c r="G108" s="22">
        <f t="shared" si="9"/>
        <v>224.22299999999814</v>
      </c>
      <c r="H108" s="22">
        <f t="shared" si="9"/>
        <v>-93.138999999995576</v>
      </c>
      <c r="I108" s="39">
        <f t="shared" si="9"/>
        <v>204.61399999999776</v>
      </c>
      <c r="J108" s="39">
        <f t="shared" si="9"/>
        <v>406.04999999999563</v>
      </c>
      <c r="K108" s="39">
        <f t="shared" si="9"/>
        <v>518.8169999999991</v>
      </c>
      <c r="L108" s="39">
        <f t="shared" si="9"/>
        <v>834.60699999999633</v>
      </c>
      <c r="M108" s="39">
        <f t="shared" si="9"/>
        <v>41.70400000000518</v>
      </c>
      <c r="N108" s="59">
        <f>SUM(B108:M108)</f>
        <v>2112.8819999999978</v>
      </c>
      <c r="O108" s="133">
        <f>N108-SUM('FO 19 abr-19'!B108:M108)</f>
        <v>0</v>
      </c>
      <c r="P108" s="78">
        <f>N101-'FO 19 abr-19'!N101</f>
        <v>-440.60198000026867</v>
      </c>
      <c r="Q108" s="61" t="s">
        <v>103</v>
      </c>
      <c r="R108" s="63"/>
      <c r="S108" s="23" t="s">
        <v>126</v>
      </c>
      <c r="T108" s="115">
        <f>SUM(R47:BA50)/1000-SUM('FO 19 abr-19'!R47:BA50)/1000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SUM(R82:BA82)/1000-SUM('FO 19 abr-19'!R82:BA82)/1000</f>
        <v>-790.55857000002288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SUM(R31:BA92)/1000-SUM('FO 19 abr-19'!R31:BA92)/1000-T108-T109</f>
        <v>-1048.727089999913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10">C99</f>
        <v>43497</v>
      </c>
      <c r="D111" s="52">
        <f t="shared" si="10"/>
        <v>43525</v>
      </c>
      <c r="E111" s="52">
        <f t="shared" si="10"/>
        <v>43556</v>
      </c>
      <c r="F111" s="52">
        <f t="shared" si="10"/>
        <v>43586</v>
      </c>
      <c r="G111" s="52">
        <f t="shared" si="10"/>
        <v>43617</v>
      </c>
      <c r="H111" s="52">
        <f t="shared" si="10"/>
        <v>43647</v>
      </c>
      <c r="I111" s="52">
        <f t="shared" si="10"/>
        <v>43678</v>
      </c>
      <c r="J111" s="52">
        <f t="shared" si="10"/>
        <v>43709</v>
      </c>
      <c r="K111" s="52">
        <f t="shared" si="10"/>
        <v>43739</v>
      </c>
      <c r="L111" s="52">
        <f t="shared" si="10"/>
        <v>43770</v>
      </c>
      <c r="M111" s="52">
        <f t="shared" si="10"/>
        <v>43800</v>
      </c>
      <c r="P111" s="39">
        <f>N102-'FO 19 abr-19'!N102</f>
        <v>-591.40002000000095</v>
      </c>
      <c r="Q111" s="119"/>
      <c r="S111" s="70" t="s">
        <v>129</v>
      </c>
      <c r="T111" s="77">
        <f>SUM(T108:T110)</f>
        <v>-1839.2856599999359</v>
      </c>
      <c r="U111" s="71">
        <f>Q2/1000</f>
        <v>1398.6836799999996</v>
      </c>
      <c r="V111" s="75">
        <f>SUM(T111:U111)</f>
        <v>-440.60197999993625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-591.40002000029199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11">SUM(C112:C113)</f>
        <v>0</v>
      </c>
      <c r="D114" s="26">
        <f t="shared" si="11"/>
        <v>0</v>
      </c>
      <c r="E114" s="26">
        <f t="shared" si="11"/>
        <v>0</v>
      </c>
      <c r="F114" s="26">
        <f t="shared" si="11"/>
        <v>0</v>
      </c>
      <c r="G114" s="26">
        <f t="shared" si="11"/>
        <v>0</v>
      </c>
      <c r="H114" s="26">
        <f t="shared" si="11"/>
        <v>0</v>
      </c>
      <c r="I114" s="26">
        <f t="shared" si="11"/>
        <v>0</v>
      </c>
      <c r="J114" s="26">
        <f t="shared" si="11"/>
        <v>0</v>
      </c>
      <c r="K114" s="26">
        <f t="shared" si="11"/>
        <v>0</v>
      </c>
      <c r="L114" s="26">
        <f t="shared" si="11"/>
        <v>0</v>
      </c>
      <c r="M114" s="26">
        <f t="shared" si="11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2573.8378031708103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12">C99</f>
        <v>43497</v>
      </c>
      <c r="D117" s="1">
        <f t="shared" si="12"/>
        <v>43525</v>
      </c>
      <c r="E117" s="1">
        <f t="shared" si="12"/>
        <v>43556</v>
      </c>
      <c r="F117" s="1">
        <f t="shared" si="12"/>
        <v>43586</v>
      </c>
      <c r="G117" s="1">
        <f t="shared" si="12"/>
        <v>43617</v>
      </c>
      <c r="H117" s="1">
        <f t="shared" si="12"/>
        <v>43647</v>
      </c>
      <c r="I117" s="1">
        <f t="shared" si="12"/>
        <v>43678</v>
      </c>
      <c r="J117" s="1">
        <f t="shared" si="12"/>
        <v>43709</v>
      </c>
      <c r="K117" s="1">
        <f t="shared" si="12"/>
        <v>43739</v>
      </c>
      <c r="L117" s="1">
        <f t="shared" si="12"/>
        <v>43770</v>
      </c>
      <c r="M117" s="1">
        <f t="shared" si="12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3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87928.997616000008</v>
      </c>
      <c r="G118" s="26">
        <f t="shared" si="13"/>
        <v>76257.984066000005</v>
      </c>
      <c r="H118" s="26">
        <f t="shared" si="13"/>
        <v>90214.944826000006</v>
      </c>
      <c r="I118" s="26">
        <f t="shared" si="13"/>
        <v>73850.387881999995</v>
      </c>
      <c r="J118" s="26">
        <f t="shared" si="13"/>
        <v>75219.758914000005</v>
      </c>
      <c r="K118" s="26">
        <f t="shared" si="13"/>
        <v>90372.770853999988</v>
      </c>
      <c r="L118" s="26">
        <f t="shared" si="13"/>
        <v>75639.063420000006</v>
      </c>
      <c r="M118" s="26">
        <f t="shared" si="13"/>
        <v>89325.690199999997</v>
      </c>
      <c r="N118" s="64">
        <f>SUM(B118:M118)</f>
        <v>973890.23117799999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3"/>
        <v>-72374.237469999993</v>
      </c>
      <c r="E119" s="26">
        <f>E101+E107+E113</f>
        <v>-69962.135510000007</v>
      </c>
      <c r="F119" s="26">
        <f>F101+F107+F113</f>
        <v>-106372.62283000001</v>
      </c>
      <c r="G119" s="26">
        <f t="shared" si="13"/>
        <v>-85871.579329999993</v>
      </c>
      <c r="H119" s="26">
        <f t="shared" si="13"/>
        <v>-112493.45705</v>
      </c>
      <c r="I119" s="26">
        <f t="shared" si="13"/>
        <v>-69254.754420000012</v>
      </c>
      <c r="J119" s="26">
        <f t="shared" si="13"/>
        <v>-69558.996199999994</v>
      </c>
      <c r="K119" s="26">
        <f t="shared" si="13"/>
        <v>-82268.079830000002</v>
      </c>
      <c r="L119" s="26">
        <f t="shared" si="13"/>
        <v>-72729.037540000019</v>
      </c>
      <c r="M119" s="26">
        <f>M101+M107+M113</f>
        <v>-61369.681809999987</v>
      </c>
      <c r="N119" s="64">
        <f>SUM(B119:M119)</f>
        <v>-929817.47528999986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4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-18443.625214</v>
      </c>
      <c r="G120" s="56">
        <f t="shared" si="14"/>
        <v>-9613.5952639999887</v>
      </c>
      <c r="H120" s="56">
        <f t="shared" si="14"/>
        <v>-22278.512223999991</v>
      </c>
      <c r="I120" s="56">
        <f t="shared" si="14"/>
        <v>4595.6334619999834</v>
      </c>
      <c r="J120" s="56">
        <f t="shared" si="14"/>
        <v>5660.7627140000113</v>
      </c>
      <c r="K120" s="56">
        <f t="shared" si="14"/>
        <v>8104.6910239999852</v>
      </c>
      <c r="L120" s="56">
        <f t="shared" si="14"/>
        <v>2910.0258799999865</v>
      </c>
      <c r="M120" s="56">
        <f>SUM(M118:M119)</f>
        <v>27956.00839000001</v>
      </c>
      <c r="N120" s="65">
        <f>SUM(B120:M120)</f>
        <v>44072.755887999978</v>
      </c>
      <c r="O120" s="65">
        <f>'FO 19 abr-19'!N120+P112+O108</f>
        <v>44072.755887999687</v>
      </c>
      <c r="P120" s="133">
        <f>O120-N120</f>
        <v>-2.9103830456733704E-10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41350.511437999994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59590.087078829187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25684.258094000019</v>
      </c>
      <c r="G123" s="26">
        <f>SUM($B$121:G121)-SUM($B$120:G120)</f>
        <v>33301.853358000008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63276.550078829183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910117.5999258291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5.8457510956862748</v>
      </c>
      <c r="C126" s="43">
        <f>B126*4</f>
        <v>23.383004382745099</v>
      </c>
      <c r="S126" s="92" t="s">
        <v>144</v>
      </c>
      <c r="U126" s="104">
        <f>T124-U124</f>
        <v>-11309.319921170696</v>
      </c>
      <c r="X126" s="104">
        <f>W124-X124</f>
        <v>-19388.155153000087</v>
      </c>
      <c r="Z126" s="89"/>
      <c r="AA126" s="89">
        <f>Z124-AA124</f>
        <v>-30697.475074170856</v>
      </c>
      <c r="AB126" s="112">
        <f>(X126+U126)/(T122+W122)</f>
        <v>-9.6720398021435131E-2</v>
      </c>
      <c r="AC126" s="111">
        <f>AA126/Z124</f>
        <v>-3.3729130253796404E-2</v>
      </c>
    </row>
    <row r="127" spans="1:30" ht="15" hidden="1">
      <c r="A127" s="42" t="s">
        <v>121</v>
      </c>
      <c r="B127" s="43">
        <f>-(AVERAGE(B89:BA89)+AVERAGE(B68:BA68))/1000000</f>
        <v>3.6787097349019593</v>
      </c>
      <c r="C127" s="43">
        <f>B127*4</f>
        <v>14.714838939607837</v>
      </c>
      <c r="Z127" s="89"/>
      <c r="AA127" s="89"/>
    </row>
    <row r="128" spans="1:30" ht="15.75" hidden="1">
      <c r="A128" s="44" t="s">
        <v>104</v>
      </c>
      <c r="B128" s="45">
        <f>SUM(B124:B127)</f>
        <v>11.98052211980392</v>
      </c>
      <c r="C128" s="45">
        <f>SUM(C124:C127)</f>
        <v>47.922088479215681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-2573.8378031708103</v>
      </c>
      <c r="U134" s="14"/>
      <c r="V134" s="83">
        <f>W134/W138</f>
        <v>4.455094969621852E-2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13.715060534101612</v>
      </c>
      <c r="C136" s="45">
        <f>C128+C131+C134</f>
        <v>54.860242136406448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-24716.947728722429</v>
      </c>
      <c r="U137" s="101">
        <f>'[1]Proy. 2018'!$D$116-'[1]Proy. 2018'!$C$116-U136</f>
        <v>-38522.038500000075</v>
      </c>
      <c r="V137" s="103"/>
      <c r="W137" s="101">
        <f>SUM(AK31:BA92)/1000-SUM(W132:W136)</f>
        <v>-173929.95432085998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27.501827353988467</v>
      </c>
      <c r="C138" s="47">
        <f>C136+C137</f>
        <v>68.647008956293305</v>
      </c>
      <c r="S138" s="40" t="s">
        <v>133</v>
      </c>
      <c r="T138" s="80">
        <f>I101</f>
        <v>-57772.905420000003</v>
      </c>
      <c r="W138" s="80">
        <f>SUM(AK93:BA93)/1000</f>
        <v>-231922.88987000004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-69254.754420000012</v>
      </c>
      <c r="W141" s="80">
        <f>SUM(W138:W140)</f>
        <v>-276963.17687000008</v>
      </c>
      <c r="X141" s="24"/>
      <c r="Z141" s="80">
        <f>R141+T141+W141</f>
        <v>-928867.9312900001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-55199.06761682919</v>
      </c>
      <c r="U143" s="80">
        <f>U145-U144</f>
        <v>-54186.39900000018</v>
      </c>
      <c r="W143" s="80">
        <f>W138-W134</f>
        <v>-221590.50487000003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-58680.916616829192</v>
      </c>
      <c r="U145" s="85">
        <f>'[1]Proy. 2018'!$D$61</f>
        <v>-57037.396000000183</v>
      </c>
      <c r="W145" s="85">
        <f>SUM(W143:W144)</f>
        <v>-234630.79187000004</v>
      </c>
      <c r="X145" s="85">
        <f>SUM('[1]Proy. 2018'!$E$61:$H$61)</f>
        <v>-260447.245</v>
      </c>
      <c r="Z145" s="85">
        <f>R141+T145+W145</f>
        <v>-875961.7084868293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-1643.5206168290097</v>
      </c>
      <c r="V147" s="40"/>
      <c r="W147" s="40"/>
      <c r="X147" s="104">
        <f>W145-X145</f>
        <v>25816.453129999951</v>
      </c>
      <c r="Z147" s="90"/>
      <c r="AA147" s="89">
        <f>Z145-AA145</f>
        <v>24172.932513170876</v>
      </c>
      <c r="AB147" s="112">
        <f>(X147+U147)/(W145+T145)</f>
        <v>-8.2413800110050478E-2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-3207.7866168291148</v>
      </c>
      <c r="V149" s="106"/>
      <c r="W149" s="106"/>
      <c r="X149" s="106">
        <f>W132-X132+W136-X136+W137-X137</f>
        <v>17419.764130000112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13922.45810999989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34155.891438999795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-5347.3266210002039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-6524.5425609999802</v>
      </c>
    </row>
    <row r="157" spans="1:30" ht="12.75" hidden="1">
      <c r="A157" s="18">
        <v>-8256517.8300000001</v>
      </c>
      <c r="AA157" s="10">
        <f>Z154-AA154</f>
        <v>-6524.5425609999802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BB200"/>
  <sheetViews>
    <sheetView showGridLines="0" zoomScaleNormal="100" workbookViewId="0">
      <pane xSplit="1" topLeftCell="N1" activePane="topRight" state="frozen"/>
      <selection pane="topRight" activeCell="S103" sqref="S103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>
        <f>P93-'FO 12 abr-19'!P93</f>
        <v>9921684.7599999998</v>
      </c>
      <c r="Q2" s="130">
        <f>Q93-'FO 12 abr-19'!Q93</f>
        <v>-9687338.3600000013</v>
      </c>
      <c r="R2" s="129">
        <f>R93-'FO 12 abr-19'!R93</f>
        <v>-433361.43999999762</v>
      </c>
      <c r="S2" s="129">
        <f>S93-'FO 12 abr-19'!S93</f>
        <v>-11971836.070000006</v>
      </c>
      <c r="T2" s="129">
        <f>T93-'FO 12 abr-19'!T93</f>
        <v>11970709</v>
      </c>
      <c r="U2" s="129">
        <f>U93-'FO 12 abr-19'!U93</f>
        <v>0</v>
      </c>
      <c r="V2" s="130">
        <f>V93-'FO 12 abr-19'!V93</f>
        <v>0</v>
      </c>
      <c r="W2" s="129">
        <f>W93-'FO 12 abr-19'!W93</f>
        <v>0</v>
      </c>
      <c r="X2" s="129">
        <f>X93-'FO 12 abr-19'!X93</f>
        <v>0</v>
      </c>
      <c r="Y2" s="129">
        <f>Y93-'FO 12 abr-19'!Y93</f>
        <v>0</v>
      </c>
      <c r="Z2" s="130">
        <f>Z93-'FO 12 abr-19'!Z93</f>
        <v>-10506345.000000004</v>
      </c>
      <c r="AA2" s="129">
        <f>AA93-'FO 12 abr-19'!AA93</f>
        <v>12080123.600000001</v>
      </c>
      <c r="AB2" s="129">
        <f>AB93-'FO 12 abr-19'!AB93</f>
        <v>-41766.560000002384</v>
      </c>
      <c r="AC2" s="129">
        <f>AC93-'FO 12 abr-19'!AC93</f>
        <v>-52778.64999999851</v>
      </c>
      <c r="AD2" s="129">
        <f>AD93-'FO 12 abr-19'!AD93</f>
        <v>-70272.319999998435</v>
      </c>
      <c r="AE2" s="130">
        <f>AE93-'FO 12 abr-19'!AE93</f>
        <v>-74295.760000001639</v>
      </c>
      <c r="AF2" s="129">
        <f>AF93-'FO 12 abr-19'!AF93</f>
        <v>-41005.969999998808</v>
      </c>
      <c r="AG2" s="129">
        <f>AG93-'FO 12 abr-19'!AG93</f>
        <v>-47399.380000002682</v>
      </c>
      <c r="AH2" s="129">
        <f>AH93-'FO 12 abr-19'!AH93</f>
        <v>792286.02999999933</v>
      </c>
      <c r="AI2" s="130">
        <f>AI93-'FO 12 abr-19'!AI93</f>
        <v>1148326.8300000019</v>
      </c>
      <c r="AJ2" s="129">
        <f>AJ93-'FO 12 abr-19'!AJ93</f>
        <v>293086.86000000127</v>
      </c>
      <c r="AK2" s="129">
        <f>AK93-'FO 12 abr-19'!AK93</f>
        <v>0</v>
      </c>
      <c r="AL2" s="129">
        <f>AL93-'FO 12 abr-19'!AL93</f>
        <v>0</v>
      </c>
      <c r="AM2" s="130">
        <f>AM93-'FO 12 abr-19'!AM93</f>
        <v>0</v>
      </c>
      <c r="AN2" s="129">
        <f>AN93-'FO 12 abr-19'!AN93</f>
        <v>0</v>
      </c>
      <c r="AO2" s="129">
        <f>AO93-'FO 12 abr-19'!AO93</f>
        <v>0</v>
      </c>
      <c r="AP2" s="129">
        <f>AP93-'FO 12 abr-19'!AP93</f>
        <v>0</v>
      </c>
      <c r="AQ2" s="129">
        <f>AQ93-'FO 12 abr-19'!AQ93</f>
        <v>0</v>
      </c>
      <c r="AR2" s="130">
        <f>AR93-'FO 12 abr-19'!AR93</f>
        <v>0</v>
      </c>
      <c r="AS2" s="129">
        <f>AS93-'FO 12 abr-19'!AS93</f>
        <v>0</v>
      </c>
      <c r="AT2" s="129">
        <f>AT93-'FO 12 abr-19'!AT93</f>
        <v>0</v>
      </c>
      <c r="AU2" s="129">
        <f>AU93-'FO 12 abr-19'!AU93</f>
        <v>0</v>
      </c>
      <c r="AV2" s="130">
        <f>AV93-'FO 12 abr-19'!AV93</f>
        <v>0</v>
      </c>
      <c r="AW2" s="129">
        <f>AW93-'FO 12 abr-19'!AW93</f>
        <v>0</v>
      </c>
      <c r="AX2" s="131">
        <f>AX93-'FO 12 abr-19'!AX93</f>
        <v>0</v>
      </c>
      <c r="AY2" s="131">
        <f>AY93-'FO 12 abr-19'!AY93</f>
        <v>0</v>
      </c>
      <c r="AZ2" s="131">
        <f>AZ93-'FO 12 abr-19'!AZ93</f>
        <v>0</v>
      </c>
      <c r="BA2" s="131">
        <f>BA93-'FO 12 abr-19'!BA93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835916.05721800018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-7259.0877100000007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-2764.6712499999999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-41265.697110000001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-6967.5634300000038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-3738.0051999999991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-10064.993480000001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-6060.0769900000005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-10160.641699999993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-68763.533719999992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-21623.783620000002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-14293.297590000006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-2287.6938300000011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-4429114.1100000003</v>
      </c>
      <c r="S82" s="121">
        <v>-17341525.460000001</v>
      </c>
      <c r="T82" s="121">
        <v>-7535888</v>
      </c>
      <c r="U82" s="121">
        <v>-7487994.0700000003</v>
      </c>
      <c r="V82" s="120">
        <v>-7350510.6799999997</v>
      </c>
      <c r="W82" s="121">
        <v>-7497313.5800000001</v>
      </c>
      <c r="X82" s="121">
        <v>-7796279.7400000002</v>
      </c>
      <c r="Y82" s="121">
        <v>-7884354.3899999997</v>
      </c>
      <c r="Z82" s="120">
        <v>-18390699.390000001</v>
      </c>
      <c r="AA82" s="121">
        <v>-8236787.8099999987</v>
      </c>
      <c r="AB82" s="121">
        <v>-8310464.3499999996</v>
      </c>
      <c r="AC82" s="121">
        <v>-21948710.559999999</v>
      </c>
      <c r="AD82" s="121">
        <v>-8101741.7599999998</v>
      </c>
      <c r="AE82" s="120">
        <v>-8061395.0099999998</v>
      </c>
      <c r="AF82" s="121">
        <v>-5296606.34</v>
      </c>
      <c r="AG82" s="121">
        <v>-5578814.2699999996</v>
      </c>
      <c r="AH82" s="121">
        <v>-4758419.3</v>
      </c>
      <c r="AI82" s="120">
        <v>-3471792.25</v>
      </c>
      <c r="AJ82" s="121">
        <v>-3866100.09</v>
      </c>
      <c r="AK82" s="121">
        <v>-17650201.629999999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-4085237.28</v>
      </c>
      <c r="AR82" s="120">
        <v>-3800576.39</v>
      </c>
      <c r="AS82" s="121">
        <v>-4001555.48</v>
      </c>
      <c r="AT82" s="121">
        <v>-17440061.170000002</v>
      </c>
      <c r="AU82" s="121">
        <v>-2590063.86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2"/>
        <v>-297342.74730999995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-1544.5341399999995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-3773.5750599999997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-115031.3287899999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-645.34645999999998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-43312.991369999996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-18314324.870000001</v>
      </c>
      <c r="R93" s="18">
        <v>-15838364.579999996</v>
      </c>
      <c r="S93" s="18">
        <v>-24663583.230000004</v>
      </c>
      <c r="T93" s="18">
        <v>-21785659.390000001</v>
      </c>
      <c r="U93" s="18">
        <v>-14134283.33</v>
      </c>
      <c r="V93" s="32">
        <v>-16735804.27</v>
      </c>
      <c r="W93" s="18">
        <v>-12669885.93</v>
      </c>
      <c r="X93" s="18">
        <v>-17805679.779999997</v>
      </c>
      <c r="Y93" s="18">
        <v>-16261963.719999999</v>
      </c>
      <c r="Z93" s="32">
        <v>-27820810.780000005</v>
      </c>
      <c r="AA93" s="18">
        <v>-14856829.760000002</v>
      </c>
      <c r="AB93" s="18">
        <v>-17871317.060000002</v>
      </c>
      <c r="AC93" s="18">
        <v>-34386507.769999996</v>
      </c>
      <c r="AD93" s="18">
        <v>-14615398.93</v>
      </c>
      <c r="AE93" s="32">
        <v>-18913805.050000001</v>
      </c>
      <c r="AF93" s="18">
        <v>-13403570.75</v>
      </c>
      <c r="AG93" s="18">
        <v>-20281861.779999997</v>
      </c>
      <c r="AH93" s="18">
        <v>-11014314.700000001</v>
      </c>
      <c r="AI93" s="32">
        <v>-13182611.09</v>
      </c>
      <c r="AJ93" s="18">
        <v>-8967367.2699999996</v>
      </c>
      <c r="AK93" s="18">
        <v>-28148457.149999999</v>
      </c>
      <c r="AL93" s="18">
        <v>-12243056.460000001</v>
      </c>
      <c r="AM93" s="32">
        <v>-8718983.8399999999</v>
      </c>
      <c r="AN93" s="18">
        <v>-15554169.98</v>
      </c>
      <c r="AO93" s="18">
        <v>-11188004.940000001</v>
      </c>
      <c r="AP93" s="18">
        <v>-18676700.07</v>
      </c>
      <c r="AQ93" s="18">
        <v>-10714122.109999999</v>
      </c>
      <c r="AR93" s="32">
        <v>-14776822.870000001</v>
      </c>
      <c r="AS93" s="18">
        <v>-10531059.859999998</v>
      </c>
      <c r="AT93" s="18">
        <v>-29130781.190000005</v>
      </c>
      <c r="AU93" s="18">
        <v>-11276673.869999999</v>
      </c>
      <c r="AV93" s="32">
        <v>-10584905.029999999</v>
      </c>
      <c r="AW93" s="18">
        <v>-6051544.3200000003</v>
      </c>
      <c r="AX93" s="18">
        <v>-18544856.539999999</v>
      </c>
      <c r="AY93" s="18">
        <v>-9561972.540000001</v>
      </c>
      <c r="AZ93" s="18">
        <v>-6328038.8300000001</v>
      </c>
      <c r="BA93" s="18">
        <v>-9761719.5800000001</v>
      </c>
      <c r="BB93" s="37">
        <f t="shared" si="2"/>
        <v>-793364.78331000032</v>
      </c>
    </row>
    <row r="94" spans="1:54" s="8" customFormat="1" ht="12.75">
      <c r="A94" s="7" t="s">
        <v>1</v>
      </c>
      <c r="B94" s="21">
        <f t="shared" ref="B94:P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f t="shared" si="3"/>
        <v>5548984.299999997</v>
      </c>
      <c r="K94" s="21">
        <f t="shared" si="3"/>
        <v>2158884.3899999969</v>
      </c>
      <c r="L94" s="21">
        <f t="shared" si="3"/>
        <v>2905503.870000001</v>
      </c>
      <c r="M94" s="36">
        <f t="shared" si="3"/>
        <v>-8043246.629999999</v>
      </c>
      <c r="N94" s="21">
        <f t="shared" si="3"/>
        <v>5593122.0999999978</v>
      </c>
      <c r="O94" s="21">
        <f t="shared" si="3"/>
        <v>-5987461.3800000008</v>
      </c>
      <c r="P94" s="21">
        <f t="shared" si="3"/>
        <v>713113.50999999978</v>
      </c>
      <c r="Q94" s="36">
        <v>-2752535.3499999996</v>
      </c>
      <c r="R94" s="21">
        <v>-178091.32479999214</v>
      </c>
      <c r="S94" s="21">
        <v>-9443215.4948000051</v>
      </c>
      <c r="T94" s="21">
        <v>-5734709.7948000021</v>
      </c>
      <c r="U94" s="21">
        <v>1458335.9152000006</v>
      </c>
      <c r="V94" s="36">
        <v>-1094726.4848000035</v>
      </c>
      <c r="W94" s="21">
        <v>3524161.2939999998</v>
      </c>
      <c r="X94" s="21">
        <v>-1903396.2359999958</v>
      </c>
      <c r="Y94" s="21">
        <v>-28435.03599999845</v>
      </c>
      <c r="Z94" s="36">
        <v>-11565556.166000007</v>
      </c>
      <c r="AA94" s="21">
        <v>804939.39119999856</v>
      </c>
      <c r="AB94" s="21">
        <v>-2118233.3188000005</v>
      </c>
      <c r="AC94" s="21">
        <v>-18702059.918799996</v>
      </c>
      <c r="AD94" s="21">
        <v>1195613.6411999967</v>
      </c>
      <c r="AE94" s="36">
        <v>-3147613.5388000011</v>
      </c>
      <c r="AF94" s="21">
        <v>2322558.862999998</v>
      </c>
      <c r="AG94" s="21">
        <v>-4689612.7269999962</v>
      </c>
      <c r="AH94" s="21">
        <v>4432725.6829999983</v>
      </c>
      <c r="AI94" s="36">
        <v>2215894.7430000007</v>
      </c>
      <c r="AJ94" s="21">
        <v>6622481.2710000016</v>
      </c>
      <c r="AK94" s="21">
        <v>-12397683.408999998</v>
      </c>
      <c r="AL94" s="21">
        <v>3710461.1709999982</v>
      </c>
      <c r="AM94" s="36">
        <v>7333422.1610000003</v>
      </c>
      <c r="AN94" s="21">
        <v>287880.82280000113</v>
      </c>
      <c r="AO94" s="21">
        <v>4683806.7227999959</v>
      </c>
      <c r="AP94" s="21">
        <v>-2910573.2971999999</v>
      </c>
      <c r="AQ94" s="21">
        <v>5034063.3027999979</v>
      </c>
      <c r="AR94" s="36">
        <v>525926.33279999532</v>
      </c>
      <c r="AS94" s="21">
        <v>4968924.3100000024</v>
      </c>
      <c r="AT94" s="21">
        <v>-12967599.610000009</v>
      </c>
      <c r="AU94" s="21">
        <v>4522202.9700000007</v>
      </c>
      <c r="AV94" s="36">
        <v>5628964.8000000026</v>
      </c>
      <c r="AW94" s="21">
        <v>11411205.060000002</v>
      </c>
      <c r="AX94" s="21">
        <v>-1056341.8699999973</v>
      </c>
      <c r="AY94" s="21">
        <v>9238895.6100000013</v>
      </c>
      <c r="AZ94" s="21">
        <v>12104842.65</v>
      </c>
      <c r="BA94" s="21">
        <v>-3784297.0599999996</v>
      </c>
      <c r="BB94" s="37">
        <f t="shared" si="2"/>
        <v>42551.273907999966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57108.243069999997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835916.05721799994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-59542.00419</v>
      </c>
      <c r="F101" s="60">
        <f>SUM(R93:V93)/1000</f>
        <v>-93157.694799999997</v>
      </c>
      <c r="G101" s="60">
        <f>SUM(W93:Z93)/1000</f>
        <v>-74558.340209999995</v>
      </c>
      <c r="H101" s="60">
        <f>SUM(AA93:AE93)/1000</f>
        <v>-100643.85857000001</v>
      </c>
      <c r="I101" s="39">
        <f>SUM(AF93:AI93)/1000</f>
        <v>-57882.358320000007</v>
      </c>
      <c r="J101" s="39">
        <f>SUM(AJ93:AM93)/1000</f>
        <v>-58077.864719999998</v>
      </c>
      <c r="K101" s="39">
        <f>SUM(AN93:AR93)/1000</f>
        <v>-70909.819969999997</v>
      </c>
      <c r="L101" s="39">
        <f>SUM(AS93:AV93)/1000</f>
        <v>-61523.419950000003</v>
      </c>
      <c r="M101" s="39">
        <f>SUM(AW93:BA93)/1000</f>
        <v>-50248.131809999992</v>
      </c>
      <c r="N101" s="60">
        <f>SUM(B101:M101)</f>
        <v>-793364.78330999985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-2433.7611200000028</v>
      </c>
      <c r="F102" s="60">
        <f>SUM(F100:F101)</f>
        <v>-14992.407183999996</v>
      </c>
      <c r="G102" s="60">
        <f t="shared" si="4"/>
        <v>-9973.2261439999929</v>
      </c>
      <c r="H102" s="60">
        <f t="shared" si="4"/>
        <v>-21967.353744000007</v>
      </c>
      <c r="I102" s="60">
        <f t="shared" si="4"/>
        <v>4281.5665619999927</v>
      </c>
      <c r="J102" s="60">
        <f t="shared" si="4"/>
        <v>5268.6811940000043</v>
      </c>
      <c r="K102" s="60">
        <f t="shared" si="4"/>
        <v>7621.1038839999965</v>
      </c>
      <c r="L102" s="60">
        <f t="shared" si="4"/>
        <v>2152.4924699999974</v>
      </c>
      <c r="M102" s="60">
        <f>SUM(M100:M101)</f>
        <v>27914.304390000005</v>
      </c>
      <c r="N102" s="60">
        <f>SUM(B102:M102)</f>
        <v>42551.273907999974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12 abr-19'!N100</f>
        <v>-3542.2521999999881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12 abr-19'!N100</f>
        <v>-3542.2521999999881</v>
      </c>
      <c r="Q104" s="73" t="s">
        <v>292</v>
      </c>
      <c r="T104" s="151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151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3279.8175699999929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12 abr-19'!B108:M108)</f>
        <v>0</v>
      </c>
      <c r="P108" s="78">
        <f>N101-'FO 12 abr-19'!N101</f>
        <v>3279.8175699999556</v>
      </c>
      <c r="Q108" s="61" t="s">
        <v>103</v>
      </c>
      <c r="R108" s="63"/>
      <c r="S108" s="23" t="s">
        <v>126</v>
      </c>
      <c r="T108" s="115">
        <f>SUM(Q47:BA50)/1000-SUM('FO 12 abr-19'!Q47:BA50)/1000</f>
        <v>-6970.9799099999873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SUM(Q82:BA82)/1000-SUM('FO 12 abr-19'!Q82:BA82)/1000</f>
        <v>1254.8053800000052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SUM(Q31:BA92)/1000-SUM('FO 12 abr-19'!Q31:BA92)/1000-T108-T109</f>
        <v>-925.69265999840718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12 abr-19'!N102</f>
        <v>-262.43463000004704</v>
      </c>
      <c r="Q111" s="119"/>
      <c r="S111" s="70" t="s">
        <v>129</v>
      </c>
      <c r="T111" s="77">
        <f>SUM(T108:T110)</f>
        <v>-6641.8671899983892</v>
      </c>
      <c r="U111" s="71">
        <f>P2/1000</f>
        <v>9921.6847600000001</v>
      </c>
      <c r="V111" s="75">
        <f>SUM(T111:U111)</f>
        <v>3279.8175700016109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-262.43463000003248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2580.1716556578708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67802.587069999994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974041.02921800001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-71360.819190000009</v>
      </c>
      <c r="F119" s="26">
        <f>F101+F107+F113</f>
        <v>-104632.7678</v>
      </c>
      <c r="G119" s="26">
        <f t="shared" si="10"/>
        <v>-86006.987209999992</v>
      </c>
      <c r="H119" s="26">
        <f t="shared" si="10"/>
        <v>-112275.43757000001</v>
      </c>
      <c r="I119" s="26">
        <f t="shared" si="10"/>
        <v>-69364.207320000016</v>
      </c>
      <c r="J119" s="26">
        <f t="shared" si="10"/>
        <v>-69545.027719999998</v>
      </c>
      <c r="K119" s="26">
        <f t="shared" si="10"/>
        <v>-82232.849969999996</v>
      </c>
      <c r="L119" s="26">
        <f t="shared" si="10"/>
        <v>-72651.963950000005</v>
      </c>
      <c r="M119" s="26">
        <f>M101+M107+M113</f>
        <v>-61369.681809999987</v>
      </c>
      <c r="N119" s="64">
        <f>SUM(B119:M119)</f>
        <v>-929376.87331000005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-3558.2321200000151</v>
      </c>
      <c r="F120" s="56">
        <f>SUM(F118:F119)</f>
        <v>-14703.770183999994</v>
      </c>
      <c r="G120" s="56">
        <f t="shared" si="11"/>
        <v>-9749.0031439999875</v>
      </c>
      <c r="H120" s="56">
        <f t="shared" si="11"/>
        <v>-22060.492744000003</v>
      </c>
      <c r="I120" s="56">
        <f t="shared" si="11"/>
        <v>4486.1805619999795</v>
      </c>
      <c r="J120" s="56">
        <f t="shared" si="11"/>
        <v>5674.7311940000072</v>
      </c>
      <c r="K120" s="56">
        <f t="shared" si="11"/>
        <v>8139.9208839999919</v>
      </c>
      <c r="L120" s="56">
        <f t="shared" si="11"/>
        <v>2987.099470000001</v>
      </c>
      <c r="M120" s="56">
        <f>SUM(M118:M119)</f>
        <v>27956.00839000001</v>
      </c>
      <c r="N120" s="65">
        <f>SUM(B120:M120)</f>
        <v>44664.155907999979</v>
      </c>
      <c r="O120" s="65">
        <f>'FO 12 abr-19'!N120+P112+O108</f>
        <v>44664.155908000037</v>
      </c>
      <c r="P120" s="133">
        <f>O120-N120</f>
        <v>5.8207660913467407E-11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41941.911457999995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59583.753226342131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7737.5185200000269</v>
      </c>
      <c r="F123" s="26">
        <f>SUM($B$121:F121)-SUM($B$120:F120)</f>
        <v>25192.288704000021</v>
      </c>
      <c r="G123" s="26">
        <f>SUM($B$121:G121)-SUM($B$120:G120)</f>
        <v>32945.291848000008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63270.216226342134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910111.26607334218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5.8302499472549005</v>
      </c>
      <c r="C126" s="43">
        <f>B126*4</f>
        <v>23.320999789019602</v>
      </c>
      <c r="S126" s="92" t="s">
        <v>144</v>
      </c>
      <c r="U126" s="104">
        <f>T124-U124</f>
        <v>-11315.653773657745</v>
      </c>
      <c r="X126" s="104">
        <f>W124-X124</f>
        <v>-19388.155153000087</v>
      </c>
      <c r="Z126" s="89"/>
      <c r="AA126" s="89">
        <f>Z124-AA124</f>
        <v>-30703.808926657774</v>
      </c>
      <c r="AB126" s="112">
        <f>(X126+U126)/(T122+W122)</f>
        <v>-9.6742285107837625E-2</v>
      </c>
      <c r="AC126" s="111">
        <f>AA126/Z124</f>
        <v>-3.3736324415726417E-2</v>
      </c>
    </row>
    <row r="127" spans="1:30" ht="15" hidden="1">
      <c r="A127" s="42" t="s">
        <v>121</v>
      </c>
      <c r="B127" s="43">
        <f>-(AVERAGE(B89:BA89)+AVERAGE(B68:BA68))/1000000</f>
        <v>3.6038208335294097</v>
      </c>
      <c r="C127" s="43">
        <f>B127*4</f>
        <v>14.415283334117639</v>
      </c>
      <c r="Z127" s="89"/>
      <c r="AA127" s="89"/>
    </row>
    <row r="128" spans="1:30" ht="15.75" hidden="1">
      <c r="A128" s="44" t="s">
        <v>104</v>
      </c>
      <c r="B128" s="45">
        <f>SUM(B124:B127)</f>
        <v>11.890132069999996</v>
      </c>
      <c r="C128" s="45">
        <f>SUM(C124:C127)</f>
        <v>47.560528279999986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-2580.1716556578708</v>
      </c>
      <c r="U134" s="14"/>
      <c r="V134" s="83">
        <f>W134/W138</f>
        <v>4.4576132185103937E-2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13.624670484297688</v>
      </c>
      <c r="C136" s="45">
        <f>C128+C131+C134</f>
        <v>54.498681937190753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-24820.066776235377</v>
      </c>
      <c r="U137" s="101">
        <f>'[1]Proy. 2018'!$D$116-'[1]Proy. 2018'!$C$116-U136</f>
        <v>-38522.038500000075</v>
      </c>
      <c r="V137" s="103"/>
      <c r="W137" s="101">
        <f>SUM(AK31:BA92)/1000-SUM(W132:W136)</f>
        <v>-173798.93363085997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27.411437304184542</v>
      </c>
      <c r="C138" s="47">
        <f>C136+C137</f>
        <v>68.285448757077603</v>
      </c>
      <c r="S138" s="40" t="s">
        <v>133</v>
      </c>
      <c r="T138" s="80">
        <f>I101</f>
        <v>-57882.358320000007</v>
      </c>
      <c r="W138" s="80">
        <f>SUM(AK93:BA93)/1000</f>
        <v>-231791.86918000001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-69364.207320000016</v>
      </c>
      <c r="W141" s="80">
        <f>SUM(W138:W140)</f>
        <v>-276832.15618000005</v>
      </c>
      <c r="X141" s="24"/>
      <c r="Z141" s="80">
        <f>R141+T141+W141</f>
        <v>-928846.36350000009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-55302.186664342138</v>
      </c>
      <c r="U143" s="80">
        <f>U145-U144</f>
        <v>-54186.39900000018</v>
      </c>
      <c r="W143" s="80">
        <f>W138-W134</f>
        <v>-221459.48418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-58784.03566434214</v>
      </c>
      <c r="U145" s="85">
        <f>'[1]Proy. 2018'!$D$61</f>
        <v>-57037.396000000183</v>
      </c>
      <c r="W145" s="85">
        <f>SUM(W143:W144)</f>
        <v>-234499.77118000001</v>
      </c>
      <c r="X145" s="85">
        <f>SUM('[1]Proy. 2018'!$E$61:$H$61)</f>
        <v>-260447.245</v>
      </c>
      <c r="Z145" s="85">
        <f>R141+T145+W145</f>
        <v>-875933.80684434215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-1746.6396643419575</v>
      </c>
      <c r="V147" s="40"/>
      <c r="W147" s="40"/>
      <c r="X147" s="104">
        <f>W145-X145</f>
        <v>25947.473819999985</v>
      </c>
      <c r="Z147" s="90"/>
      <c r="AA147" s="89">
        <f>Z145-AA145</f>
        <v>24200.834155658027</v>
      </c>
      <c r="AB147" s="112">
        <f>(X147+U147)/(W145+T145)</f>
        <v>-8.2516775869942285E-2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-3310.9056643420627</v>
      </c>
      <c r="V149" s="106"/>
      <c r="W149" s="106"/>
      <c r="X149" s="106">
        <f>W132-X132+W136-X136+W137-X137</f>
        <v>17550.784820000117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13944.025899999891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34177.459228999796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-5325.7588310002029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-6502.9747709997464</v>
      </c>
    </row>
    <row r="157" spans="1:30" ht="12.75" hidden="1">
      <c r="A157" s="18">
        <v>-8256517.8300000001</v>
      </c>
      <c r="AA157" s="10">
        <f>Z154-AA154</f>
        <v>-6502.9747709999792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4"/>
  <dimension ref="A1:BB209"/>
  <sheetViews>
    <sheetView showGridLines="0" topLeftCell="A105" zoomScaleNormal="100" workbookViewId="0">
      <pane xSplit="1" topLeftCell="H1" activePane="topRight" state="frozen"/>
      <selection pane="topRight" activeCell="R109" sqref="R109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0" width="14.5703125" style="9" customWidth="1"/>
    <col min="31" max="32" width="16" style="9" bestFit="1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317</v>
      </c>
      <c r="AB1" s="17" t="s">
        <v>318</v>
      </c>
      <c r="AC1" s="17" t="s">
        <v>319</v>
      </c>
      <c r="AD1" s="17" t="s">
        <v>181</v>
      </c>
      <c r="AE1" s="30" t="s">
        <v>320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/>
      <c r="Z2" s="143"/>
      <c r="AA2" s="125"/>
      <c r="AB2" s="125"/>
      <c r="AC2" s="125"/>
      <c r="AD2" s="125"/>
      <c r="AE2" s="143">
        <f>AE93-'FO 31 jul-19'!AE93</f>
        <v>0</v>
      </c>
      <c r="AF2" s="125">
        <f>AF93-'FO 31 jul-19'!AF93</f>
        <v>-1316557.8614800014</v>
      </c>
      <c r="AG2" s="125">
        <f>AG93-'FO 31 jul-19'!AG93</f>
        <v>-147484.98450000212</v>
      </c>
      <c r="AH2" s="125">
        <f>AH93-'FO 31 jul-19'!AH93</f>
        <v>-1370000.8732500002</v>
      </c>
      <c r="AI2" s="143">
        <f>AI93-'FO 31 jul-19'!AI93</f>
        <v>334322.10781199858</v>
      </c>
      <c r="AJ2" s="125">
        <f>AJ93-'FO 31 jul-19'!AJ93</f>
        <v>-1093204.7722079996</v>
      </c>
      <c r="AK2" s="125">
        <f>AK93-'FO 31 jul-19'!AK93</f>
        <v>-105837.28835399821</v>
      </c>
      <c r="AL2" s="125">
        <f>AL93-'FO 31 jul-19'!AL93</f>
        <v>168102.42750000209</v>
      </c>
      <c r="AM2" s="143">
        <f>AM93-'FO 31 jul-19'!AM93</f>
        <v>33620.485500000417</v>
      </c>
      <c r="AN2" s="125">
        <f>AN93-'FO 31 jul-19'!AN93</f>
        <v>0</v>
      </c>
      <c r="AO2" s="125">
        <f>AO93-'FO 31 jul-19'!AO93</f>
        <v>0</v>
      </c>
      <c r="AP2" s="125">
        <f>AP93-'FO 31 jul-19'!AP93</f>
        <v>100861.45649999753</v>
      </c>
      <c r="AQ2" s="125">
        <f>AQ93-'FO 31 jul-19'!AQ93</f>
        <v>33620.485500000417</v>
      </c>
      <c r="AR2" s="143">
        <f>AR93-'FO 31 jul-19'!AR93</f>
        <v>201722.91300000064</v>
      </c>
      <c r="AS2" s="125">
        <f>AS93-'FO 31 jul-19'!AS93</f>
        <v>-134481.94199999981</v>
      </c>
      <c r="AT2" s="125">
        <f>AT93-'FO 31 jul-19'!AT93</f>
        <v>-67240.970999998972</v>
      </c>
      <c r="AU2" s="125">
        <f>AU93-'FO 31 jul-19'!AU93</f>
        <v>806891.65199999884</v>
      </c>
      <c r="AV2" s="143">
        <f>AV93-'FO 31 jul-19'!AV93</f>
        <v>268963.88399999961</v>
      </c>
      <c r="AW2" s="125">
        <f>AW93-'FO 31 jul-19'!AW93</f>
        <v>0</v>
      </c>
      <c r="AX2" s="13">
        <f>AX93-'FO 31 jul-19'!AX93</f>
        <v>0</v>
      </c>
      <c r="AY2" s="13">
        <f>AY93-'FO 31 jul-19'!AY93</f>
        <v>0</v>
      </c>
      <c r="AZ2" s="13">
        <f>AZ93-'FO 31 jul-19'!AZ93</f>
        <v>-2835000</v>
      </c>
      <c r="BA2" s="13">
        <f>BA93-'FO 31 jul-19'!BA93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16444946.720000001</v>
      </c>
      <c r="AA30" s="20">
        <v>14353658.390000001</v>
      </c>
      <c r="AB30" s="20">
        <v>15009712.960000003</v>
      </c>
      <c r="AC30" s="20">
        <v>15639811.489999998</v>
      </c>
      <c r="AD30" s="20">
        <v>13960500.590000002</v>
      </c>
      <c r="AE30" s="33">
        <v>15890776.691200005</v>
      </c>
      <c r="AF30" s="20">
        <v>15027882.954849999</v>
      </c>
      <c r="AG30" s="20">
        <v>14839205.155350005</v>
      </c>
      <c r="AH30" s="20">
        <v>14459049.640350001</v>
      </c>
      <c r="AI30" s="33">
        <v>14606261.34585</v>
      </c>
      <c r="AJ30" s="20">
        <v>14656894.206450004</v>
      </c>
      <c r="AK30" s="20">
        <v>14737904.259449996</v>
      </c>
      <c r="AL30" s="20">
        <v>15043976.836450001</v>
      </c>
      <c r="AM30" s="33">
        <v>15083137.489450002</v>
      </c>
      <c r="AN30" s="20">
        <v>16046391.454159999</v>
      </c>
      <c r="AO30" s="20">
        <v>16079020.486659996</v>
      </c>
      <c r="AP30" s="20">
        <v>16142483.279660001</v>
      </c>
      <c r="AQ30" s="20">
        <v>16127555.473659994</v>
      </c>
      <c r="AR30" s="33">
        <v>15928384.477659995</v>
      </c>
      <c r="AS30" s="20">
        <v>14647436.594499998</v>
      </c>
      <c r="AT30" s="20">
        <v>14409157.888999995</v>
      </c>
      <c r="AU30" s="20">
        <v>15371297.131499996</v>
      </c>
      <c r="AV30" s="33">
        <v>14916495.927000003</v>
      </c>
      <c r="AW30" s="20">
        <v>14442906.743500005</v>
      </c>
      <c r="AX30" s="20">
        <v>14732566.037499998</v>
      </c>
      <c r="AY30" s="20">
        <v>17678423.317500003</v>
      </c>
      <c r="AZ30" s="20">
        <v>18445137.328500003</v>
      </c>
      <c r="BA30" s="20">
        <v>5104206.5690000001</v>
      </c>
      <c r="BB30" s="37">
        <f>SUM(B30:BA30)/1000</f>
        <v>812001.37540919986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-365967.86</v>
      </c>
      <c r="AB42" s="24">
        <v>-396148.4</v>
      </c>
      <c r="AC42" s="24">
        <v>-459482.45</v>
      </c>
      <c r="AD42" s="24">
        <v>0</v>
      </c>
      <c r="AE42" s="31">
        <v>-442755.96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-10941.90465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-106730.5</v>
      </c>
      <c r="AC44" s="24">
        <v>-250063.94</v>
      </c>
      <c r="AD44" s="24">
        <v>0</v>
      </c>
      <c r="AE44" s="31">
        <v>-66181.84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-4995.7193300000008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-2497574.42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-38065.305719999997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-2020121.78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-41735.5985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0</v>
      </c>
      <c r="AB59" s="24">
        <v>-38280.82</v>
      </c>
      <c r="AC59" s="24">
        <v>-64188.23</v>
      </c>
      <c r="AD59" s="24">
        <v>-63681.3</v>
      </c>
      <c r="AE59" s="31">
        <v>-143570.01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-9179.5775999999951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0</v>
      </c>
      <c r="AB61" s="19">
        <v>-143791.47999999998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0</v>
      </c>
      <c r="AB62" s="24">
        <v>0</v>
      </c>
      <c r="AC62" s="24">
        <v>0</v>
      </c>
      <c r="AD62" s="24">
        <v>-56250</v>
      </c>
      <c r="AE62" s="31">
        <v>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-945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0</v>
      </c>
      <c r="AB65" s="24">
        <v>0</v>
      </c>
      <c r="AC65" s="24">
        <v>0</v>
      </c>
      <c r="AD65" s="24">
        <v>-195793.28</v>
      </c>
      <c r="AE65" s="31">
        <v>0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-3747.9414800000009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0</v>
      </c>
      <c r="AB67" s="24">
        <v>0</v>
      </c>
      <c r="AC67" s="24">
        <v>0</v>
      </c>
      <c r="AD67" s="24">
        <v>-300266.90999999997</v>
      </c>
      <c r="AE67" s="31">
        <v>0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-6462.3881900000015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0</v>
      </c>
      <c r="AB68" s="24">
        <v>0</v>
      </c>
      <c r="AC68" s="24">
        <v>0</v>
      </c>
      <c r="AD68" s="24">
        <v>-2241151.54</v>
      </c>
      <c r="AE68" s="31">
        <v>0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-43000.269440000004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0</v>
      </c>
      <c r="AB73" s="16">
        <v>0</v>
      </c>
      <c r="AC73" s="16">
        <v>0</v>
      </c>
      <c r="AD73" s="16">
        <v>-661359.80000000005</v>
      </c>
      <c r="AE73" s="35">
        <v>0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-13489.728429999997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0</v>
      </c>
      <c r="AB75" s="24">
        <v>-312.22000000000003</v>
      </c>
      <c r="AC75" s="24">
        <v>-3187.02</v>
      </c>
      <c r="AD75" s="24">
        <v>-330339.07</v>
      </c>
      <c r="AE75" s="31">
        <v>-125405.72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-12348.524680000002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0</v>
      </c>
      <c r="AB79" s="24">
        <v>0</v>
      </c>
      <c r="AC79" s="24">
        <v>0</v>
      </c>
      <c r="AD79" s="24">
        <v>-71345.320000000007</v>
      </c>
      <c r="AE79" s="31">
        <v>0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-1387.5160500000004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-10033212.369999999</v>
      </c>
      <c r="AB82" s="121">
        <v>-7921188.5099999998</v>
      </c>
      <c r="AC82" s="121">
        <v>-7744481.71</v>
      </c>
      <c r="AD82" s="121">
        <v>-11395884.449999999</v>
      </c>
      <c r="AE82" s="120">
        <v>-6765726.7300000004</v>
      </c>
      <c r="AF82" s="121">
        <v>-16826000.19148</v>
      </c>
      <c r="AG82" s="121">
        <v>-6290786.3645000001</v>
      </c>
      <c r="AH82" s="121">
        <v>-6210542.3432499999</v>
      </c>
      <c r="AI82" s="120">
        <v>-3563851.9621879999</v>
      </c>
      <c r="AJ82" s="121">
        <v>-3580021.692208</v>
      </c>
      <c r="AK82" s="121">
        <v>-5597877.5183540005</v>
      </c>
      <c r="AL82" s="121">
        <v>-3008539.6124999998</v>
      </c>
      <c r="AM82" s="120">
        <v>-14263983.884499999</v>
      </c>
      <c r="AN82" s="121">
        <v>-3372908.65</v>
      </c>
      <c r="AO82" s="121">
        <v>-4084938.4000000004</v>
      </c>
      <c r="AP82" s="121">
        <v>-6757972.0335000008</v>
      </c>
      <c r="AQ82" s="121">
        <v>-3444078.0844999999</v>
      </c>
      <c r="AR82" s="120">
        <v>-3279128.1670000004</v>
      </c>
      <c r="AS82" s="121">
        <v>-3702991.7419999996</v>
      </c>
      <c r="AT82" s="121">
        <v>-5132834.8309999993</v>
      </c>
      <c r="AU82" s="121">
        <v>-2704483.7479999997</v>
      </c>
      <c r="AV82" s="120">
        <v>-1649885.5159999998</v>
      </c>
      <c r="AW82" s="121">
        <v>-1629179.61</v>
      </c>
      <c r="AX82" s="19">
        <v>-1631644.89</v>
      </c>
      <c r="AY82" s="19">
        <v>-1746013.84</v>
      </c>
      <c r="AZ82" s="19">
        <v>-16960709.75</v>
      </c>
      <c r="BA82" s="19">
        <v>-1340508.46</v>
      </c>
      <c r="BB82" s="37">
        <f t="shared" si="1"/>
        <v>-291581.15282097994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0</v>
      </c>
      <c r="AB87" s="24">
        <v>0</v>
      </c>
      <c r="AC87" s="24">
        <v>0</v>
      </c>
      <c r="AD87" s="24">
        <v>-48713.34</v>
      </c>
      <c r="AE87" s="31">
        <v>0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-975.85678999999982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0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-1989.9277000000002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-9044567.5799999982</v>
      </c>
      <c r="AB89" s="24">
        <v>-5813639.6799999997</v>
      </c>
      <c r="AC89" s="24">
        <v>-6655042.8600000003</v>
      </c>
      <c r="AD89" s="24">
        <v>-822439.8</v>
      </c>
      <c r="AE89" s="31">
        <v>-6268094.6399999997</v>
      </c>
      <c r="AF89" s="24">
        <v>-2795735.15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-187513.74153999996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0</v>
      </c>
      <c r="AB90" s="24">
        <v>0</v>
      </c>
      <c r="AC90" s="24">
        <v>0</v>
      </c>
      <c r="AD90" s="24">
        <v>-20286.41</v>
      </c>
      <c r="AE90" s="31">
        <v>0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-401.74232999999998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0</v>
      </c>
      <c r="AB92" s="24">
        <v>0</v>
      </c>
      <c r="AC92" s="24">
        <v>-6643.36</v>
      </c>
      <c r="AD92" s="24">
        <v>-1381222.39</v>
      </c>
      <c r="AE92" s="31">
        <v>-52217.34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-27889.791630000011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-26318898.010000002</v>
      </c>
      <c r="AA93" s="18">
        <v>-13625629.18</v>
      </c>
      <c r="AB93" s="18">
        <v>-14520256.779999999</v>
      </c>
      <c r="AC93" s="18">
        <v>-20859355.800000001</v>
      </c>
      <c r="AD93" s="18">
        <v>-14281991.970000001</v>
      </c>
      <c r="AE93" s="32">
        <v>-18047260.969999999</v>
      </c>
      <c r="AF93" s="18">
        <v>-26660547.431479998</v>
      </c>
      <c r="AG93" s="18">
        <v>-18086214.4745</v>
      </c>
      <c r="AH93" s="18">
        <v>-14829222.803250002</v>
      </c>
      <c r="AI93" s="32">
        <v>-13053441.022188</v>
      </c>
      <c r="AJ93" s="18">
        <v>-8460059.0922079999</v>
      </c>
      <c r="AK93" s="18">
        <v>-15874903.258354001</v>
      </c>
      <c r="AL93" s="18">
        <v>-11339110.362500001</v>
      </c>
      <c r="AM93" s="32">
        <v>-19070482.0145</v>
      </c>
      <c r="AN93" s="18">
        <v>-14469511.260000002</v>
      </c>
      <c r="AO93" s="18">
        <v>-10819125.970000003</v>
      </c>
      <c r="AP93" s="18">
        <v>-20786669.643500004</v>
      </c>
      <c r="AQ93" s="18">
        <v>-9722201.2345000021</v>
      </c>
      <c r="AR93" s="32">
        <v>-14201350.477</v>
      </c>
      <c r="AS93" s="18">
        <v>-10178471.951999998</v>
      </c>
      <c r="AT93" s="18">
        <v>-16769530.680999998</v>
      </c>
      <c r="AU93" s="18">
        <v>-11337069.588</v>
      </c>
      <c r="AV93" s="32">
        <v>-10310451.375999998</v>
      </c>
      <c r="AW93" s="18">
        <v>-5776940.6600000001</v>
      </c>
      <c r="AX93" s="18">
        <v>-18270252.879999999</v>
      </c>
      <c r="AY93" s="18">
        <v>-9287368.8800000008</v>
      </c>
      <c r="AZ93" s="18">
        <v>-21323735.170000002</v>
      </c>
      <c r="BA93" s="18">
        <v>-9487115.9199999999</v>
      </c>
      <c r="BB93" s="37">
        <f>SUM(B93:BA93)/1000</f>
        <v>-771799.39163097972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:AE94" si="3">S30+S93</f>
        <v>4053118.3300000038</v>
      </c>
      <c r="T94" s="21">
        <f t="shared" si="3"/>
        <v>-4858120.33</v>
      </c>
      <c r="U94" s="21">
        <f t="shared" si="3"/>
        <v>-1478016.3599999975</v>
      </c>
      <c r="V94" s="36">
        <f t="shared" si="3"/>
        <v>-14088.769999999553</v>
      </c>
      <c r="W94" s="21">
        <f t="shared" si="3"/>
        <v>-1644028.3200000003</v>
      </c>
      <c r="X94" s="21">
        <f t="shared" si="3"/>
        <v>-3791137.3500000015</v>
      </c>
      <c r="Y94" s="21">
        <f t="shared" si="3"/>
        <v>3737626.5499999989</v>
      </c>
      <c r="Z94" s="36">
        <f t="shared" si="3"/>
        <v>-9873951.290000001</v>
      </c>
      <c r="AA94" s="21">
        <f t="shared" si="3"/>
        <v>728029.21000000089</v>
      </c>
      <c r="AB94" s="21">
        <f t="shared" si="3"/>
        <v>489456.18000000343</v>
      </c>
      <c r="AC94" s="21">
        <f t="shared" si="3"/>
        <v>-5219544.3100000024</v>
      </c>
      <c r="AD94" s="21">
        <f t="shared" si="3"/>
        <v>-321491.37999999896</v>
      </c>
      <c r="AE94" s="36">
        <f t="shared" si="3"/>
        <v>-2156484.2787999939</v>
      </c>
      <c r="AF94" s="21">
        <v>-11632664.476629999</v>
      </c>
      <c r="AG94" s="21">
        <v>-3247009.3191499952</v>
      </c>
      <c r="AH94" s="21">
        <v>-370173.16290000081</v>
      </c>
      <c r="AI94" s="36">
        <v>1552820.3236619998</v>
      </c>
      <c r="AJ94" s="21">
        <v>6196835.1142420042</v>
      </c>
      <c r="AK94" s="21">
        <v>-1136998.9989040047</v>
      </c>
      <c r="AL94" s="21">
        <v>3704866.4739500005</v>
      </c>
      <c r="AM94" s="36">
        <v>-3987344.5250499975</v>
      </c>
      <c r="AN94" s="21">
        <v>1576880.1941599976</v>
      </c>
      <c r="AO94" s="21">
        <v>5259894.5166599937</v>
      </c>
      <c r="AP94" s="21">
        <v>-4644186.3638400026</v>
      </c>
      <c r="AQ94" s="21">
        <v>6405354.239159992</v>
      </c>
      <c r="AR94" s="36">
        <v>1727034.0006599948</v>
      </c>
      <c r="AS94" s="21">
        <v>4468964.6425000001</v>
      </c>
      <c r="AT94" s="21">
        <v>-2360372.7920000032</v>
      </c>
      <c r="AU94" s="21">
        <v>4034227.5434999969</v>
      </c>
      <c r="AV94" s="36">
        <v>4606044.5510000046</v>
      </c>
      <c r="AW94" s="21">
        <v>8665966.0835000053</v>
      </c>
      <c r="AX94" s="21">
        <v>-3537686.8425000012</v>
      </c>
      <c r="AY94" s="21">
        <v>8391054.4375000019</v>
      </c>
      <c r="AZ94" s="21">
        <v>-2878597.8414999992</v>
      </c>
      <c r="BA94" s="21">
        <v>-4382909.3509999998</v>
      </c>
      <c r="BB94" s="37">
        <f>SUM(B94:BA94)/1000</f>
        <v>40201.983778219983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AA97" s="15"/>
      <c r="AB97" s="15"/>
      <c r="AC97" s="15"/>
      <c r="AD97" s="15"/>
      <c r="AE97" s="15">
        <v>11460426</v>
      </c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E98" s="15">
        <v>-15068146</v>
      </c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60674.244009999995</v>
      </c>
      <c r="H100" s="60">
        <f>SUM(AA30:AD30,AE97)/1000+H97</f>
        <v>70424.109430000011</v>
      </c>
      <c r="I100" s="60">
        <f>(SUM(AF30:AI30)+(AE30-AE97))/1000+I97</f>
        <v>63362.749787600005</v>
      </c>
      <c r="J100" s="60">
        <f>SUM(AJ30:AM30)/1000+J97</f>
        <v>59521.912791800001</v>
      </c>
      <c r="K100" s="60">
        <f>SUM(AN30:AR30)/1000+K97</f>
        <v>80323.83517179999</v>
      </c>
      <c r="L100" s="60">
        <f>SUM(AS30:AV30)/1000+L97</f>
        <v>59344.387541999989</v>
      </c>
      <c r="M100" s="60">
        <f>SUM(AW30:BA30)/1000+M97</f>
        <v>70403.239996000004</v>
      </c>
      <c r="N100" s="60">
        <f>SUM(B100:M100)</f>
        <v>812001.37540919986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-72245.734420000008</v>
      </c>
      <c r="H101" s="60">
        <f>SUM(AA93:AD93,AE98)/1000+H98</f>
        <v>-78355.379730000001</v>
      </c>
      <c r="I101" s="39">
        <f>(SUM(AF93:AI93)+(AE93-AE98))/1000+I98</f>
        <v>-75608.540701417995</v>
      </c>
      <c r="J101" s="39">
        <f>SUM(AJ93:AM93)/1000+J98</f>
        <v>-54744.554727562005</v>
      </c>
      <c r="K101" s="39">
        <f>SUM(AN93:AR93)/1000+K98</f>
        <v>-69998.858585000009</v>
      </c>
      <c r="L101" s="39">
        <f>SUM(AS93:AV93)/1000+L98</f>
        <v>-48595.523596999985</v>
      </c>
      <c r="M101" s="39">
        <f>SUM(AW93:BA93)/1000+M98</f>
        <v>-64145.413510000006</v>
      </c>
      <c r="N101" s="60">
        <f>SUM(B101:M101)</f>
        <v>-771799.39163097995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-11571.490410000013</v>
      </c>
      <c r="H102" s="60">
        <f t="shared" si="4"/>
        <v>-7931.2702999999892</v>
      </c>
      <c r="I102" s="60">
        <f t="shared" si="4"/>
        <v>-12245.790913817989</v>
      </c>
      <c r="J102" s="60">
        <f t="shared" si="4"/>
        <v>4777.3580642379966</v>
      </c>
      <c r="K102" s="60">
        <f t="shared" si="4"/>
        <v>10324.976586799981</v>
      </c>
      <c r="L102" s="60">
        <f t="shared" si="4"/>
        <v>10748.863945000005</v>
      </c>
      <c r="M102" s="60">
        <f>SUM(M100:M101)</f>
        <v>6257.8264859999981</v>
      </c>
      <c r="N102" s="60">
        <f>SUM(B102:M102)</f>
        <v>40201.983778219976</v>
      </c>
      <c r="O102" s="133">
        <f>BB94-N102+SUM(F97:M98)</f>
        <v>7.2759576141834259E-12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31 jul-19'!N100</f>
        <v>0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31 jul-19'!N100</f>
        <v>0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-5121.7032809800021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14 jun-19'!B108:M108)</f>
        <v>0</v>
      </c>
      <c r="P108" s="160">
        <f>N101-'FO 31 jul-19'!N101</f>
        <v>-5121.7032809800003</v>
      </c>
      <c r="Q108" s="61" t="s">
        <v>103</v>
      </c>
      <c r="R108" s="63"/>
      <c r="S108" s="23" t="s">
        <v>126</v>
      </c>
      <c r="T108" s="115">
        <f>SUM(AF47:BA50)/1000-SUM('FO 31 jul-19'!AF47:BA50)/1000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SUM(AF82:BA82)/1000-SUM('FO 31 jul-19'!AF82:BA82)/1000</f>
        <v>-3121.7032809800003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SUM(AF31:BA92)/1000-SUM('FO 31 jul-19'!AF31:BA92)/1000-T108-T109</f>
        <v>-2000.0000000001164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31 jul-19'!N102</f>
        <v>-5121.703280979993</v>
      </c>
      <c r="Q111" s="160" t="s">
        <v>321</v>
      </c>
      <c r="S111" s="70" t="s">
        <v>129</v>
      </c>
      <c r="T111" s="77">
        <f>SUM(T108:T110)</f>
        <v>-5121.7032809801167</v>
      </c>
      <c r="U111" s="71">
        <f>AE2/1000</f>
        <v>0</v>
      </c>
      <c r="V111" s="160">
        <f>SUM(T111:U111)</f>
        <v>-5121.7032809801167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-5121.7032809800003</v>
      </c>
      <c r="Q112" s="133" t="s">
        <v>321</v>
      </c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3411.0641595593688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63362.749787600005</v>
      </c>
      <c r="W117" s="80">
        <f>SUM(AK30:BA30)/1000</f>
        <v>254936.48129514998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72347.11400999999</v>
      </c>
      <c r="H118" s="26">
        <f t="shared" si="10"/>
        <v>81962.549430000014</v>
      </c>
      <c r="I118" s="26">
        <f t="shared" si="10"/>
        <v>75049.212787600001</v>
      </c>
      <c r="J118" s="26">
        <f t="shared" si="10"/>
        <v>71395.125791800005</v>
      </c>
      <c r="K118" s="26">
        <f t="shared" si="10"/>
        <v>92165.682171799985</v>
      </c>
      <c r="L118" s="26">
        <f t="shared" si="10"/>
        <v>71307.538541999995</v>
      </c>
      <c r="M118" s="26">
        <f t="shared" si="10"/>
        <v>81566.493996000005</v>
      </c>
      <c r="N118" s="64">
        <f>SUM(B118:M118)</f>
        <v>950126.34740919992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-83694.381420000005</v>
      </c>
      <c r="H119" s="26">
        <f>H101+H107+H113</f>
        <v>-89986.958729999998</v>
      </c>
      <c r="I119" s="26">
        <f>I101+I107+I113</f>
        <v>-87090.389701417997</v>
      </c>
      <c r="J119" s="26">
        <f>J101+J107+J113+J202/1000</f>
        <v>-66211.717727562005</v>
      </c>
      <c r="K119" s="26">
        <f>K101+K107+K113+K202/1000</f>
        <v>-81321.888585000008</v>
      </c>
      <c r="L119" s="26">
        <f>L101+L107+L113+L202/1000</f>
        <v>-59724.067596999994</v>
      </c>
      <c r="M119" s="26">
        <f>M101+M107+M113-J202/1000</f>
        <v>-75266.963510000001</v>
      </c>
      <c r="N119" s="64">
        <f>SUM(B119:M119)</f>
        <v>-907811.48163098004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-11347.267410000015</v>
      </c>
      <c r="H120" s="56">
        <f t="shared" si="11"/>
        <v>-8024.4092999999848</v>
      </c>
      <c r="I120" s="56">
        <f t="shared" si="11"/>
        <v>-12041.176913817995</v>
      </c>
      <c r="J120" s="56">
        <f t="shared" si="11"/>
        <v>5183.4080642379995</v>
      </c>
      <c r="K120" s="56">
        <f t="shared" si="11"/>
        <v>10843.793586799977</v>
      </c>
      <c r="L120" s="56">
        <f t="shared" si="11"/>
        <v>11583.470945000001</v>
      </c>
      <c r="M120" s="56">
        <f>SUM(M118:M119)</f>
        <v>6299.5304860000033</v>
      </c>
      <c r="N120" s="65">
        <f>SUM(B120:M120)</f>
        <v>42314.865778219981</v>
      </c>
      <c r="O120" s="65">
        <f>'FO 12 jul-19'!N120+P112+O108</f>
        <v>65974.27275261996</v>
      </c>
      <c r="P120" s="158"/>
      <c r="R120" s="86">
        <f>[1]EEFF!$H$63</f>
        <v>574206</v>
      </c>
      <c r="S120" s="40" t="s">
        <v>135</v>
      </c>
      <c r="T120" s="80">
        <f>SUM(T117:T119)</f>
        <v>75049.212787600001</v>
      </c>
      <c r="U120" s="9"/>
      <c r="V120" s="9"/>
      <c r="W120" s="80">
        <f>SUM(W117:W119)</f>
        <v>301777.94629514997</v>
      </c>
      <c r="X120" s="9"/>
      <c r="Y120" s="9"/>
      <c r="Z120" s="76">
        <f>R120+T120+W120</f>
        <v>951033.15908274997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54919.349458219986</v>
      </c>
      <c r="O121" s="38"/>
      <c r="P121" s="159"/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59951.685628040635</v>
      </c>
      <c r="U122" s="80">
        <f>U124-U123</f>
        <v>71460.380999999878</v>
      </c>
      <c r="W122" s="80">
        <f>W117-W116</f>
        <v>244604.09629514997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21955.75109000002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63638.148628040639</v>
      </c>
      <c r="U124" s="80">
        <f>'[1]Proy. 2018'!$D$60</f>
        <v>74585.869999999879</v>
      </c>
      <c r="W124" s="80">
        <f>SUM(W122:W123)</f>
        <v>259445.56129514996</v>
      </c>
      <c r="X124" s="80">
        <f>SUM('[1]Proy. 2018'!$E$60:$H$60)</f>
        <v>292023.20500000007</v>
      </c>
      <c r="Z124" s="91">
        <f>R120+T124+W124</f>
        <v>897289.70992319065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0.7463785435294118</v>
      </c>
      <c r="C125" s="43">
        <f>B125*4</f>
        <v>2.9855141741176472</v>
      </c>
      <c r="Z125" s="89"/>
      <c r="AA125" s="89"/>
    </row>
    <row r="126" spans="1:30" ht="15" hidden="1">
      <c r="A126" s="42" t="s">
        <v>120</v>
      </c>
      <c r="B126" s="43">
        <f>-AVERAGE(B82:BA82)/1000000</f>
        <v>5.7172775062937244</v>
      </c>
      <c r="C126" s="43">
        <f>B126*4</f>
        <v>22.869110025174898</v>
      </c>
      <c r="S126" s="92" t="s">
        <v>144</v>
      </c>
      <c r="U126" s="104">
        <f>T124-U124</f>
        <v>-10947.72137195924</v>
      </c>
      <c r="X126" s="104">
        <f>W124-X124</f>
        <v>-32577.64370485011</v>
      </c>
      <c r="Z126" s="89"/>
      <c r="AA126" s="89">
        <f>Z124-AA124</f>
        <v>-43525.365076809307</v>
      </c>
      <c r="AB126" s="112">
        <f>(X126+U126)/(T122+W122)</f>
        <v>-0.14291426287151071</v>
      </c>
      <c r="AC126" s="111">
        <f>AA126/Z124</f>
        <v>-4.8507594142069392E-2</v>
      </c>
    </row>
    <row r="127" spans="1:30" ht="15" hidden="1">
      <c r="A127" s="42" t="s">
        <v>121</v>
      </c>
      <c r="B127" s="43">
        <f>-(AVERAGE(B89:BA89)+AVERAGE(B68:BA68))/1000000</f>
        <v>4.5198825682352934</v>
      </c>
      <c r="C127" s="43">
        <f>B127*4</f>
        <v>18.079530272941174</v>
      </c>
      <c r="Z127" s="89"/>
      <c r="AA127" s="89"/>
    </row>
    <row r="128" spans="1:30" ht="15.75" hidden="1">
      <c r="A128" s="44" t="s">
        <v>104</v>
      </c>
      <c r="B128" s="45">
        <f>SUM(B124:B127)</f>
        <v>12.693067402960391</v>
      </c>
      <c r="C128" s="45">
        <f>SUM(C124:C127)</f>
        <v>50.772269611841566</v>
      </c>
      <c r="R128" s="23"/>
      <c r="S128" s="9" t="s">
        <v>141</v>
      </c>
      <c r="Z128" s="87">
        <f>Z120-'[4]Flujo 2018'!$AQ$4</f>
        <v>-31260.448377249995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-3411.0641595593688</v>
      </c>
      <c r="U134" s="14"/>
      <c r="V134" s="83">
        <f>W134/W138</f>
        <v>4.5114799570459059E-2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14.427605817258083</v>
      </c>
      <c r="C136" s="45">
        <f>C128+C131+C134</f>
        <v>57.710423269032333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-41715.356653751871</v>
      </c>
      <c r="U137" s="101">
        <f>'[1]Proy. 2018'!$D$116-'[1]Proy. 2018'!$C$116-U136</f>
        <v>-38522.038500000075</v>
      </c>
      <c r="V137" s="103"/>
      <c r="W137" s="101">
        <f>SUM(AK31:BA92)/1000-SUM(W132:W136)</f>
        <v>-171031.35577821403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28.214372637144937</v>
      </c>
      <c r="C138" s="47">
        <f>C136+C137</f>
        <v>71.497190088919183</v>
      </c>
      <c r="S138" s="40" t="s">
        <v>133</v>
      </c>
      <c r="T138" s="80">
        <f>I101</f>
        <v>-75608.540701417995</v>
      </c>
      <c r="W138" s="80">
        <f>SUM(AK93:BA93)/1000</f>
        <v>-229024.29132735397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-87090.389701417997</v>
      </c>
      <c r="W141" s="80">
        <f>SUM(W138:W140)</f>
        <v>-274064.57832735399</v>
      </c>
      <c r="X141" s="24"/>
      <c r="Z141" s="80">
        <f>R141+T141+W141</f>
        <v>-943804.96802877192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-72197.476541858632</v>
      </c>
      <c r="U143" s="80">
        <f>U145-U144</f>
        <v>-54186.39900000018</v>
      </c>
      <c r="W143" s="80">
        <f>W138-W134</f>
        <v>-218691.90632735397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-75679.325541858634</v>
      </c>
      <c r="U145" s="85">
        <f>'[1]Proy. 2018'!$D$61</f>
        <v>-57037.396000000183</v>
      </c>
      <c r="W145" s="85">
        <f>SUM(W143:W144)</f>
        <v>-231732.19332735398</v>
      </c>
      <c r="X145" s="85">
        <f>SUM('[1]Proy. 2018'!$E$61:$H$61)</f>
        <v>-260447.245</v>
      </c>
      <c r="Z145" s="85">
        <f>R141+T145+W145</f>
        <v>-890061.5188692126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-18641.929541858452</v>
      </c>
      <c r="V147" s="40"/>
      <c r="W147" s="40"/>
      <c r="X147" s="104">
        <f>W145-X145</f>
        <v>28715.051672646019</v>
      </c>
      <c r="Z147" s="90"/>
      <c r="AA147" s="89">
        <f>Z145-AA145</f>
        <v>10073.122130787582</v>
      </c>
      <c r="AB147" s="112">
        <f>(X147+U147)/(W145+T145)</f>
        <v>-3.2767549400363069E-2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-20206.195541858557</v>
      </c>
      <c r="V149" s="106"/>
      <c r="W149" s="106"/>
      <c r="X149" s="106">
        <f>W132-X132+W136-X136+W137-X137</f>
        <v>20318.362672646064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-1014.5786287719384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7228.1910539780511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-32275.027006021948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-33452.242946021724</v>
      </c>
    </row>
    <row r="157" spans="1:30" ht="12.75" hidden="1">
      <c r="A157" s="18">
        <v>-8256517.8300000001</v>
      </c>
      <c r="AA157" s="10">
        <f>Z154-AA154</f>
        <v>-33452.242946021724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/>
      <c r="J202" s="154"/>
      <c r="K202" s="154"/>
      <c r="L202" s="154"/>
    </row>
    <row r="203" spans="1:12" ht="12.75">
      <c r="A203" s="9" t="s">
        <v>314</v>
      </c>
      <c r="H203" s="157"/>
      <c r="J203" s="155"/>
      <c r="K203" s="155"/>
      <c r="L203" s="155"/>
    </row>
    <row r="204" spans="1:12" ht="12.75">
      <c r="H204" s="157"/>
      <c r="J204" s="155"/>
      <c r="K204" s="155"/>
      <c r="L204" s="155"/>
    </row>
    <row r="207" spans="1:12" ht="12.75">
      <c r="H207" s="154">
        <v>12375900</v>
      </c>
      <c r="J207" s="154">
        <v>6217650</v>
      </c>
      <c r="K207" s="154">
        <v>6217650</v>
      </c>
      <c r="L207" s="154">
        <v>12399600</v>
      </c>
    </row>
    <row r="208" spans="1:12" ht="12.75">
      <c r="H208" s="157">
        <v>43650</v>
      </c>
      <c r="J208" s="155">
        <v>43718</v>
      </c>
      <c r="K208" s="155">
        <v>43748</v>
      </c>
      <c r="L208" s="155">
        <v>43779</v>
      </c>
    </row>
    <row r="209" spans="8:12" ht="12.75">
      <c r="H209" s="157">
        <v>43735</v>
      </c>
      <c r="J209" s="155">
        <v>43826</v>
      </c>
      <c r="K209" s="155">
        <v>43826</v>
      </c>
      <c r="L209" s="155">
        <f t="shared" ref="L209" si="12">L208+90</f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BB200"/>
  <sheetViews>
    <sheetView showGridLines="0" zoomScaleNormal="100" workbookViewId="0">
      <pane xSplit="1" topLeftCell="N1" activePane="topRight" state="frozen"/>
      <selection pane="topRight" activeCell="T110" sqref="T110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>
        <f>O93-'FO 5 abr-19'!O93</f>
        <v>1488615.5500000007</v>
      </c>
      <c r="P2" s="129">
        <f>P93-'FO 5 abr-19'!P93</f>
        <v>-4061297.2799999975</v>
      </c>
      <c r="Q2" s="130">
        <f>Q93-'FO 5 abr-19'!Q93</f>
        <v>-796449</v>
      </c>
      <c r="R2" s="129">
        <f>R93-'FO 5 abr-19'!R93</f>
        <v>2330782.8999999966</v>
      </c>
      <c r="S2" s="129">
        <f>S93-'FO 5 abr-19'!S93</f>
        <v>956846.18000000343</v>
      </c>
      <c r="T2" s="129">
        <f>T93-'FO 5 abr-19'!T93</f>
        <v>-468308.80999999866</v>
      </c>
      <c r="U2" s="129">
        <f>U93-'FO 5 abr-19'!U93</f>
        <v>-1161458.5</v>
      </c>
      <c r="V2" s="130">
        <f>V93-'FO 5 abr-19'!V93</f>
        <v>-1315771.0100000016</v>
      </c>
      <c r="W2" s="129">
        <f>W93-'FO 5 abr-19'!W93</f>
        <v>524166.08999999985</v>
      </c>
      <c r="X2" s="129">
        <f>X93-'FO 5 abr-19'!X93</f>
        <v>225199.9299999997</v>
      </c>
      <c r="Y2" s="129">
        <f>Y93-'FO 5 abr-19'!Y93</f>
        <v>137125.28000000119</v>
      </c>
      <c r="Z2" s="130">
        <f>Z93-'FO 5 abr-19'!Z93</f>
        <v>137125.27999999747</v>
      </c>
      <c r="AA2" s="129">
        <f>AA93-'FO 5 abr-19'!AA93</f>
        <v>-2089264.7199999988</v>
      </c>
      <c r="AB2" s="129">
        <f>AB93-'FO 5 abr-19'!AB93</f>
        <v>-2150937.3499999978</v>
      </c>
      <c r="AC2" s="129">
        <f>AC93-'FO 5 abr-19'!AC93</f>
        <v>-1979042.9699999951</v>
      </c>
      <c r="AD2" s="129">
        <f>AD93-'FO 5 abr-19'!AD93</f>
        <v>-1913709</v>
      </c>
      <c r="AE2" s="130">
        <f>AE93-'FO 5 abr-19'!AE93</f>
        <v>-1859210.7399999984</v>
      </c>
      <c r="AF2" s="129">
        <f>AF93-'FO 5 abr-19'!AF93</f>
        <v>710040.6400000006</v>
      </c>
      <c r="AG2" s="129">
        <f>AG93-'FO 5 abr-19'!AG93</f>
        <v>434226.12000000104</v>
      </c>
      <c r="AH2" s="129">
        <f>AH93-'FO 5 abr-19'!AH93</f>
        <v>414935.6799999997</v>
      </c>
      <c r="AI2" s="130">
        <f>AI93-'FO 5 abr-19'!AI93</f>
        <v>925580.44999999925</v>
      </c>
      <c r="AJ2" s="129">
        <f>AJ93-'FO 5 abr-19'!AJ93</f>
        <v>-891549.92000000086</v>
      </c>
      <c r="AK2" s="129">
        <f>AK93-'FO 5 abr-19'!AK93</f>
        <v>-517205.09999999776</v>
      </c>
      <c r="AL2" s="129">
        <f>AL93-'FO 5 abr-19'!AL93</f>
        <v>-423618.89999999851</v>
      </c>
      <c r="AM2" s="130">
        <f>AM93-'FO 5 abr-19'!AM93</f>
        <v>-423618.90000000037</v>
      </c>
      <c r="AN2" s="129">
        <f>AN93-'FO 5 abr-19'!AN93</f>
        <v>-806418.8900000006</v>
      </c>
      <c r="AO2" s="129">
        <f>AO93-'FO 5 abr-19'!AO93</f>
        <v>-802668.8900000006</v>
      </c>
      <c r="AP2" s="129">
        <f>AP93-'FO 5 abr-19'!AP93</f>
        <v>-996853.98000000045</v>
      </c>
      <c r="AQ2" s="129">
        <f>AQ93-'FO 5 abr-19'!AQ93</f>
        <v>-784850.47999999672</v>
      </c>
      <c r="AR2" s="130">
        <f>AR93-'FO 5 abr-19'!AR93</f>
        <v>-517210.25</v>
      </c>
      <c r="AS2" s="129">
        <f>AS93-'FO 5 abr-19'!AS93</f>
        <v>-919614.33999999985</v>
      </c>
      <c r="AT2" s="129">
        <f>AT93-'FO 5 abr-19'!AT93</f>
        <v>-532566.03000000119</v>
      </c>
      <c r="AU2" s="129">
        <f>AU93-'FO 5 abr-19'!AU93</f>
        <v>491877.27999999933</v>
      </c>
      <c r="AV2" s="130">
        <f>AV93-'FO 5 abr-19'!AV93</f>
        <v>800213.34999999963</v>
      </c>
      <c r="AW2" s="129">
        <f>AW93-'FO 5 abr-19'!AW93</f>
        <v>-368285.75</v>
      </c>
      <c r="AX2" s="131">
        <f>AX93-'FO 5 abr-19'!AX93</f>
        <v>-370751.03000000119</v>
      </c>
      <c r="AY2" s="131">
        <f>AY93-'FO 5 abr-19'!AY93</f>
        <v>-485119.97999999858</v>
      </c>
      <c r="AZ2" s="131">
        <f>AZ93-'FO 5 abr-19'!AZ93</f>
        <v>-429515.88999999966</v>
      </c>
      <c r="BA2" s="131">
        <f>BA93-'FO 5 abr-19'!BA93</f>
        <v>-79614.599999999627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839458.30941800005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-6773.6792600000008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-2585.1999900000001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-11788.387409999999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0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-34415.044900000001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0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-37952.830020000001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-6800.7667000000029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-3738.0051999999991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-10421.354220000001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-6237.9772200000007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-10470.439419999995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-69715.09126999999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-22310.34996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-14471.264560000005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-2356.250700000001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-3392766.16</v>
      </c>
      <c r="R82" s="121">
        <v>-3995752.67</v>
      </c>
      <c r="S82" s="121">
        <v>-5369689.3899999997</v>
      </c>
      <c r="T82" s="121">
        <v>-19506597</v>
      </c>
      <c r="U82" s="121">
        <v>-7487994.0700000003</v>
      </c>
      <c r="V82" s="120">
        <v>-7350510.6799999997</v>
      </c>
      <c r="W82" s="121">
        <v>-7497313.5800000001</v>
      </c>
      <c r="X82" s="121">
        <v>-7796279.7400000002</v>
      </c>
      <c r="Y82" s="121">
        <v>-7884354.3899999997</v>
      </c>
      <c r="Z82" s="120">
        <v>-7884354.3899999997</v>
      </c>
      <c r="AA82" s="121">
        <v>-20316911.41</v>
      </c>
      <c r="AB82" s="121">
        <v>-8268697.79</v>
      </c>
      <c r="AC82" s="121">
        <v>-21895931.91</v>
      </c>
      <c r="AD82" s="121">
        <v>-8031469.4400000004</v>
      </c>
      <c r="AE82" s="120">
        <v>-7987099.25</v>
      </c>
      <c r="AF82" s="121">
        <v>-5255600.37</v>
      </c>
      <c r="AG82" s="121">
        <v>-5531414.8899999997</v>
      </c>
      <c r="AH82" s="121">
        <v>-5550705.3300000001</v>
      </c>
      <c r="AI82" s="120">
        <v>-4620119.08</v>
      </c>
      <c r="AJ82" s="121">
        <v>-4159186.95</v>
      </c>
      <c r="AK82" s="121">
        <v>-17650201.629999999</v>
      </c>
      <c r="AL82" s="121">
        <v>-3691255.93</v>
      </c>
      <c r="AM82" s="120">
        <v>-3691255.93</v>
      </c>
      <c r="AN82" s="121">
        <v>-4106805.69</v>
      </c>
      <c r="AO82" s="121">
        <v>-4103055.69</v>
      </c>
      <c r="AP82" s="121">
        <v>-4297240.78</v>
      </c>
      <c r="AQ82" s="121">
        <v>-4085237.28</v>
      </c>
      <c r="AR82" s="120">
        <v>-3800576.39</v>
      </c>
      <c r="AS82" s="121">
        <v>-4001555.48</v>
      </c>
      <c r="AT82" s="121">
        <v>-17440061.170000002</v>
      </c>
      <c r="AU82" s="121">
        <v>-2590063.86</v>
      </c>
      <c r="AV82" s="120">
        <v>-1649735.51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2"/>
        <v>-298597.55268999992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-1592.6056999999994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-3773.5750599999997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-111781.20858999989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-665.63287000000003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-44501.418369999992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-21265774.77</v>
      </c>
      <c r="Q93" s="32">
        <v>-8626986.5099999998</v>
      </c>
      <c r="R93" s="18">
        <v>-15405003.139999999</v>
      </c>
      <c r="S93" s="18">
        <v>-12691747.159999998</v>
      </c>
      <c r="T93" s="18">
        <v>-33756368.390000001</v>
      </c>
      <c r="U93" s="18">
        <v>-14134283.33</v>
      </c>
      <c r="V93" s="32">
        <v>-16735804.27</v>
      </c>
      <c r="W93" s="18">
        <v>-12669885.93</v>
      </c>
      <c r="X93" s="18">
        <v>-17805679.779999997</v>
      </c>
      <c r="Y93" s="18">
        <v>-16261963.719999999</v>
      </c>
      <c r="Z93" s="32">
        <v>-17314465.780000001</v>
      </c>
      <c r="AA93" s="18">
        <v>-26936953.360000003</v>
      </c>
      <c r="AB93" s="18">
        <v>-17829550.5</v>
      </c>
      <c r="AC93" s="18">
        <v>-34333729.119999997</v>
      </c>
      <c r="AD93" s="18">
        <v>-14545126.610000001</v>
      </c>
      <c r="AE93" s="32">
        <v>-18839509.289999999</v>
      </c>
      <c r="AF93" s="18">
        <v>-13362564.780000001</v>
      </c>
      <c r="AG93" s="18">
        <v>-20234462.399999995</v>
      </c>
      <c r="AH93" s="18">
        <v>-11806600.73</v>
      </c>
      <c r="AI93" s="32">
        <v>-14330937.920000002</v>
      </c>
      <c r="AJ93" s="18">
        <v>-9260454.1300000008</v>
      </c>
      <c r="AK93" s="18">
        <v>-28148457.149999999</v>
      </c>
      <c r="AL93" s="18">
        <v>-12243056.460000001</v>
      </c>
      <c r="AM93" s="32">
        <v>-8718983.8399999999</v>
      </c>
      <c r="AN93" s="18">
        <v>-15554169.98</v>
      </c>
      <c r="AO93" s="18">
        <v>-11188004.940000001</v>
      </c>
      <c r="AP93" s="18">
        <v>-18676700.07</v>
      </c>
      <c r="AQ93" s="18">
        <v>-10714122.109999999</v>
      </c>
      <c r="AR93" s="32">
        <v>-14776822.870000001</v>
      </c>
      <c r="AS93" s="18">
        <v>-10531059.859999998</v>
      </c>
      <c r="AT93" s="18">
        <v>-29130781.190000005</v>
      </c>
      <c r="AU93" s="18">
        <v>-11276673.869999999</v>
      </c>
      <c r="AV93" s="32">
        <v>-10584905.029999999</v>
      </c>
      <c r="AW93" s="18">
        <v>-6051544.3200000003</v>
      </c>
      <c r="AX93" s="18">
        <v>-18544856.539999999</v>
      </c>
      <c r="AY93" s="18">
        <v>-9561972.540000001</v>
      </c>
      <c r="AZ93" s="18">
        <v>-6328038.8300000001</v>
      </c>
      <c r="BA93" s="18">
        <v>-9761719.5800000001</v>
      </c>
      <c r="BB93" s="37">
        <f t="shared" si="2"/>
        <v>-796644.60088000027</v>
      </c>
    </row>
    <row r="94" spans="1:54" s="8" customFormat="1" ht="12.75">
      <c r="A94" s="7" t="s">
        <v>1</v>
      </c>
      <c r="B94" s="21">
        <f t="shared" ref="B94:O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f t="shared" si="3"/>
        <v>5548984.299999997</v>
      </c>
      <c r="K94" s="21">
        <f t="shared" si="3"/>
        <v>2158884.3899999969</v>
      </c>
      <c r="L94" s="21">
        <f t="shared" si="3"/>
        <v>2905503.870000001</v>
      </c>
      <c r="M94" s="36">
        <f t="shared" si="3"/>
        <v>-8043246.629999999</v>
      </c>
      <c r="N94" s="21">
        <f t="shared" si="3"/>
        <v>5593122.0999999978</v>
      </c>
      <c r="O94" s="21">
        <f t="shared" si="3"/>
        <v>-5987461.3800000008</v>
      </c>
      <c r="P94" s="21">
        <v>-5666319.0499999989</v>
      </c>
      <c r="Q94" s="36">
        <v>6934803.0100000016</v>
      </c>
      <c r="R94" s="21">
        <v>255270.11520000547</v>
      </c>
      <c r="S94" s="21">
        <v>2528620.5752000008</v>
      </c>
      <c r="T94" s="21">
        <v>-17705418.794800002</v>
      </c>
      <c r="U94" s="21">
        <v>1458335.9152000006</v>
      </c>
      <c r="V94" s="36">
        <v>-1094726.4848000035</v>
      </c>
      <c r="W94" s="21">
        <v>3524161.2939999998</v>
      </c>
      <c r="X94" s="21">
        <v>-1903396.2359999958</v>
      </c>
      <c r="Y94" s="21">
        <v>-28435.03599999845</v>
      </c>
      <c r="Z94" s="36">
        <v>-1059211.166000003</v>
      </c>
      <c r="AA94" s="21">
        <v>-11275184.208800003</v>
      </c>
      <c r="AB94" s="21">
        <v>-2076466.7587999981</v>
      </c>
      <c r="AC94" s="21">
        <v>-18649281.268799998</v>
      </c>
      <c r="AD94" s="21">
        <v>1265885.9611999951</v>
      </c>
      <c r="AE94" s="36">
        <v>-3073317.7787999995</v>
      </c>
      <c r="AF94" s="21">
        <v>2363564.8329999968</v>
      </c>
      <c r="AG94" s="21">
        <v>-4642213.3469999935</v>
      </c>
      <c r="AH94" s="21">
        <v>3640439.652999999</v>
      </c>
      <c r="AI94" s="36">
        <v>1067567.9129999988</v>
      </c>
      <c r="AJ94" s="21">
        <v>6329394.4110000003</v>
      </c>
      <c r="AK94" s="21">
        <v>-12397683.408999998</v>
      </c>
      <c r="AL94" s="21">
        <v>3710461.1709999982</v>
      </c>
      <c r="AM94" s="36">
        <v>7333422.1610000003</v>
      </c>
      <c r="AN94" s="21">
        <v>287880.82280000113</v>
      </c>
      <c r="AO94" s="21">
        <v>4683806.7227999959</v>
      </c>
      <c r="AP94" s="21">
        <v>-2910573.2971999999</v>
      </c>
      <c r="AQ94" s="21">
        <v>5034063.3027999979</v>
      </c>
      <c r="AR94" s="36">
        <v>525926.33279999532</v>
      </c>
      <c r="AS94" s="21">
        <v>4968924.3100000024</v>
      </c>
      <c r="AT94" s="21">
        <v>-12967599.610000009</v>
      </c>
      <c r="AU94" s="21">
        <v>4522202.9700000007</v>
      </c>
      <c r="AV94" s="36">
        <v>5628964.8000000026</v>
      </c>
      <c r="AW94" s="21">
        <v>11411205.060000002</v>
      </c>
      <c r="AX94" s="21">
        <v>-1056341.8699999973</v>
      </c>
      <c r="AY94" s="21">
        <v>9238895.6100000013</v>
      </c>
      <c r="AZ94" s="21">
        <v>12104842.65</v>
      </c>
      <c r="BA94" s="21">
        <v>-3784297.0599999996</v>
      </c>
      <c r="BB94" s="37">
        <f t="shared" si="2"/>
        <v>42813.70853799997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60650.495270000007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839458.30941799993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-59776.350589999995</v>
      </c>
      <c r="F101" s="60">
        <f>SUM(R93:V93)/1000</f>
        <v>-92723.206289999987</v>
      </c>
      <c r="G101" s="60">
        <f>SUM(W93:Z93)/1000</f>
        <v>-64051.995209999994</v>
      </c>
      <c r="H101" s="60">
        <f>SUM(AA93:AE93)/1000</f>
        <v>-112484.86887999999</v>
      </c>
      <c r="I101" s="39">
        <f>SUM(AF93:AI93)/1000</f>
        <v>-59734.56583</v>
      </c>
      <c r="J101" s="39">
        <f>SUM(AJ93:AM93)/1000</f>
        <v>-58370.951580000001</v>
      </c>
      <c r="K101" s="39">
        <f>SUM(AN93:AR93)/1000</f>
        <v>-70909.819969999997</v>
      </c>
      <c r="L101" s="39">
        <f>SUM(AS93:AV93)/1000</f>
        <v>-61523.419950000003</v>
      </c>
      <c r="M101" s="39">
        <f>SUM(AW93:BA93)/1000</f>
        <v>-50248.131809999992</v>
      </c>
      <c r="N101" s="60">
        <f>SUM(B101:M101)</f>
        <v>-796644.60087999981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874.14468000001216</v>
      </c>
      <c r="F102" s="60">
        <f>SUM(F100:F101)</f>
        <v>-14557.918673999986</v>
      </c>
      <c r="G102" s="60">
        <f t="shared" si="4"/>
        <v>533.11885600000824</v>
      </c>
      <c r="H102" s="60">
        <f t="shared" si="4"/>
        <v>-33808.364053999991</v>
      </c>
      <c r="I102" s="60">
        <f t="shared" si="4"/>
        <v>2429.3590519999998</v>
      </c>
      <c r="J102" s="60">
        <f t="shared" si="4"/>
        <v>4975.5943340000013</v>
      </c>
      <c r="K102" s="60">
        <f t="shared" si="4"/>
        <v>7621.1038839999965</v>
      </c>
      <c r="L102" s="60">
        <f t="shared" si="4"/>
        <v>2152.4924699999974</v>
      </c>
      <c r="M102" s="60">
        <f>SUM(M100:M101)</f>
        <v>27914.304390000005</v>
      </c>
      <c r="N102" s="60">
        <f>SUM(B102:M102)</f>
        <v>42813.708538000021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5 abr-19'!N100</f>
        <v>-948.93528000009246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5 abr-19'!N100</f>
        <v>-948.93528000009246</v>
      </c>
      <c r="Q104" s="73" t="s">
        <v>292</v>
      </c>
      <c r="T104" s="151">
        <f>SUM(P31:P92)/1000-SUM('FO 5 abr-19'!P31:P92)/1000-T105-T106</f>
        <v>-3775.8117499999989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151">
        <f>SUM(P47:P50)/1000-SUM('FO 5 abr-19'!P47:P50)/1000</f>
        <v>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>
        <f>SUM(P82:P82)/1000-SUM('FO 5 abr-19'!P82:P82)/1000</f>
        <v>-285.48552999999993</v>
      </c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-17568.177579999992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5 abr-19'!B108:M108)</f>
        <v>0</v>
      </c>
      <c r="P108" s="78">
        <f>N101-'FO 5 abr-19'!N101</f>
        <v>-17568.177579999785</v>
      </c>
      <c r="Q108" s="61" t="s">
        <v>103</v>
      </c>
      <c r="R108" s="63"/>
      <c r="S108" s="23" t="s">
        <v>126</v>
      </c>
      <c r="T108" s="115">
        <f>SUM(P47:BA50)/1000-SUM('FO 5 abr-19'!P47:BA50)/1000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SUM(P82:BA82)/1000-SUM('FO 5 abr-19'!P82:BA82)/1000</f>
        <v>-15280.981379999925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SUM(P31:BA92)/1000-SUM('FO 5 abr-19'!P31:BA92)/1000-T108-T109</f>
        <v>-3775.8117499983346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5 abr-19'!N102</f>
        <v>-18517.112859999994</v>
      </c>
      <c r="Q111" s="119"/>
      <c r="S111" s="70" t="s">
        <v>129</v>
      </c>
      <c r="T111" s="77">
        <f>SUM(T108:T110)</f>
        <v>-19056.793129998259</v>
      </c>
      <c r="U111" s="71">
        <f>O2/1000</f>
        <v>1488.6155500000007</v>
      </c>
      <c r="V111" s="75">
        <f>SUM(T111:U111)</f>
        <v>-17568.177579998257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-18517.112859999877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2662.7359024578727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71344.839270000011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977583.281418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-71595.16558999999</v>
      </c>
      <c r="F119" s="26">
        <f>F101+F107+F113</f>
        <v>-104198.27928999999</v>
      </c>
      <c r="G119" s="26">
        <f t="shared" si="10"/>
        <v>-75500.642209999991</v>
      </c>
      <c r="H119" s="26">
        <f t="shared" si="10"/>
        <v>-124116.44787999999</v>
      </c>
      <c r="I119" s="26">
        <f t="shared" si="10"/>
        <v>-71216.414829999994</v>
      </c>
      <c r="J119" s="26">
        <f t="shared" si="10"/>
        <v>-69838.114579999994</v>
      </c>
      <c r="K119" s="26">
        <f t="shared" si="10"/>
        <v>-82232.849969999996</v>
      </c>
      <c r="L119" s="26">
        <f t="shared" si="10"/>
        <v>-72651.963950000005</v>
      </c>
      <c r="M119" s="26">
        <f>M101+M107+M113</f>
        <v>-61369.681809999987</v>
      </c>
      <c r="N119" s="64">
        <f>SUM(B119:M119)</f>
        <v>-932656.69088000001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-250.3263199999783</v>
      </c>
      <c r="F120" s="56">
        <f>SUM(F118:F119)</f>
        <v>-14269.281673999983</v>
      </c>
      <c r="G120" s="56">
        <f t="shared" si="11"/>
        <v>757.34185600001365</v>
      </c>
      <c r="H120" s="56">
        <f t="shared" si="11"/>
        <v>-33901.503053999986</v>
      </c>
      <c r="I120" s="56">
        <f t="shared" si="11"/>
        <v>2633.9730520000012</v>
      </c>
      <c r="J120" s="56">
        <f t="shared" si="11"/>
        <v>5381.6443340000114</v>
      </c>
      <c r="K120" s="56">
        <f t="shared" si="11"/>
        <v>8139.9208839999919</v>
      </c>
      <c r="L120" s="56">
        <f t="shared" si="11"/>
        <v>2987.099470000001</v>
      </c>
      <c r="M120" s="56">
        <f>SUM(M118:M119)</f>
        <v>27956.00839000001</v>
      </c>
      <c r="N120" s="65">
        <f>SUM(B120:M120)</f>
        <v>44926.59053800007</v>
      </c>
      <c r="O120" s="65">
        <f>'FO 5 abr-19'!N120+P112+O108</f>
        <v>44926.590538000135</v>
      </c>
      <c r="P120" s="133">
        <f>O120-N120</f>
        <v>6.5483618527650833E-11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42204.346088000086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59501.18897954213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4429.6127199999901</v>
      </c>
      <c r="F123" s="26">
        <f>SUM($B$121:F121)-SUM($B$120:F120)</f>
        <v>21449.894393999974</v>
      </c>
      <c r="G123" s="26">
        <f>SUM($B$121:G121)-SUM($B$120:G120)</f>
        <v>18696.55253799996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63187.651979542134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910028.70182654215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0.6748048019607843</v>
      </c>
      <c r="C125" s="43">
        <f>B125*4</f>
        <v>2.6992192078431372</v>
      </c>
      <c r="Z125" s="89"/>
      <c r="AA125" s="89"/>
    </row>
    <row r="126" spans="1:30" ht="15" hidden="1">
      <c r="A126" s="42" t="s">
        <v>120</v>
      </c>
      <c r="B126" s="43">
        <f>-AVERAGE(B82:BA82)/1000000</f>
        <v>5.8548539743137242</v>
      </c>
      <c r="C126" s="43">
        <f>B126*4</f>
        <v>23.419415897254897</v>
      </c>
      <c r="S126" s="92" t="s">
        <v>144</v>
      </c>
      <c r="U126" s="104">
        <f>T124-U124</f>
        <v>-11398.218020457745</v>
      </c>
      <c r="X126" s="104">
        <f>W124-X124</f>
        <v>-19388.155153000087</v>
      </c>
      <c r="Z126" s="89"/>
      <c r="AA126" s="89">
        <f>Z124-AA124</f>
        <v>-30786.373173457803</v>
      </c>
      <c r="AB126" s="112">
        <f>(X126+U126)/(T122+W122)</f>
        <v>-9.7027671783488159E-2</v>
      </c>
      <c r="AC126" s="111">
        <f>AA126/Z124</f>
        <v>-3.3830112293893232E-2</v>
      </c>
    </row>
    <row r="127" spans="1:30" ht="15" hidden="1">
      <c r="A127" s="42" t="s">
        <v>121</v>
      </c>
      <c r="B127" s="43">
        <f>-(AVERAGE(B89:BA89)+AVERAGE(B68:BA68))/1000000</f>
        <v>3.5587509776470569</v>
      </c>
      <c r="C127" s="43">
        <f>B127*4</f>
        <v>14.235003910588228</v>
      </c>
      <c r="Z127" s="89"/>
      <c r="AA127" s="89"/>
    </row>
    <row r="128" spans="1:30" ht="15.75" hidden="1">
      <c r="A128" s="44" t="s">
        <v>104</v>
      </c>
      <c r="B128" s="45">
        <f>SUM(B124:B127)</f>
        <v>11.797938538823526</v>
      </c>
      <c r="C128" s="45">
        <f>SUM(C124:C127)</f>
        <v>47.191754155294106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-2662.7359024578727</v>
      </c>
      <c r="U134" s="14"/>
      <c r="V134" s="83">
        <f>W134/W138</f>
        <v>4.4576132185103937E-2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13.532476953121218</v>
      </c>
      <c r="C136" s="45">
        <f>C128+C131+C134</f>
        <v>54.129907812484873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-26589.710039435369</v>
      </c>
      <c r="U137" s="101">
        <f>'[1]Proy. 2018'!$D$116-'[1]Proy. 2018'!$C$116-U136</f>
        <v>-38522.038500000075</v>
      </c>
      <c r="V137" s="103"/>
      <c r="W137" s="101">
        <f>SUM(AK31:BA92)/1000-SUM(W132:W136)</f>
        <v>-173798.93363085997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27.319243773008072</v>
      </c>
      <c r="C138" s="47">
        <f>C136+C137</f>
        <v>67.916674632371723</v>
      </c>
      <c r="S138" s="40" t="s">
        <v>133</v>
      </c>
      <c r="T138" s="80">
        <f>I101</f>
        <v>-59734.56583</v>
      </c>
      <c r="W138" s="80">
        <f>SUM(AK93:BA93)/1000</f>
        <v>-231791.86918000001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-71216.414829999994</v>
      </c>
      <c r="W141" s="80">
        <f>SUM(W138:W140)</f>
        <v>-276832.15618000005</v>
      </c>
      <c r="X141" s="24"/>
      <c r="Z141" s="80">
        <f>R141+T141+W141</f>
        <v>-930698.57101000007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-57071.82992754213</v>
      </c>
      <c r="U143" s="80">
        <f>U145-U144</f>
        <v>-54186.39900000018</v>
      </c>
      <c r="W143" s="80">
        <f>W138-W134</f>
        <v>-221459.48418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-60553.678927542132</v>
      </c>
      <c r="U145" s="85">
        <f>'[1]Proy. 2018'!$D$61</f>
        <v>-57037.396000000183</v>
      </c>
      <c r="W145" s="85">
        <f>SUM(W143:W144)</f>
        <v>-234499.77118000001</v>
      </c>
      <c r="X145" s="85">
        <f>SUM('[1]Proy. 2018'!$E$61:$H$61)</f>
        <v>-260447.245</v>
      </c>
      <c r="Z145" s="85">
        <f>R141+T145+W145</f>
        <v>-877703.45010754222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-3516.2829275419499</v>
      </c>
      <c r="V147" s="40"/>
      <c r="W147" s="40"/>
      <c r="X147" s="104">
        <f>W145-X145</f>
        <v>25947.473819999985</v>
      </c>
      <c r="Z147" s="90"/>
      <c r="AA147" s="89">
        <f>Z145-AA145</f>
        <v>22431.190892457962</v>
      </c>
      <c r="AB147" s="112">
        <f>(X147+U147)/(W145+T145)</f>
        <v>-7.6024160653882317E-2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-5080.548927542055</v>
      </c>
      <c r="V149" s="106"/>
      <c r="W149" s="106"/>
      <c r="X149" s="106">
        <f>W132-X132+W136-X136+W137-X137</f>
        <v>17550.784820000117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12091.818389999913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32325.251718999818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-7177.9663410001813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-8355.1822809998412</v>
      </c>
    </row>
    <row r="157" spans="1:30" ht="12.75" hidden="1">
      <c r="A157" s="18">
        <v>-8256517.8300000001</v>
      </c>
      <c r="AA157" s="10">
        <f>Z154-AA154</f>
        <v>-8355.1822809999576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/>
  <dimension ref="A1:BB200"/>
  <sheetViews>
    <sheetView showGridLines="0" zoomScaleNormal="100" workbookViewId="0">
      <pane xSplit="1" topLeftCell="N1" activePane="topRight" state="frozen"/>
      <selection pane="topRight" activeCell="P1" sqref="P1:P1048576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>
        <f>N93-'FO 29 mar-19'!N93</f>
        <v>1852430.2899999991</v>
      </c>
      <c r="O2" s="129">
        <f>O93-'FO 29 mar-19'!O93</f>
        <v>2515575.179999996</v>
      </c>
      <c r="P2" s="129">
        <f>P93-'FO 29 mar-19'!P93</f>
        <v>-2464188.0300000012</v>
      </c>
      <c r="Q2" s="130">
        <f>Q93-'FO 29 mar-19'!Q93</f>
        <v>0</v>
      </c>
      <c r="R2" s="129">
        <f>R93-'FO 29 mar-19'!R93</f>
        <v>0</v>
      </c>
      <c r="S2" s="129">
        <f>S93-'FO 29 mar-19'!S93</f>
        <v>0</v>
      </c>
      <c r="T2" s="129">
        <f>T93-'FO 29 mar-19'!T93</f>
        <v>0</v>
      </c>
      <c r="U2" s="129">
        <f>U93-'FO 29 mar-19'!U93</f>
        <v>0</v>
      </c>
      <c r="V2" s="130">
        <f>V93-'FO 29 mar-19'!V93</f>
        <v>0</v>
      </c>
      <c r="W2" s="129">
        <f>W93-'FO 29 mar-19'!W93</f>
        <v>0</v>
      </c>
      <c r="X2" s="129">
        <f>X93-'FO 29 mar-19'!X93</f>
        <v>0</v>
      </c>
      <c r="Y2" s="129">
        <f>Y93-'FO 29 mar-19'!Y93</f>
        <v>0</v>
      </c>
      <c r="Z2" s="130">
        <f>Z93-'FO 29 mar-19'!Z93</f>
        <v>0</v>
      </c>
      <c r="AA2" s="129">
        <f>AA93-'FO 29 mar-19'!AA93</f>
        <v>0</v>
      </c>
      <c r="AB2" s="129">
        <f>AB93-'FO 29 mar-19'!AB93</f>
        <v>0</v>
      </c>
      <c r="AC2" s="129">
        <f>AC93-'FO 29 mar-19'!AC93</f>
        <v>0</v>
      </c>
      <c r="AD2" s="129">
        <f>AD93-'FO 29 mar-19'!AD93</f>
        <v>0</v>
      </c>
      <c r="AE2" s="130">
        <f>AE93-'FO 29 mar-19'!AE93</f>
        <v>0</v>
      </c>
      <c r="AF2" s="129">
        <f>AF93-'FO 29 mar-19'!AF93</f>
        <v>0</v>
      </c>
      <c r="AG2" s="129">
        <f>AG93-'FO 29 mar-19'!AG93</f>
        <v>0</v>
      </c>
      <c r="AH2" s="129">
        <f>AH93-'FO 29 mar-19'!AH93</f>
        <v>0</v>
      </c>
      <c r="AI2" s="130">
        <f>AI93-'FO 29 mar-19'!AI93</f>
        <v>0</v>
      </c>
      <c r="AJ2" s="129">
        <f>AJ93-'FO 29 mar-19'!AJ93</f>
        <v>0</v>
      </c>
      <c r="AK2" s="129">
        <f>AK93-'FO 29 mar-19'!AK93</f>
        <v>0</v>
      </c>
      <c r="AL2" s="129">
        <f>AL93-'FO 29 mar-19'!AL93</f>
        <v>0</v>
      </c>
      <c r="AM2" s="130">
        <f>AM93-'FO 29 mar-19'!AM93</f>
        <v>0</v>
      </c>
      <c r="AN2" s="129">
        <f>AN93-'FO 29 mar-19'!AN93</f>
        <v>0</v>
      </c>
      <c r="AO2" s="129">
        <f>AO93-'FO 29 mar-19'!AO93</f>
        <v>0</v>
      </c>
      <c r="AP2" s="129">
        <f>AP93-'FO 29 mar-19'!AP93</f>
        <v>0</v>
      </c>
      <c r="AQ2" s="129">
        <f>AQ93-'FO 29 mar-19'!AQ93</f>
        <v>0</v>
      </c>
      <c r="AR2" s="130">
        <f>AR93-'FO 29 mar-19'!AR93</f>
        <v>0</v>
      </c>
      <c r="AS2" s="129">
        <f>AS93-'FO 29 mar-19'!AS93</f>
        <v>0</v>
      </c>
      <c r="AT2" s="129">
        <f>AT93-'FO 29 mar-19'!AT93</f>
        <v>0</v>
      </c>
      <c r="AU2" s="129">
        <f>AU93-'FO 29 mar-19'!AU93</f>
        <v>0</v>
      </c>
      <c r="AV2" s="130">
        <f>AV93-'FO 29 mar-19'!AV93</f>
        <v>0</v>
      </c>
      <c r="AW2" s="129">
        <f>AW93-'FO 29 mar-19'!AW93</f>
        <v>0</v>
      </c>
      <c r="AX2" s="131">
        <f>AX93-'FO 29 mar-19'!AX93</f>
        <v>0</v>
      </c>
      <c r="AY2" s="131">
        <f>AY93-'FO 29 mar-19'!AY93</f>
        <v>0</v>
      </c>
      <c r="AZ2" s="131">
        <f>AZ93-'FO 29 mar-19'!AZ93</f>
        <v>0</v>
      </c>
      <c r="BA2" s="131">
        <f>BA93-'FO 29 mar-19'!BA93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840407.24469800002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-5780.1035600000005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-2434.0054300000002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0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-34415.044900000001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0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-37952.830020000001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-6424.8289700000023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-3738.0051999999991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-10777.714960000001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-6415.8774500000009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-10780.237139999994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-70666.648819999988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-22996.916300000001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-14575.695680000006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-2424.8075700000009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-18227646.690000001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-283316.57131000009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-1640.6772599999993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-3773.5750599999997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-106399.84175999989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-685.91927999999996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-45733.540309999997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-22562479.73</v>
      </c>
      <c r="P93" s="18">
        <v>-17204477.490000002</v>
      </c>
      <c r="Q93" s="32">
        <v>-7830537.5099999998</v>
      </c>
      <c r="R93" s="18">
        <v>-17735786.039999995</v>
      </c>
      <c r="S93" s="18">
        <v>-13648593.340000002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-24847688.640000004</v>
      </c>
      <c r="AB93" s="18">
        <v>-15678613.150000002</v>
      </c>
      <c r="AC93" s="18">
        <v>-32354686.150000002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-779076.42329999991</v>
      </c>
    </row>
    <row r="94" spans="1:54" s="8" customFormat="1" ht="12.75">
      <c r="A94" s="7" t="s">
        <v>1</v>
      </c>
      <c r="B94" s="21">
        <f t="shared" ref="B94:N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f t="shared" si="3"/>
        <v>5548984.299999997</v>
      </c>
      <c r="K94" s="21">
        <f t="shared" si="3"/>
        <v>2158884.3899999969</v>
      </c>
      <c r="L94" s="21">
        <f t="shared" si="3"/>
        <v>2905503.870000001</v>
      </c>
      <c r="M94" s="36">
        <f t="shared" si="3"/>
        <v>-8043246.629999999</v>
      </c>
      <c r="N94" s="21">
        <f t="shared" si="3"/>
        <v>5593122.0999999978</v>
      </c>
      <c r="O94" s="21">
        <v>-6527141.6499999985</v>
      </c>
      <c r="P94" s="21">
        <v>-1605021.7700000014</v>
      </c>
      <c r="Q94" s="36">
        <v>7731252.0100000016</v>
      </c>
      <c r="R94" s="21">
        <v>-2075512.7847999912</v>
      </c>
      <c r="S94" s="21">
        <v>1571774.3951999974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-9185919.4888000041</v>
      </c>
      <c r="AB94" s="21">
        <v>74470.591199999675</v>
      </c>
      <c r="AC94" s="21">
        <v>-16670238.298800001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61330.821397999971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61599.430550000005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840407.24469800002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-56407.219859999997</v>
      </c>
      <c r="F101" s="60">
        <f>SUM(R93:V93)/1000</f>
        <v>-93065.297049999979</v>
      </c>
      <c r="G101" s="60">
        <f>SUM(W93:Z93)/1000</f>
        <v>-65075.611789999988</v>
      </c>
      <c r="H101" s="60">
        <f>SUM(AA93:AE93)/1000</f>
        <v>-102492.7041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-779076.42330000002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5192.2106900000072</v>
      </c>
      <c r="F102" s="60">
        <f>SUM(F100:F101)</f>
        <v>-14900.009433999978</v>
      </c>
      <c r="G102" s="60">
        <f t="shared" si="4"/>
        <v>-490.49772399998619</v>
      </c>
      <c r="H102" s="60">
        <f t="shared" si="4"/>
        <v>-23816.199273999999</v>
      </c>
      <c r="I102" s="60">
        <f t="shared" si="4"/>
        <v>-55.423838000002434</v>
      </c>
      <c r="J102" s="60">
        <f t="shared" si="4"/>
        <v>7231.5871540000007</v>
      </c>
      <c r="K102" s="60">
        <f t="shared" si="4"/>
        <v>11529.106373999995</v>
      </c>
      <c r="L102" s="60">
        <f t="shared" si="4"/>
        <v>2312.5822100000078</v>
      </c>
      <c r="M102" s="60">
        <f>SUM(M100:M101)</f>
        <v>29647.591639999991</v>
      </c>
      <c r="N102" s="60">
        <f>SUM(B102:M102)</f>
        <v>61330.821398000015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29 mar-19'!N100</f>
        <v>-1499.5809899999294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29 mar-19'!N100</f>
        <v>-1499.5809899999294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1903.8174399999939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22 mar-19'!B108:M108)</f>
        <v>0</v>
      </c>
      <c r="P108" s="78">
        <f>N101-'FO 29 mar-19'!N101</f>
        <v>1903.817439999897</v>
      </c>
      <c r="Q108" s="61" t="s">
        <v>103</v>
      </c>
      <c r="R108" s="63"/>
      <c r="S108" s="23" t="s">
        <v>126</v>
      </c>
      <c r="T108" s="115">
        <f>SUM(O47:BA50)/1000-SUM('FO 29 mar-19'!O47:BA50)/1000</f>
        <v>646.02496999999858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SUM(O82:BA82)/1000-SUM('FO 29 mar-19'!O82:BA82)/1000</f>
        <v>0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SUM(O31:BA92)/1000-SUM('FO 29 mar-19'!O31:BA92)/1000-T108-T109</f>
        <v>-594.63781999991625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29 mar-19'!N102</f>
        <v>404.23644999999669</v>
      </c>
      <c r="Q111" s="119"/>
      <c r="S111" s="70" t="s">
        <v>129</v>
      </c>
      <c r="T111" s="77">
        <f>SUM(T108:T110)</f>
        <v>51.387150000082329</v>
      </c>
      <c r="U111" s="71">
        <f>N2/1000</f>
        <v>1852.4302899999991</v>
      </c>
      <c r="V111" s="75">
        <f>SUM(T111:U111)</f>
        <v>1903.8174400000814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404.23644999996759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72293.774550000002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978532.21669799997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-68226.03486</v>
      </c>
      <c r="F119" s="26">
        <f>F101+F107+F113</f>
        <v>-104540.37004999998</v>
      </c>
      <c r="G119" s="26">
        <f t="shared" si="10"/>
        <v>-76524.258789999993</v>
      </c>
      <c r="H119" s="26">
        <f t="shared" si="10"/>
        <v>-114124.2831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-915088.51330000011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4067.7396900000022</v>
      </c>
      <c r="F120" s="56">
        <f>SUM(F118:F119)</f>
        <v>-14611.372433999975</v>
      </c>
      <c r="G120" s="56">
        <f t="shared" si="11"/>
        <v>-266.27472399998805</v>
      </c>
      <c r="H120" s="56">
        <f t="shared" si="11"/>
        <v>-23909.338273999994</v>
      </c>
      <c r="I120" s="56">
        <f t="shared" si="11"/>
        <v>149.19016199999896</v>
      </c>
      <c r="J120" s="56">
        <f t="shared" si="11"/>
        <v>7637.6371539999964</v>
      </c>
      <c r="K120" s="56">
        <f t="shared" si="11"/>
        <v>12047.923373999991</v>
      </c>
      <c r="L120" s="56">
        <f t="shared" si="11"/>
        <v>3147.1892099999968</v>
      </c>
      <c r="M120" s="56">
        <f>SUM(M118:M119)</f>
        <v>29689.295639999997</v>
      </c>
      <c r="N120" s="65">
        <f>SUM(B120:M120)</f>
        <v>63443.703398000012</v>
      </c>
      <c r="O120" s="65">
        <f>'FO 29 mar-19'!N120+P112+O108</f>
        <v>63443.703397999983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60721.458948000029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111.54671000000963</v>
      </c>
      <c r="F123" s="26">
        <f>SUM($B$121:F121)-SUM($B$120:F120)</f>
        <v>17473.919143999985</v>
      </c>
      <c r="G123" s="26">
        <f>SUM($B$121:G121)-SUM($B$120:G120)</f>
        <v>15744.193867999973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0.6748048019607843</v>
      </c>
      <c r="C125" s="43">
        <f>B125*4</f>
        <v>2.6992192078431372</v>
      </c>
      <c r="Z125" s="89"/>
      <c r="AA125" s="89"/>
    </row>
    <row r="126" spans="1:30" ht="15" hidden="1">
      <c r="A126" s="42" t="s">
        <v>120</v>
      </c>
      <c r="B126" s="43">
        <f>-AVERAGE(B82:BA82)/1000000</f>
        <v>5.555226888431374</v>
      </c>
      <c r="C126" s="43">
        <f>B126*4</f>
        <v>22.220907553725496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3.4718919721568611</v>
      </c>
      <c r="C127" s="43">
        <f>B127*4</f>
        <v>13.887567888627444</v>
      </c>
      <c r="Z127" s="89"/>
      <c r="AA127" s="89"/>
    </row>
    <row r="128" spans="1:30" ht="15.75" hidden="1">
      <c r="A128" s="44" t="s">
        <v>104</v>
      </c>
      <c r="B128" s="45">
        <f>SUM(B124:B127)</f>
        <v>11.41145244745098</v>
      </c>
      <c r="C128" s="45">
        <f>SUM(C124:C127)</f>
        <v>45.64580978980392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13.145990861748672</v>
      </c>
      <c r="C136" s="45">
        <f>C128+C131+C134</f>
        <v>52.583963446994687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26.932757681635525</v>
      </c>
      <c r="C138" s="47">
        <f>C136+C137</f>
        <v>66.370730266881537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/>
  <dimension ref="A1:BB200"/>
  <sheetViews>
    <sheetView showGridLines="0" topLeftCell="A102" zoomScaleNormal="100" workbookViewId="0">
      <pane xSplit="1" topLeftCell="O1" activePane="topRight" state="frozen"/>
      <selection pane="topRight" activeCell="L107" sqref="L107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>
        <f>M93-'FO 22 mar-19'!M93</f>
        <v>1526952.1600000039</v>
      </c>
      <c r="N2" s="129">
        <f>N93-'FO 22 mar-19'!N93</f>
        <v>-2590486.1399999997</v>
      </c>
      <c r="O2" s="129">
        <f>O93-'FO 22 mar-19'!O93</f>
        <v>0</v>
      </c>
      <c r="P2" s="129">
        <f>P93-'FO 22 mar-19'!P93</f>
        <v>0</v>
      </c>
      <c r="Q2" s="130">
        <f>Q93-'FO 22 mar-19'!Q93</f>
        <v>0</v>
      </c>
      <c r="R2" s="129">
        <f>R93-'FO 22 mar-19'!R93</f>
        <v>0</v>
      </c>
      <c r="S2" s="129">
        <f>S93-'FO 22 mar-19'!S93</f>
        <v>0</v>
      </c>
      <c r="T2" s="129">
        <f>T93-'FO 22 mar-19'!T93</f>
        <v>0</v>
      </c>
      <c r="U2" s="129">
        <f>U93-'FO 22 mar-19'!U93</f>
        <v>0</v>
      </c>
      <c r="V2" s="130">
        <f>V93-'FO 22 mar-19'!V93</f>
        <v>0</v>
      </c>
      <c r="W2" s="129">
        <f>W93-'FO 22 mar-19'!W93</f>
        <v>0</v>
      </c>
      <c r="X2" s="129">
        <f>X93-'FO 22 mar-19'!X93</f>
        <v>0</v>
      </c>
      <c r="Y2" s="129">
        <f>Y93-'FO 22 mar-19'!Y93</f>
        <v>0</v>
      </c>
      <c r="Z2" s="130">
        <f>Z93-'FO 22 mar-19'!Z93</f>
        <v>0</v>
      </c>
      <c r="AA2" s="129">
        <f>AA93-'FO 22 mar-19'!AA93</f>
        <v>0</v>
      </c>
      <c r="AB2" s="129">
        <f>AB93-'FO 22 mar-19'!AB93</f>
        <v>0</v>
      </c>
      <c r="AC2" s="129">
        <f>AC93-'FO 22 mar-19'!AC93</f>
        <v>0</v>
      </c>
      <c r="AD2" s="129">
        <f>AD93-'FO 22 mar-19'!AD93</f>
        <v>0</v>
      </c>
      <c r="AE2" s="130">
        <f>AE93-'FO 22 mar-19'!AE93</f>
        <v>0</v>
      </c>
      <c r="AF2" s="129">
        <f>AF93-'FO 22 mar-19'!AF93</f>
        <v>0</v>
      </c>
      <c r="AG2" s="129">
        <f>AG93-'FO 22 mar-19'!AG93</f>
        <v>0</v>
      </c>
      <c r="AH2" s="129">
        <f>AH93-'FO 22 mar-19'!AH93</f>
        <v>0</v>
      </c>
      <c r="AI2" s="130">
        <f>AI93-'FO 22 mar-19'!AI93</f>
        <v>0</v>
      </c>
      <c r="AJ2" s="129">
        <f>AJ93-'FO 22 mar-19'!AJ93</f>
        <v>0</v>
      </c>
      <c r="AK2" s="129">
        <f>AK93-'FO 22 mar-19'!AK93</f>
        <v>0</v>
      </c>
      <c r="AL2" s="129">
        <f>AL93-'FO 22 mar-19'!AL93</f>
        <v>0</v>
      </c>
      <c r="AM2" s="130">
        <f>AM93-'FO 22 mar-19'!AM93</f>
        <v>0</v>
      </c>
      <c r="AN2" s="129">
        <f>AN93-'FO 22 mar-19'!AN93</f>
        <v>0</v>
      </c>
      <c r="AO2" s="129">
        <f>AO93-'FO 22 mar-19'!AO93</f>
        <v>0</v>
      </c>
      <c r="AP2" s="129">
        <f>AP93-'FO 22 mar-19'!AP93</f>
        <v>0</v>
      </c>
      <c r="AQ2" s="129">
        <f>AQ93-'FO 22 mar-19'!AQ93</f>
        <v>0</v>
      </c>
      <c r="AR2" s="130">
        <f>AR93-'FO 22 mar-19'!AR93</f>
        <v>0</v>
      </c>
      <c r="AS2" s="129">
        <f>AS93-'FO 22 mar-19'!AS93</f>
        <v>0</v>
      </c>
      <c r="AT2" s="129">
        <f>AT93-'FO 22 mar-19'!AT93</f>
        <v>0</v>
      </c>
      <c r="AU2" s="129">
        <f>AU93-'FO 22 mar-19'!AU93</f>
        <v>0</v>
      </c>
      <c r="AV2" s="130">
        <f>AV93-'FO 22 mar-19'!AV93</f>
        <v>0</v>
      </c>
      <c r="AW2" s="129">
        <f>AW93-'FO 22 mar-19'!AW93</f>
        <v>0</v>
      </c>
      <c r="AX2" s="131">
        <f>AX93-'FO 22 mar-19'!AX93</f>
        <v>0</v>
      </c>
      <c r="AY2" s="131">
        <f>AY93-'FO 22 mar-19'!AY93</f>
        <v>0</v>
      </c>
      <c r="AZ2" s="131">
        <f>AZ93-'FO 22 mar-19'!AZ93</f>
        <v>0</v>
      </c>
      <c r="BA2" s="131">
        <f>BA93-'FO 22 mar-19'!BA93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841906.82568800007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-5300.4813100000001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-2276.8338400000002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-5589068.2999999998</v>
      </c>
      <c r="P47" s="146">
        <v>0</v>
      </c>
      <c r="Q47" s="146">
        <v>0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-34415.044900000001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-4039459.18</v>
      </c>
      <c r="Q49" s="146">
        <v>0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-38598.85499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-6316.2959000000019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-3738.0051999999991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-11134.075700000001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-6593.7776800000011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-11090.034859999994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-71618.206369999985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-23683.482640000006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-14696.961800000005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-2493.3644400000007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-18227646.690000001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-283316.57131000009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-1688.7488199999991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-3773.5750599999997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-102624.3847299999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-706.20568999999989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-46919.322889999996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-10662155.42</v>
      </c>
      <c r="O93" s="18">
        <v>-25078054.909999996</v>
      </c>
      <c r="P93" s="18">
        <v>-14740289.460000001</v>
      </c>
      <c r="Q93" s="32">
        <v>-7830537.5099999998</v>
      </c>
      <c r="R93" s="18">
        <v>-17735786.039999995</v>
      </c>
      <c r="S93" s="18">
        <v>-13648593.340000002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-24847688.640000004</v>
      </c>
      <c r="AB93" s="18">
        <v>-15678613.150000002</v>
      </c>
      <c r="AC93" s="18">
        <v>-32354686.150000002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-780980.24074000004</v>
      </c>
    </row>
    <row r="94" spans="1:54" s="8" customFormat="1" ht="12.75">
      <c r="A94" s="7" t="s">
        <v>1</v>
      </c>
      <c r="B94" s="21">
        <f t="shared" ref="B94:M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f t="shared" si="3"/>
        <v>5548984.299999997</v>
      </c>
      <c r="K94" s="21">
        <f t="shared" si="3"/>
        <v>2158884.3899999969</v>
      </c>
      <c r="L94" s="21">
        <f t="shared" si="3"/>
        <v>2905503.870000001</v>
      </c>
      <c r="M94" s="36">
        <f t="shared" si="3"/>
        <v>-8043246.629999999</v>
      </c>
      <c r="N94" s="21">
        <v>5240272.7999999989</v>
      </c>
      <c r="O94" s="21">
        <v>-9042716.8299999945</v>
      </c>
      <c r="P94" s="21">
        <v>859166.25999999978</v>
      </c>
      <c r="Q94" s="36">
        <v>7731252.0100000016</v>
      </c>
      <c r="R94" s="21">
        <v>-2075512.7847999912</v>
      </c>
      <c r="S94" s="21">
        <v>1571774.3951999974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-9185919.4888000041</v>
      </c>
      <c r="AB94" s="21">
        <v>74470.591199999675</v>
      </c>
      <c r="AC94" s="21">
        <v>-16670238.298800001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60926.584947999967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841906.82568799995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-58311.037299999996</v>
      </c>
      <c r="F101" s="60">
        <f>SUM(R93:V93)/1000</f>
        <v>-93065.297049999979</v>
      </c>
      <c r="G101" s="60">
        <f>SUM(W93:Z93)/1000</f>
        <v>-65075.611789999988</v>
      </c>
      <c r="H101" s="60">
        <f>SUM(AA93:AE93)/1000</f>
        <v>-102492.7041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-780980.24073999992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4787.9742400000105</v>
      </c>
      <c r="F102" s="60">
        <f>SUM(F100:F101)</f>
        <v>-14900.009433999978</v>
      </c>
      <c r="G102" s="60">
        <f t="shared" si="4"/>
        <v>-490.49772399998619</v>
      </c>
      <c r="H102" s="60">
        <f t="shared" si="4"/>
        <v>-23816.199273999999</v>
      </c>
      <c r="I102" s="60">
        <f t="shared" si="4"/>
        <v>-55.423838000002434</v>
      </c>
      <c r="J102" s="60">
        <f t="shared" si="4"/>
        <v>7231.5871540000007</v>
      </c>
      <c r="K102" s="60">
        <f t="shared" si="4"/>
        <v>11529.106373999995</v>
      </c>
      <c r="L102" s="60">
        <f t="shared" si="4"/>
        <v>2312.5822100000078</v>
      </c>
      <c r="M102" s="60">
        <f>SUM(M100:M101)</f>
        <v>29647.591639999991</v>
      </c>
      <c r="N102" s="60">
        <f>SUM(B102:M102)</f>
        <v>60926.584948000018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22 mar-19'!N100</f>
        <v>642.01697900006548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22 mar-19'!N100</f>
        <v>642.01697900006548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-1063.5339799999958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22 mar-19'!B108:M108)</f>
        <v>0</v>
      </c>
      <c r="P108" s="78">
        <f>N101-'FO 22 mar-19'!N101</f>
        <v>-1063.5339799999492</v>
      </c>
      <c r="Q108" s="61" t="s">
        <v>103</v>
      </c>
      <c r="R108" s="63"/>
      <c r="S108" s="23" t="s">
        <v>126</v>
      </c>
      <c r="T108" s="115">
        <f>SUM(N47:BA50)/1000-SUM('FO 22 mar-19'!N47:BA50)/1000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SUM(N82:BA82)/1000-SUM('FO 22 mar-19'!N82:BA82)/1000</f>
        <v>0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SUM(N31:BA92)/1000-SUM('FO 22 mar-19'!N31:BA92)/1000-T108-T109</f>
        <v>-2590.4861399997026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22 mar-19'!N102</f>
        <v>-421.51700099999289</v>
      </c>
      <c r="Q111" s="119"/>
      <c r="S111" s="70" t="s">
        <v>129</v>
      </c>
      <c r="T111" s="77">
        <f>SUM(T108:T110)</f>
        <v>-2590.4861399997026</v>
      </c>
      <c r="U111" s="71">
        <f>M2/1000</f>
        <v>1526.9521600000039</v>
      </c>
      <c r="V111" s="75">
        <f>SUM(T111:U111)</f>
        <v>-1063.5339799996987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-421.51700099988375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73793.355540000004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980031.79768800002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-70129.852299999999</v>
      </c>
      <c r="F119" s="26">
        <f>F101+F107+F113</f>
        <v>-104540.37004999998</v>
      </c>
      <c r="G119" s="26">
        <f t="shared" si="10"/>
        <v>-76524.258789999993</v>
      </c>
      <c r="H119" s="26">
        <f t="shared" si="10"/>
        <v>-114124.2831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-916992.33074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3663.5032400000055</v>
      </c>
      <c r="F120" s="56">
        <f>SUM(F118:F119)</f>
        <v>-14611.372433999975</v>
      </c>
      <c r="G120" s="56">
        <f t="shared" si="11"/>
        <v>-266.27472399998805</v>
      </c>
      <c r="H120" s="56">
        <f t="shared" si="11"/>
        <v>-23909.338273999994</v>
      </c>
      <c r="I120" s="56">
        <f t="shared" si="11"/>
        <v>149.19016199999896</v>
      </c>
      <c r="J120" s="56">
        <f t="shared" si="11"/>
        <v>7637.6371539999964</v>
      </c>
      <c r="K120" s="56">
        <f t="shared" si="11"/>
        <v>12047.923373999991</v>
      </c>
      <c r="L120" s="56">
        <f t="shared" si="11"/>
        <v>3147.1892099999968</v>
      </c>
      <c r="M120" s="56">
        <f>SUM(M118:M119)</f>
        <v>29689.295639999997</v>
      </c>
      <c r="N120" s="65">
        <f>SUM(B120:M120)</f>
        <v>63039.466948000016</v>
      </c>
      <c r="O120" s="65">
        <f>'FO 22 mar-19'!N120+P112+O108</f>
        <v>63039.466948000118</v>
      </c>
      <c r="P120" s="133">
        <f>O120-N120</f>
        <v>1.0186340659856796E-10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57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60317.222498000032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515.78316000000632</v>
      </c>
      <c r="F123" s="26">
        <f>SUM($B$121:F121)-SUM($B$120:F120)</f>
        <v>17878.155593999982</v>
      </c>
      <c r="G123" s="26">
        <f>SUM($B$121:G121)-SUM($B$120:G120)</f>
        <v>16148.43031799997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0.6748048019607843</v>
      </c>
      <c r="C125" s="43">
        <f>B125*4</f>
        <v>2.6992192078431372</v>
      </c>
      <c r="Z125" s="89"/>
      <c r="AA125" s="89"/>
    </row>
    <row r="126" spans="1:30" ht="15" hidden="1">
      <c r="A126" s="42" t="s">
        <v>120</v>
      </c>
      <c r="B126" s="43">
        <f>-AVERAGE(B82:BA82)/1000000</f>
        <v>5.555226888431374</v>
      </c>
      <c r="C126" s="43">
        <f>B126*4</f>
        <v>22.220907553725496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3.4165213941176451</v>
      </c>
      <c r="C127" s="43">
        <f>B127*4</f>
        <v>13.66608557647058</v>
      </c>
      <c r="Z127" s="89"/>
      <c r="AA127" s="89"/>
    </row>
    <row r="128" spans="1:30" ht="15.75" hidden="1">
      <c r="A128" s="44" t="s">
        <v>104</v>
      </c>
      <c r="B128" s="45">
        <f>SUM(B124:B127)</f>
        <v>11.356081869411764</v>
      </c>
      <c r="C128" s="45">
        <f>SUM(C124:C127)</f>
        <v>45.424327477647054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13.090620283709455</v>
      </c>
      <c r="C136" s="45">
        <f>C128+C131+C134</f>
        <v>52.362481134837822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26.877387103596309</v>
      </c>
      <c r="C138" s="47">
        <f>C136+C137</f>
        <v>66.149247954724672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/>
  <dimension ref="A1:BB200"/>
  <sheetViews>
    <sheetView showGridLines="0" topLeftCell="A99" zoomScaleNormal="100" workbookViewId="0">
      <pane xSplit="1" topLeftCell="N1" activePane="topRight" state="frozen"/>
      <selection pane="topRight" activeCell="T108" sqref="T108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>
        <f>L93-'FO 15 mar-19'!L93</f>
        <v>1222607.8599999994</v>
      </c>
      <c r="M2" s="130">
        <f>M93-'FO 15 mar-19'!M93</f>
        <v>-902101.67000000551</v>
      </c>
      <c r="N2" s="129">
        <f>N93-'FO 15 mar-19'!N93</f>
        <v>0</v>
      </c>
      <c r="O2" s="129">
        <f>O93-'FO 15 mar-19'!O93</f>
        <v>0</v>
      </c>
      <c r="P2" s="129">
        <f>P93-'FO 15 mar-19'!P93</f>
        <v>3426212.3600000031</v>
      </c>
      <c r="Q2" s="130">
        <f>Q93-'FO 15 mar-19'!Q93</f>
        <v>0</v>
      </c>
      <c r="R2" s="129">
        <f>R93-'FO 15 mar-19'!R93</f>
        <v>0</v>
      </c>
      <c r="S2" s="129">
        <f>S93-'FO 15 mar-19'!S93</f>
        <v>250000</v>
      </c>
      <c r="T2" s="129">
        <f>T93-'FO 15 mar-19'!T93</f>
        <v>0</v>
      </c>
      <c r="U2" s="129">
        <f>U93-'FO 15 mar-19'!U93</f>
        <v>0</v>
      </c>
      <c r="V2" s="130">
        <f>V93-'FO 15 mar-19'!V93</f>
        <v>0</v>
      </c>
      <c r="W2" s="129">
        <f>W93-'FO 15 mar-19'!W93</f>
        <v>0</v>
      </c>
      <c r="X2" s="129">
        <f>X93-'FO 15 mar-19'!X93</f>
        <v>0</v>
      </c>
      <c r="Y2" s="129">
        <f>Y93-'FO 15 mar-19'!Y93</f>
        <v>0</v>
      </c>
      <c r="Z2" s="130">
        <f>Z93-'FO 15 mar-19'!Z93</f>
        <v>0</v>
      </c>
      <c r="AA2" s="129">
        <f>AA93-'FO 15 mar-19'!AA93</f>
        <v>0</v>
      </c>
      <c r="AB2" s="129">
        <f>AB93-'FO 15 mar-19'!AB93</f>
        <v>0</v>
      </c>
      <c r="AC2" s="129">
        <f>AC93-'FO 15 mar-19'!AC93</f>
        <v>-250000</v>
      </c>
      <c r="AD2" s="129">
        <f>AD93-'FO 15 mar-19'!AD93</f>
        <v>0</v>
      </c>
      <c r="AE2" s="130">
        <f>AE93-'FO 15 mar-19'!AE93</f>
        <v>0</v>
      </c>
      <c r="AF2" s="129">
        <f>AF93-'FO 15 mar-19'!AF93</f>
        <v>0</v>
      </c>
      <c r="AG2" s="129">
        <f>AG93-'FO 15 mar-19'!AG93</f>
        <v>0</v>
      </c>
      <c r="AH2" s="129">
        <f>AH93-'FO 15 mar-19'!AH93</f>
        <v>0</v>
      </c>
      <c r="AI2" s="130">
        <f>AI93-'FO 15 mar-19'!AI93</f>
        <v>0</v>
      </c>
      <c r="AJ2" s="129">
        <f>AJ93-'FO 15 mar-19'!AJ93</f>
        <v>0</v>
      </c>
      <c r="AK2" s="129">
        <f>AK93-'FO 15 mar-19'!AK93</f>
        <v>0</v>
      </c>
      <c r="AL2" s="129">
        <f>AL93-'FO 15 mar-19'!AL93</f>
        <v>0</v>
      </c>
      <c r="AM2" s="130">
        <f>AM93-'FO 15 mar-19'!AM93</f>
        <v>0</v>
      </c>
      <c r="AN2" s="129">
        <f>AN93-'FO 15 mar-19'!AN93</f>
        <v>0</v>
      </c>
      <c r="AO2" s="129">
        <f>AO93-'FO 15 mar-19'!AO93</f>
        <v>0</v>
      </c>
      <c r="AP2" s="129">
        <f>AP93-'FO 15 mar-19'!AP93</f>
        <v>0</v>
      </c>
      <c r="AQ2" s="129">
        <f>AQ93-'FO 15 mar-19'!AQ93</f>
        <v>0</v>
      </c>
      <c r="AR2" s="130">
        <f>AR93-'FO 15 mar-19'!AR93</f>
        <v>0</v>
      </c>
      <c r="AS2" s="129">
        <f>AS93-'FO 15 mar-19'!AS93</f>
        <v>0</v>
      </c>
      <c r="AT2" s="129">
        <f>AT93-'FO 15 mar-19'!AT93</f>
        <v>0</v>
      </c>
      <c r="AU2" s="129">
        <f>AU93-'FO 15 mar-19'!AU93</f>
        <v>0</v>
      </c>
      <c r="AV2" s="130">
        <f>AV93-'FO 15 mar-19'!AV93</f>
        <v>0</v>
      </c>
      <c r="AW2" s="129">
        <f>AW93-'FO 15 mar-19'!AW93</f>
        <v>0</v>
      </c>
      <c r="AX2" s="131">
        <f>AX93-'FO 15 mar-19'!AX93</f>
        <v>0</v>
      </c>
      <c r="AY2" s="131">
        <f>AY93-'FO 15 mar-19'!AY93</f>
        <v>0</v>
      </c>
      <c r="AZ2" s="131">
        <f>AZ93-'FO 15 mar-19'!AZ93</f>
        <v>0</v>
      </c>
      <c r="BA2" s="131">
        <f>BA93-'FO 15 mar-19'!BA93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51501.467141999994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841264.80870900012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-4862.4370400000007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-2125.8481500000003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-5589068.2999999998</v>
      </c>
      <c r="P47" s="146">
        <v>0</v>
      </c>
      <c r="Q47" s="146">
        <v>0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-34415.044900000001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-4039459.18</v>
      </c>
      <c r="Q49" s="146">
        <v>0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-3090421.23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-38598.85499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-6048.9712500000014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-11490.436440000001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-6771.6779100000003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-11399.832579999993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-72569.763919999983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-24370.048980000007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-14703.248330000006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-2561.9213100000011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-18227646.690000001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-283316.57131000009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-1736.8203799999992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-3773.5750599999997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-97189.1020099999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-726.49209999999994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-48125.230349999991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-25917442.720000003</v>
      </c>
      <c r="N93" s="18">
        <v>-8071669.2800000003</v>
      </c>
      <c r="O93" s="18">
        <v>-25078054.909999996</v>
      </c>
      <c r="P93" s="18">
        <v>-14740289.460000001</v>
      </c>
      <c r="Q93" s="32">
        <v>-7830537.5099999998</v>
      </c>
      <c r="R93" s="18">
        <v>-17735786.039999995</v>
      </c>
      <c r="S93" s="18">
        <v>-13648593.340000002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-24847688.640000004</v>
      </c>
      <c r="AB93" s="18">
        <v>-15678613.150000002</v>
      </c>
      <c r="AC93" s="18">
        <v>-32354686.150000002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-779916.70675999997</v>
      </c>
    </row>
    <row r="94" spans="1:54" s="8" customFormat="1" ht="12.75">
      <c r="A94" s="7" t="s">
        <v>1</v>
      </c>
      <c r="B94" s="21">
        <f t="shared" ref="B94:L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f t="shared" si="3"/>
        <v>5548984.299999997</v>
      </c>
      <c r="K94" s="21">
        <f t="shared" si="3"/>
        <v>2158884.3899999969</v>
      </c>
      <c r="L94" s="21">
        <f t="shared" si="3"/>
        <v>2905503.870000001</v>
      </c>
      <c r="M94" s="36">
        <v>-10212215.769000003</v>
      </c>
      <c r="N94" s="21">
        <v>7830758.9399999985</v>
      </c>
      <c r="O94" s="21">
        <v>-9042716.8299999945</v>
      </c>
      <c r="P94" s="21">
        <v>859166.25999999978</v>
      </c>
      <c r="Q94" s="36">
        <v>7731252.0100000016</v>
      </c>
      <c r="R94" s="21">
        <v>-2075512.7847999912</v>
      </c>
      <c r="S94" s="21">
        <v>1571774.3951999974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-9185919.4888000041</v>
      </c>
      <c r="AB94" s="21">
        <v>74470.591199999675</v>
      </c>
      <c r="AC94" s="21">
        <v>-16670238.298800001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61348.101948999974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63086.545420999988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841264.80870899989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-62685.388630000009</v>
      </c>
      <c r="E101" s="58">
        <f>SUM(N93:Q93)/1000</f>
        <v>-55720.551159999995</v>
      </c>
      <c r="F101" s="60">
        <f>SUM(R93:V93)/1000</f>
        <v>-93065.297049999979</v>
      </c>
      <c r="G101" s="60">
        <f>SUM(W93:Z93)/1000</f>
        <v>-65075.611789999988</v>
      </c>
      <c r="H101" s="60">
        <f>SUM(AA93:AE93)/1000</f>
        <v>-102492.7041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-779916.70675999997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401.15679099997942</v>
      </c>
      <c r="E102" s="58">
        <f>SUM(E100:E101)</f>
        <v>7378.4603800000114</v>
      </c>
      <c r="F102" s="60">
        <f>SUM(F100:F101)</f>
        <v>-14900.009433999978</v>
      </c>
      <c r="G102" s="60">
        <f t="shared" si="4"/>
        <v>-490.49772399998619</v>
      </c>
      <c r="H102" s="60">
        <f t="shared" si="4"/>
        <v>-23816.199273999999</v>
      </c>
      <c r="I102" s="60">
        <f t="shared" si="4"/>
        <v>-55.423838000002434</v>
      </c>
      <c r="J102" s="60">
        <f t="shared" si="4"/>
        <v>7231.5871540000007</v>
      </c>
      <c r="K102" s="60">
        <f t="shared" si="4"/>
        <v>11529.106373999995</v>
      </c>
      <c r="L102" s="60">
        <f t="shared" si="4"/>
        <v>2312.5822100000078</v>
      </c>
      <c r="M102" s="60">
        <f>SUM(M100:M101)</f>
        <v>29647.591639999991</v>
      </c>
      <c r="N102" s="60">
        <f>SUM(B102:M102)</f>
        <v>61348.101949000011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15 mar-19'!N100</f>
        <v>-992.15010200010147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15 mar-19'!N100</f>
        <v>-992.15010200010147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3746.7185499999969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15 mar-19'!B108:M108)</f>
        <v>0</v>
      </c>
      <c r="P108" s="78">
        <f>N101-'FO 15 mar-19'!N101</f>
        <v>3746.7185499999905</v>
      </c>
      <c r="Q108" s="61" t="s">
        <v>103</v>
      </c>
      <c r="R108" s="63"/>
      <c r="S108" s="23" t="s">
        <v>126</v>
      </c>
      <c r="T108" s="115">
        <f>SUM(M47:BA50)/1000-SUM('FO 15 mar-19'!M47:BA50)/1000</f>
        <v>3426.212360000005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SUM(M82:BA82)/1000-SUM('FO 15 mar-19'!M82:BA82)/1000</f>
        <v>0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SUM(M31:BA92)/1000-SUM('FO 15 mar-19'!M31:BA92)/1000-T108-T109</f>
        <v>-902.10166999988724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15 mar-19'!N102</f>
        <v>2754.5684480000054</v>
      </c>
      <c r="Q111" s="119" t="s">
        <v>299</v>
      </c>
      <c r="S111" s="70" t="s">
        <v>129</v>
      </c>
      <c r="T111" s="77">
        <f>SUM(T108:T110)</f>
        <v>2524.1106900001178</v>
      </c>
      <c r="U111" s="71">
        <f>L2/1000</f>
        <v>1222.6078599999994</v>
      </c>
      <c r="V111" s="75">
        <f>SUM(T111:U111)</f>
        <v>3746.7185500001169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2754.568447999889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74051.686420999991</v>
      </c>
      <c r="E118" s="26">
        <f>E100+E106+E112</f>
        <v>73793.355540000004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979389.78070899996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-73901.189630000008</v>
      </c>
      <c r="E119" s="26">
        <f>E101+E107+E113</f>
        <v>-67539.366160000005</v>
      </c>
      <c r="F119" s="26">
        <f>F101+F107+F113</f>
        <v>-104540.37004999998</v>
      </c>
      <c r="G119" s="26">
        <f t="shared" si="10"/>
        <v>-76524.258789999993</v>
      </c>
      <c r="H119" s="26">
        <f t="shared" si="10"/>
        <v>-114124.2831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-915928.79676000017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150.4967909999832</v>
      </c>
      <c r="E120" s="56">
        <f>SUM(E118:E119)</f>
        <v>6253.9893799999991</v>
      </c>
      <c r="F120" s="56">
        <f>SUM(F118:F119)</f>
        <v>-14611.372433999975</v>
      </c>
      <c r="G120" s="56">
        <f t="shared" si="11"/>
        <v>-266.27472399998805</v>
      </c>
      <c r="H120" s="56">
        <f t="shared" si="11"/>
        <v>-23909.338273999994</v>
      </c>
      <c r="I120" s="56">
        <f t="shared" si="11"/>
        <v>149.19016199999896</v>
      </c>
      <c r="J120" s="56">
        <f t="shared" si="11"/>
        <v>7637.6371539999964</v>
      </c>
      <c r="K120" s="56">
        <f t="shared" si="11"/>
        <v>12047.923373999991</v>
      </c>
      <c r="L120" s="56">
        <f t="shared" si="11"/>
        <v>3147.1892099999968</v>
      </c>
      <c r="M120" s="56">
        <f>SUM(M118:M119)</f>
        <v>29689.295639999997</v>
      </c>
      <c r="N120" s="65">
        <f>SUM(B120:M120)</f>
        <v>63460.983949000001</v>
      </c>
      <c r="O120" s="65">
        <f>'FO 15 mar-19'!N120+P112+O108</f>
        <v>63460.98394899987</v>
      </c>
      <c r="P120" s="133">
        <f>O120-N120</f>
        <v>-1.3096723705530167E-10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57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60738.739499000018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94.266159000020707</v>
      </c>
      <c r="F123" s="26">
        <f>SUM($B$121:F121)-SUM($B$120:F120)</f>
        <v>17456.638592999996</v>
      </c>
      <c r="G123" s="26">
        <f>SUM($B$121:G121)-SUM($B$120:G120)</f>
        <v>15726.913316999984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0.6748048019607843</v>
      </c>
      <c r="C125" s="43">
        <f>B125*4</f>
        <v>2.6992192078431372</v>
      </c>
      <c r="Z125" s="89"/>
      <c r="AA125" s="89"/>
    </row>
    <row r="126" spans="1:30" ht="15" hidden="1">
      <c r="A126" s="42" t="s">
        <v>120</v>
      </c>
      <c r="B126" s="43">
        <f>-AVERAGE(B82:BA82)/1000000</f>
        <v>5.555226888431374</v>
      </c>
      <c r="C126" s="43">
        <f>B126*4</f>
        <v>22.220907553725496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3.3286052143137232</v>
      </c>
      <c r="C127" s="43">
        <f>B127*4</f>
        <v>13.314420857254893</v>
      </c>
      <c r="Z127" s="89"/>
      <c r="AA127" s="89"/>
    </row>
    <row r="128" spans="1:30" ht="15.75" hidden="1">
      <c r="A128" s="44" t="s">
        <v>104</v>
      </c>
      <c r="B128" s="45">
        <f>SUM(B124:B127)</f>
        <v>11.268165689607843</v>
      </c>
      <c r="C128" s="45">
        <f>SUM(C124:C127)</f>
        <v>45.07266275843137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13.002704103905534</v>
      </c>
      <c r="C136" s="45">
        <f>C128+C131+C134</f>
        <v>52.010816415622138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26.789470923792386</v>
      </c>
      <c r="C138" s="47">
        <f>C136+C137</f>
        <v>65.797583235508995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2"/>
  <dimension ref="A1:BB200"/>
  <sheetViews>
    <sheetView showGridLines="0" zoomScaleNormal="100" workbookViewId="0">
      <pane xSplit="1" topLeftCell="B1" activePane="topRight" state="frozen"/>
      <selection pane="topRight" activeCell="E121" sqref="E121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>
        <f>K93-'FO 8 mar-19'!K93</f>
        <v>1029987.5700000077</v>
      </c>
      <c r="L2" s="129">
        <f>L93-'FO 8 mar-19'!L93</f>
        <v>-2903006.2799999993</v>
      </c>
      <c r="M2" s="130">
        <f>M93-'FO 8 mar-19'!M93</f>
        <v>5006.9400000050664</v>
      </c>
      <c r="N2" s="129">
        <f>N93-'FO 8 mar-19'!N93</f>
        <v>0</v>
      </c>
      <c r="O2" s="129">
        <f>O93-'FO 8 mar-19'!O93</f>
        <v>0</v>
      </c>
      <c r="P2" s="129">
        <f>P93-'FO 8 mar-19'!P93</f>
        <v>0</v>
      </c>
      <c r="Q2" s="130">
        <f>Q93-'FO 8 mar-19'!Q93</f>
        <v>0</v>
      </c>
      <c r="R2" s="129">
        <f>R93-'FO 8 mar-19'!R93</f>
        <v>0</v>
      </c>
      <c r="S2" s="129">
        <f>S93-'FO 8 mar-19'!S93</f>
        <v>0</v>
      </c>
      <c r="T2" s="129">
        <f>T93-'FO 8 mar-19'!T93</f>
        <v>0</v>
      </c>
      <c r="U2" s="129">
        <f>U93-'FO 8 mar-19'!U93</f>
        <v>0</v>
      </c>
      <c r="V2" s="130">
        <f>V93-'FO 8 mar-19'!V93</f>
        <v>0</v>
      </c>
      <c r="W2" s="129">
        <f>W93-'FO 8 mar-19'!W93</f>
        <v>0</v>
      </c>
      <c r="X2" s="129">
        <f>X93-'FO 8 mar-19'!X93</f>
        <v>0</v>
      </c>
      <c r="Y2" s="129">
        <f>Y93-'FO 8 mar-19'!Y93</f>
        <v>0</v>
      </c>
      <c r="Z2" s="130">
        <f>Z93-'FO 8 mar-19'!Z93</f>
        <v>0</v>
      </c>
      <c r="AA2" s="129">
        <f>AA93-'FO 8 mar-19'!AA93</f>
        <v>0</v>
      </c>
      <c r="AB2" s="129">
        <f>AB93-'FO 8 mar-19'!AB93</f>
        <v>0</v>
      </c>
      <c r="AC2" s="129">
        <f>AC93-'FO 8 mar-19'!AC93</f>
        <v>0</v>
      </c>
      <c r="AD2" s="129">
        <f>AD93-'FO 8 mar-19'!AD93</f>
        <v>0</v>
      </c>
      <c r="AE2" s="130">
        <f>AE93-'FO 8 mar-19'!AE93</f>
        <v>0</v>
      </c>
      <c r="AF2" s="129">
        <f>AF93-'FO 8 mar-19'!AF93</f>
        <v>0</v>
      </c>
      <c r="AG2" s="129">
        <f>AG93-'FO 8 mar-19'!AG93</f>
        <v>0</v>
      </c>
      <c r="AH2" s="129">
        <f>AH93-'FO 8 mar-19'!AH93</f>
        <v>0</v>
      </c>
      <c r="AI2" s="130">
        <f>AI93-'FO 8 mar-19'!AI93</f>
        <v>0</v>
      </c>
      <c r="AJ2" s="129">
        <f>AJ93-'FO 8 mar-19'!AJ93</f>
        <v>0</v>
      </c>
      <c r="AK2" s="129">
        <f>AK93-'FO 8 mar-19'!AK93</f>
        <v>0</v>
      </c>
      <c r="AL2" s="129">
        <f>AL93-'FO 8 mar-19'!AL93</f>
        <v>0</v>
      </c>
      <c r="AM2" s="130">
        <f>AM93-'FO 8 mar-19'!AM93</f>
        <v>0</v>
      </c>
      <c r="AN2" s="129">
        <f>AN93-'FO 8 mar-19'!AN93</f>
        <v>0</v>
      </c>
      <c r="AO2" s="129">
        <f>AO93-'FO 8 mar-19'!AO93</f>
        <v>0</v>
      </c>
      <c r="AP2" s="129">
        <f>AP93-'FO 8 mar-19'!AP93</f>
        <v>0</v>
      </c>
      <c r="AQ2" s="129">
        <f>AQ93-'FO 8 mar-19'!AQ93</f>
        <v>0</v>
      </c>
      <c r="AR2" s="130">
        <f>AR93-'FO 8 mar-19'!AR93</f>
        <v>0</v>
      </c>
      <c r="AS2" s="129">
        <f>AS93-'FO 8 mar-19'!AS93</f>
        <v>0</v>
      </c>
      <c r="AT2" s="129">
        <f>AT93-'FO 8 mar-19'!AT93</f>
        <v>0</v>
      </c>
      <c r="AU2" s="129">
        <f>AU93-'FO 8 mar-19'!AU93</f>
        <v>0</v>
      </c>
      <c r="AV2" s="130">
        <f>AV93-'FO 8 mar-19'!AV93</f>
        <v>0</v>
      </c>
      <c r="AW2" s="129">
        <f>AW93-'FO 8 mar-19'!AW93</f>
        <v>0</v>
      </c>
      <c r="AX2" s="131">
        <f>AX93-'FO 8 mar-19'!AX93</f>
        <v>0</v>
      </c>
      <c r="AY2" s="131">
        <f>AY93-'FO 8 mar-19'!AY93</f>
        <v>0</v>
      </c>
      <c r="AZ2" s="131">
        <f>AZ93-'FO 8 mar-19'!AZ93</f>
        <v>0</v>
      </c>
      <c r="BA2" s="131">
        <f>BA93-'FO 8 mar-19'!BA93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326447.41100000002</v>
      </c>
      <c r="N24" s="24">
        <v>326360.571</v>
      </c>
      <c r="O24" s="24">
        <v>372826.25999999995</v>
      </c>
      <c r="P24" s="24">
        <v>365134.8</v>
      </c>
      <c r="Q24" s="31">
        <v>379541.55999999994</v>
      </c>
      <c r="R24" s="24">
        <v>408170.75999999995</v>
      </c>
      <c r="S24" s="24">
        <v>335332.01519999997</v>
      </c>
      <c r="T24" s="24">
        <v>340926.4952</v>
      </c>
      <c r="U24" s="24">
        <v>336534.83519999997</v>
      </c>
      <c r="V24" s="31">
        <v>300590.33519999997</v>
      </c>
      <c r="W24" s="24">
        <v>299099.5552</v>
      </c>
      <c r="X24" s="24">
        <v>386553.37399999995</v>
      </c>
      <c r="Y24" s="24">
        <v>380590.25399999996</v>
      </c>
      <c r="Z24" s="31">
        <v>380590.25399999996</v>
      </c>
      <c r="AA24" s="24">
        <v>380590.25399999996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334274.13119999995</v>
      </c>
      <c r="AG24" s="24">
        <v>373705.08300000004</v>
      </c>
      <c r="AH24" s="24">
        <v>373705.08300000004</v>
      </c>
      <c r="AI24" s="31">
        <v>373705.08300000004</v>
      </c>
      <c r="AJ24" s="24">
        <v>373705.08300000004</v>
      </c>
      <c r="AK24" s="24">
        <v>409108.28100000002</v>
      </c>
      <c r="AL24" s="24">
        <v>409108.28100000002</v>
      </c>
      <c r="AM24" s="31">
        <v>409108.28100000002</v>
      </c>
      <c r="AN24" s="24">
        <v>409108.28100000002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288166.7328</v>
      </c>
      <c r="AT24" s="24">
        <v>411863.7</v>
      </c>
      <c r="AU24" s="24">
        <v>411863.7</v>
      </c>
      <c r="AV24" s="31">
        <v>411863.7</v>
      </c>
      <c r="AW24" s="24">
        <v>411863.7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51485.313112999997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16560071.921000002</v>
      </c>
      <c r="M30" s="33">
        <v>15705313.790999999</v>
      </c>
      <c r="N30" s="20">
        <v>15855962.530999999</v>
      </c>
      <c r="O30" s="20">
        <v>16043029.540000001</v>
      </c>
      <c r="P30" s="20">
        <v>15585048.960000001</v>
      </c>
      <c r="Q30" s="33">
        <v>15533160.320000002</v>
      </c>
      <c r="R30" s="20">
        <v>15733112.000000004</v>
      </c>
      <c r="S30" s="20">
        <v>15214773.255199999</v>
      </c>
      <c r="T30" s="20">
        <v>16055341.255199999</v>
      </c>
      <c r="U30" s="20">
        <v>15628563.745200001</v>
      </c>
      <c r="V30" s="33">
        <v>15642568.565199997</v>
      </c>
      <c r="W30" s="20">
        <v>16106593.405199999</v>
      </c>
      <c r="X30" s="20">
        <v>15908246.664000001</v>
      </c>
      <c r="Y30" s="20">
        <v>16233528.684</v>
      </c>
      <c r="Z30" s="33">
        <v>16255254.613999998</v>
      </c>
      <c r="AA30" s="20">
        <v>15708085.274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15686698.661199998</v>
      </c>
      <c r="AG30" s="20">
        <v>15592249.053000001</v>
      </c>
      <c r="AH30" s="20">
        <v>15447040.382999999</v>
      </c>
      <c r="AI30" s="33">
        <v>15398505.833000001</v>
      </c>
      <c r="AJ30" s="20">
        <v>15554445.343000002</v>
      </c>
      <c r="AK30" s="20">
        <v>15750773.741</v>
      </c>
      <c r="AL30" s="20">
        <v>15953517.630999999</v>
      </c>
      <c r="AM30" s="33">
        <v>16052406.001</v>
      </c>
      <c r="AN30" s="20">
        <v>15962992.351000002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15376287.2028</v>
      </c>
      <c r="AT30" s="20">
        <v>16163181.579999996</v>
      </c>
      <c r="AU30" s="20">
        <v>15798876.84</v>
      </c>
      <c r="AV30" s="33">
        <v>16213869.830000002</v>
      </c>
      <c r="AW30" s="20">
        <v>17532011.640000001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842256.95881099999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-4032.4077300000004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-1925.1653200000003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-5589068.2999999998</v>
      </c>
      <c r="P47" s="146">
        <v>0</v>
      </c>
      <c r="Q47" s="146">
        <v>0</v>
      </c>
      <c r="R47" s="146">
        <v>0</v>
      </c>
      <c r="S47" s="146">
        <v>-386000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-34665.044900000001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-7465671.54</v>
      </c>
      <c r="Q49" s="146">
        <v>0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-2840421.23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-41775.067350000005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-6010.0429800000011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-11742.618270000001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-6911.0113799999999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-11651.392499999993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-74279.989269999976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-24910.356110000008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-14663.967020000006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-2620.2586800000008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-18227646.690000001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-283316.57131000009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-1774.1713699999991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-4336.5033999999996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-92853.842729999902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-741.27894000000003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-49100.298439999999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-13868871.779999999</v>
      </c>
      <c r="M93" s="32">
        <v>-25015341.049999997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-24847688.640000004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-783663.42530999996</v>
      </c>
    </row>
    <row r="94" spans="1:54" s="8" customFormat="1" ht="12.75">
      <c r="A94" s="7" t="s">
        <v>1</v>
      </c>
      <c r="B94" s="21">
        <f t="shared" ref="B94:K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f t="shared" si="3"/>
        <v>5548984.299999997</v>
      </c>
      <c r="K94" s="21">
        <f t="shared" si="3"/>
        <v>2158884.3899999969</v>
      </c>
      <c r="L94" s="21">
        <v>2691200.1410000026</v>
      </c>
      <c r="M94" s="36">
        <v>-9310027.2589999977</v>
      </c>
      <c r="N94" s="21">
        <v>7784293.2509999992</v>
      </c>
      <c r="O94" s="21">
        <v>-9035025.3699999955</v>
      </c>
      <c r="P94" s="21">
        <v>-2581452.8600000031</v>
      </c>
      <c r="Q94" s="36">
        <v>7702622.8100000024</v>
      </c>
      <c r="R94" s="21">
        <v>-2002674.0399999917</v>
      </c>
      <c r="S94" s="21">
        <v>1316179.9151999969</v>
      </c>
      <c r="T94" s="21">
        <v>-17232718.324800003</v>
      </c>
      <c r="U94" s="21">
        <v>2655738.9152000006</v>
      </c>
      <c r="V94" s="36">
        <v>222535.30519999936</v>
      </c>
      <c r="W94" s="21">
        <v>2912541.3851999994</v>
      </c>
      <c r="X94" s="21">
        <v>-2122633.0459999964</v>
      </c>
      <c r="Y94" s="21">
        <v>-165560.31599999964</v>
      </c>
      <c r="Z94" s="36">
        <v>-1196336.4460000005</v>
      </c>
      <c r="AA94" s="21">
        <v>-9139603.3660000041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1614093.2411999963</v>
      </c>
      <c r="AG94" s="21">
        <v>-5076439.4669999946</v>
      </c>
      <c r="AH94" s="21">
        <v>3225503.9729999993</v>
      </c>
      <c r="AI94" s="36">
        <v>141987.46299999952</v>
      </c>
      <c r="AJ94" s="21">
        <v>7185541.1330000022</v>
      </c>
      <c r="AK94" s="21">
        <v>-11880478.309</v>
      </c>
      <c r="AL94" s="21">
        <v>4134080.0709999967</v>
      </c>
      <c r="AM94" s="36">
        <v>7757041.0610000007</v>
      </c>
      <c r="AN94" s="21">
        <v>1215241.2610000018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5764841.6828000024</v>
      </c>
      <c r="AT94" s="21">
        <v>-12435033.580000008</v>
      </c>
      <c r="AU94" s="21">
        <v>4030325.6900000013</v>
      </c>
      <c r="AV94" s="36">
        <v>4828751.450000003</v>
      </c>
      <c r="AW94" s="21">
        <v>11848753.07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58593.533500999969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64094.936391999996</v>
      </c>
      <c r="E100" s="58">
        <f>SUM(N30:Q30)/1000</f>
        <v>63017.201351000003</v>
      </c>
      <c r="F100" s="60">
        <f>SUM(R30:V30)/1000</f>
        <v>78274.358820799986</v>
      </c>
      <c r="G100" s="60">
        <f>SUM(W30:Z30)/1000</f>
        <v>64503.623367200002</v>
      </c>
      <c r="H100" s="60">
        <f>SUM(AA30:AE30)/1000</f>
        <v>78722.820948799999</v>
      </c>
      <c r="I100" s="60">
        <f>SUM(AF30:AI30)/1000</f>
        <v>62124.493930199998</v>
      </c>
      <c r="J100" s="60">
        <f>SUM(AJ30:AM30)/1000</f>
        <v>63311.142716000002</v>
      </c>
      <c r="K100" s="60">
        <f>SUM(AN30:AR30)/1000</f>
        <v>78651.865402199997</v>
      </c>
      <c r="L100" s="60">
        <f>SUM(AS30:AV30)/1000</f>
        <v>63552.215452799988</v>
      </c>
      <c r="M100" s="60">
        <f>SUM(AW30:BA30)/1000</f>
        <v>78231.698460000014</v>
      </c>
      <c r="N100" s="60">
        <f>SUM(B100:M100)</f>
        <v>842256.95881099999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-63005.894820000001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-102242.7041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-783663.42530999996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1089.0415719999946</v>
      </c>
      <c r="E102" s="58">
        <f>SUM(E100:E101)</f>
        <v>3870.4378310000029</v>
      </c>
      <c r="F102" s="60">
        <f>SUM(F100:F101)</f>
        <v>-15040.938229199994</v>
      </c>
      <c r="G102" s="60">
        <f t="shared" si="4"/>
        <v>-571.98842279998644</v>
      </c>
      <c r="H102" s="60">
        <f t="shared" si="4"/>
        <v>-23519.883151200003</v>
      </c>
      <c r="I102" s="60">
        <f t="shared" si="4"/>
        <v>-94.854789800003346</v>
      </c>
      <c r="J102" s="60">
        <f t="shared" si="4"/>
        <v>7196.1839560000008</v>
      </c>
      <c r="K102" s="60">
        <f t="shared" si="4"/>
        <v>11650.047922199999</v>
      </c>
      <c r="L102" s="60">
        <f t="shared" si="4"/>
        <v>2188.8852427999955</v>
      </c>
      <c r="M102" s="60">
        <f>SUM(M100:M101)</f>
        <v>29716.853900000009</v>
      </c>
      <c r="N102" s="60">
        <f>SUM(B102:M102)</f>
        <v>58593.533501000005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8 mar-19'!N100</f>
        <v>2333.5169200001983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8 mar-19'!N100</f>
        <v>2333.5169200001983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-1868.0117699999864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8 mar-19'!B108:M108)</f>
        <v>0</v>
      </c>
      <c r="P108" s="78">
        <f>N101-'FO 8 mar-19'!N101</f>
        <v>-1868.0117699999828</v>
      </c>
      <c r="Q108" s="61" t="s">
        <v>103</v>
      </c>
      <c r="R108" s="63"/>
      <c r="S108" s="23" t="s">
        <v>126</v>
      </c>
      <c r="T108" s="115">
        <f>SUM(L47:BA50)/1000-SUM('FO 8 mar-19'!L47:BA50)/1000</f>
        <v>384.10648000000947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SUM(L82:BA82)/1000-SUM('FO 8 mar-19'!L82:BA82)/1000</f>
        <v>5.0069399999920279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SUM(L31:BA92)/1000-SUM('FO 8 mar-19'!L31:BA92)/1000-T108-T109</f>
        <v>-3287.1127599998654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8 mar-19'!N102</f>
        <v>465.50514999998995</v>
      </c>
      <c r="Q111" s="119" t="s">
        <v>299</v>
      </c>
      <c r="S111" s="70" t="s">
        <v>129</v>
      </c>
      <c r="T111" s="77">
        <f>SUM(T108:T110)</f>
        <v>-2897.9993399998639</v>
      </c>
      <c r="U111" s="71">
        <f>K2/1000</f>
        <v>1029.9875700000077</v>
      </c>
      <c r="V111" s="75">
        <f>SUM(T111:U111)</f>
        <v>-1868.0117699998561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465.50515000021551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62124.493930199998</v>
      </c>
      <c r="W117" s="80">
        <f>SUM(AK30:BA30)/1000</f>
        <v>268192.47668799997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75060.077391999992</v>
      </c>
      <c r="E118" s="26">
        <f>E100+E106+E112</f>
        <v>73711.545351000008</v>
      </c>
      <c r="F118" s="26">
        <f>F100+F106+F112</f>
        <v>90038.068820799992</v>
      </c>
      <c r="G118" s="26">
        <f t="shared" si="10"/>
        <v>76176.493367200004</v>
      </c>
      <c r="H118" s="26">
        <f t="shared" si="10"/>
        <v>90261.260948800002</v>
      </c>
      <c r="I118" s="26">
        <f t="shared" si="10"/>
        <v>73810.956930200002</v>
      </c>
      <c r="J118" s="26">
        <f t="shared" si="10"/>
        <v>75184.355715999991</v>
      </c>
      <c r="K118" s="26">
        <f t="shared" si="10"/>
        <v>90493.712402199992</v>
      </c>
      <c r="L118" s="26">
        <f t="shared" si="10"/>
        <v>75515.366452799994</v>
      </c>
      <c r="M118" s="26">
        <f t="shared" si="10"/>
        <v>89394.952460000015</v>
      </c>
      <c r="N118" s="64">
        <f>SUM(B118:M118)</f>
        <v>980381.93081099994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-74221.695820000008</v>
      </c>
      <c r="E119" s="26">
        <f>E101+E107+E113</f>
        <v>-70965.57852000001</v>
      </c>
      <c r="F119" s="26">
        <f>F101+F107+F113</f>
        <v>-104790.37004999998</v>
      </c>
      <c r="G119" s="26">
        <f t="shared" si="10"/>
        <v>-76524.258789999993</v>
      </c>
      <c r="H119" s="26">
        <f t="shared" si="10"/>
        <v>-113874.2831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-919675.51531000005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838.38157199998386</v>
      </c>
      <c r="E120" s="56">
        <f>SUM(E118:E119)</f>
        <v>2745.9668309999979</v>
      </c>
      <c r="F120" s="56">
        <f>SUM(F118:F119)</f>
        <v>-14752.301229199991</v>
      </c>
      <c r="G120" s="56">
        <f t="shared" si="11"/>
        <v>-347.7654227999883</v>
      </c>
      <c r="H120" s="56">
        <f t="shared" si="11"/>
        <v>-23613.022151199999</v>
      </c>
      <c r="I120" s="56">
        <f t="shared" si="11"/>
        <v>109.75921020000533</v>
      </c>
      <c r="J120" s="56">
        <f t="shared" si="11"/>
        <v>7602.2339559999818</v>
      </c>
      <c r="K120" s="56">
        <f t="shared" si="11"/>
        <v>12168.864922199995</v>
      </c>
      <c r="L120" s="56">
        <f t="shared" si="11"/>
        <v>3023.4922427999845</v>
      </c>
      <c r="M120" s="56">
        <f>SUM(M118:M119)</f>
        <v>29758.557900000014</v>
      </c>
      <c r="N120" s="65">
        <f>SUM(B120:M120)</f>
        <v>60706.415500999981</v>
      </c>
      <c r="O120" s="65">
        <f>'FO 1 mar-19'!N120+P112+O108</f>
        <v>64110.904232000219</v>
      </c>
      <c r="P120" s="133">
        <f>O120-N120</f>
        <v>3404.4887310002377</v>
      </c>
      <c r="R120" s="86">
        <f>[1]EEFF!$H$63</f>
        <v>574206</v>
      </c>
      <c r="S120" s="40" t="s">
        <v>135</v>
      </c>
      <c r="T120" s="80">
        <f>SUM(T117:T119)</f>
        <v>73810.956930200002</v>
      </c>
      <c r="U120" s="9"/>
      <c r="V120" s="9"/>
      <c r="W120" s="80">
        <f>SUM(W117:W119)</f>
        <v>315033.94168799999</v>
      </c>
      <c r="X120" s="9"/>
      <c r="Y120" s="9"/>
      <c r="Z120" s="76">
        <f>R120+T120+W120</f>
        <v>963050.89861819998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57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57984.171050999998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59262.518328605176</v>
      </c>
      <c r="U122" s="80">
        <f>U124-U123</f>
        <v>71460.380999999878</v>
      </c>
      <c r="W122" s="80">
        <f>W117-W116</f>
        <v>257860.09168799996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2914.4039270000212</v>
      </c>
      <c r="F123" s="26">
        <f>SUM($B$121:F121)-SUM($B$120:F120)</f>
        <v>20417.705156200012</v>
      </c>
      <c r="G123" s="26">
        <f>SUM($B$121:G121)-SUM($B$120:G120)</f>
        <v>18769.470579000001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62948.981328605179</v>
      </c>
      <c r="U124" s="80">
        <f>'[1]Proy. 2018'!$D$60</f>
        <v>74585.869999999879</v>
      </c>
      <c r="W124" s="80">
        <f>SUM(W122:W123)</f>
        <v>272701.55668799998</v>
      </c>
      <c r="X124" s="80">
        <f>SUM('[1]Proy. 2018'!$E$60:$H$60)</f>
        <v>292023.20500000007</v>
      </c>
      <c r="Z124" s="91">
        <f>R120+T124+W124</f>
        <v>909856.53801660519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5.555226888431374</v>
      </c>
      <c r="C126" s="43">
        <f>B126*4</f>
        <v>22.220907553725496</v>
      </c>
      <c r="S126" s="92" t="s">
        <v>144</v>
      </c>
      <c r="U126" s="104">
        <f>T124-U124</f>
        <v>-11636.888671394699</v>
      </c>
      <c r="X126" s="104">
        <f>W124-X124</f>
        <v>-19321.648312000092</v>
      </c>
      <c r="Z126" s="89"/>
      <c r="AA126" s="89">
        <f>Z124-AA124</f>
        <v>-30958.536983394763</v>
      </c>
      <c r="AB126" s="112">
        <f>(X126+U126)/(T122+W122)</f>
        <v>-9.7623240997460711E-2</v>
      </c>
      <c r="AC126" s="111">
        <f>AA126/Z124</f>
        <v>-3.4025734486539193E-2</v>
      </c>
    </row>
    <row r="127" spans="1:30" ht="15" hidden="1">
      <c r="A127" s="42" t="s">
        <v>121</v>
      </c>
      <c r="B127" s="43">
        <f>-(AVERAGE(B89:BA89)+AVERAGE(B68:BA68))/1000000</f>
        <v>3.2771339607843113</v>
      </c>
      <c r="C127" s="43">
        <f>B127*4</f>
        <v>13.108535843137245</v>
      </c>
      <c r="Z127" s="89"/>
      <c r="AA127" s="89"/>
    </row>
    <row r="128" spans="1:30" ht="15.75" hidden="1">
      <c r="A128" s="44" t="s">
        <v>104</v>
      </c>
      <c r="B128" s="45">
        <f>SUM(B124:B127)</f>
        <v>11.221596396862745</v>
      </c>
      <c r="C128" s="45">
        <f>SUM(C124:C127)</f>
        <v>44.886385587450981</v>
      </c>
      <c r="R128" s="23"/>
      <c r="S128" s="9" t="s">
        <v>141</v>
      </c>
      <c r="Z128" s="87">
        <f>Z120-'[4]Flujo 2018'!$AQ$4</f>
        <v>-19242.708841799991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12.956134811160437</v>
      </c>
      <c r="C136" s="45">
        <f>C128+C131+C134</f>
        <v>51.824539244641748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26.742901631047289</v>
      </c>
      <c r="C138" s="47">
        <f>C136+C137</f>
        <v>65.611306064528605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37033.367098199902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-2469.8509618000971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-3647.066901799757</v>
      </c>
    </row>
    <row r="157" spans="1:30" ht="12.75" hidden="1">
      <c r="A157" s="18">
        <v>-8256517.8300000001</v>
      </c>
      <c r="AA157" s="10">
        <f>Z154-AA154</f>
        <v>-3647.0669017998734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BB200"/>
  <sheetViews>
    <sheetView showGridLines="0" zoomScaleNormal="100" workbookViewId="0">
      <pane xSplit="1" topLeftCell="K1" activePane="topRight" state="frozen"/>
      <selection pane="topRight" activeCell="P30" sqref="P30:P94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>
        <f>J93-'FO 1 mar-19'!J93</f>
        <v>2721678.4299999997</v>
      </c>
      <c r="K2" s="129">
        <f>K93-'FO 1 mar-19'!K93</f>
        <v>-3581157.1500000097</v>
      </c>
      <c r="L2" s="129">
        <f>L93-'FO 1 mar-19'!L93</f>
        <v>-2138113.75</v>
      </c>
      <c r="M2" s="130">
        <f>M93-'FO 1 mar-19'!M93</f>
        <v>100138.90999999642</v>
      </c>
      <c r="N2" s="129">
        <f>N93-'FO 1 mar-19'!N93</f>
        <v>0</v>
      </c>
      <c r="O2" s="129">
        <f>O93-'FO 1 mar-19'!O93</f>
        <v>0</v>
      </c>
      <c r="P2" s="129">
        <f>P93-'FO 1 mar-19'!P93</f>
        <v>0</v>
      </c>
      <c r="Q2" s="130">
        <f>Q93-'FO 1 mar-19'!Q93</f>
        <v>0</v>
      </c>
      <c r="R2" s="129">
        <f>R93-'FO 1 mar-19'!R93</f>
        <v>0</v>
      </c>
      <c r="S2" s="129">
        <f>S93-'FO 1 mar-19'!S93</f>
        <v>0</v>
      </c>
      <c r="T2" s="129">
        <f>T93-'FO 1 mar-19'!T93</f>
        <v>0</v>
      </c>
      <c r="U2" s="129">
        <f>U93-'FO 1 mar-19'!U93</f>
        <v>0</v>
      </c>
      <c r="V2" s="130">
        <f>V93-'FO 1 mar-19'!V93</f>
        <v>0</v>
      </c>
      <c r="W2" s="129">
        <f>W93-'FO 1 mar-19'!W93</f>
        <v>0</v>
      </c>
      <c r="X2" s="129">
        <f>X93-'FO 1 mar-19'!X93</f>
        <v>0</v>
      </c>
      <c r="Y2" s="129">
        <f>Y93-'FO 1 mar-19'!Y93</f>
        <v>0</v>
      </c>
      <c r="Z2" s="130">
        <f>Z93-'FO 1 mar-19'!Z93</f>
        <v>12109000.000000007</v>
      </c>
      <c r="AA2" s="129">
        <f>AA93-'FO 1 mar-19'!AA93</f>
        <v>-12109886.250000002</v>
      </c>
      <c r="AB2" s="129">
        <f>AB93-'FO 1 mar-19'!AB93</f>
        <v>0</v>
      </c>
      <c r="AC2" s="129">
        <f>AC93-'FO 1 mar-19'!AC93</f>
        <v>0</v>
      </c>
      <c r="AD2" s="129">
        <f>AD93-'FO 1 mar-19'!AD93</f>
        <v>0</v>
      </c>
      <c r="AE2" s="130">
        <f>AE93-'FO 1 mar-19'!AE93</f>
        <v>0</v>
      </c>
      <c r="AF2" s="129">
        <f>AF93-'FO 1 mar-19'!AF93</f>
        <v>0</v>
      </c>
      <c r="AG2" s="129">
        <f>AG93-'FO 1 mar-19'!AG93</f>
        <v>0</v>
      </c>
      <c r="AH2" s="129">
        <f>AH93-'FO 1 mar-19'!AH93</f>
        <v>0</v>
      </c>
      <c r="AI2" s="130">
        <f>AI93-'FO 1 mar-19'!AI93</f>
        <v>0</v>
      </c>
      <c r="AJ2" s="129">
        <f>AJ93-'FO 1 mar-19'!AJ93</f>
        <v>0</v>
      </c>
      <c r="AK2" s="129">
        <f>AK93-'FO 1 mar-19'!AK93</f>
        <v>0</v>
      </c>
      <c r="AL2" s="129">
        <f>AL93-'FO 1 mar-19'!AL93</f>
        <v>0</v>
      </c>
      <c r="AM2" s="130">
        <f>AM93-'FO 1 mar-19'!AM93</f>
        <v>0</v>
      </c>
      <c r="AN2" s="129">
        <f>AN93-'FO 1 mar-19'!AN93</f>
        <v>0</v>
      </c>
      <c r="AO2" s="129">
        <f>AO93-'FO 1 mar-19'!AO93</f>
        <v>0</v>
      </c>
      <c r="AP2" s="129">
        <f>AP93-'FO 1 mar-19'!AP93</f>
        <v>0</v>
      </c>
      <c r="AQ2" s="129">
        <f>AQ93-'FO 1 mar-19'!AQ93</f>
        <v>0</v>
      </c>
      <c r="AR2" s="130">
        <f>AR93-'FO 1 mar-19'!AR93</f>
        <v>0</v>
      </c>
      <c r="AS2" s="129">
        <f>AS93-'FO 1 mar-19'!AS93</f>
        <v>0</v>
      </c>
      <c r="AT2" s="129">
        <f>AT93-'FO 1 mar-19'!AT93</f>
        <v>0</v>
      </c>
      <c r="AU2" s="129">
        <f>AU93-'FO 1 mar-19'!AU93</f>
        <v>0</v>
      </c>
      <c r="AV2" s="130">
        <f>AV93-'FO 1 mar-19'!AV93</f>
        <v>0</v>
      </c>
      <c r="AW2" s="129">
        <f>AW93-'FO 1 mar-19'!AW93</f>
        <v>0</v>
      </c>
      <c r="AX2" s="131">
        <f>AX93-'FO 1 mar-19'!AX93</f>
        <v>0</v>
      </c>
      <c r="AY2" s="131">
        <f>AY93-'FO 1 mar-19'!AY93</f>
        <v>0</v>
      </c>
      <c r="AZ2" s="131">
        <f>AZ93-'FO 1 mar-19'!AZ93</f>
        <v>0</v>
      </c>
      <c r="BA2" s="131">
        <f>BA93-'FO 1 mar-19'!BA93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50696.912231999995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839923.44189100002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-3569.2210100000002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-1741.0392900000002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-5589068.2999999998</v>
      </c>
      <c r="P47" s="146">
        <v>0</v>
      </c>
      <c r="Q47" s="146">
        <v>0</v>
      </c>
      <c r="R47" s="146">
        <v>0</v>
      </c>
      <c r="S47" s="146">
        <v>-386000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-34665.044900000001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-2858200.4</v>
      </c>
      <c r="M49" s="146">
        <v>0</v>
      </c>
      <c r="N49" s="146">
        <v>0</v>
      </c>
      <c r="O49" s="146">
        <v>0</v>
      </c>
      <c r="P49" s="146">
        <f>-7465671.54</f>
        <v>-7465671.54</v>
      </c>
      <c r="Q49" s="146">
        <v>0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-2840421.23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-42159.173830000007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-5782.3809600000013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-11994.800100000002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-7050.3448499999986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-11902.952419999994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-75990.214619999984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-25450.663240000005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-14398.083200000005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-2678.5960500000006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-2220842.2300000004</v>
      </c>
      <c r="M82" s="120">
        <v>-15225213.529999999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-18227646.690000001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-283321.57825000008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-1811.522359999999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-4336.5033999999996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-86696.00835999992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-756.06578000000002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-50107.795739999994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-16377192.390000008</v>
      </c>
      <c r="L93" s="18">
        <v>-10965865.5</v>
      </c>
      <c r="M93" s="32">
        <v>-25020347.990000002</v>
      </c>
      <c r="N93" s="18">
        <v>-8071669.2800000003</v>
      </c>
      <c r="O93" s="18">
        <v>-25078054.909999996</v>
      </c>
      <c r="P93" s="18">
        <f>-18166501.82</f>
        <v>-18166501.82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-24847688.640000004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-781795.41353999998</v>
      </c>
    </row>
    <row r="94" spans="1:54" s="8" customFormat="1" ht="12.75">
      <c r="A94" s="7" t="s">
        <v>1</v>
      </c>
      <c r="B94" s="21">
        <f t="shared" ref="B94:J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f t="shared" si="3"/>
        <v>5548984.299999997</v>
      </c>
      <c r="K94" s="21">
        <v>-416219.21900000982</v>
      </c>
      <c r="L94" s="21">
        <v>4789651.5110000018</v>
      </c>
      <c r="M94" s="36">
        <v>-9315121.0390000027</v>
      </c>
      <c r="N94" s="21">
        <v>7830758.9399999985</v>
      </c>
      <c r="O94" s="21">
        <v>-9042716.8299999945</v>
      </c>
      <c r="P94" s="21">
        <f>-2567046.1</f>
        <v>-2567046.1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-9185919.4888000041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58128.02835099995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61745.178602999993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839923.44189099979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-61137.883050000011</v>
      </c>
      <c r="E101" s="58">
        <f>SUM(N93:Q93)/1000</f>
        <v>-59146.763519999993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-102242.7041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-781795.41353999998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607.29555299998174</v>
      </c>
      <c r="E102" s="58">
        <f>SUM(E100:E101)</f>
        <v>3952.2480200000136</v>
      </c>
      <c r="F102" s="60">
        <f>SUM(F100:F101)</f>
        <v>-15150.009433999978</v>
      </c>
      <c r="G102" s="60">
        <f t="shared" si="4"/>
        <v>-490.49772399998619</v>
      </c>
      <c r="H102" s="60">
        <f t="shared" si="4"/>
        <v>-23566.199273999999</v>
      </c>
      <c r="I102" s="60">
        <f t="shared" si="4"/>
        <v>-55.423838000002434</v>
      </c>
      <c r="J102" s="60">
        <f t="shared" si="4"/>
        <v>7231.5871540000007</v>
      </c>
      <c r="K102" s="60">
        <f t="shared" si="4"/>
        <v>11529.106373999995</v>
      </c>
      <c r="L102" s="60">
        <f t="shared" si="4"/>
        <v>2312.5822100000078</v>
      </c>
      <c r="M102" s="60">
        <f>SUM(M100:M101)</f>
        <v>29647.591639999991</v>
      </c>
      <c r="N102" s="60">
        <f>SUM(B102:M102)</f>
        <v>58128.028351000015</v>
      </c>
      <c r="O102" s="133">
        <f>BB94-N102</f>
        <v>-6.5483618527650833E-11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 mar-19'!N100</f>
        <v>-506.14892100007273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 mar-19'!N100</f>
        <v>-506.14892100007273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-2898.3398100000081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 mar-19'!B108:M108)</f>
        <v>0</v>
      </c>
      <c r="P108" s="78">
        <f>N101-'FO 1 mar-19'!N101</f>
        <v>-2898.339810000034</v>
      </c>
      <c r="Q108" s="61" t="s">
        <v>103</v>
      </c>
      <c r="R108" s="63"/>
      <c r="S108" s="23" t="s">
        <v>126</v>
      </c>
      <c r="T108" s="115">
        <f>SUM(K47:BA50)/1000-SUM('FO 1 mar-19'!K47:BA50)/1000</f>
        <v>-2139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SUM(K82:BA82)/1000-SUM('FO 1 mar-19'!K82:BA82)/1000</f>
        <v>100.13891000003787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SUM(K31:BA92)/1000-SUM('FO 1 mar-19'!K31:BA92)/1000-T108-T109</f>
        <v>-3581.1571499999263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1 mar-19'!N102</f>
        <v>-3404.4887309999831</v>
      </c>
      <c r="Q111" s="119" t="s">
        <v>299</v>
      </c>
      <c r="S111" s="70" t="s">
        <v>129</v>
      </c>
      <c r="T111" s="77">
        <f>SUM(T108:T110)</f>
        <v>-5620.0182399998885</v>
      </c>
      <c r="U111" s="71">
        <f>J2/1000</f>
        <v>2721.6784299999995</v>
      </c>
      <c r="V111" s="75">
        <f>SUM(T111:U111)</f>
        <v>-2898.339809999889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-3404.4887310001068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72710.319602999996</v>
      </c>
      <c r="E118" s="26">
        <f>E100+E106+E112</f>
        <v>73793.355540000004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978048.41389099997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-72353.684050000011</v>
      </c>
      <c r="E119" s="26">
        <f>E101+E107+E113</f>
        <v>-70965.578519999995</v>
      </c>
      <c r="F119" s="26">
        <f>F101+F107+F113</f>
        <v>-104790.37004999998</v>
      </c>
      <c r="G119" s="26">
        <f t="shared" si="10"/>
        <v>-76524.258789999993</v>
      </c>
      <c r="H119" s="26">
        <f t="shared" si="10"/>
        <v>-113874.2831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-917807.50354000006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356.63555299998552</v>
      </c>
      <c r="E120" s="56">
        <f>SUM(E118:E119)</f>
        <v>2827.7770200000086</v>
      </c>
      <c r="F120" s="56">
        <f>SUM(F118:F119)</f>
        <v>-14861.372433999975</v>
      </c>
      <c r="G120" s="56">
        <f t="shared" si="11"/>
        <v>-266.27472399998805</v>
      </c>
      <c r="H120" s="56">
        <f t="shared" si="11"/>
        <v>-23659.338273999994</v>
      </c>
      <c r="I120" s="56">
        <f t="shared" si="11"/>
        <v>149.19016199999896</v>
      </c>
      <c r="J120" s="56">
        <f t="shared" si="11"/>
        <v>7637.6371539999964</v>
      </c>
      <c r="K120" s="56">
        <f t="shared" si="11"/>
        <v>12047.923373999991</v>
      </c>
      <c r="L120" s="56">
        <f t="shared" si="11"/>
        <v>3147.1892099999968</v>
      </c>
      <c r="M120" s="56">
        <f>SUM(M118:M119)</f>
        <v>29689.295639999997</v>
      </c>
      <c r="N120" s="65">
        <f>SUM(B120:M120)</f>
        <v>60240.910351000013</v>
      </c>
      <c r="O120" s="65">
        <f>'FO 1 mar-19'!N120+P112+O108</f>
        <v>60240.910350999897</v>
      </c>
      <c r="P120" s="133">
        <f>O120-N120</f>
        <v>-1.1641532182693481E-10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57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57518.665901000029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3314.3397570000088</v>
      </c>
      <c r="F123" s="26">
        <f>SUM($B$121:F121)-SUM($B$120:F120)</f>
        <v>20926.712190999984</v>
      </c>
      <c r="G123" s="26">
        <f>SUM($B$121:G121)-SUM($B$120:G120)</f>
        <v>19196.986914999972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5.5553250637254914</v>
      </c>
      <c r="C126" s="43">
        <f>B126*4</f>
        <v>22.221300254901966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3.1899259407843119</v>
      </c>
      <c r="C127" s="43">
        <f>B127*4</f>
        <v>12.759703763137248</v>
      </c>
      <c r="Z127" s="89"/>
      <c r="AA127" s="89"/>
    </row>
    <row r="128" spans="1:30" ht="15.75" hidden="1">
      <c r="A128" s="44" t="s">
        <v>104</v>
      </c>
      <c r="B128" s="45">
        <f>SUM(B124:B127)</f>
        <v>11.134486552156861</v>
      </c>
      <c r="C128" s="45">
        <f>SUM(C124:C127)</f>
        <v>44.537946208627446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12.869024966454553</v>
      </c>
      <c r="C136" s="45">
        <f>C128+C131+C134</f>
        <v>51.476099865818213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26.655791786341407</v>
      </c>
      <c r="C138" s="47">
        <f>C136+C137</f>
        <v>65.262866685705063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4"/>
  <dimension ref="A1:BB200"/>
  <sheetViews>
    <sheetView showGridLines="0" topLeftCell="A74" zoomScaleNormal="100" workbookViewId="0">
      <pane xSplit="1" topLeftCell="I1" activePane="topRight" state="frozen"/>
      <selection pane="topRight" activeCell="K51" activeCellId="1" sqref="K31:K46 K51:K92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>
        <f>I93-'FO 22 feb-19'!I93</f>
        <v>2107650.8999999985</v>
      </c>
      <c r="J2" s="129">
        <f>J93-'FO 22 feb-19'!J93</f>
        <v>-4782698.17</v>
      </c>
      <c r="K2" s="129">
        <f>K93-'FO 22 feb-19'!K93</f>
        <v>1326320.8800000008</v>
      </c>
      <c r="L2" s="129">
        <f>L93-'FO 22 feb-19'!L93</f>
        <v>11138093</v>
      </c>
      <c r="M2" s="130">
        <f>M93-'FO 22 feb-19'!M93</f>
        <v>-1350037.8399999961</v>
      </c>
      <c r="N2" s="129">
        <f>N93-'FO 22 feb-19'!N93</f>
        <v>0</v>
      </c>
      <c r="O2" s="129">
        <f>O93-'FO 22 feb-19'!O93</f>
        <v>0</v>
      </c>
      <c r="P2" s="129">
        <f>P93-'FO 22 feb-19'!P93</f>
        <v>0</v>
      </c>
      <c r="Q2" s="130">
        <f>Q93-'FO 22 feb-19'!Q93</f>
        <v>0</v>
      </c>
      <c r="R2" s="129">
        <f>R93-'FO 22 feb-19'!R93</f>
        <v>0</v>
      </c>
      <c r="S2" s="129">
        <f>S93-'FO 22 feb-19'!S93</f>
        <v>0</v>
      </c>
      <c r="T2" s="129">
        <f>T93-'FO 22 feb-19'!T93</f>
        <v>0</v>
      </c>
      <c r="U2" s="129">
        <f>U93-'FO 22 feb-19'!U93</f>
        <v>0</v>
      </c>
      <c r="V2" s="130">
        <f>V93-'FO 22 feb-19'!V93</f>
        <v>0</v>
      </c>
      <c r="W2" s="129">
        <f>W93-'FO 22 feb-19'!W93</f>
        <v>0</v>
      </c>
      <c r="X2" s="129">
        <f>X93-'FO 22 feb-19'!X93</f>
        <v>0</v>
      </c>
      <c r="Y2" s="129">
        <f>Y93-'FO 22 feb-19'!Y93</f>
        <v>0</v>
      </c>
      <c r="Z2" s="130">
        <f>Z93-'FO 22 feb-19'!Z93</f>
        <v>-12109000.000000007</v>
      </c>
      <c r="AA2" s="129">
        <f>AA93-'FO 22 feb-19'!AA93</f>
        <v>0</v>
      </c>
      <c r="AB2" s="129">
        <f>AB93-'FO 22 feb-19'!AB93</f>
        <v>0</v>
      </c>
      <c r="AC2" s="129">
        <f>AC93-'FO 22 feb-19'!AC93</f>
        <v>0</v>
      </c>
      <c r="AD2" s="129">
        <f>AD93-'FO 22 feb-19'!AD93</f>
        <v>0</v>
      </c>
      <c r="AE2" s="130">
        <f>AE93-'FO 22 feb-19'!AE93</f>
        <v>0</v>
      </c>
      <c r="AF2" s="129">
        <f>AF93-'FO 22 feb-19'!AF93</f>
        <v>0</v>
      </c>
      <c r="AG2" s="129">
        <f>AG93-'FO 22 feb-19'!AG93</f>
        <v>0</v>
      </c>
      <c r="AH2" s="129">
        <f>AH93-'FO 22 feb-19'!AH93</f>
        <v>0</v>
      </c>
      <c r="AI2" s="130">
        <f>AI93-'FO 22 feb-19'!AI93</f>
        <v>0</v>
      </c>
      <c r="AJ2" s="129">
        <f>AJ93-'FO 22 feb-19'!AJ93</f>
        <v>0</v>
      </c>
      <c r="AK2" s="129">
        <f>AK93-'FO 22 feb-19'!AK93</f>
        <v>0</v>
      </c>
      <c r="AL2" s="129">
        <f>AL93-'FO 22 feb-19'!AL93</f>
        <v>0</v>
      </c>
      <c r="AM2" s="130">
        <f>AM93-'FO 22 feb-19'!AM93</f>
        <v>0</v>
      </c>
      <c r="AN2" s="129">
        <f>AN93-'FO 22 feb-19'!AN93</f>
        <v>0</v>
      </c>
      <c r="AO2" s="129">
        <f>AO93-'FO 22 feb-19'!AO93</f>
        <v>0</v>
      </c>
      <c r="AP2" s="129">
        <f>AP93-'FO 22 feb-19'!AP93</f>
        <v>0</v>
      </c>
      <c r="AQ2" s="129">
        <f>AQ93-'FO 22 feb-19'!AQ93</f>
        <v>0</v>
      </c>
      <c r="AR2" s="130">
        <f>AR93-'FO 22 feb-19'!AR93</f>
        <v>0</v>
      </c>
      <c r="AS2" s="129">
        <f>AS93-'FO 22 feb-19'!AS93</f>
        <v>0</v>
      </c>
      <c r="AT2" s="129">
        <f>AT93-'FO 22 feb-19'!AT93</f>
        <v>0</v>
      </c>
      <c r="AU2" s="129">
        <f>AU93-'FO 22 feb-19'!AU93</f>
        <v>0</v>
      </c>
      <c r="AV2" s="130">
        <f>AV93-'FO 22 feb-19'!AV93</f>
        <v>0</v>
      </c>
      <c r="AW2" s="129">
        <f>AW93-'FO 22 feb-19'!AW93</f>
        <v>0</v>
      </c>
      <c r="AX2" s="131">
        <f>AX93-'FO 22 feb-19'!AX93</f>
        <v>0</v>
      </c>
      <c r="AY2" s="131">
        <f>AY93-'FO 22 feb-19'!AY93</f>
        <v>0</v>
      </c>
      <c r="AZ2" s="131">
        <f>AZ93-'FO 22 feb-19'!AZ93</f>
        <v>0</v>
      </c>
      <c r="BA2" s="131">
        <f>BA93-'FO 22 feb-19'!BA93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50696.912231999995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14829610.391000001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840429.59081199998</v>
      </c>
    </row>
    <row r="31" spans="1:54" s="4" customFormat="1" ht="15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-2607.2281000000003</v>
      </c>
    </row>
    <row r="43" spans="1:54" s="4" customFormat="1" ht="15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-1598.1468600000003</v>
      </c>
    </row>
    <row r="45" spans="1:54" s="4" customFormat="1" ht="15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-5589068.2999999998</v>
      </c>
      <c r="P47" s="146">
        <v>0</v>
      </c>
      <c r="Q47" s="146">
        <v>0</v>
      </c>
      <c r="R47" s="146">
        <v>0</v>
      </c>
      <c r="S47" s="146">
        <v>-386000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-34665.044900000001</v>
      </c>
    </row>
    <row r="48" spans="1:54" s="150" customFormat="1" ht="15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-719200.39999999991</v>
      </c>
      <c r="M49" s="146">
        <v>0</v>
      </c>
      <c r="N49" s="146">
        <v>0</v>
      </c>
      <c r="O49" s="146">
        <v>0</v>
      </c>
      <c r="P49" s="146">
        <v>-7465671.54</v>
      </c>
      <c r="Q49" s="146">
        <v>0</v>
      </c>
      <c r="R49" s="146">
        <v>0</v>
      </c>
      <c r="S49" s="146">
        <v>0</v>
      </c>
      <c r="T49" s="146">
        <v>-2400717.56</v>
      </c>
      <c r="U49" s="146">
        <v>0</v>
      </c>
      <c r="V49" s="146">
        <v>0</v>
      </c>
      <c r="W49" s="146">
        <v>0</v>
      </c>
      <c r="X49" s="146">
        <v>0</v>
      </c>
      <c r="Y49" s="146">
        <v>-2653683.1</v>
      </c>
      <c r="Z49" s="146">
        <v>0</v>
      </c>
      <c r="AA49" s="146">
        <v>0</v>
      </c>
      <c r="AB49" s="146">
        <v>0</v>
      </c>
      <c r="AC49" s="146">
        <v>-2840421.23</v>
      </c>
      <c r="AD49" s="146">
        <v>0</v>
      </c>
      <c r="AE49" s="146">
        <v>0</v>
      </c>
      <c r="AF49" s="146">
        <v>0</v>
      </c>
      <c r="AG49" s="146">
        <v>-2635202.23</v>
      </c>
      <c r="AH49" s="146">
        <v>0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-40020.173830000007</v>
      </c>
    </row>
    <row r="50" spans="1:54" s="150" customFormat="1" ht="15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-5475.0201100000004</v>
      </c>
    </row>
    <row r="60" spans="1:54" s="6" customFormat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-12246.981930000002</v>
      </c>
    </row>
    <row r="63" spans="1:54" s="4" customFormat="1" ht="15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-7189.6783199999991</v>
      </c>
    </row>
    <row r="66" spans="1:54" s="4" customFormat="1" ht="15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-12154.512339999994</v>
      </c>
    </row>
    <row r="68" spans="1:54" s="4" customFormat="1" ht="15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-77700.439969999992</v>
      </c>
    </row>
    <row r="69" spans="1:54" s="4" customFormat="1" ht="15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-25990.970370000006</v>
      </c>
    </row>
    <row r="74" spans="1:54" s="4" customFormat="1" ht="15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-14448.391540000006</v>
      </c>
    </row>
    <row r="76" spans="1:54" s="4" customFormat="1" ht="15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-2736.9334200000008</v>
      </c>
    </row>
    <row r="80" spans="1:54" s="4" customFormat="1" ht="15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-2221728.4800000004</v>
      </c>
      <c r="M82" s="120">
        <v>-15325352.439999999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-20130479.670000002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-283421.71716000006</v>
      </c>
    </row>
    <row r="83" spans="1:54" s="4" customFormat="1" ht="15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-1848.8733499999992</v>
      </c>
    </row>
    <row r="88" spans="1:54" s="4" customFormat="1" ht="15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-4336.5033999999996</v>
      </c>
    </row>
    <row r="89" spans="1:54" s="4" customFormat="1" ht="15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-80974.627619999883</v>
      </c>
    </row>
    <row r="90" spans="1:54" s="4" customFormat="1" ht="15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-770.85262000000012</v>
      </c>
    </row>
    <row r="91" spans="1:54" s="4" customFormat="1" ht="15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-51105.874279999996</v>
      </c>
    </row>
    <row r="93" spans="1:54" s="4" customFormat="1" ht="12.75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-11496155.6</v>
      </c>
      <c r="K93" s="18">
        <v>-12796035.239999998</v>
      </c>
      <c r="L93" s="18">
        <v>-8827751.75</v>
      </c>
      <c r="M93" s="32">
        <v>-25120486.899999999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-29560591.060000006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-778897.07373000006</v>
      </c>
    </row>
    <row r="94" spans="1:54" s="8" customFormat="1" ht="12.75">
      <c r="A94" s="7" t="s">
        <v>1</v>
      </c>
      <c r="B94" s="21">
        <f t="shared" ref="B94:I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f t="shared" si="3"/>
        <v>1649674.9000000004</v>
      </c>
      <c r="J94" s="21">
        <v>3333454.7910000011</v>
      </c>
      <c r="K94" s="21">
        <v>3164937.9309999999</v>
      </c>
      <c r="L94" s="21">
        <v>6927765.2610000018</v>
      </c>
      <c r="M94" s="36">
        <v>-9415259.9489999991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-13305336.446000008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61532.517081999969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62251.327523999993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840429.59081199986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-58240.429489999995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-77184.61179000001</v>
      </c>
      <c r="H101" s="60">
        <f>SUM(AA93:AE93)/1000</f>
        <v>-90132.817850000007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-778897.07372999995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4010.898033999998</v>
      </c>
      <c r="E102" s="58">
        <f>SUM(E100:E101)</f>
        <v>3952.2480200000064</v>
      </c>
      <c r="F102" s="60">
        <f>SUM(F100:F101)</f>
        <v>-15150.009433999978</v>
      </c>
      <c r="G102" s="60">
        <f t="shared" si="4"/>
        <v>-12599.497724000008</v>
      </c>
      <c r="H102" s="60">
        <f t="shared" si="4"/>
        <v>-11456.313024000003</v>
      </c>
      <c r="I102" s="60">
        <f t="shared" si="4"/>
        <v>-55.423838000002434</v>
      </c>
      <c r="J102" s="60">
        <f t="shared" si="4"/>
        <v>7231.5871540000007</v>
      </c>
      <c r="K102" s="60">
        <f t="shared" si="4"/>
        <v>11529.106373999995</v>
      </c>
      <c r="L102" s="60">
        <f t="shared" si="4"/>
        <v>2312.5822100000078</v>
      </c>
      <c r="M102" s="60">
        <f>SUM(M100:M101)</f>
        <v>29647.591639999991</v>
      </c>
      <c r="N102" s="60">
        <f>SUM(B102:M102)</f>
        <v>61532.517081999998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22 feb-19'!N100</f>
        <v>301.8045399999246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22 feb-19'!N100</f>
        <v>301.8045399999246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-3669.671230000004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22 feb-19'!B108:M108)</f>
        <v>0</v>
      </c>
      <c r="P108" s="78">
        <f>N101-'FO 22 feb-19'!N101</f>
        <v>-3669.6712299999781</v>
      </c>
      <c r="Q108" s="61" t="s">
        <v>103</v>
      </c>
      <c r="R108" s="63"/>
      <c r="S108" s="23" t="s">
        <v>126</v>
      </c>
      <c r="T108" s="115">
        <f>SUM(J47:BA50)/1000-SUM('FO 22 feb-19'!J47:BA50)/1000</f>
        <v>-2139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SUM(J82:BA82)/1000-SUM('FO 22 feb-19'!J82:BA82)/1000</f>
        <v>-994.62395999999717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SUM(J31:BA92)/1000-SUM('FO 22 feb-19'!J31:BA92)/1000-T108-T109</f>
        <v>-2643.6981699999887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22 feb-19'!N102</f>
        <v>-3367.8666900000171</v>
      </c>
      <c r="Q111" s="119"/>
      <c r="S111" s="70" t="s">
        <v>129</v>
      </c>
      <c r="T111" s="77">
        <f>SUM(T108:T110)</f>
        <v>-5777.3221299999859</v>
      </c>
      <c r="U111" s="71">
        <f>I2/1000</f>
        <v>2107.6508999999987</v>
      </c>
      <c r="V111" s="75">
        <f>SUM(T111:U111)</f>
        <v>-3669.6712299999872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-3367.8666900000535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 t="shared" si="10"/>
        <v>73216.468523999996</v>
      </c>
      <c r="E118" s="26">
        <f>E100+E106+E112</f>
        <v>73793.355540000004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978554.56281199993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-69456.230489999987</v>
      </c>
      <c r="E119" s="26">
        <f>E101+E107+E113</f>
        <v>-70965.57852000001</v>
      </c>
      <c r="F119" s="26">
        <f>F101+F107+F113</f>
        <v>-104790.37004999998</v>
      </c>
      <c r="G119" s="26">
        <f t="shared" si="10"/>
        <v>-88633.258790000007</v>
      </c>
      <c r="H119" s="26">
        <f t="shared" si="10"/>
        <v>-101764.39685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-914909.16373000003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3760.2380340000091</v>
      </c>
      <c r="E120" s="56">
        <f>SUM(E118:E119)</f>
        <v>2827.7770199999941</v>
      </c>
      <c r="F120" s="56">
        <f>SUM(F118:F119)</f>
        <v>-14861.372433999975</v>
      </c>
      <c r="G120" s="56">
        <f t="shared" si="11"/>
        <v>-12375.274724000003</v>
      </c>
      <c r="H120" s="56">
        <f t="shared" si="11"/>
        <v>-11549.452023999998</v>
      </c>
      <c r="I120" s="56">
        <f t="shared" si="11"/>
        <v>149.19016199999896</v>
      </c>
      <c r="J120" s="56">
        <f t="shared" si="11"/>
        <v>7637.6371539999964</v>
      </c>
      <c r="K120" s="56">
        <f t="shared" si="11"/>
        <v>12047.923373999991</v>
      </c>
      <c r="L120" s="56">
        <f t="shared" si="11"/>
        <v>3147.1892099999968</v>
      </c>
      <c r="M120" s="56">
        <f>SUM(M118:M119)</f>
        <v>29689.295639999997</v>
      </c>
      <c r="N120" s="65">
        <f>SUM(B120:M120)</f>
        <v>63645.399082000004</v>
      </c>
      <c r="O120" s="65">
        <f>'FO 15 feb-19'!N120+P112+O108</f>
        <v>68135.697261999943</v>
      </c>
      <c r="P120" s="133">
        <f>O120-N120</f>
        <v>4490.2981799999397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57">
        <f>'[2]Flujo 2018'!BU3</f>
        <v>28885</v>
      </c>
      <c r="C121" s="57">
        <f>'[2]Flujo 2018'!BV3</f>
        <v>15564</v>
      </c>
      <c r="D121" s="57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60923.15463200002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-89.262724000000162</v>
      </c>
      <c r="F123" s="26">
        <f>SUM($B$121:F121)-SUM($B$120:F120)</f>
        <v>17523.109709999975</v>
      </c>
      <c r="G123" s="26">
        <f>SUM($B$121:G121)-SUM($B$120:G120)</f>
        <v>27902.384433999978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5.5572885717647074</v>
      </c>
      <c r="C126" s="43">
        <f>B126*4</f>
        <v>22.229154287058829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3.111275835098037</v>
      </c>
      <c r="C127" s="43">
        <f>B127*4</f>
        <v>12.445103340392148</v>
      </c>
      <c r="Z127" s="89"/>
      <c r="AA127" s="89"/>
    </row>
    <row r="128" spans="1:30" ht="15.75" hidden="1">
      <c r="A128" s="44" t="s">
        <v>104</v>
      </c>
      <c r="B128" s="45">
        <f>SUM(B124:B127)</f>
        <v>11.047996032941175</v>
      </c>
      <c r="C128" s="45">
        <f>SUM(C124:C127)</f>
        <v>44.191984131764698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12.782534447238866</v>
      </c>
      <c r="C136" s="45">
        <f>C128+C131+C134</f>
        <v>51.130137788955466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26.56930126712572</v>
      </c>
      <c r="C138" s="47">
        <f>C136+C137</f>
        <v>64.916904608842316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5"/>
  <dimension ref="A1:BB200"/>
  <sheetViews>
    <sheetView showGridLines="0" zoomScale="80" zoomScaleNormal="80" workbookViewId="0">
      <pane xSplit="1" topLeftCell="H1" activePane="topRight" state="frozen"/>
      <selection pane="topRight" activeCell="P49" sqref="P49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>
        <f>H93-'FO 15 feb-19'!H93</f>
        <v>734574.95999999903</v>
      </c>
      <c r="I2" s="130">
        <f>I93-'FO 15 feb-19'!I93</f>
        <v>-3989639.49</v>
      </c>
      <c r="J2" s="129">
        <f>J93-'FO 15 feb-19'!J93</f>
        <v>0</v>
      </c>
      <c r="K2" s="129">
        <f>K93-'FO 15 feb-19'!K93</f>
        <v>11533224.999999998</v>
      </c>
      <c r="L2" s="129">
        <f>L93-'FO 15 feb-19'!L93</f>
        <v>3109907</v>
      </c>
      <c r="M2" s="130">
        <f>M93-'FO 15 feb-19'!M93</f>
        <v>-12504132.000000004</v>
      </c>
      <c r="N2" s="129">
        <f>N93-'FO 15 feb-19'!N93</f>
        <v>0</v>
      </c>
      <c r="O2" s="129">
        <f>O93-'FO 15 feb-19'!O93</f>
        <v>0</v>
      </c>
      <c r="P2" s="129">
        <f>P93-'FO 15 feb-19'!P93</f>
        <v>0</v>
      </c>
      <c r="Q2" s="130">
        <f>Q93-'FO 15 feb-19'!Q93</f>
        <v>0</v>
      </c>
      <c r="R2" s="129">
        <f>R93-'FO 15 feb-19'!R93</f>
        <v>0</v>
      </c>
      <c r="S2" s="129">
        <f>S93-'FO 15 feb-19'!S93</f>
        <v>0</v>
      </c>
      <c r="T2" s="129">
        <f>T93-'FO 15 feb-19'!T93</f>
        <v>0</v>
      </c>
      <c r="U2" s="129">
        <f>U93-'FO 15 feb-19'!U93</f>
        <v>0</v>
      </c>
      <c r="V2" s="130">
        <f>V93-'FO 15 feb-19'!V93</f>
        <v>0</v>
      </c>
      <c r="W2" s="129">
        <f>W93-'FO 15 feb-19'!W93</f>
        <v>0</v>
      </c>
      <c r="X2" s="129">
        <f>X93-'FO 15 feb-19'!X93</f>
        <v>0</v>
      </c>
      <c r="Y2" s="129">
        <f>Y93-'FO 15 feb-19'!Y93</f>
        <v>0</v>
      </c>
      <c r="Z2" s="130">
        <f>Z93-'FO 15 feb-19'!Z93</f>
        <v>0</v>
      </c>
      <c r="AA2" s="129">
        <f>AA93-'FO 15 feb-19'!AA93</f>
        <v>0</v>
      </c>
      <c r="AB2" s="129">
        <f>AB93-'FO 15 feb-19'!AB93</f>
        <v>0</v>
      </c>
      <c r="AC2" s="129">
        <f>AC93-'FO 15 feb-19'!AC93</f>
        <v>0</v>
      </c>
      <c r="AD2" s="129">
        <f>AD93-'FO 15 feb-19'!AD93</f>
        <v>0</v>
      </c>
      <c r="AE2" s="130">
        <f>AE93-'FO 15 feb-19'!AE93</f>
        <v>0</v>
      </c>
      <c r="AF2" s="129">
        <f>AF93-'FO 15 feb-19'!AF93</f>
        <v>0</v>
      </c>
      <c r="AG2" s="129">
        <f>AG93-'FO 15 feb-19'!AG93</f>
        <v>0</v>
      </c>
      <c r="AH2" s="129">
        <f>AH93-'FO 15 feb-19'!AH93</f>
        <v>0</v>
      </c>
      <c r="AI2" s="130">
        <f>AI93-'FO 15 feb-19'!AI93</f>
        <v>0</v>
      </c>
      <c r="AJ2" s="129">
        <f>AJ93-'FO 15 feb-19'!AJ93</f>
        <v>0</v>
      </c>
      <c r="AK2" s="129">
        <f>AK93-'FO 15 feb-19'!AK93</f>
        <v>0</v>
      </c>
      <c r="AL2" s="129">
        <f>AL93-'FO 15 feb-19'!AL93</f>
        <v>0</v>
      </c>
      <c r="AM2" s="130">
        <f>AM93-'FO 15 feb-19'!AM93</f>
        <v>0</v>
      </c>
      <c r="AN2" s="129">
        <f>AN93-'FO 15 feb-19'!AN93</f>
        <v>0</v>
      </c>
      <c r="AO2" s="129">
        <f>AO93-'FO 15 feb-19'!AO93</f>
        <v>0</v>
      </c>
      <c r="AP2" s="129">
        <f>AP93-'FO 15 feb-19'!AP93</f>
        <v>0</v>
      </c>
      <c r="AQ2" s="129">
        <f>AQ93-'FO 15 feb-19'!AQ93</f>
        <v>0</v>
      </c>
      <c r="AR2" s="130">
        <f>AR93-'FO 15 feb-19'!AR93</f>
        <v>0</v>
      </c>
      <c r="AS2" s="129">
        <f>AS93-'FO 15 feb-19'!AS93</f>
        <v>0</v>
      </c>
      <c r="AT2" s="129">
        <f>AT93-'FO 15 feb-19'!AT93</f>
        <v>0</v>
      </c>
      <c r="AU2" s="129">
        <f>AU93-'FO 15 feb-19'!AU93</f>
        <v>0</v>
      </c>
      <c r="AV2" s="130">
        <f>AV93-'FO 15 feb-19'!AV93</f>
        <v>0</v>
      </c>
      <c r="AW2" s="129">
        <f>AW93-'FO 15 feb-19'!AW93</f>
        <v>0</v>
      </c>
      <c r="AX2" s="131">
        <f>AX93-'FO 15 feb-19'!AX93</f>
        <v>0</v>
      </c>
      <c r="AY2" s="131">
        <f>AY93-'FO 15 feb-19'!AY93</f>
        <v>0</v>
      </c>
      <c r="AZ2" s="131">
        <f>AZ93-'FO 15 feb-19'!AZ93</f>
        <v>0</v>
      </c>
      <c r="BA2" s="131">
        <f>BA93-'FO 15 feb-19'!BA93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52696.912231999995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15957042.380000001</v>
      </c>
      <c r="J30" s="20">
        <v>14829610.390999999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840127.78627200006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-2213.7761399999999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-1419.9972200000002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1"/>
        <v>-34665.044900000001</v>
      </c>
    </row>
    <row r="48" spans="1:54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1"/>
        <v>0</v>
      </c>
    </row>
    <row r="49" spans="1:54" s="4" customFormat="1" ht="15" hidden="1" outlineLevel="1">
      <c r="A49" s="3" t="s">
        <v>48</v>
      </c>
      <c r="B49" s="24"/>
      <c r="C49" s="24">
        <v>-2392546</v>
      </c>
      <c r="D49" s="24">
        <v>-2392546</v>
      </c>
      <c r="E49" s="31">
        <v>0</v>
      </c>
      <c r="F49" s="24">
        <v>0</v>
      </c>
      <c r="G49" s="24">
        <v>0</v>
      </c>
      <c r="H49" s="24">
        <v>-1909800.77</v>
      </c>
      <c r="I49" s="31">
        <v>-2139000</v>
      </c>
      <c r="J49" s="24">
        <v>0</v>
      </c>
      <c r="K49" s="24">
        <v>0</v>
      </c>
      <c r="L49" s="24">
        <v>-719200.39999999991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1"/>
        <v>-37881.173830000007</v>
      </c>
    </row>
    <row r="50" spans="1:54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-5424.4471099999992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-12499.163759999999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-7329.0117899999987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-12406.072259999992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-79410.665320000015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-26531.277500000007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-14511.073840000005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-2795.2707900000005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-2797503.4800000004</v>
      </c>
      <c r="L82" s="121">
        <v>-13359821.48</v>
      </c>
      <c r="M82" s="120">
        <v>-13975314.6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-282427.09320000006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-1886.2243399999991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-4336.5033999999996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-74857.864969999908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-785.63946000000021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-52134.348159999994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-16716822.919999998</v>
      </c>
      <c r="J93" s="18">
        <v>-6713457.4299999997</v>
      </c>
      <c r="K93" s="18">
        <v>-14122356.119999999</v>
      </c>
      <c r="L93" s="18">
        <v>-19965844.75</v>
      </c>
      <c r="M93" s="32">
        <v>-23770449.060000002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-775227.40249999997</v>
      </c>
    </row>
    <row r="94" spans="1:54" s="8" customFormat="1" ht="12.75">
      <c r="A94" s="7" t="s">
        <v>1</v>
      </c>
      <c r="B94" s="21">
        <f t="shared" ref="B94:H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f t="shared" si="3"/>
        <v>1719194</v>
      </c>
      <c r="I94" s="36">
        <v>-759780.53999999724</v>
      </c>
      <c r="J94" s="21">
        <v>8116152.9609999992</v>
      </c>
      <c r="K94" s="21">
        <v>1838617.050999999</v>
      </c>
      <c r="L94" s="21">
        <v>-4210327.7389999982</v>
      </c>
      <c r="M94" s="36">
        <v>-8065222.109000003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64900.383771999994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59404.430560000008</v>
      </c>
      <c r="D100" s="58">
        <f>SUM(J30:M30)/1000</f>
        <v>62251.327523999993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840127.78627199994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-50256.228779999998</v>
      </c>
      <c r="D101" s="58">
        <f>SUM(J93:M93)/1000</f>
        <v>-64572.107360000002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-90132.817850000007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-775227.40249999997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9148.2017800000103</v>
      </c>
      <c r="D102" s="58">
        <f>SUM(D100:D101)</f>
        <v>-2320.7798360000088</v>
      </c>
      <c r="E102" s="58">
        <f>SUM(E100:E101)</f>
        <v>3952.2480200000064</v>
      </c>
      <c r="F102" s="60">
        <f>SUM(F100:F101)</f>
        <v>-15150.009433999978</v>
      </c>
      <c r="G102" s="60">
        <f t="shared" si="4"/>
        <v>-490.49772399998619</v>
      </c>
      <c r="H102" s="60">
        <f t="shared" si="4"/>
        <v>-11456.313024000003</v>
      </c>
      <c r="I102" s="60">
        <f t="shared" si="4"/>
        <v>-55.423838000002434</v>
      </c>
      <c r="J102" s="60">
        <f t="shared" si="4"/>
        <v>7231.5871540000007</v>
      </c>
      <c r="K102" s="60">
        <f t="shared" si="4"/>
        <v>11529.106373999995</v>
      </c>
      <c r="L102" s="60">
        <f t="shared" si="4"/>
        <v>2312.5822100000078</v>
      </c>
      <c r="M102" s="60">
        <f>SUM(M100:M101)</f>
        <v>29647.591639999991</v>
      </c>
      <c r="N102" s="60">
        <f>SUM(B102:M102)</f>
        <v>64900.383772000016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15 feb-19'!N100</f>
        <v>-3374.2336500000674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15 feb-19'!N100</f>
        <v>-3374.2336500000674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-1116.0645300000067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 feb-19'!B108:M108)</f>
        <v>0</v>
      </c>
      <c r="P108" s="78">
        <f>N101-'FO 15 feb-19'!N101</f>
        <v>-1116.0645300000906</v>
      </c>
      <c r="Q108" s="61" t="s">
        <v>103</v>
      </c>
      <c r="R108" s="63"/>
      <c r="S108" s="23" t="s">
        <v>126</v>
      </c>
      <c r="T108" s="115">
        <f>SUM(I47:BA50)/1000-SUM('FO 15 feb-19'!I47:BA50)/1000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SUM(I82:BA82)/1000-SUM('FO 15 feb-19'!I82:BA82)/1000</f>
        <v>0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SUM(I31:BA92)/1000-SUM('FO 15 feb-19'!I31:BA92)/1000-T108-T109</f>
        <v>-1850.6394899998559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15 feb-19'!N102</f>
        <v>-4490.298179999998</v>
      </c>
      <c r="Q111" s="119"/>
      <c r="S111" s="70" t="s">
        <v>129</v>
      </c>
      <c r="T111" s="77">
        <f>SUM(T108:T110)</f>
        <v>-1850.6394899998559</v>
      </c>
      <c r="U111" s="71">
        <f>H2/1000</f>
        <v>734.57495999999901</v>
      </c>
      <c r="V111" s="75">
        <f>SUM(T111:U111)</f>
        <v>-1116.0645299998569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-4490.298180000158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70388.847560000009</v>
      </c>
      <c r="D118" s="26">
        <f t="shared" si="10"/>
        <v>73216.468523999996</v>
      </c>
      <c r="E118" s="26">
        <f>E100+E106+E112</f>
        <v>73793.355540000004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978252.75827200001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-61233.299779999994</v>
      </c>
      <c r="D119" s="26">
        <f t="shared" si="10"/>
        <v>-75787.908360000001</v>
      </c>
      <c r="E119" s="26">
        <f>E101+E107+E113</f>
        <v>-70965.57852000001</v>
      </c>
      <c r="F119" s="26">
        <f>F101+F107+F113</f>
        <v>-104790.37004999998</v>
      </c>
      <c r="G119" s="26">
        <f t="shared" si="10"/>
        <v>-76524.258789999993</v>
      </c>
      <c r="H119" s="26">
        <f t="shared" si="10"/>
        <v>-101764.39685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-911239.49250000005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9155.5477800000153</v>
      </c>
      <c r="D120" s="56">
        <f>SUM(D118:D119)</f>
        <v>-2571.439836000005</v>
      </c>
      <c r="E120" s="56">
        <f>SUM(E118:E119)</f>
        <v>2827.7770199999941</v>
      </c>
      <c r="F120" s="56">
        <f>SUM(F118:F119)</f>
        <v>-14861.372433999975</v>
      </c>
      <c r="G120" s="56">
        <f t="shared" si="11"/>
        <v>-266.27472399998805</v>
      </c>
      <c r="H120" s="56">
        <f t="shared" si="11"/>
        <v>-11549.452023999998</v>
      </c>
      <c r="I120" s="56">
        <f t="shared" si="11"/>
        <v>149.19016199999896</v>
      </c>
      <c r="J120" s="56">
        <f t="shared" si="11"/>
        <v>7637.6371539999964</v>
      </c>
      <c r="K120" s="56">
        <f t="shared" si="11"/>
        <v>12047.923373999991</v>
      </c>
      <c r="L120" s="56">
        <f t="shared" si="11"/>
        <v>3147.1892099999968</v>
      </c>
      <c r="M120" s="56">
        <f>SUM(M118:M119)</f>
        <v>29689.295639999997</v>
      </c>
      <c r="N120" s="65">
        <f>SUM(B120:M120)</f>
        <v>67013.265772000013</v>
      </c>
      <c r="O120" s="65">
        <f>'FO 15 feb-19'!N120+P112+O108</f>
        <v>67013.265771999839</v>
      </c>
      <c r="P120" s="133">
        <f>O120-N120</f>
        <v>-1.7462298274040222E-10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57">
        <f>'[2]Flujo 2018'!BU3</f>
        <v>28885</v>
      </c>
      <c r="C121" s="57">
        <f>'[2]Flujo 2018'!BV3</f>
        <v>15564</v>
      </c>
      <c r="D121" s="57">
        <f>'[2]Flujo 2018'!BW3</f>
        <v>3799</v>
      </c>
      <c r="E121" s="57">
        <f>'[2]Flujo 2018'!BX3</f>
        <v>1423</v>
      </c>
      <c r="F121" s="57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SUM(B121)+SUM(C120:M120)</f>
        <v>64291.021322000022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8651.8705860000118</v>
      </c>
      <c r="F123" s="26">
        <f>SUM($B$121:F121)-SUM($B$120:F120)</f>
        <v>26264.243019999987</v>
      </c>
      <c r="G123" s="26">
        <f>SUM($B$121:G121)-SUM($B$120:G120)</f>
        <v>24534.517743999975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5.5377861411764711</v>
      </c>
      <c r="C126" s="43">
        <f>B126*4</f>
        <v>22.151144564705884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3.0248731429411748</v>
      </c>
      <c r="C127" s="43">
        <f>B127*4</f>
        <v>12.099492571764699</v>
      </c>
      <c r="Z127" s="89"/>
      <c r="AA127" s="89"/>
    </row>
    <row r="128" spans="1:30" ht="15.75" hidden="1">
      <c r="A128" s="44" t="s">
        <v>104</v>
      </c>
      <c r="B128" s="45">
        <f>SUM(B124:B127)</f>
        <v>10.942090910196077</v>
      </c>
      <c r="C128" s="45">
        <f>SUM(C124:C127)</f>
        <v>43.768363640784308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12.676629324493769</v>
      </c>
      <c r="C136" s="45">
        <f>C128+C131+C134</f>
        <v>50.706517297975076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26.463396144380624</v>
      </c>
      <c r="C138" s="47">
        <f>C136+C137</f>
        <v>64.493284117861933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6"/>
  <dimension ref="A1:BB200"/>
  <sheetViews>
    <sheetView showGridLines="0" zoomScaleNormal="100" workbookViewId="0">
      <pane xSplit="1" topLeftCell="P1" activePane="topRight" state="frozen"/>
      <selection pane="topRight" activeCell="U108" sqref="U108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160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>
        <f>G93-'FO 8 feb-19'!G93</f>
        <v>4905511.629999999</v>
      </c>
      <c r="H2" s="129">
        <f>H93-'FO 8 feb-19'!H93</f>
        <v>-4179758.370000001</v>
      </c>
      <c r="I2" s="130">
        <f>I93-'FO 8 feb-19'!I93</f>
        <v>0</v>
      </c>
      <c r="J2" s="129">
        <f>J93-'FO 8 feb-19'!J93</f>
        <v>0</v>
      </c>
      <c r="K2" s="129">
        <f>K93-'FO 8 feb-19'!K93</f>
        <v>0</v>
      </c>
      <c r="L2" s="129">
        <f>L93-'FO 8 feb-19'!L93</f>
        <v>0</v>
      </c>
      <c r="M2" s="130">
        <f>M93-'FO 8 feb-19'!M93</f>
        <v>0</v>
      </c>
      <c r="N2" s="129">
        <f>N93-'FO 8 feb-19'!N93</f>
        <v>0</v>
      </c>
      <c r="O2" s="129">
        <f>O93-'FO 8 feb-19'!O93</f>
        <v>0</v>
      </c>
      <c r="P2" s="129">
        <f>P93-'FO 8 feb-19'!P93</f>
        <v>0</v>
      </c>
      <c r="Q2" s="130">
        <f>Q93-'FO 8 feb-19'!Q93</f>
        <v>0</v>
      </c>
      <c r="R2" s="129">
        <f>R93-'FO 8 feb-19'!R93</f>
        <v>0</v>
      </c>
      <c r="S2" s="129">
        <f>S93-'FO 8 feb-19'!S93</f>
        <v>0</v>
      </c>
      <c r="T2" s="129">
        <f>T93-'FO 8 feb-19'!T93</f>
        <v>0</v>
      </c>
      <c r="U2" s="129">
        <f>U93-'FO 8 feb-19'!U93</f>
        <v>0</v>
      </c>
      <c r="V2" s="130">
        <f>V93-'FO 8 feb-19'!V93</f>
        <v>0</v>
      </c>
      <c r="W2" s="129">
        <f>W93-'FO 8 feb-19'!W93</f>
        <v>0</v>
      </c>
      <c r="X2" s="129">
        <f>X93-'FO 8 feb-19'!X93</f>
        <v>0</v>
      </c>
      <c r="Y2" s="129">
        <f>Y93-'FO 8 feb-19'!Y93</f>
        <v>0</v>
      </c>
      <c r="Z2" s="130">
        <f>Z93-'FO 8 feb-19'!Z93</f>
        <v>0</v>
      </c>
      <c r="AA2" s="129">
        <f>AA93-'FO 8 feb-19'!AA93</f>
        <v>0</v>
      </c>
      <c r="AB2" s="129">
        <f>AB93-'FO 8 feb-19'!AB93</f>
        <v>0</v>
      </c>
      <c r="AC2" s="129">
        <f>AC93-'FO 8 feb-19'!AC93</f>
        <v>0</v>
      </c>
      <c r="AD2" s="129">
        <f>AD93-'FO 8 feb-19'!AD93</f>
        <v>0</v>
      </c>
      <c r="AE2" s="130">
        <f>AE93-'FO 8 feb-19'!AE93</f>
        <v>0</v>
      </c>
      <c r="AF2" s="129">
        <f>AF93-'FO 8 feb-19'!AF93</f>
        <v>0</v>
      </c>
      <c r="AG2" s="129">
        <f>AG93-'FO 8 feb-19'!AG93</f>
        <v>0</v>
      </c>
      <c r="AH2" s="129">
        <f>AH93-'FO 8 feb-19'!AH93</f>
        <v>0</v>
      </c>
      <c r="AI2" s="130">
        <f>AI93-'FO 8 feb-19'!AI93</f>
        <v>0</v>
      </c>
      <c r="AJ2" s="129">
        <f>AJ93-'FO 8 feb-19'!AJ93</f>
        <v>0</v>
      </c>
      <c r="AK2" s="129">
        <f>AK93-'FO 8 feb-19'!AK93</f>
        <v>0</v>
      </c>
      <c r="AL2" s="129">
        <f>AL93-'FO 8 feb-19'!AL93</f>
        <v>0</v>
      </c>
      <c r="AM2" s="130">
        <f>AM93-'FO 8 feb-19'!AM93</f>
        <v>0</v>
      </c>
      <c r="AN2" s="129">
        <f>AN93-'FO 8 feb-19'!AN93</f>
        <v>0</v>
      </c>
      <c r="AO2" s="129">
        <f>AO93-'FO 8 feb-19'!AO93</f>
        <v>0</v>
      </c>
      <c r="AP2" s="129">
        <f>AP93-'FO 8 feb-19'!AP93</f>
        <v>0</v>
      </c>
      <c r="AQ2" s="129">
        <f>AQ93-'FO 8 feb-19'!AQ93</f>
        <v>0</v>
      </c>
      <c r="AR2" s="130">
        <f>AR93-'FO 8 feb-19'!AR93</f>
        <v>0</v>
      </c>
      <c r="AS2" s="129">
        <f>AS93-'FO 8 feb-19'!AS93</f>
        <v>0</v>
      </c>
      <c r="AT2" s="129">
        <f>AT93-'FO 8 feb-19'!AT93</f>
        <v>0</v>
      </c>
      <c r="AU2" s="129">
        <f>AU93-'FO 8 feb-19'!AU93</f>
        <v>0</v>
      </c>
      <c r="AV2" s="130">
        <f>AV93-'FO 8 feb-19'!AV93</f>
        <v>0</v>
      </c>
      <c r="AW2" s="129">
        <f>AW93-'FO 8 feb-19'!AW93</f>
        <v>0</v>
      </c>
      <c r="AX2" s="131">
        <f>AX93-'FO 8 feb-19'!AX93</f>
        <v>0</v>
      </c>
      <c r="AY2" s="131">
        <f>AY93-'FO 8 feb-19'!AY93</f>
        <v>0</v>
      </c>
      <c r="AZ2" s="131">
        <f>AZ93-'FO 8 feb-19'!AZ93</f>
        <v>0</v>
      </c>
      <c r="BA2" s="131">
        <f>BA93-'FO 8 feb-19'!BA93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52696.912231999995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16724375.780000001</v>
      </c>
      <c r="I30" s="33">
        <v>15957042.380000001</v>
      </c>
      <c r="J30" s="20">
        <v>16829610.390999999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843502.01992200001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0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-1906.4807900000003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0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-1241.8374900000001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1"/>
        <v>-34665.044900000001</v>
      </c>
    </row>
    <row r="48" spans="1:54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1"/>
        <v>0</v>
      </c>
    </row>
    <row r="49" spans="1:54" s="4" customFormat="1" ht="15" hidden="1" outlineLevel="1">
      <c r="A49" s="3" t="s">
        <v>48</v>
      </c>
      <c r="B49" s="24"/>
      <c r="C49" s="24">
        <v>-2392546</v>
      </c>
      <c r="D49" s="24">
        <v>-2392546</v>
      </c>
      <c r="E49" s="31">
        <v>0</v>
      </c>
      <c r="F49" s="24">
        <v>0</v>
      </c>
      <c r="G49" s="24">
        <v>0</v>
      </c>
      <c r="H49" s="24">
        <v>-1909800.77</v>
      </c>
      <c r="I49" s="31">
        <v>0</v>
      </c>
      <c r="J49" s="24">
        <v>0</v>
      </c>
      <c r="K49" s="24">
        <v>0</v>
      </c>
      <c r="L49" s="24">
        <v>-2858200.4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1"/>
        <v>-37881.173830000007</v>
      </c>
    </row>
    <row r="50" spans="1:54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-74191.34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-5324.555519999999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-252181.83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-12751.345589999997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-139333.47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-7468.3452600000001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-251559.92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-12657.632179999991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-1710225.35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-81120.890670000023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-540307.13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-27071.584630000005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-254152.59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-14578.586100000006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-58337.37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-2853.6081600000011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-14330728.48</v>
      </c>
      <c r="L82" s="121">
        <v>-14330728.48</v>
      </c>
      <c r="M82" s="120">
        <v>-1471182.6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-282427.09320000006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-37350.99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-1923.5753299999992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-449177.34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-4785.6807399999989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-747255.85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-69068.065269999934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-14786.84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-800.42630000000031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-1076648.08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-53138.082539999996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-14365523.09</v>
      </c>
      <c r="I93" s="32">
        <v>-12727183.429999998</v>
      </c>
      <c r="J93" s="18">
        <v>-6713457.4299999997</v>
      </c>
      <c r="K93" s="18">
        <v>-25655581.119999997</v>
      </c>
      <c r="L93" s="18">
        <v>-23075751.75</v>
      </c>
      <c r="M93" s="32">
        <v>-11266317.059999999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-774111.33796999999</v>
      </c>
    </row>
    <row r="94" spans="1:54" s="8" customFormat="1" ht="12.75">
      <c r="A94" s="7" t="s">
        <v>1</v>
      </c>
      <c r="B94" s="21">
        <f t="shared" ref="B94:G94" si="3">B30+B93</f>
        <v>16436818.079999994</v>
      </c>
      <c r="C94" s="21">
        <f t="shared" si="3"/>
        <v>2892569.9699999988</v>
      </c>
      <c r="D94" s="21">
        <f t="shared" si="3"/>
        <v>5759561.1500000004</v>
      </c>
      <c r="E94" s="36">
        <f t="shared" si="3"/>
        <v>5463141.25</v>
      </c>
      <c r="F94" s="21">
        <f t="shared" si="3"/>
        <v>5815922.0000000009</v>
      </c>
      <c r="G94" s="21">
        <f t="shared" si="3"/>
        <v>2372866.3200000022</v>
      </c>
      <c r="H94" s="21">
        <v>2358852.6900000013</v>
      </c>
      <c r="I94" s="36">
        <v>3229858.950000003</v>
      </c>
      <c r="J94" s="21">
        <v>10116152.960999999</v>
      </c>
      <c r="K94" s="21">
        <v>-9694607.9489999991</v>
      </c>
      <c r="L94" s="21">
        <v>-7320234.7389999982</v>
      </c>
      <c r="M94" s="36">
        <v>4438909.8910000008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69390.681951999984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60778.66421000001</v>
      </c>
      <c r="D100" s="58">
        <f>SUM(J30:M30)/1000</f>
        <v>64251.327523999993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843502.01992200001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-47001.164250000002</v>
      </c>
      <c r="D101" s="58">
        <f>SUM(J93:M93)/1000</f>
        <v>-66711.107359999995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-90132.817850000007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-774111.33796999988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13777.499960000008</v>
      </c>
      <c r="D102" s="58">
        <f>SUM(D100:D101)</f>
        <v>-2459.7798360000015</v>
      </c>
      <c r="E102" s="58">
        <f>SUM(E100:E101)</f>
        <v>3952.2480200000064</v>
      </c>
      <c r="F102" s="60">
        <f>SUM(F100:F101)</f>
        <v>-15150.009433999978</v>
      </c>
      <c r="G102" s="60">
        <f t="shared" si="4"/>
        <v>-490.49772399998619</v>
      </c>
      <c r="H102" s="60">
        <f t="shared" si="4"/>
        <v>-11456.313024000003</v>
      </c>
      <c r="I102" s="60">
        <f t="shared" si="4"/>
        <v>-55.423838000002434</v>
      </c>
      <c r="J102" s="60">
        <f t="shared" si="4"/>
        <v>7231.5871540000007</v>
      </c>
      <c r="K102" s="60">
        <f t="shared" si="4"/>
        <v>11529.106373999995</v>
      </c>
      <c r="L102" s="60">
        <f t="shared" si="4"/>
        <v>2312.5822100000078</v>
      </c>
      <c r="M102" s="60">
        <f>SUM(M100:M101)</f>
        <v>29647.591639999991</v>
      </c>
      <c r="N102" s="60">
        <f>SUM(B102:M102)</f>
        <v>69390.681952000014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8 feb-19'!N100</f>
        <v>-2535.2025299998932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8 feb-19'!N100</f>
        <v>-2535.2025299998932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725.75325999999791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 feb-19'!B108:M108)</f>
        <v>0</v>
      </c>
      <c r="P108" s="78">
        <f>N101-'FO 8 feb-19'!N101</f>
        <v>725.75326000002678</v>
      </c>
      <c r="Q108" s="61" t="s">
        <v>103</v>
      </c>
      <c r="R108" s="63"/>
      <c r="S108" s="23" t="s">
        <v>126</v>
      </c>
      <c r="T108" s="115">
        <f>SUM(H47:BA50)/1000-SUM('FO 8 feb-19'!H47:BA50)/1000</f>
        <v>277.88918999999441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SUM(H82:BA82)/1000-SUM('FO 8 feb-19'!H82:BA82)/1000</f>
        <v>-3324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SUM(H31:BA92)/1000-SUM('FO 8 feb-19'!H31:BA92)/1000-T108-T109</f>
        <v>-1133.6475600000485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39">
        <f>N102-'FO 8 feb-19'!N102</f>
        <v>-1809.4492700000119</v>
      </c>
      <c r="Q111" s="119"/>
      <c r="S111" s="70" t="s">
        <v>129</v>
      </c>
      <c r="T111" s="77">
        <f>SUM(T108:T110)</f>
        <v>-4179.7583700000541</v>
      </c>
      <c r="U111" s="71">
        <f>G2/1000</f>
        <v>4905.5116299999991</v>
      </c>
      <c r="V111" s="75">
        <f>SUM(T111:U111)</f>
        <v>725.75325999994493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-1809.4492699998664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71763.081210000004</v>
      </c>
      <c r="D118" s="26">
        <f t="shared" si="10"/>
        <v>75216.468523999996</v>
      </c>
      <c r="E118" s="26">
        <f>E100+E106+E112</f>
        <v>73793.355540000004</v>
      </c>
      <c r="F118" s="26">
        <f>F100+F106+F112</f>
        <v>89928.997616000008</v>
      </c>
      <c r="G118" s="26">
        <f t="shared" si="10"/>
        <v>76257.984066000005</v>
      </c>
      <c r="H118" s="26">
        <f t="shared" si="10"/>
        <v>90214.944826000006</v>
      </c>
      <c r="I118" s="26">
        <f t="shared" si="10"/>
        <v>73850.387881999995</v>
      </c>
      <c r="J118" s="26">
        <f t="shared" si="10"/>
        <v>75219.758914000005</v>
      </c>
      <c r="K118" s="26">
        <f t="shared" si="10"/>
        <v>90372.770853999988</v>
      </c>
      <c r="L118" s="26">
        <f t="shared" si="10"/>
        <v>75639.063420000006</v>
      </c>
      <c r="M118" s="26">
        <f t="shared" si="10"/>
        <v>89325.690199999997</v>
      </c>
      <c r="N118" s="64">
        <f>SUM(B118:M118)</f>
        <v>981626.99192199996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-57978.235249999998</v>
      </c>
      <c r="D119" s="26">
        <f t="shared" si="10"/>
        <v>-77926.908360000001</v>
      </c>
      <c r="E119" s="26">
        <f>E101+E107+E113</f>
        <v>-70965.57852000001</v>
      </c>
      <c r="F119" s="26">
        <f>F101+F107+F113</f>
        <v>-104790.37004999998</v>
      </c>
      <c r="G119" s="26">
        <f t="shared" si="10"/>
        <v>-76524.258789999993</v>
      </c>
      <c r="H119" s="26">
        <f t="shared" si="10"/>
        <v>-101764.39685</v>
      </c>
      <c r="I119" s="26">
        <f t="shared" si="10"/>
        <v>-73701.197719999996</v>
      </c>
      <c r="J119" s="26">
        <f t="shared" si="10"/>
        <v>-67582.121760000009</v>
      </c>
      <c r="K119" s="26">
        <f t="shared" si="10"/>
        <v>-78324.847479999997</v>
      </c>
      <c r="L119" s="26">
        <f t="shared" si="10"/>
        <v>-72491.874210000009</v>
      </c>
      <c r="M119" s="26">
        <f>M101+M107+M113</f>
        <v>-59636.394560000001</v>
      </c>
      <c r="N119" s="64">
        <f>SUM(B119:M119)</f>
        <v>-910123.42796999996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13784.845960000006</v>
      </c>
      <c r="D120" s="56">
        <f>SUM(D118:D119)</f>
        <v>-2710.439836000005</v>
      </c>
      <c r="E120" s="56">
        <f>SUM(E118:E119)</f>
        <v>2827.7770199999941</v>
      </c>
      <c r="F120" s="56">
        <f>SUM(F118:F119)</f>
        <v>-14861.372433999975</v>
      </c>
      <c r="G120" s="56">
        <f t="shared" si="11"/>
        <v>-266.27472399998805</v>
      </c>
      <c r="H120" s="56">
        <f t="shared" si="11"/>
        <v>-11549.452023999998</v>
      </c>
      <c r="I120" s="56">
        <f t="shared" si="11"/>
        <v>149.19016199999896</v>
      </c>
      <c r="J120" s="56">
        <f t="shared" si="11"/>
        <v>7637.6371539999964</v>
      </c>
      <c r="K120" s="56">
        <f t="shared" si="11"/>
        <v>12047.923373999991</v>
      </c>
      <c r="L120" s="56">
        <f t="shared" si="11"/>
        <v>3147.1892099999968</v>
      </c>
      <c r="M120" s="56">
        <f>SUM(M118:M119)</f>
        <v>29689.295639999997</v>
      </c>
      <c r="N120" s="65">
        <f>SUM(B120:M120)</f>
        <v>71503.563951999997</v>
      </c>
      <c r="O120" s="65">
        <f>'FO 8 feb-19'!N120+P112+O108</f>
        <v>71503.563952000128</v>
      </c>
      <c r="P120" s="133">
        <f>O120-N120</f>
        <v>1.3096723705530167E-10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57">
        <f>'[2]Flujo 2018'!$BU$3</f>
        <v>28885</v>
      </c>
      <c r="C121" s="57"/>
      <c r="D121" s="57"/>
      <c r="E121" s="57"/>
      <c r="F121" s="57"/>
      <c r="G121" s="57"/>
      <c r="H121" s="38"/>
      <c r="I121" s="38"/>
      <c r="J121" s="38"/>
      <c r="K121" s="38"/>
      <c r="L121" s="38"/>
      <c r="M121" s="38"/>
      <c r="N121" s="72">
        <f>SUM(B121)+SUM(C120:M120)</f>
        <v>68781.319502000013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-16624.427593999979</v>
      </c>
      <c r="F123" s="26">
        <f>SUM($B$121:F121)-SUM($B$120:F120)</f>
        <v>-1763.0551600000035</v>
      </c>
      <c r="G123" s="26">
        <f>SUM($B$121:G121)-SUM($B$120:G120)</f>
        <v>-1496.7804360000155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5.5377861411764711</v>
      </c>
      <c r="C126" s="43">
        <f>B126*4</f>
        <v>22.151144564705884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2.9448814890196071</v>
      </c>
      <c r="C127" s="43">
        <f>B127*4</f>
        <v>11.779525956078428</v>
      </c>
      <c r="Z127" s="89"/>
      <c r="AA127" s="89"/>
    </row>
    <row r="128" spans="1:30" ht="15.75" hidden="1">
      <c r="A128" s="44" t="s">
        <v>104</v>
      </c>
      <c r="B128" s="45">
        <f>SUM(B124:B127)</f>
        <v>10.86209925627451</v>
      </c>
      <c r="C128" s="45">
        <f>SUM(C124:C127)</f>
        <v>43.448397025098039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12.596637670572202</v>
      </c>
      <c r="C136" s="45">
        <f>C128+C131+C134</f>
        <v>50.386550682288807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26.383404490459057</v>
      </c>
      <c r="C138" s="47">
        <f>C136+C137</f>
        <v>64.173317502175664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7"/>
  <dimension ref="A1:BB200"/>
  <sheetViews>
    <sheetView showGridLines="0" zoomScale="60" zoomScaleNormal="60" workbookViewId="0">
      <pane xSplit="1" topLeftCell="K1" activePane="topRight" state="frozen"/>
      <selection pane="topRight" activeCell="U108" sqref="U108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159</v>
      </c>
      <c r="I1" s="30" t="s">
        <v>160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>
        <f>F93-'FO 1 feb-19'!F93</f>
        <v>2528451.7000000002</v>
      </c>
      <c r="G2" s="129">
        <f>G93-'FO 1 feb-19'!G93</f>
        <v>-154057.94999999739</v>
      </c>
      <c r="H2" s="129">
        <f>H93-'FO 1 feb-19'!H93</f>
        <v>0</v>
      </c>
      <c r="I2" s="130">
        <f>I93-'FO 1 feb-19'!I93</f>
        <v>0</v>
      </c>
      <c r="J2" s="129">
        <f>J93-'FO 1 feb-19'!J93</f>
        <v>0</v>
      </c>
      <c r="K2" s="129">
        <f>K93-'FO 1 feb-19'!K93</f>
        <v>0</v>
      </c>
      <c r="L2" s="129">
        <f>L93-'FO 1 feb-19'!L93</f>
        <v>0</v>
      </c>
      <c r="M2" s="130">
        <f>M93-'FO 1 feb-19'!M93</f>
        <v>2268945</v>
      </c>
      <c r="N2" s="129">
        <f>N93-'FO 1 feb-19'!N93</f>
        <v>0</v>
      </c>
      <c r="O2" s="129">
        <f>O93-'FO 1 feb-19'!O93</f>
        <v>0</v>
      </c>
      <c r="P2" s="129">
        <f>P93-'FO 1 feb-19'!P93</f>
        <v>0</v>
      </c>
      <c r="Q2" s="130">
        <f>Q93-'FO 1 feb-19'!Q93</f>
        <v>0</v>
      </c>
      <c r="R2" s="129">
        <f>R93-'FO 1 feb-19'!R93</f>
        <v>0</v>
      </c>
      <c r="S2" s="129">
        <f>S93-'FO 1 feb-19'!S93</f>
        <v>0</v>
      </c>
      <c r="T2" s="129">
        <f>T93-'FO 1 feb-19'!T93</f>
        <v>0</v>
      </c>
      <c r="U2" s="129">
        <f>U93-'FO 1 feb-19'!U93</f>
        <v>0</v>
      </c>
      <c r="V2" s="130">
        <f>V93-'FO 1 feb-19'!V93</f>
        <v>0</v>
      </c>
      <c r="W2" s="129">
        <f>W93-'FO 1 feb-19'!W93</f>
        <v>0</v>
      </c>
      <c r="X2" s="129">
        <f>X93-'FO 1 feb-19'!X93</f>
        <v>0</v>
      </c>
      <c r="Y2" s="129">
        <f>Y93-'FO 1 feb-19'!Y93</f>
        <v>0</v>
      </c>
      <c r="Z2" s="130">
        <f>Z93-'FO 1 feb-19'!Z93</f>
        <v>0</v>
      </c>
      <c r="AA2" s="129">
        <f>AA93-'FO 1 feb-19'!AA93</f>
        <v>0</v>
      </c>
      <c r="AB2" s="129">
        <f>AB93-'FO 1 feb-19'!AB93</f>
        <v>0</v>
      </c>
      <c r="AC2" s="129">
        <f>AC93-'FO 1 feb-19'!AC93</f>
        <v>0</v>
      </c>
      <c r="AD2" s="129">
        <f>AD93-'FO 1 feb-19'!AD93</f>
        <v>0</v>
      </c>
      <c r="AE2" s="130">
        <f>AE93-'FO 1 feb-19'!AE93</f>
        <v>0</v>
      </c>
      <c r="AF2" s="129">
        <f>AF93-'FO 1 feb-19'!AF93</f>
        <v>0</v>
      </c>
      <c r="AG2" s="129">
        <f>AG93-'FO 1 feb-19'!AG93</f>
        <v>0</v>
      </c>
      <c r="AH2" s="129">
        <f>AH93-'FO 1 feb-19'!AH93</f>
        <v>0</v>
      </c>
      <c r="AI2" s="130">
        <f>AI93-'FO 1 feb-19'!AI93</f>
        <v>0</v>
      </c>
      <c r="AJ2" s="129">
        <f>AJ93-'FO 1 feb-19'!AJ93</f>
        <v>0</v>
      </c>
      <c r="AK2" s="129">
        <f>AK93-'FO 1 feb-19'!AK93</f>
        <v>0</v>
      </c>
      <c r="AL2" s="129">
        <f>AL93-'FO 1 feb-19'!AL93</f>
        <v>0</v>
      </c>
      <c r="AM2" s="130">
        <f>AM93-'FO 1 feb-19'!AM93</f>
        <v>0</v>
      </c>
      <c r="AN2" s="129">
        <f>AN93-'FO 1 feb-19'!AN93</f>
        <v>0</v>
      </c>
      <c r="AO2" s="129">
        <f>AO93-'FO 1 feb-19'!AO93</f>
        <v>0</v>
      </c>
      <c r="AP2" s="129">
        <f>AP93-'FO 1 feb-19'!AP93</f>
        <v>0</v>
      </c>
      <c r="AQ2" s="129">
        <f>AQ93-'FO 1 feb-19'!AQ93</f>
        <v>0</v>
      </c>
      <c r="AR2" s="130">
        <f>AR93-'FO 1 feb-19'!AR93</f>
        <v>0</v>
      </c>
      <c r="AS2" s="129">
        <f>AS93-'FO 1 feb-19'!AS93</f>
        <v>0</v>
      </c>
      <c r="AT2" s="129">
        <f>AT93-'FO 1 feb-19'!AT93</f>
        <v>0</v>
      </c>
      <c r="AU2" s="129">
        <f>AU93-'FO 1 feb-19'!AU93</f>
        <v>0</v>
      </c>
      <c r="AV2" s="130">
        <f>AV93-'FO 1 feb-19'!AV93</f>
        <v>0</v>
      </c>
      <c r="AW2" s="129">
        <f>AW93-'FO 1 feb-19'!AW93</f>
        <v>0</v>
      </c>
      <c r="AX2" s="131">
        <f>AX93-'FO 1 feb-19'!AX93</f>
        <v>0</v>
      </c>
      <c r="AY2" s="131">
        <f>AY93-'FO 1 feb-19'!AY93</f>
        <v>0</v>
      </c>
      <c r="AZ2" s="131">
        <f>AZ93-'FO 1 feb-19'!AZ93</f>
        <v>0</v>
      </c>
      <c r="BA2" s="131">
        <f>BA93-'FO 1 feb-19'!BA93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52696.912231999995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16816789.139999997</v>
      </c>
      <c r="H30" s="20">
        <v>16724375.780000001</v>
      </c>
      <c r="I30" s="33">
        <v>15957042.380000001</v>
      </c>
      <c r="J30" s="20">
        <v>16829610.390999999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846037.22245200013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0</v>
      </c>
      <c r="I42" s="31">
        <v>0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-1727.2632600000002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0</v>
      </c>
      <c r="I44" s="31">
        <v>0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-1094.1268700000001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1"/>
        <v>-34665.044900000001</v>
      </c>
    </row>
    <row r="48" spans="1:54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1"/>
        <v>0</v>
      </c>
    </row>
    <row r="49" spans="1:54" s="4" customFormat="1" ht="15" hidden="1" outlineLevel="1">
      <c r="A49" s="3" t="s">
        <v>48</v>
      </c>
      <c r="B49" s="24"/>
      <c r="C49" s="24">
        <v>-2392546</v>
      </c>
      <c r="D49" s="24">
        <v>-2392546</v>
      </c>
      <c r="E49" s="31">
        <v>0</v>
      </c>
      <c r="F49" s="24">
        <v>0</v>
      </c>
      <c r="G49" s="24">
        <v>0</v>
      </c>
      <c r="H49" s="24">
        <v>-2187689.96</v>
      </c>
      <c r="I49" s="31">
        <v>0</v>
      </c>
      <c r="J49" s="24">
        <v>0</v>
      </c>
      <c r="K49" s="24">
        <v>0</v>
      </c>
      <c r="L49" s="24">
        <v>-2858200.4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1"/>
        <v>-38159.063020000001</v>
      </c>
    </row>
    <row r="50" spans="1:54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-36663.24</v>
      </c>
      <c r="I59" s="31">
        <v>-74191.34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-4867.1041800000012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-464145.15</v>
      </c>
      <c r="I62" s="31">
        <v>-252181.83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-13215.490739999996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-172514.95</v>
      </c>
      <c r="I65" s="31">
        <v>-139333.47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-7640.8602099999998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-296033.27</v>
      </c>
      <c r="I67" s="31">
        <v>-251559.92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-12953.665449999991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-2051026.3</v>
      </c>
      <c r="I68" s="31">
        <v>-1710225.35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-83171.916970000035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-644941.94999999995</v>
      </c>
      <c r="I73" s="35">
        <v>-540307.13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-27716.526580000005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-320442.23999999999</v>
      </c>
      <c r="I75" s="31">
        <v>-254152.59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-14704.358250000005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-78875.179999999993</v>
      </c>
      <c r="I79" s="31">
        <v>-58337.37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-2932.4833400000007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-1812826.93</v>
      </c>
      <c r="I82" s="120">
        <v>-2249106.6</v>
      </c>
      <c r="J82" s="121">
        <v>-1471182.6</v>
      </c>
      <c r="K82" s="121">
        <v>-14330728.48</v>
      </c>
      <c r="L82" s="121">
        <v>-14330728.48</v>
      </c>
      <c r="M82" s="120">
        <v>-1471182.6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-279103.09320000006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-41951.47</v>
      </c>
      <c r="I87" s="31">
        <v>-37350.99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-1965.5267999999992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-449177.34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-4785.6807399999989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-874547.43</v>
      </c>
      <c r="I89" s="31">
        <v>-747255.85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-63662.937759999972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-18697.189999999999</v>
      </c>
      <c r="I90" s="31">
        <v>-14786.84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-819.12349000000029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-1161901.83</v>
      </c>
      <c r="I92" s="31">
        <v>-1076648.08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-54299.984369999998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-16814231.919999998</v>
      </c>
      <c r="H93" s="18">
        <v>-10185764.719999999</v>
      </c>
      <c r="I93" s="32">
        <v>-12727183.429999998</v>
      </c>
      <c r="J93" s="18">
        <v>-6713457.4299999997</v>
      </c>
      <c r="K93" s="18">
        <v>-25655581.119999997</v>
      </c>
      <c r="L93" s="18">
        <v>-23075751.75</v>
      </c>
      <c r="M93" s="32">
        <v>-11266317.059999999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-774837.09123000002</v>
      </c>
    </row>
    <row r="94" spans="1:54" s="8" customFormat="1" ht="12.75">
      <c r="A94" s="7" t="s">
        <v>1</v>
      </c>
      <c r="B94" s="21">
        <f>B30+B93</f>
        <v>16436818.079999994</v>
      </c>
      <c r="C94" s="21">
        <f>C30+C93</f>
        <v>2892569.9699999988</v>
      </c>
      <c r="D94" s="21">
        <f>D30+D93</f>
        <v>5759561.1500000004</v>
      </c>
      <c r="E94" s="36">
        <f>E30+E93</f>
        <v>5463141.25</v>
      </c>
      <c r="F94" s="21">
        <f>F30+F93</f>
        <v>5815922.0000000009</v>
      </c>
      <c r="G94" s="21">
        <v>2557.2199999988079</v>
      </c>
      <c r="H94" s="21">
        <v>6538611.0600000024</v>
      </c>
      <c r="I94" s="36">
        <v>3229858.950000003</v>
      </c>
      <c r="J94" s="21">
        <v>10116152.960999999</v>
      </c>
      <c r="K94" s="21">
        <v>-9694607.9489999991</v>
      </c>
      <c r="L94" s="21">
        <v>-7320234.7389999982</v>
      </c>
      <c r="M94" s="36">
        <v>4438909.8910000008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71200.131221999982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63313.866740000005</v>
      </c>
      <c r="D100" s="58">
        <f>SUM(J30:M30)/1000</f>
        <v>64251.327523999993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846037.2224519999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-47726.917509999999</v>
      </c>
      <c r="D101" s="58">
        <f>SUM(J93:M93)/1000</f>
        <v>-66711.107359999995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-90132.817850000007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-774837.0912299999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3">SUM(C100:C101)</f>
        <v>15586.949230000006</v>
      </c>
      <c r="D102" s="58">
        <f>SUM(D100:D101)</f>
        <v>-2459.7798360000015</v>
      </c>
      <c r="E102" s="58">
        <f>SUM(E100:E101)</f>
        <v>3952.2480200000064</v>
      </c>
      <c r="F102" s="60">
        <f>SUM(F100:F101)</f>
        <v>-15150.009433999978</v>
      </c>
      <c r="G102" s="60">
        <f t="shared" si="3"/>
        <v>-490.49772399998619</v>
      </c>
      <c r="H102" s="60">
        <f t="shared" si="3"/>
        <v>-11456.313024000003</v>
      </c>
      <c r="I102" s="60">
        <f t="shared" si="3"/>
        <v>-55.423838000002434</v>
      </c>
      <c r="J102" s="60">
        <f t="shared" si="3"/>
        <v>7231.5871540000007</v>
      </c>
      <c r="K102" s="60">
        <f t="shared" si="3"/>
        <v>11529.106373999995</v>
      </c>
      <c r="L102" s="60">
        <f t="shared" si="3"/>
        <v>2312.5822100000078</v>
      </c>
      <c r="M102" s="60">
        <f>SUM(M100:M101)</f>
        <v>29647.591639999991</v>
      </c>
      <c r="N102" s="60">
        <f>SUM(B102:M102)</f>
        <v>71200.131222000025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 feb-19'!N100</f>
        <v>-3684.4689100000542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 feb-19'!N100</f>
        <v>-3684.4689100000542</v>
      </c>
      <c r="Q104" s="73" t="s">
        <v>292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4">C99</f>
        <v>43497</v>
      </c>
      <c r="D105" s="52">
        <f t="shared" si="4"/>
        <v>43525</v>
      </c>
      <c r="E105" s="52">
        <f t="shared" si="4"/>
        <v>43556</v>
      </c>
      <c r="F105" s="52">
        <f t="shared" si="4"/>
        <v>43586</v>
      </c>
      <c r="G105" s="52">
        <f t="shared" si="4"/>
        <v>43617</v>
      </c>
      <c r="H105" s="52">
        <f t="shared" si="4"/>
        <v>43647</v>
      </c>
      <c r="I105" s="52">
        <f t="shared" si="4"/>
        <v>43678</v>
      </c>
      <c r="J105" s="52">
        <f t="shared" si="4"/>
        <v>43709</v>
      </c>
      <c r="K105" s="52">
        <f t="shared" si="4"/>
        <v>43739</v>
      </c>
      <c r="L105" s="52">
        <f t="shared" si="4"/>
        <v>43770</v>
      </c>
      <c r="M105" s="52">
        <f t="shared" si="4"/>
        <v>43800</v>
      </c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4643.3387500000026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5">SUM(C106:C107)</f>
        <v>7.3460000000004584</v>
      </c>
      <c r="D108" s="22">
        <f t="shared" si="5"/>
        <v>-250.65999999999985</v>
      </c>
      <c r="E108" s="22">
        <f t="shared" si="5"/>
        <v>-1124.4709999999995</v>
      </c>
      <c r="F108" s="22">
        <f t="shared" si="5"/>
        <v>288.63700000000063</v>
      </c>
      <c r="G108" s="22">
        <f t="shared" si="5"/>
        <v>224.22299999999814</v>
      </c>
      <c r="H108" s="22">
        <f t="shared" si="5"/>
        <v>-93.138999999995576</v>
      </c>
      <c r="I108" s="39">
        <f t="shared" si="5"/>
        <v>204.61399999999776</v>
      </c>
      <c r="J108" s="39">
        <f t="shared" si="5"/>
        <v>406.04999999999563</v>
      </c>
      <c r="K108" s="39">
        <f t="shared" si="5"/>
        <v>518.8169999999991</v>
      </c>
      <c r="L108" s="39">
        <f t="shared" si="5"/>
        <v>834.60699999999633</v>
      </c>
      <c r="M108" s="39">
        <f t="shared" si="5"/>
        <v>41.70400000000518</v>
      </c>
      <c r="N108" s="59">
        <f>SUM(B108:M108)</f>
        <v>2112.8819999999978</v>
      </c>
      <c r="O108" s="133">
        <f>N108-SUM('FO 1 feb-19'!B108:M108)</f>
        <v>0</v>
      </c>
      <c r="P108" s="78">
        <f>N101-'FO 1 feb-19'!N101</f>
        <v>4643.3387499999953</v>
      </c>
      <c r="Q108" s="61" t="s">
        <v>103</v>
      </c>
      <c r="R108" s="63"/>
      <c r="S108" s="23" t="s">
        <v>126</v>
      </c>
      <c r="T108" s="115">
        <f>SUM(G47:BA50)/1000-SUM('FO 1 feb-19'!G47:BA50)/1000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SUM(G82:BA82)/1000-SUM('FO 1 feb-19'!G82:BA82)/1000</f>
        <v>2268.945000000007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SUM(G31:BA92)/1000-SUM('FO 1 feb-19'!G31:BA92)/1000-T108-T109</f>
        <v>-154.05794999975478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6">C99</f>
        <v>43497</v>
      </c>
      <c r="D111" s="52">
        <f t="shared" si="6"/>
        <v>43525</v>
      </c>
      <c r="E111" s="52">
        <f t="shared" si="6"/>
        <v>43556</v>
      </c>
      <c r="F111" s="52">
        <f t="shared" si="6"/>
        <v>43586</v>
      </c>
      <c r="G111" s="52">
        <f t="shared" si="6"/>
        <v>43617</v>
      </c>
      <c r="H111" s="52">
        <f t="shared" si="6"/>
        <v>43647</v>
      </c>
      <c r="I111" s="52">
        <f t="shared" si="6"/>
        <v>43678</v>
      </c>
      <c r="J111" s="52">
        <f t="shared" si="6"/>
        <v>43709</v>
      </c>
      <c r="K111" s="52">
        <f t="shared" si="6"/>
        <v>43739</v>
      </c>
      <c r="L111" s="52">
        <f t="shared" si="6"/>
        <v>43770</v>
      </c>
      <c r="M111" s="52">
        <f t="shared" si="6"/>
        <v>43800</v>
      </c>
      <c r="P111" s="39">
        <f>N102-'FO 1 feb-19'!N102</f>
        <v>958.86984000002849</v>
      </c>
      <c r="Q111" s="119"/>
      <c r="S111" s="70" t="s">
        <v>129</v>
      </c>
      <c r="T111" s="77">
        <f>SUM(T108:T110)</f>
        <v>2114.8870500002522</v>
      </c>
      <c r="U111" s="71">
        <f>F2/1000</f>
        <v>2528.4517000000001</v>
      </c>
      <c r="V111" s="75">
        <f>SUM(T111:U111)</f>
        <v>4643.3387500002518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958.86983999994118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7">SUM(C112:C113)</f>
        <v>0</v>
      </c>
      <c r="D114" s="26">
        <f t="shared" si="7"/>
        <v>0</v>
      </c>
      <c r="E114" s="26">
        <f t="shared" si="7"/>
        <v>0</v>
      </c>
      <c r="F114" s="26">
        <f t="shared" si="7"/>
        <v>0</v>
      </c>
      <c r="G114" s="26">
        <f t="shared" si="7"/>
        <v>0</v>
      </c>
      <c r="H114" s="26">
        <f t="shared" si="7"/>
        <v>0</v>
      </c>
      <c r="I114" s="26">
        <f t="shared" si="7"/>
        <v>0</v>
      </c>
      <c r="J114" s="26">
        <f t="shared" si="7"/>
        <v>0</v>
      </c>
      <c r="K114" s="26">
        <f t="shared" si="7"/>
        <v>0</v>
      </c>
      <c r="L114" s="26">
        <f t="shared" si="7"/>
        <v>0</v>
      </c>
      <c r="M114" s="26">
        <f t="shared" si="7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8">C99</f>
        <v>43497</v>
      </c>
      <c r="D117" s="1">
        <f t="shared" si="8"/>
        <v>43525</v>
      </c>
      <c r="E117" s="1">
        <f t="shared" si="8"/>
        <v>43556</v>
      </c>
      <c r="F117" s="1">
        <f t="shared" si="8"/>
        <v>43586</v>
      </c>
      <c r="G117" s="1">
        <f t="shared" si="8"/>
        <v>43617</v>
      </c>
      <c r="H117" s="1">
        <f t="shared" si="8"/>
        <v>43647</v>
      </c>
      <c r="I117" s="1">
        <f t="shared" si="8"/>
        <v>43678</v>
      </c>
      <c r="J117" s="1">
        <f t="shared" si="8"/>
        <v>43709</v>
      </c>
      <c r="K117" s="1">
        <f t="shared" si="8"/>
        <v>43739</v>
      </c>
      <c r="L117" s="1">
        <f t="shared" si="8"/>
        <v>43770</v>
      </c>
      <c r="M117" s="1">
        <f t="shared" si="8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9">C100+C106+C112</f>
        <v>74298.283739999999</v>
      </c>
      <c r="D118" s="26">
        <f t="shared" si="9"/>
        <v>75216.468523999996</v>
      </c>
      <c r="E118" s="26">
        <f>E100+E106+E112</f>
        <v>73793.355540000004</v>
      </c>
      <c r="F118" s="26">
        <f>F100+F106+F112</f>
        <v>89928.997616000008</v>
      </c>
      <c r="G118" s="26">
        <f t="shared" si="9"/>
        <v>76257.984066000005</v>
      </c>
      <c r="H118" s="26">
        <f t="shared" si="9"/>
        <v>90214.944826000006</v>
      </c>
      <c r="I118" s="26">
        <f t="shared" si="9"/>
        <v>73850.387881999995</v>
      </c>
      <c r="J118" s="26">
        <f t="shared" si="9"/>
        <v>75219.758914000005</v>
      </c>
      <c r="K118" s="26">
        <f t="shared" si="9"/>
        <v>90372.770853999988</v>
      </c>
      <c r="L118" s="26">
        <f t="shared" si="9"/>
        <v>75639.063420000006</v>
      </c>
      <c r="M118" s="26">
        <f t="shared" si="9"/>
        <v>89325.690199999997</v>
      </c>
      <c r="N118" s="64">
        <f>SUM(B118:M118)</f>
        <v>984162.19445199997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-58703.988509999996</v>
      </c>
      <c r="D119" s="26">
        <f t="shared" si="9"/>
        <v>-77926.908360000001</v>
      </c>
      <c r="E119" s="26">
        <f>E101+E107+E113</f>
        <v>-70965.57852000001</v>
      </c>
      <c r="F119" s="26">
        <f>F101+F107+F113</f>
        <v>-104790.37004999998</v>
      </c>
      <c r="G119" s="26">
        <f t="shared" si="9"/>
        <v>-76524.258789999993</v>
      </c>
      <c r="H119" s="26">
        <f t="shared" si="9"/>
        <v>-101764.39685</v>
      </c>
      <c r="I119" s="26">
        <f t="shared" si="9"/>
        <v>-73701.197719999996</v>
      </c>
      <c r="J119" s="26">
        <f t="shared" si="9"/>
        <v>-67582.121760000009</v>
      </c>
      <c r="K119" s="26">
        <f t="shared" si="9"/>
        <v>-78324.847479999997</v>
      </c>
      <c r="L119" s="26">
        <f t="shared" si="9"/>
        <v>-72491.874210000009</v>
      </c>
      <c r="M119" s="26">
        <f>M101+M107+M113</f>
        <v>-59636.394560000001</v>
      </c>
      <c r="N119" s="64">
        <f>SUM(B119:M119)</f>
        <v>-910849.1812300001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0">SUM(C118:C119)</f>
        <v>15594.295230000003</v>
      </c>
      <c r="D120" s="56">
        <f>SUM(D118:D119)</f>
        <v>-2710.439836000005</v>
      </c>
      <c r="E120" s="56">
        <f>SUM(E118:E119)</f>
        <v>2827.7770199999941</v>
      </c>
      <c r="F120" s="56">
        <f>SUM(F118:F119)</f>
        <v>-14861.372433999975</v>
      </c>
      <c r="G120" s="56">
        <f t="shared" si="10"/>
        <v>-266.27472399998805</v>
      </c>
      <c r="H120" s="56">
        <f t="shared" si="10"/>
        <v>-11549.452023999998</v>
      </c>
      <c r="I120" s="56">
        <f t="shared" si="10"/>
        <v>149.19016199999896</v>
      </c>
      <c r="J120" s="56">
        <f t="shared" si="10"/>
        <v>7637.6371539999964</v>
      </c>
      <c r="K120" s="56">
        <f t="shared" si="10"/>
        <v>12047.923373999991</v>
      </c>
      <c r="L120" s="56">
        <f t="shared" si="10"/>
        <v>3147.1892099999968</v>
      </c>
      <c r="M120" s="56">
        <f>SUM(M118:M119)</f>
        <v>29689.295639999997</v>
      </c>
      <c r="N120" s="65">
        <f>SUM(B120:M120)</f>
        <v>73313.013221999994</v>
      </c>
      <c r="O120" s="133">
        <f>'FO 1 feb-19'!N120+P112+O108</f>
        <v>73313.013221999921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57">
        <f>'[2]Flujo 2018'!$BU$3</f>
        <v>28885</v>
      </c>
      <c r="C121" s="57"/>
      <c r="D121" s="57"/>
      <c r="E121" s="57"/>
      <c r="F121" s="57"/>
      <c r="G121" s="57"/>
      <c r="H121" s="38"/>
      <c r="I121" s="38"/>
      <c r="J121" s="38"/>
      <c r="K121" s="38"/>
      <c r="L121" s="38"/>
      <c r="M121" s="38"/>
      <c r="N121" s="72">
        <f>SUM(B121)+SUM(C120:M120)</f>
        <v>70590.76877200001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-18433.876863999976</v>
      </c>
      <c r="F123" s="26">
        <f>SUM($B$121:F121)-SUM($B$120:F120)</f>
        <v>-3572.5044300000009</v>
      </c>
      <c r="G123" s="26">
        <f>SUM($B$121:G121)-SUM($B$120:G120)</f>
        <v>-3306.2297060000128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5.4726096705882359</v>
      </c>
      <c r="C126" s="43">
        <f>B126*4</f>
        <v>21.890438682352944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2.8791147986274512</v>
      </c>
      <c r="C127" s="43">
        <f>B127*4</f>
        <v>11.516459194509805</v>
      </c>
      <c r="Z127" s="89"/>
      <c r="AA127" s="89"/>
    </row>
    <row r="128" spans="1:30" ht="15.75" hidden="1">
      <c r="A128" s="44" t="s">
        <v>104</v>
      </c>
      <c r="B128" s="45">
        <f>SUM(B124:B127)</f>
        <v>10.73115609529412</v>
      </c>
      <c r="C128" s="45">
        <f>SUM(C124:C127)</f>
        <v>42.924624381176478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12.465694509591811</v>
      </c>
      <c r="C136" s="45">
        <f>C128+C131+C134</f>
        <v>49.862778038367246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26.252461329478663</v>
      </c>
      <c r="C138" s="47">
        <f>C136+C137</f>
        <v>63.649544858254103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B209"/>
  <sheetViews>
    <sheetView showGridLines="0" topLeftCell="A105" zoomScaleNormal="100" workbookViewId="0">
      <pane xSplit="1" topLeftCell="H1" activePane="topRight" state="frozen"/>
      <selection pane="topRight" activeCell="R109" sqref="R109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0" width="14.5703125" style="9" customWidth="1"/>
    <col min="31" max="32" width="16" style="9" bestFit="1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317</v>
      </c>
      <c r="AB1" s="17" t="s">
        <v>318</v>
      </c>
      <c r="AC1" s="17" t="s">
        <v>319</v>
      </c>
      <c r="AD1" s="17" t="s">
        <v>181</v>
      </c>
      <c r="AE1" s="30" t="s">
        <v>320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/>
      <c r="Z2" s="143"/>
      <c r="AA2" s="125"/>
      <c r="AB2" s="125"/>
      <c r="AC2" s="125"/>
      <c r="AD2" s="125"/>
      <c r="AE2" s="143">
        <f>AE93-'FO 31 jul-19'!AE93</f>
        <v>0</v>
      </c>
      <c r="AF2" s="125">
        <f>AF93-'FO 31 jul-19'!AF93</f>
        <v>-1316557.8614800014</v>
      </c>
      <c r="AG2" s="125">
        <f>AG93-'FO 31 jul-19'!AG93</f>
        <v>-147484.98450000212</v>
      </c>
      <c r="AH2" s="125">
        <f>AH93-'FO 31 jul-19'!AH93</f>
        <v>-1370000.8732500002</v>
      </c>
      <c r="AI2" s="143">
        <f>AI93-'FO 31 jul-19'!AI93</f>
        <v>334322.10781199858</v>
      </c>
      <c r="AJ2" s="125">
        <f>AJ93-'FO 31 jul-19'!AJ93</f>
        <v>-1093204.7722079996</v>
      </c>
      <c r="AK2" s="125">
        <f>AK93-'FO 31 jul-19'!AK93</f>
        <v>-105837.28835399821</v>
      </c>
      <c r="AL2" s="125">
        <f>AL93-'FO 31 jul-19'!AL93</f>
        <v>168102.42750000209</v>
      </c>
      <c r="AM2" s="143">
        <f>AM93-'FO 31 jul-19'!AM93</f>
        <v>33620.485500000417</v>
      </c>
      <c r="AN2" s="125">
        <f>AN93-'FO 31 jul-19'!AN93</f>
        <v>0</v>
      </c>
      <c r="AO2" s="125">
        <f>AO93-'FO 31 jul-19'!AO93</f>
        <v>0</v>
      </c>
      <c r="AP2" s="125">
        <f>AP93-'FO 31 jul-19'!AP93</f>
        <v>100861.45649999753</v>
      </c>
      <c r="AQ2" s="125">
        <f>AQ93-'FO 31 jul-19'!AQ93</f>
        <v>33620.485500000417</v>
      </c>
      <c r="AR2" s="143">
        <f>AR93-'FO 31 jul-19'!AR93</f>
        <v>201722.91300000064</v>
      </c>
      <c r="AS2" s="125">
        <f>AS93-'FO 31 jul-19'!AS93</f>
        <v>-134481.94199999981</v>
      </c>
      <c r="AT2" s="125">
        <f>AT93-'FO 31 jul-19'!AT93</f>
        <v>-67240.970999998972</v>
      </c>
      <c r="AU2" s="125">
        <f>AU93-'FO 31 jul-19'!AU93</f>
        <v>806891.65199999884</v>
      </c>
      <c r="AV2" s="143">
        <f>AV93-'FO 31 jul-19'!AV93</f>
        <v>268963.88399999961</v>
      </c>
      <c r="AW2" s="125">
        <f>AW93-'FO 31 jul-19'!AW93</f>
        <v>0</v>
      </c>
      <c r="AX2" s="13">
        <f>AX93-'FO 31 jul-19'!AX93</f>
        <v>0</v>
      </c>
      <c r="AY2" s="13">
        <f>AY93-'FO 31 jul-19'!AY93</f>
        <v>0</v>
      </c>
      <c r="AZ2" s="13">
        <f>AZ93-'FO 31 jul-19'!AZ93</f>
        <v>-2835000</v>
      </c>
      <c r="BA2" s="13">
        <f>BA93-'FO 31 jul-19'!BA93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16444946.720000001</v>
      </c>
      <c r="AA30" s="20">
        <v>14353658.390000001</v>
      </c>
      <c r="AB30" s="20">
        <v>15009712.960000003</v>
      </c>
      <c r="AC30" s="20">
        <v>15639811.489999998</v>
      </c>
      <c r="AD30" s="20">
        <v>13960500.590000002</v>
      </c>
      <c r="AE30" s="33">
        <v>15890776.691200005</v>
      </c>
      <c r="AF30" s="20">
        <v>15027882.954849999</v>
      </c>
      <c r="AG30" s="20">
        <v>14839205.155350005</v>
      </c>
      <c r="AH30" s="20">
        <v>14459049.640350001</v>
      </c>
      <c r="AI30" s="33">
        <v>14606261.34585</v>
      </c>
      <c r="AJ30" s="20">
        <v>14656894.206450004</v>
      </c>
      <c r="AK30" s="20">
        <v>14737904.259449996</v>
      </c>
      <c r="AL30" s="20">
        <v>15043976.836450001</v>
      </c>
      <c r="AM30" s="33">
        <v>15083137.489450002</v>
      </c>
      <c r="AN30" s="20">
        <v>16046391.454159999</v>
      </c>
      <c r="AO30" s="20">
        <v>16079020.486659996</v>
      </c>
      <c r="AP30" s="20">
        <v>16142483.279660001</v>
      </c>
      <c r="AQ30" s="20">
        <v>16127555.473659994</v>
      </c>
      <c r="AR30" s="33">
        <v>15928384.477659995</v>
      </c>
      <c r="AS30" s="20">
        <v>14647436.594499998</v>
      </c>
      <c r="AT30" s="20">
        <v>14409157.888999995</v>
      </c>
      <c r="AU30" s="20">
        <v>15371297.131499996</v>
      </c>
      <c r="AV30" s="33">
        <v>14916495.927000003</v>
      </c>
      <c r="AW30" s="20">
        <v>14442906.743500005</v>
      </c>
      <c r="AX30" s="20">
        <v>14732566.037499998</v>
      </c>
      <c r="AY30" s="20">
        <v>17678423.317500003</v>
      </c>
      <c r="AZ30" s="20">
        <v>18445137.328500003</v>
      </c>
      <c r="BA30" s="20">
        <v>5104206.5690000001</v>
      </c>
      <c r="BB30" s="37">
        <f>SUM(B30:BA30)/1000</f>
        <v>812001.37540919986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-365967.86</v>
      </c>
      <c r="AB42" s="24">
        <v>-396148.4</v>
      </c>
      <c r="AC42" s="24">
        <v>-459482.45</v>
      </c>
      <c r="AD42" s="24">
        <v>0</v>
      </c>
      <c r="AE42" s="31">
        <v>-442755.96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-10941.90465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-106730.5</v>
      </c>
      <c r="AC44" s="24">
        <v>-250063.94</v>
      </c>
      <c r="AD44" s="24">
        <v>0</v>
      </c>
      <c r="AE44" s="31">
        <v>-66181.84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-4995.7193300000008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-2497574.42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-38065.305719999997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-2020121.78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-41735.5985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0</v>
      </c>
      <c r="AB59" s="24">
        <v>-38280.82</v>
      </c>
      <c r="AC59" s="24">
        <v>-64188.23</v>
      </c>
      <c r="AD59" s="24">
        <v>-63681.3</v>
      </c>
      <c r="AE59" s="31">
        <v>-143570.01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-9179.5775999999951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0</v>
      </c>
      <c r="AB61" s="19">
        <v>-143791.47999999998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0</v>
      </c>
      <c r="AB62" s="24">
        <v>0</v>
      </c>
      <c r="AC62" s="24">
        <v>0</v>
      </c>
      <c r="AD62" s="24">
        <v>-56250</v>
      </c>
      <c r="AE62" s="31">
        <v>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-945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0</v>
      </c>
      <c r="AB65" s="24">
        <v>0</v>
      </c>
      <c r="AC65" s="24">
        <v>0</v>
      </c>
      <c r="AD65" s="24">
        <v>-195793.28</v>
      </c>
      <c r="AE65" s="31">
        <v>0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-3747.9414800000009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0</v>
      </c>
      <c r="AB67" s="24">
        <v>0</v>
      </c>
      <c r="AC67" s="24">
        <v>0</v>
      </c>
      <c r="AD67" s="24">
        <v>-300266.90999999997</v>
      </c>
      <c r="AE67" s="31">
        <v>0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-6462.3881900000015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0</v>
      </c>
      <c r="AB68" s="24">
        <v>0</v>
      </c>
      <c r="AC68" s="24">
        <v>0</v>
      </c>
      <c r="AD68" s="24">
        <v>-2241151.54</v>
      </c>
      <c r="AE68" s="31">
        <v>0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-43000.269440000004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0</v>
      </c>
      <c r="AB73" s="16">
        <v>0</v>
      </c>
      <c r="AC73" s="16">
        <v>0</v>
      </c>
      <c r="AD73" s="16">
        <v>-661359.80000000005</v>
      </c>
      <c r="AE73" s="35">
        <v>0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-13489.728429999997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0</v>
      </c>
      <c r="AB75" s="24">
        <v>-312.22000000000003</v>
      </c>
      <c r="AC75" s="24">
        <v>-3187.02</v>
      </c>
      <c r="AD75" s="24">
        <v>-330339.07</v>
      </c>
      <c r="AE75" s="31">
        <v>-125405.72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-12348.524680000002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0</v>
      </c>
      <c r="AB79" s="24">
        <v>0</v>
      </c>
      <c r="AC79" s="24">
        <v>0</v>
      </c>
      <c r="AD79" s="24">
        <v>-71345.320000000007</v>
      </c>
      <c r="AE79" s="31">
        <v>0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-1387.5160500000004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-10033212.369999999</v>
      </c>
      <c r="AB82" s="121">
        <v>-7921188.5099999998</v>
      </c>
      <c r="AC82" s="121">
        <v>-7744481.71</v>
      </c>
      <c r="AD82" s="121">
        <v>-11395884.449999999</v>
      </c>
      <c r="AE82" s="120">
        <v>-6765726.7300000004</v>
      </c>
      <c r="AF82" s="121">
        <v>-16826000.19148</v>
      </c>
      <c r="AG82" s="121">
        <v>-6290786.3645000001</v>
      </c>
      <c r="AH82" s="121">
        <v>-6210542.3432499999</v>
      </c>
      <c r="AI82" s="120">
        <v>-3563851.9621879999</v>
      </c>
      <c r="AJ82" s="121">
        <v>-3580021.692208</v>
      </c>
      <c r="AK82" s="121">
        <v>-5597877.5183540005</v>
      </c>
      <c r="AL82" s="121">
        <v>-3008539.6124999998</v>
      </c>
      <c r="AM82" s="120">
        <v>-14263983.884499999</v>
      </c>
      <c r="AN82" s="121">
        <v>-3372908.65</v>
      </c>
      <c r="AO82" s="121">
        <v>-4084938.4000000004</v>
      </c>
      <c r="AP82" s="121">
        <v>-6757972.0335000008</v>
      </c>
      <c r="AQ82" s="121">
        <v>-3444078.0844999999</v>
      </c>
      <c r="AR82" s="120">
        <v>-3279128.1670000004</v>
      </c>
      <c r="AS82" s="121">
        <v>-3702991.7419999996</v>
      </c>
      <c r="AT82" s="121">
        <v>-5132834.8309999993</v>
      </c>
      <c r="AU82" s="121">
        <v>-2704483.7479999997</v>
      </c>
      <c r="AV82" s="120">
        <v>-1649885.5159999998</v>
      </c>
      <c r="AW82" s="121">
        <v>-1629179.61</v>
      </c>
      <c r="AX82" s="19">
        <v>-1631644.89</v>
      </c>
      <c r="AY82" s="19">
        <v>-1746013.84</v>
      </c>
      <c r="AZ82" s="19">
        <v>-16960709.75</v>
      </c>
      <c r="BA82" s="19">
        <v>-1340508.46</v>
      </c>
      <c r="BB82" s="37">
        <f t="shared" si="1"/>
        <v>-291581.15282097994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0</v>
      </c>
      <c r="AB87" s="24">
        <v>0</v>
      </c>
      <c r="AC87" s="24">
        <v>0</v>
      </c>
      <c r="AD87" s="24">
        <v>-48713.34</v>
      </c>
      <c r="AE87" s="31">
        <v>0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-975.85678999999982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0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-1989.9277000000002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-9044567.5799999982</v>
      </c>
      <c r="AB89" s="24">
        <v>-5813639.6799999997</v>
      </c>
      <c r="AC89" s="24">
        <v>-6655042.8600000003</v>
      </c>
      <c r="AD89" s="24">
        <v>-822439.8</v>
      </c>
      <c r="AE89" s="31">
        <v>-6268094.6399999997</v>
      </c>
      <c r="AF89" s="24">
        <v>-2795735.15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-187513.74153999996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0</v>
      </c>
      <c r="AB90" s="24">
        <v>0</v>
      </c>
      <c r="AC90" s="24">
        <v>0</v>
      </c>
      <c r="AD90" s="24">
        <v>-20286.41</v>
      </c>
      <c r="AE90" s="31">
        <v>0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-401.74232999999998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0</v>
      </c>
      <c r="AB92" s="24">
        <v>0</v>
      </c>
      <c r="AC92" s="24">
        <v>-6643.36</v>
      </c>
      <c r="AD92" s="24">
        <v>-1381222.39</v>
      </c>
      <c r="AE92" s="31">
        <v>-52217.34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-27889.791630000011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-26318898.010000002</v>
      </c>
      <c r="AA93" s="18">
        <v>-13625629.18</v>
      </c>
      <c r="AB93" s="18">
        <v>-14520256.779999999</v>
      </c>
      <c r="AC93" s="18">
        <v>-20859355.800000001</v>
      </c>
      <c r="AD93" s="18">
        <v>-14281991.970000001</v>
      </c>
      <c r="AE93" s="32">
        <v>-18047260.969999999</v>
      </c>
      <c r="AF93" s="18">
        <v>-26660547.431479998</v>
      </c>
      <c r="AG93" s="18">
        <v>-18086214.4745</v>
      </c>
      <c r="AH93" s="18">
        <v>-14829222.803250002</v>
      </c>
      <c r="AI93" s="32">
        <v>-13053441.022188</v>
      </c>
      <c r="AJ93" s="18">
        <v>-8460059.0922079999</v>
      </c>
      <c r="AK93" s="18">
        <v>-15874903.258354001</v>
      </c>
      <c r="AL93" s="18">
        <v>-11339110.362500001</v>
      </c>
      <c r="AM93" s="32">
        <v>-19070482.0145</v>
      </c>
      <c r="AN93" s="18">
        <v>-14469511.260000002</v>
      </c>
      <c r="AO93" s="18">
        <v>-10819125.970000003</v>
      </c>
      <c r="AP93" s="18">
        <v>-20786669.643500004</v>
      </c>
      <c r="AQ93" s="18">
        <v>-9722201.2345000021</v>
      </c>
      <c r="AR93" s="32">
        <v>-14201350.477</v>
      </c>
      <c r="AS93" s="18">
        <v>-10178471.951999998</v>
      </c>
      <c r="AT93" s="18">
        <v>-16769530.680999998</v>
      </c>
      <c r="AU93" s="18">
        <v>-11337069.588</v>
      </c>
      <c r="AV93" s="32">
        <v>-10310451.375999998</v>
      </c>
      <c r="AW93" s="18">
        <v>-5776940.6600000001</v>
      </c>
      <c r="AX93" s="18">
        <v>-18270252.879999999</v>
      </c>
      <c r="AY93" s="18">
        <v>-9287368.8800000008</v>
      </c>
      <c r="AZ93" s="18">
        <v>-21323735.170000002</v>
      </c>
      <c r="BA93" s="18">
        <v>-9487115.9199999999</v>
      </c>
      <c r="BB93" s="37">
        <f>SUM(B93:BA93)/1000</f>
        <v>-771799.39163097972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:AE94" si="3">S30+S93</f>
        <v>4053118.3300000038</v>
      </c>
      <c r="T94" s="21">
        <f t="shared" si="3"/>
        <v>-4858120.33</v>
      </c>
      <c r="U94" s="21">
        <f t="shared" si="3"/>
        <v>-1478016.3599999975</v>
      </c>
      <c r="V94" s="36">
        <f t="shared" si="3"/>
        <v>-14088.769999999553</v>
      </c>
      <c r="W94" s="21">
        <f t="shared" si="3"/>
        <v>-1644028.3200000003</v>
      </c>
      <c r="X94" s="21">
        <f t="shared" si="3"/>
        <v>-3791137.3500000015</v>
      </c>
      <c r="Y94" s="21">
        <f t="shared" si="3"/>
        <v>3737626.5499999989</v>
      </c>
      <c r="Z94" s="36">
        <f t="shared" si="3"/>
        <v>-9873951.290000001</v>
      </c>
      <c r="AA94" s="21">
        <f t="shared" si="3"/>
        <v>728029.21000000089</v>
      </c>
      <c r="AB94" s="21">
        <f t="shared" si="3"/>
        <v>489456.18000000343</v>
      </c>
      <c r="AC94" s="21">
        <f t="shared" si="3"/>
        <v>-5219544.3100000024</v>
      </c>
      <c r="AD94" s="21">
        <f t="shared" si="3"/>
        <v>-321491.37999999896</v>
      </c>
      <c r="AE94" s="36">
        <f t="shared" si="3"/>
        <v>-2156484.2787999939</v>
      </c>
      <c r="AF94" s="21">
        <v>-11632664.476629999</v>
      </c>
      <c r="AG94" s="21">
        <v>-3247009.3191499952</v>
      </c>
      <c r="AH94" s="21">
        <v>-370173.16290000081</v>
      </c>
      <c r="AI94" s="36">
        <v>1552820.3236619998</v>
      </c>
      <c r="AJ94" s="21">
        <v>6196835.1142420042</v>
      </c>
      <c r="AK94" s="21">
        <v>-1136998.9989040047</v>
      </c>
      <c r="AL94" s="21">
        <v>3704866.4739500005</v>
      </c>
      <c r="AM94" s="36">
        <v>-3987344.5250499975</v>
      </c>
      <c r="AN94" s="21">
        <v>1576880.1941599976</v>
      </c>
      <c r="AO94" s="21">
        <v>5259894.5166599937</v>
      </c>
      <c r="AP94" s="21">
        <v>-4644186.3638400026</v>
      </c>
      <c r="AQ94" s="21">
        <v>6405354.239159992</v>
      </c>
      <c r="AR94" s="36">
        <v>1727034.0006599948</v>
      </c>
      <c r="AS94" s="21">
        <v>4468964.6425000001</v>
      </c>
      <c r="AT94" s="21">
        <v>-2360372.7920000032</v>
      </c>
      <c r="AU94" s="21">
        <v>4034227.5434999969</v>
      </c>
      <c r="AV94" s="36">
        <v>4606044.5510000046</v>
      </c>
      <c r="AW94" s="21">
        <v>8665966.0835000053</v>
      </c>
      <c r="AX94" s="21">
        <v>-3537686.8425000012</v>
      </c>
      <c r="AY94" s="21">
        <v>8391054.4375000019</v>
      </c>
      <c r="AZ94" s="21">
        <v>-2878597.8414999992</v>
      </c>
      <c r="BA94" s="21">
        <v>-4382909.3509999998</v>
      </c>
      <c r="BB94" s="37">
        <f>SUM(B94:BA94)/1000</f>
        <v>40201.983778219983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AA97" s="15"/>
      <c r="AB97" s="15"/>
      <c r="AC97" s="15"/>
      <c r="AD97" s="15"/>
      <c r="AE97" s="15">
        <v>11460426</v>
      </c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E98" s="15">
        <v>-15068146</v>
      </c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60674.244009999995</v>
      </c>
      <c r="H100" s="60">
        <f>SUM(AA30:AD30,AE97)/1000+H97</f>
        <v>70424.109430000011</v>
      </c>
      <c r="I100" s="60">
        <f>(SUM(AF30:AI30)+(AE30-AE97))/1000+I97</f>
        <v>63362.749787600005</v>
      </c>
      <c r="J100" s="60">
        <f>SUM(AJ30:AM30)/1000+J97</f>
        <v>59521.912791800001</v>
      </c>
      <c r="K100" s="60">
        <f>SUM(AN30:AR30)/1000+K97</f>
        <v>80323.83517179999</v>
      </c>
      <c r="L100" s="60">
        <f>SUM(AS30:AV30)/1000+L97</f>
        <v>59344.387541999989</v>
      </c>
      <c r="M100" s="60">
        <f>SUM(AW30:BA30)/1000+M97</f>
        <v>70403.239996000004</v>
      </c>
      <c r="N100" s="60">
        <f>SUM(B100:M100)</f>
        <v>812001.37540919986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-72245.734420000008</v>
      </c>
      <c r="H101" s="60">
        <f>SUM(AA93:AD93,AE98)/1000+H98</f>
        <v>-78355.379730000001</v>
      </c>
      <c r="I101" s="39">
        <f>(SUM(AF93:AI93)+(AE93-AE98))/1000+I98</f>
        <v>-75608.540701417995</v>
      </c>
      <c r="J101" s="39">
        <f>SUM(AJ93:AM93)/1000+J98</f>
        <v>-54744.554727562005</v>
      </c>
      <c r="K101" s="39">
        <f>SUM(AN93:AR93)/1000+K98</f>
        <v>-69998.858585000009</v>
      </c>
      <c r="L101" s="39">
        <f>SUM(AS93:AV93)/1000+L98</f>
        <v>-48595.523596999985</v>
      </c>
      <c r="M101" s="39">
        <f>SUM(AW93:BA93)/1000+M98</f>
        <v>-64145.413510000006</v>
      </c>
      <c r="N101" s="60">
        <f>SUM(B101:M101)</f>
        <v>-771799.39163097995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-11571.490410000013</v>
      </c>
      <c r="H102" s="60">
        <f t="shared" si="4"/>
        <v>-7931.2702999999892</v>
      </c>
      <c r="I102" s="60">
        <f t="shared" si="4"/>
        <v>-12245.790913817989</v>
      </c>
      <c r="J102" s="60">
        <f t="shared" si="4"/>
        <v>4777.3580642379966</v>
      </c>
      <c r="K102" s="60">
        <f t="shared" si="4"/>
        <v>10324.976586799981</v>
      </c>
      <c r="L102" s="60">
        <f t="shared" si="4"/>
        <v>10748.863945000005</v>
      </c>
      <c r="M102" s="60">
        <f>SUM(M100:M101)</f>
        <v>6257.8264859999981</v>
      </c>
      <c r="N102" s="60">
        <f>SUM(B102:M102)</f>
        <v>40201.983778219976</v>
      </c>
      <c r="O102" s="133">
        <f>BB94-N102+SUM(F97:M98)</f>
        <v>7.2759576141834259E-12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31 jul-19'!N100</f>
        <v>0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31 jul-19'!N100</f>
        <v>0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-5121.7032809800021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14 jun-19'!B108:M108)</f>
        <v>0</v>
      </c>
      <c r="P108" s="160">
        <f>N101-'FO 31 jul-19'!N101</f>
        <v>-5121.7032809800003</v>
      </c>
      <c r="Q108" s="61" t="s">
        <v>103</v>
      </c>
      <c r="R108" s="63"/>
      <c r="S108" s="23" t="s">
        <v>126</v>
      </c>
      <c r="T108" s="115">
        <f>SUM(AF47:BA50)/1000-SUM('FO 31 jul-19'!AF47:BA50)/1000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SUM(AF82:BA82)/1000-SUM('FO 31 jul-19'!AF82:BA82)/1000</f>
        <v>-3121.7032809800003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SUM(AF31:BA92)/1000-SUM('FO 31 jul-19'!AF31:BA92)/1000-T108-T109</f>
        <v>-2000.0000000001164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31 jul-19'!N102</f>
        <v>-5121.703280979993</v>
      </c>
      <c r="Q111" s="160" t="s">
        <v>321</v>
      </c>
      <c r="S111" s="70" t="s">
        <v>129</v>
      </c>
      <c r="T111" s="77">
        <f>SUM(T108:T110)</f>
        <v>-5121.7032809801167</v>
      </c>
      <c r="U111" s="71">
        <f>AE2/1000</f>
        <v>0</v>
      </c>
      <c r="V111" s="160">
        <f>SUM(T111:U111)</f>
        <v>-5121.7032809801167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-5121.7032809800003</v>
      </c>
      <c r="Q112" s="133" t="s">
        <v>321</v>
      </c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3411.0641595593688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63362.749787600005</v>
      </c>
      <c r="W117" s="80">
        <f>SUM(AK30:BA30)/1000</f>
        <v>254936.48129514998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72347.11400999999</v>
      </c>
      <c r="H118" s="26">
        <f t="shared" si="10"/>
        <v>81962.549430000014</v>
      </c>
      <c r="I118" s="26">
        <f t="shared" si="10"/>
        <v>75049.212787600001</v>
      </c>
      <c r="J118" s="26">
        <f t="shared" si="10"/>
        <v>71395.125791800005</v>
      </c>
      <c r="K118" s="26">
        <f t="shared" si="10"/>
        <v>92165.682171799985</v>
      </c>
      <c r="L118" s="26">
        <f t="shared" si="10"/>
        <v>71307.538541999995</v>
      </c>
      <c r="M118" s="26">
        <f t="shared" si="10"/>
        <v>81566.493996000005</v>
      </c>
      <c r="N118" s="64">
        <f>SUM(B118:M118)</f>
        <v>950126.34740919992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-83694.381420000005</v>
      </c>
      <c r="H119" s="26">
        <f>H101+H107+H113</f>
        <v>-89986.958729999998</v>
      </c>
      <c r="I119" s="26">
        <f>I101+I107+I113</f>
        <v>-87090.389701417997</v>
      </c>
      <c r="J119" s="26">
        <f>J101+J107+J113+J202/1000</f>
        <v>-66211.717727562005</v>
      </c>
      <c r="K119" s="26">
        <f>K101+K107+K113+K202/1000</f>
        <v>-81321.888585000008</v>
      </c>
      <c r="L119" s="26">
        <f>L101+L107+L113+L202/1000</f>
        <v>-59724.067596999994</v>
      </c>
      <c r="M119" s="26">
        <f>M101+M107+M113-J202/1000</f>
        <v>-75266.963510000001</v>
      </c>
      <c r="N119" s="64">
        <f>SUM(B119:M119)</f>
        <v>-907811.48163098004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-11347.267410000015</v>
      </c>
      <c r="H120" s="56">
        <f t="shared" si="11"/>
        <v>-8024.4092999999848</v>
      </c>
      <c r="I120" s="56">
        <f t="shared" si="11"/>
        <v>-12041.176913817995</v>
      </c>
      <c r="J120" s="56">
        <f t="shared" si="11"/>
        <v>5183.4080642379995</v>
      </c>
      <c r="K120" s="56">
        <f t="shared" si="11"/>
        <v>10843.793586799977</v>
      </c>
      <c r="L120" s="56">
        <f t="shared" si="11"/>
        <v>11583.470945000001</v>
      </c>
      <c r="M120" s="56">
        <f>SUM(M118:M119)</f>
        <v>6299.5304860000033</v>
      </c>
      <c r="N120" s="65">
        <f>SUM(B120:M120)</f>
        <v>42314.865778219981</v>
      </c>
      <c r="O120" s="65">
        <f>'FO 12 jul-19'!N120+P112+O108</f>
        <v>65974.27275261996</v>
      </c>
      <c r="P120" s="158"/>
      <c r="R120" s="86">
        <f>[1]EEFF!$H$63</f>
        <v>574206</v>
      </c>
      <c r="S120" s="40" t="s">
        <v>135</v>
      </c>
      <c r="T120" s="80">
        <f>SUM(T117:T119)</f>
        <v>75049.212787600001</v>
      </c>
      <c r="U120" s="9"/>
      <c r="V120" s="9"/>
      <c r="W120" s="80">
        <f>SUM(W117:W119)</f>
        <v>301777.94629514997</v>
      </c>
      <c r="X120" s="9"/>
      <c r="Y120" s="9"/>
      <c r="Z120" s="76">
        <f>R120+T120+W120</f>
        <v>951033.15908274997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54919.349458219986</v>
      </c>
      <c r="O121" s="38"/>
      <c r="P121" s="159"/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59951.685628040635</v>
      </c>
      <c r="U122" s="80">
        <f>U124-U123</f>
        <v>71460.380999999878</v>
      </c>
      <c r="W122" s="80">
        <f>W117-W116</f>
        <v>244604.09629514997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21955.75109000002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63638.148628040639</v>
      </c>
      <c r="U124" s="80">
        <f>'[1]Proy. 2018'!$D$60</f>
        <v>74585.869999999879</v>
      </c>
      <c r="W124" s="80">
        <f>SUM(W122:W123)</f>
        <v>259445.56129514996</v>
      </c>
      <c r="X124" s="80">
        <f>SUM('[1]Proy. 2018'!$E$60:$H$60)</f>
        <v>292023.20500000007</v>
      </c>
      <c r="Z124" s="91">
        <f>R120+T124+W124</f>
        <v>897289.70992319065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0.7463785435294118</v>
      </c>
      <c r="C125" s="43">
        <f>B125*4</f>
        <v>2.9855141741176472</v>
      </c>
      <c r="Z125" s="89"/>
      <c r="AA125" s="89"/>
    </row>
    <row r="126" spans="1:30" ht="15" hidden="1">
      <c r="A126" s="42" t="s">
        <v>120</v>
      </c>
      <c r="B126" s="43">
        <f>-AVERAGE(B82:BA82)/1000000</f>
        <v>5.7172775062937244</v>
      </c>
      <c r="C126" s="43">
        <f>B126*4</f>
        <v>22.869110025174898</v>
      </c>
      <c r="S126" s="92" t="s">
        <v>144</v>
      </c>
      <c r="U126" s="104">
        <f>T124-U124</f>
        <v>-10947.72137195924</v>
      </c>
      <c r="X126" s="104">
        <f>W124-X124</f>
        <v>-32577.64370485011</v>
      </c>
      <c r="Z126" s="89"/>
      <c r="AA126" s="89">
        <f>Z124-AA124</f>
        <v>-43525.365076809307</v>
      </c>
      <c r="AB126" s="112">
        <f>(X126+U126)/(T122+W122)</f>
        <v>-0.14291426287151071</v>
      </c>
      <c r="AC126" s="111">
        <f>AA126/Z124</f>
        <v>-4.8507594142069392E-2</v>
      </c>
    </row>
    <row r="127" spans="1:30" ht="15" hidden="1">
      <c r="A127" s="42" t="s">
        <v>121</v>
      </c>
      <c r="B127" s="43">
        <f>-(AVERAGE(B89:BA89)+AVERAGE(B68:BA68))/1000000</f>
        <v>4.5198825682352934</v>
      </c>
      <c r="C127" s="43">
        <f>B127*4</f>
        <v>18.079530272941174</v>
      </c>
      <c r="Z127" s="89"/>
      <c r="AA127" s="89"/>
    </row>
    <row r="128" spans="1:30" ht="15.75" hidden="1">
      <c r="A128" s="44" t="s">
        <v>104</v>
      </c>
      <c r="B128" s="45">
        <f>SUM(B124:B127)</f>
        <v>12.693067402960391</v>
      </c>
      <c r="C128" s="45">
        <f>SUM(C124:C127)</f>
        <v>50.772269611841566</v>
      </c>
      <c r="R128" s="23"/>
      <c r="S128" s="9" t="s">
        <v>141</v>
      </c>
      <c r="Z128" s="87">
        <f>Z120-'[4]Flujo 2018'!$AQ$4</f>
        <v>-31260.448377249995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-3411.0641595593688</v>
      </c>
      <c r="U134" s="14"/>
      <c r="V134" s="83">
        <f>W134/W138</f>
        <v>4.5114799570459059E-2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14.427605817258083</v>
      </c>
      <c r="C136" s="45">
        <f>C128+C131+C134</f>
        <v>57.710423269032333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-41715.356653751871</v>
      </c>
      <c r="U137" s="101">
        <f>'[1]Proy. 2018'!$D$116-'[1]Proy. 2018'!$C$116-U136</f>
        <v>-38522.038500000075</v>
      </c>
      <c r="V137" s="103"/>
      <c r="W137" s="101">
        <f>SUM(AK31:BA92)/1000-SUM(W132:W136)</f>
        <v>-171031.35577821403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28.214372637144937</v>
      </c>
      <c r="C138" s="47">
        <f>C136+C137</f>
        <v>71.497190088919183</v>
      </c>
      <c r="S138" s="40" t="s">
        <v>133</v>
      </c>
      <c r="T138" s="80">
        <f>I101</f>
        <v>-75608.540701417995</v>
      </c>
      <c r="W138" s="80">
        <f>SUM(AK93:BA93)/1000</f>
        <v>-229024.29132735397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-87090.389701417997</v>
      </c>
      <c r="W141" s="80">
        <f>SUM(W138:W140)</f>
        <v>-274064.57832735399</v>
      </c>
      <c r="X141" s="24"/>
      <c r="Z141" s="80">
        <f>R141+T141+W141</f>
        <v>-943804.96802877192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-72197.476541858632</v>
      </c>
      <c r="U143" s="80">
        <f>U145-U144</f>
        <v>-54186.39900000018</v>
      </c>
      <c r="W143" s="80">
        <f>W138-W134</f>
        <v>-218691.90632735397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-75679.325541858634</v>
      </c>
      <c r="U145" s="85">
        <f>'[1]Proy. 2018'!$D$61</f>
        <v>-57037.396000000183</v>
      </c>
      <c r="W145" s="85">
        <f>SUM(W143:W144)</f>
        <v>-231732.19332735398</v>
      </c>
      <c r="X145" s="85">
        <f>SUM('[1]Proy. 2018'!$E$61:$H$61)</f>
        <v>-260447.245</v>
      </c>
      <c r="Z145" s="85">
        <f>R141+T145+W145</f>
        <v>-890061.5188692126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-18641.929541858452</v>
      </c>
      <c r="V147" s="40"/>
      <c r="W147" s="40"/>
      <c r="X147" s="104">
        <f>W145-X145</f>
        <v>28715.051672646019</v>
      </c>
      <c r="Z147" s="90"/>
      <c r="AA147" s="89">
        <f>Z145-AA145</f>
        <v>10073.122130787582</v>
      </c>
      <c r="AB147" s="112">
        <f>(X147+U147)/(W145+T145)</f>
        <v>-3.2767549400363069E-2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-20206.195541858557</v>
      </c>
      <c r="V149" s="106"/>
      <c r="W149" s="106"/>
      <c r="X149" s="106">
        <f>W132-X132+W136-X136+W137-X137</f>
        <v>20318.362672646064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-1014.5786287719384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7228.1910539780511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-32275.027006021948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-33452.242946021724</v>
      </c>
    </row>
    <row r="157" spans="1:30" ht="12.75" hidden="1">
      <c r="A157" s="18">
        <v>-8256517.8300000001</v>
      </c>
      <c r="AA157" s="10">
        <f>Z154-AA154</f>
        <v>-33452.242946021724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/>
      <c r="J202" s="154"/>
      <c r="K202" s="154"/>
      <c r="L202" s="154"/>
    </row>
    <row r="203" spans="1:12" ht="12.75">
      <c r="A203" s="9" t="s">
        <v>314</v>
      </c>
      <c r="H203" s="157"/>
      <c r="J203" s="155"/>
      <c r="K203" s="155"/>
      <c r="L203" s="155"/>
    </row>
    <row r="204" spans="1:12" ht="12.75">
      <c r="H204" s="157"/>
      <c r="J204" s="155"/>
      <c r="K204" s="155"/>
      <c r="L204" s="155"/>
    </row>
    <row r="207" spans="1:12" ht="12.75">
      <c r="H207" s="154">
        <v>12375900</v>
      </c>
      <c r="J207" s="154">
        <v>6217650</v>
      </c>
      <c r="K207" s="154">
        <v>6217650</v>
      </c>
      <c r="L207" s="154">
        <v>12399600</v>
      </c>
    </row>
    <row r="208" spans="1:12" ht="12.75">
      <c r="H208" s="157">
        <v>43650</v>
      </c>
      <c r="J208" s="155">
        <v>43718</v>
      </c>
      <c r="K208" s="155">
        <v>43748</v>
      </c>
      <c r="L208" s="155">
        <v>43779</v>
      </c>
    </row>
    <row r="209" spans="8:12" ht="12.75">
      <c r="H209" s="157">
        <v>43735</v>
      </c>
      <c r="J209" s="155">
        <v>43826</v>
      </c>
      <c r="K209" s="155">
        <v>43826</v>
      </c>
      <c r="L209" s="155">
        <f t="shared" ref="L209" si="12">L208+90</f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8"/>
  <dimension ref="A1:BB200"/>
  <sheetViews>
    <sheetView showGridLines="0" topLeftCell="A96" zoomScale="80" zoomScaleNormal="80" workbookViewId="0">
      <pane xSplit="1" topLeftCell="M1" activePane="topRight" state="frozen"/>
      <selection pane="topRight" activeCell="R205" sqref="R205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158</v>
      </c>
      <c r="H1" s="17" t="s">
        <v>159</v>
      </c>
      <c r="I1" s="30" t="s">
        <v>160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>
        <f>E93-'FO 25 ene-19'!E93</f>
        <v>-8685.410000000149</v>
      </c>
      <c r="F2" s="125">
        <f>F93-'FO 25 ene-19'!F93</f>
        <v>1476914.2599999998</v>
      </c>
      <c r="G2" s="129">
        <f>G93-'FO 25 ene-19'!G93</f>
        <v>0</v>
      </c>
      <c r="H2" s="129">
        <f>H93-'FO 25 ene-19'!H93</f>
        <v>0</v>
      </c>
      <c r="I2" s="130">
        <f>I93-'FO 25 ene-19'!I93</f>
        <v>311428.75</v>
      </c>
      <c r="J2" s="129">
        <f>J93-'FO 25 ene-19'!J93</f>
        <v>0</v>
      </c>
      <c r="K2" s="129">
        <f>K93-'FO 25 ene-19'!K93</f>
        <v>0</v>
      </c>
      <c r="L2" s="129">
        <f>L93-'FO 25 ene-19'!L93</f>
        <v>0</v>
      </c>
      <c r="M2" s="130">
        <f>M93-'FO 25 ene-19'!M93</f>
        <v>-2268945</v>
      </c>
      <c r="N2" s="129">
        <f>N93-'FO 25 ene-19'!N93</f>
        <v>0</v>
      </c>
      <c r="O2" s="129">
        <f>O93-'FO 25 ene-19'!O93</f>
        <v>0</v>
      </c>
      <c r="P2" s="129">
        <f>P93-'FO 25 ene-19'!P93</f>
        <v>0</v>
      </c>
      <c r="Q2" s="130">
        <f>Q93-'FO 25 ene-19'!Q93</f>
        <v>0</v>
      </c>
      <c r="R2" s="129">
        <f>R93-'FO 25 ene-19'!R93</f>
        <v>0</v>
      </c>
      <c r="S2" s="129">
        <f>S93-'FO 25 ene-19'!S93</f>
        <v>0</v>
      </c>
      <c r="T2" s="129">
        <f>T93-'FO 25 ene-19'!T93</f>
        <v>0</v>
      </c>
      <c r="U2" s="129">
        <f>U93-'FO 25 ene-19'!U93</f>
        <v>0</v>
      </c>
      <c r="V2" s="130">
        <f>V93-'FO 25 ene-19'!V93</f>
        <v>0</v>
      </c>
      <c r="W2" s="129">
        <f>W93-'FO 25 ene-19'!W93</f>
        <v>0</v>
      </c>
      <c r="X2" s="129">
        <f>X93-'FO 25 ene-19'!X93</f>
        <v>0</v>
      </c>
      <c r="Y2" s="129">
        <f>Y93-'FO 25 ene-19'!Y93</f>
        <v>0</v>
      </c>
      <c r="Z2" s="130">
        <f>Z93-'FO 25 ene-19'!Z93</f>
        <v>0</v>
      </c>
      <c r="AA2" s="129">
        <f>AA93-'FO 25 ene-19'!AA93</f>
        <v>0</v>
      </c>
      <c r="AB2" s="129">
        <f>AB93-'FO 25 ene-19'!AB93</f>
        <v>0</v>
      </c>
      <c r="AC2" s="129">
        <f>AC93-'FO 25 ene-19'!AC93</f>
        <v>0</v>
      </c>
      <c r="AD2" s="129">
        <f>AD93-'FO 25 ene-19'!AD93</f>
        <v>0</v>
      </c>
      <c r="AE2" s="130">
        <f>AE93-'FO 25 ene-19'!AE93</f>
        <v>0</v>
      </c>
      <c r="AF2" s="129">
        <f>AF93-'FO 25 ene-19'!AF93</f>
        <v>0</v>
      </c>
      <c r="AG2" s="129">
        <f>AG93-'FO 25 ene-19'!AG93</f>
        <v>0</v>
      </c>
      <c r="AH2" s="129">
        <f>AH93-'FO 25 ene-19'!AH93</f>
        <v>0</v>
      </c>
      <c r="AI2" s="130">
        <f>AI93-'FO 25 ene-19'!AI93</f>
        <v>0</v>
      </c>
      <c r="AJ2" s="129">
        <f>AJ93-'FO 25 ene-19'!AJ93</f>
        <v>0</v>
      </c>
      <c r="AK2" s="129">
        <f>AK93-'FO 25 ene-19'!AK93</f>
        <v>0</v>
      </c>
      <c r="AL2" s="129">
        <f>AL93-'FO 25 ene-19'!AL93</f>
        <v>0</v>
      </c>
      <c r="AM2" s="130">
        <f>AM93-'FO 25 ene-19'!AM93</f>
        <v>0</v>
      </c>
      <c r="AN2" s="129">
        <f>AN93-'FO 25 ene-19'!AN93</f>
        <v>0</v>
      </c>
      <c r="AO2" s="129">
        <f>AO93-'FO 25 ene-19'!AO93</f>
        <v>0</v>
      </c>
      <c r="AP2" s="129">
        <f>AP93-'FO 25 ene-19'!AP93</f>
        <v>0</v>
      </c>
      <c r="AQ2" s="129">
        <f>AQ93-'FO 25 ene-19'!AQ93</f>
        <v>0</v>
      </c>
      <c r="AR2" s="130">
        <f>AR93-'FO 25 ene-19'!AR93</f>
        <v>0</v>
      </c>
      <c r="AS2" s="129">
        <f>AS93-'FO 25 ene-19'!AS93</f>
        <v>0</v>
      </c>
      <c r="AT2" s="129">
        <f>AT93-'FO 25 ene-19'!AT93</f>
        <v>0</v>
      </c>
      <c r="AU2" s="129">
        <f>AU93-'FO 25 ene-19'!AU93</f>
        <v>0</v>
      </c>
      <c r="AV2" s="130">
        <f>AV93-'FO 25 ene-19'!AV93</f>
        <v>0</v>
      </c>
      <c r="AW2" s="129">
        <f>AW93-'FO 25 ene-19'!AW93</f>
        <v>0</v>
      </c>
      <c r="AX2" s="131">
        <f>AX93-'FO 25 ene-19'!AX93</f>
        <v>0</v>
      </c>
      <c r="AY2" s="131">
        <f>AY93-'FO 25 ene-19'!AY93</f>
        <v>0</v>
      </c>
      <c r="AZ2" s="131">
        <f>AZ93-'FO 25 ene-19'!AZ93</f>
        <v>0</v>
      </c>
      <c r="BA2" s="131">
        <f>BA93-'FO 25 ene-19'!BA93</f>
        <v>0</v>
      </c>
    </row>
    <row r="3" spans="1:54" s="5" customFormat="1" ht="12.75">
      <c r="A3" s="3" t="s">
        <v>2</v>
      </c>
      <c r="B3" s="18"/>
      <c r="C3" s="18"/>
      <c r="D3" s="18"/>
      <c r="E3" s="32">
        <v>14473625.35</v>
      </c>
      <c r="F3" s="18">
        <v>11131628.77</v>
      </c>
      <c r="G3" s="18">
        <v>10333762.23</v>
      </c>
      <c r="H3" s="18">
        <v>15875744.099999996</v>
      </c>
      <c r="I3" s="32">
        <v>23249549.409999996</v>
      </c>
      <c r="J3" s="18">
        <v>34502840.759999998</v>
      </c>
      <c r="K3" s="18">
        <v>46638426.120999992</v>
      </c>
      <c r="L3" s="18">
        <v>33920584.571999989</v>
      </c>
      <c r="M3" s="32">
        <v>24346054.962999988</v>
      </c>
      <c r="N3" s="18">
        <v>24534452.253999993</v>
      </c>
      <c r="O3" s="18">
        <v>28882048.183999989</v>
      </c>
      <c r="P3" s="18">
        <v>18769678.493999995</v>
      </c>
      <c r="Q3" s="32">
        <v>16664310.64399999</v>
      </c>
      <c r="R3" s="18">
        <v>38857240.903999992</v>
      </c>
      <c r="S3" s="18">
        <v>29588400.869200006</v>
      </c>
      <c r="T3" s="18">
        <v>37699776.014400005</v>
      </c>
      <c r="U3" s="18">
        <v>23923939.229600005</v>
      </c>
      <c r="V3" s="32">
        <v>23986481.084800009</v>
      </c>
      <c r="W3" s="18">
        <v>21633193.010000005</v>
      </c>
      <c r="X3" s="18">
        <v>8436917.2840000056</v>
      </c>
      <c r="Y3" s="18">
        <v>11061883.518000012</v>
      </c>
      <c r="Z3" s="32">
        <v>6185492.3320000134</v>
      </c>
      <c r="AA3" s="18">
        <v>12292718.286000011</v>
      </c>
      <c r="AB3" s="18">
        <v>12617495.127200007</v>
      </c>
      <c r="AC3" s="18">
        <v>10114751.028400006</v>
      </c>
      <c r="AD3" s="18">
        <v>-8513010.5203999951</v>
      </c>
      <c r="AE3" s="32">
        <v>-7540938.8092</v>
      </c>
      <c r="AF3" s="18">
        <v>-11069163.098000001</v>
      </c>
      <c r="AG3" s="18">
        <v>-18929756.155000005</v>
      </c>
      <c r="AH3" s="18">
        <v>-27465140.422000002</v>
      </c>
      <c r="AI3" s="32">
        <v>-26553753.699000001</v>
      </c>
      <c r="AJ3" s="18">
        <v>-27232289.036000002</v>
      </c>
      <c r="AK3" s="18">
        <v>-20831867.505000003</v>
      </c>
      <c r="AL3" s="18">
        <v>-33532868.614000004</v>
      </c>
      <c r="AM3" s="32">
        <v>-31733704.613000005</v>
      </c>
      <c r="AN3" s="18">
        <v>-39797185.352000006</v>
      </c>
      <c r="AO3" s="18">
        <v>-42795133.509199999</v>
      </c>
      <c r="AP3" s="18">
        <v>-38454429.646400005</v>
      </c>
      <c r="AQ3" s="18">
        <v>-41887977.153600007</v>
      </c>
      <c r="AR3" s="32">
        <v>-37214835.120800011</v>
      </c>
      <c r="AS3" s="18">
        <v>-38565494.038000017</v>
      </c>
      <c r="AT3" s="18">
        <v>-33654250.888000011</v>
      </c>
      <c r="AU3" s="18">
        <v>-48388386.578000017</v>
      </c>
      <c r="AV3" s="32">
        <v>-45335356.388000011</v>
      </c>
      <c r="AW3" s="18">
        <v>-42586522.558000006</v>
      </c>
      <c r="AX3" s="18">
        <v>-32719329.758000001</v>
      </c>
      <c r="AY3" s="18">
        <v>-34164106.277999997</v>
      </c>
      <c r="AZ3" s="18">
        <v>-26513669.637999997</v>
      </c>
      <c r="BA3" s="18">
        <v>-14738496.777999997</v>
      </c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52696.912231999995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17500128.350000001</v>
      </c>
      <c r="G30" s="20">
        <v>16816789.139999997</v>
      </c>
      <c r="H30" s="20">
        <v>16724375.780000001</v>
      </c>
      <c r="I30" s="33">
        <v>15957042.380000001</v>
      </c>
      <c r="J30" s="20">
        <v>16829610.390999999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849721.69136200007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0</v>
      </c>
      <c r="H42" s="24">
        <v>0</v>
      </c>
      <c r="I42" s="31">
        <v>0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-1400.0596800000001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0</v>
      </c>
      <c r="H44" s="24">
        <v>0</v>
      </c>
      <c r="I44" s="31">
        <v>0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-930.13864000000012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1"/>
        <v>-34665.044900000001</v>
      </c>
    </row>
    <row r="48" spans="1:54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1"/>
        <v>0</v>
      </c>
    </row>
    <row r="49" spans="1:54" s="4" customFormat="1" ht="15" hidden="1" outlineLevel="1">
      <c r="A49" s="3" t="s">
        <v>48</v>
      </c>
      <c r="B49" s="24"/>
      <c r="C49" s="24">
        <v>-2392546</v>
      </c>
      <c r="D49" s="24">
        <v>-2392546</v>
      </c>
      <c r="E49" s="31">
        <v>0</v>
      </c>
      <c r="F49" s="24">
        <v>0</v>
      </c>
      <c r="G49" s="24">
        <v>0</v>
      </c>
      <c r="H49" s="24">
        <v>-2187689.96</v>
      </c>
      <c r="I49" s="31">
        <v>0</v>
      </c>
      <c r="J49" s="24">
        <v>0</v>
      </c>
      <c r="K49" s="24">
        <v>0</v>
      </c>
      <c r="L49" s="24">
        <v>-2858200.4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1"/>
        <v>-38159.063020000001</v>
      </c>
    </row>
    <row r="50" spans="1:54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-36663.24</v>
      </c>
      <c r="H59" s="24">
        <v>-36663.24</v>
      </c>
      <c r="I59" s="31">
        <v>-74191.34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-4372.5826699999989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-50005.94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-721.62625000000003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-464145.15</v>
      </c>
      <c r="H62" s="24">
        <v>-464145.15</v>
      </c>
      <c r="I62" s="31">
        <v>-252181.83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-13679.635889999994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-172514.95</v>
      </c>
      <c r="H65" s="24">
        <v>-172514.95</v>
      </c>
      <c r="I65" s="31">
        <v>-139333.47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-7813.3751600000005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-296033.27</v>
      </c>
      <c r="H67" s="24">
        <v>-296033.27</v>
      </c>
      <c r="I67" s="31">
        <v>-251559.92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-13249.698719999991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-2051026.3</v>
      </c>
      <c r="H68" s="24">
        <v>-2051026.3</v>
      </c>
      <c r="I68" s="31">
        <v>-1710225.35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-85222.943270000032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-644941.94999999995</v>
      </c>
      <c r="H73" s="16">
        <v>-644941.94999999995</v>
      </c>
      <c r="I73" s="35">
        <v>-540307.13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-28361.468530000009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-320442.23999999999</v>
      </c>
      <c r="H75" s="24">
        <v>-320442.23999999999</v>
      </c>
      <c r="I75" s="31">
        <v>-254152.59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-14866.353000000006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-78875.179999999993</v>
      </c>
      <c r="H79" s="24">
        <v>-78875.179999999993</v>
      </c>
      <c r="I79" s="31">
        <v>-58337.37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-3011.3585200000011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-1812826.93</v>
      </c>
      <c r="I82" s="120">
        <v>-2249106.6</v>
      </c>
      <c r="J82" s="121">
        <v>-1471182.6</v>
      </c>
      <c r="K82" s="121">
        <v>-14330728.48</v>
      </c>
      <c r="L82" s="121">
        <v>-14330728.48</v>
      </c>
      <c r="M82" s="120">
        <v>-3740127.6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-281372.03820000007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-41951.47</v>
      </c>
      <c r="H87" s="24">
        <v>-41951.47</v>
      </c>
      <c r="I87" s="31">
        <v>-37350.99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-2007.4782699999992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-449177.34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-4785.6807399999989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-874547.43</v>
      </c>
      <c r="H89" s="24">
        <v>-874547.43</v>
      </c>
      <c r="I89" s="31">
        <v>-747255.85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-59352.505149999983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-18697.189999999999</v>
      </c>
      <c r="H90" s="24">
        <v>-18697.189999999999</v>
      </c>
      <c r="I90" s="31">
        <v>-14786.84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-837.82068000000038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-1161901.83</v>
      </c>
      <c r="H92" s="24">
        <v>-1161901.83</v>
      </c>
      <c r="I92" s="31">
        <v>-1076648.08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-55461.886200000001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-10528189.140000001</v>
      </c>
      <c r="G93" s="18">
        <v>-16660173.970000001</v>
      </c>
      <c r="H93" s="18">
        <v>-10185764.719999999</v>
      </c>
      <c r="I93" s="32">
        <v>-12727183.429999998</v>
      </c>
      <c r="J93" s="18">
        <v>-6713457.4299999997</v>
      </c>
      <c r="K93" s="18">
        <v>-25655581.119999997</v>
      </c>
      <c r="L93" s="18">
        <v>-23075751.75</v>
      </c>
      <c r="M93" s="32">
        <v>-13535262.059999999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-779480.42998000002</v>
      </c>
    </row>
    <row r="94" spans="1:54" s="8" customFormat="1" ht="12.75">
      <c r="A94" s="7" t="s">
        <v>1</v>
      </c>
      <c r="B94" s="21">
        <f>B30+B93</f>
        <v>16436818.079999994</v>
      </c>
      <c r="C94" s="21">
        <f>C30+C93</f>
        <v>2892569.9699999988</v>
      </c>
      <c r="D94" s="21">
        <f>D30+D93</f>
        <v>5759561.1500000004</v>
      </c>
      <c r="E94" s="36">
        <f>E30+E93</f>
        <v>5463141.25</v>
      </c>
      <c r="F94" s="21">
        <v>6971939.2100000009</v>
      </c>
      <c r="G94" s="21">
        <v>156615.1699999962</v>
      </c>
      <c r="H94" s="21">
        <v>6538611.0600000024</v>
      </c>
      <c r="I94" s="36">
        <v>3229858.950000003</v>
      </c>
      <c r="J94" s="21">
        <v>10116152.960999999</v>
      </c>
      <c r="K94" s="21">
        <v>-9694607.9489999991</v>
      </c>
      <c r="L94" s="21">
        <v>-7320234.7389999982</v>
      </c>
      <c r="M94" s="36">
        <v>2169964.8910000008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70241.261382000012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66998.335649999994</v>
      </c>
      <c r="D100" s="58">
        <f>SUM(J30:M30)/1000</f>
        <v>64251.327523999993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849721.69136199995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-50101.311259999995</v>
      </c>
      <c r="D101" s="58">
        <f>SUM(J93:M93)/1000</f>
        <v>-68980.052360000001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-90132.817850000007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-779480.4299799999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3">SUM(C100:C101)</f>
        <v>16897.024389999999</v>
      </c>
      <c r="D102" s="58">
        <f>SUM(D100:D101)</f>
        <v>-4728.7248360000085</v>
      </c>
      <c r="E102" s="58">
        <f>SUM(E100:E101)</f>
        <v>3952.2480200000064</v>
      </c>
      <c r="F102" s="60">
        <f>SUM(F100:F101)</f>
        <v>-15150.009433999978</v>
      </c>
      <c r="G102" s="60">
        <f t="shared" si="3"/>
        <v>-490.49772399998619</v>
      </c>
      <c r="H102" s="60">
        <f t="shared" si="3"/>
        <v>-11456.313024000003</v>
      </c>
      <c r="I102" s="60">
        <f t="shared" si="3"/>
        <v>-55.423838000002434</v>
      </c>
      <c r="J102" s="60">
        <f t="shared" si="3"/>
        <v>7231.5871540000007</v>
      </c>
      <c r="K102" s="60">
        <f t="shared" si="3"/>
        <v>11529.106373999995</v>
      </c>
      <c r="L102" s="60">
        <f t="shared" si="3"/>
        <v>2312.5822100000078</v>
      </c>
      <c r="M102" s="60">
        <f>SUM(M100:M101)</f>
        <v>29647.591639999991</v>
      </c>
      <c r="N102" s="60">
        <f>SUM(B102:M102)</f>
        <v>70241.261381999997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18 ene-19'!N100</f>
        <v>-2364.8549500000663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25 ene-19'!N100</f>
        <v>-18.404559999937192</v>
      </c>
      <c r="Q104" s="73" t="s">
        <v>125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4">C99</f>
        <v>43497</v>
      </c>
      <c r="D105" s="52">
        <f t="shared" si="4"/>
        <v>43525</v>
      </c>
      <c r="E105" s="52">
        <f t="shared" si="4"/>
        <v>43556</v>
      </c>
      <c r="F105" s="52">
        <f t="shared" si="4"/>
        <v>43586</v>
      </c>
      <c r="G105" s="52">
        <f t="shared" si="4"/>
        <v>43617</v>
      </c>
      <c r="H105" s="52">
        <f t="shared" si="4"/>
        <v>43647</v>
      </c>
      <c r="I105" s="52">
        <f t="shared" si="4"/>
        <v>43678</v>
      </c>
      <c r="J105" s="52">
        <f t="shared" si="4"/>
        <v>43709</v>
      </c>
      <c r="K105" s="52">
        <f t="shared" si="4"/>
        <v>43739</v>
      </c>
      <c r="L105" s="52">
        <f t="shared" si="4"/>
        <v>43770</v>
      </c>
      <c r="M105" s="52">
        <f t="shared" si="4"/>
        <v>43800</v>
      </c>
    </row>
    <row r="106" spans="1:54" s="23" customFormat="1">
      <c r="A106" s="3" t="s">
        <v>93</v>
      </c>
      <c r="B106" s="22">
        <f>[11]Todo!F471</f>
        <v>3978.1219999999998</v>
      </c>
      <c r="C106" s="22">
        <f>[11]Todo!G471-[11]Todo!F471</f>
        <v>2984.4169999999999</v>
      </c>
      <c r="D106" s="22">
        <f>[11]Todo!H471-[11]Todo!G471</f>
        <v>2965.1410000000005</v>
      </c>
      <c r="E106" s="22">
        <f>[11]Todo!I471-[11]Todo!H471</f>
        <v>2694.344000000001</v>
      </c>
      <c r="F106" s="22">
        <f>[11]Todo!J471-[11]Todo!I471</f>
        <v>3763.7099999999991</v>
      </c>
      <c r="G106" s="22">
        <f>[11]Todo!K471-[11]Todo!J471</f>
        <v>3672.869999999999</v>
      </c>
      <c r="H106" s="22">
        <f>[11]Todo!L471-[11]Todo!K471</f>
        <v>3538.4400000000023</v>
      </c>
      <c r="I106" s="22">
        <f>[11]Todo!M471-[11]Todo!L471</f>
        <v>3686.4629999999997</v>
      </c>
      <c r="J106" s="22">
        <f>[11]Todo!N471-[11]Todo!M471</f>
        <v>3873.2129999999961</v>
      </c>
      <c r="K106" s="22">
        <f>[11]Todo!O471-[11]Todo!N471</f>
        <v>3841.8469999999979</v>
      </c>
      <c r="L106" s="22">
        <f>[11]Todo!P471-[11]Todo!O471</f>
        <v>3963.1510000000053</v>
      </c>
      <c r="M106" s="22">
        <f>[11]Todo!Q471-[11]Todo!P471</f>
        <v>3163.2540000000008</v>
      </c>
      <c r="O106" s="62"/>
      <c r="P106" s="39"/>
    </row>
    <row r="107" spans="1:54" s="23" customFormat="1">
      <c r="A107" s="3" t="s">
        <v>94</v>
      </c>
      <c r="B107" s="22">
        <f>SUM([11]Todo!F472:F479)</f>
        <v>-2922.9680000000003</v>
      </c>
      <c r="C107" s="22">
        <f>SUM([11]Todo!G472:G479)-SUM([11]Todo!F472:F479)</f>
        <v>-2977.0709999999995</v>
      </c>
      <c r="D107" s="22">
        <f>SUM([11]Todo!H472:H479)-SUM([11]Todo!G472:G479)</f>
        <v>-3215.8010000000004</v>
      </c>
      <c r="E107" s="22">
        <f>SUM([11]Todo!I472:I479)-SUM([11]Todo!H472:H479)</f>
        <v>-3818.8150000000005</v>
      </c>
      <c r="F107" s="22">
        <f>SUM([11]Todo!J472:J479)-SUM([11]Todo!I472:I479)</f>
        <v>-3475.0729999999985</v>
      </c>
      <c r="G107" s="22">
        <f>SUM([11]Todo!K472:K479)-SUM([11]Todo!J472:J479)</f>
        <v>-3448.6470000000008</v>
      </c>
      <c r="H107" s="22">
        <f>SUM([11]Todo!L472:L479)-SUM([11]Todo!K472:K479)</f>
        <v>-3631.5789999999979</v>
      </c>
      <c r="I107" s="22">
        <f>SUM([11]Todo!M472:M479)-SUM([11]Todo!L472:L479)</f>
        <v>-3481.849000000002</v>
      </c>
      <c r="J107" s="22">
        <f>SUM([11]Todo!N472:N479)-SUM([11]Todo!M472:M479)</f>
        <v>-3467.1630000000005</v>
      </c>
      <c r="K107" s="22">
        <f>SUM([11]Todo!O472:O479)-SUM([11]Todo!N472:N479)</f>
        <v>-3323.0299999999988</v>
      </c>
      <c r="L107" s="22">
        <f>SUM([11]Todo!P472:P479)-SUM([11]Todo!O472:O479)</f>
        <v>-3128.544000000009</v>
      </c>
      <c r="M107" s="22">
        <f>SUM([11]Todo!Q472:Q479)-SUM([11]Todo!P472:P479)</f>
        <v>-3121.5499999999956</v>
      </c>
      <c r="O107" s="58"/>
      <c r="P107" s="39">
        <f>SUM(B2:BA2)/1000</f>
        <v>-489.28740000000039</v>
      </c>
      <c r="Q107" s="23" t="s">
        <v>152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5">SUM(C106:C107)</f>
        <v>7.3460000000004584</v>
      </c>
      <c r="D108" s="22">
        <f t="shared" si="5"/>
        <v>-250.65999999999985</v>
      </c>
      <c r="E108" s="22">
        <f t="shared" si="5"/>
        <v>-1124.4709999999995</v>
      </c>
      <c r="F108" s="22">
        <f t="shared" si="5"/>
        <v>288.63700000000063</v>
      </c>
      <c r="G108" s="22">
        <f t="shared" si="5"/>
        <v>224.22299999999814</v>
      </c>
      <c r="H108" s="22">
        <f t="shared" si="5"/>
        <v>-93.138999999995576</v>
      </c>
      <c r="I108" s="39">
        <f t="shared" si="5"/>
        <v>204.61399999999776</v>
      </c>
      <c r="J108" s="39">
        <f t="shared" si="5"/>
        <v>406.04999999999563</v>
      </c>
      <c r="K108" s="39">
        <f t="shared" si="5"/>
        <v>518.8169999999991</v>
      </c>
      <c r="L108" s="39">
        <f t="shared" si="5"/>
        <v>834.60699999999633</v>
      </c>
      <c r="M108" s="39">
        <f t="shared" si="5"/>
        <v>41.70400000000518</v>
      </c>
      <c r="N108" s="59">
        <f>SUM(B108:M108)</f>
        <v>2112.8819999999978</v>
      </c>
      <c r="O108" s="133">
        <f>N108-SUM('FO 25 ene-19'!B108:M108)</f>
        <v>0</v>
      </c>
      <c r="P108" s="78">
        <f>N101-'FO 25 ene-19'!N101</f>
        <v>-489.28740000003017</v>
      </c>
      <c r="Q108" s="61" t="s">
        <v>103</v>
      </c>
      <c r="R108" s="63"/>
      <c r="S108" s="23" t="s">
        <v>126</v>
      </c>
      <c r="T108" s="115">
        <f>SUM(F47:BA50)/1000-SUM('FO 25 ene-19'!F47:BA50)/1000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SUM(F82:BA82)/1000-SUM('FO 25 ene-19'!F82:BA82)/1000</f>
        <v>1279.430859999964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SUM(F31:BA92)/1000-SUM('FO 25 ene-19'!F31:BA92)/1000-T108-T109</f>
        <v>-1760.0328499998432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6">C99</f>
        <v>43497</v>
      </c>
      <c r="D111" s="52">
        <f t="shared" si="6"/>
        <v>43525</v>
      </c>
      <c r="E111" s="52">
        <f t="shared" si="6"/>
        <v>43556</v>
      </c>
      <c r="F111" s="52">
        <f t="shared" si="6"/>
        <v>43586</v>
      </c>
      <c r="G111" s="52">
        <f t="shared" si="6"/>
        <v>43617</v>
      </c>
      <c r="H111" s="52">
        <f t="shared" si="6"/>
        <v>43647</v>
      </c>
      <c r="I111" s="52">
        <f t="shared" si="6"/>
        <v>43678</v>
      </c>
      <c r="J111" s="52">
        <f t="shared" si="6"/>
        <v>43709</v>
      </c>
      <c r="K111" s="52">
        <f t="shared" si="6"/>
        <v>43739</v>
      </c>
      <c r="L111" s="52">
        <f t="shared" si="6"/>
        <v>43770</v>
      </c>
      <c r="M111" s="52">
        <f t="shared" si="6"/>
        <v>43800</v>
      </c>
      <c r="P111" s="39">
        <f>N102-'FO 25 ene-19'!N102</f>
        <v>-507.69196000002557</v>
      </c>
      <c r="Q111" s="119"/>
      <c r="S111" s="70" t="s">
        <v>129</v>
      </c>
      <c r="T111" s="77">
        <f>SUM(T108:T110)</f>
        <v>-480.60198999987915</v>
      </c>
      <c r="U111" s="71">
        <f>E2/1000</f>
        <v>-8.6854100000001484</v>
      </c>
      <c r="V111" s="75">
        <f>SUM(T111:U111)</f>
        <v>-489.28739999987931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-507.69195999996737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7">SUM(C112:C113)</f>
        <v>0</v>
      </c>
      <c r="D114" s="26">
        <f t="shared" si="7"/>
        <v>0</v>
      </c>
      <c r="E114" s="26">
        <f t="shared" si="7"/>
        <v>0</v>
      </c>
      <c r="F114" s="26">
        <f t="shared" si="7"/>
        <v>0</v>
      </c>
      <c r="G114" s="26">
        <f t="shared" si="7"/>
        <v>0</v>
      </c>
      <c r="H114" s="26">
        <f t="shared" si="7"/>
        <v>0</v>
      </c>
      <c r="I114" s="26">
        <f t="shared" si="7"/>
        <v>0</v>
      </c>
      <c r="J114" s="26">
        <f t="shared" si="7"/>
        <v>0</v>
      </c>
      <c r="K114" s="26">
        <f t="shared" si="7"/>
        <v>0</v>
      </c>
      <c r="L114" s="26">
        <f t="shared" si="7"/>
        <v>0</v>
      </c>
      <c r="M114" s="26">
        <f t="shared" si="7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8">C99</f>
        <v>43497</v>
      </c>
      <c r="D117" s="1">
        <f t="shared" si="8"/>
        <v>43525</v>
      </c>
      <c r="E117" s="1">
        <f t="shared" si="8"/>
        <v>43556</v>
      </c>
      <c r="F117" s="1">
        <f t="shared" si="8"/>
        <v>43586</v>
      </c>
      <c r="G117" s="1">
        <f t="shared" si="8"/>
        <v>43617</v>
      </c>
      <c r="H117" s="1">
        <f t="shared" si="8"/>
        <v>43647</v>
      </c>
      <c r="I117" s="1">
        <f t="shared" si="8"/>
        <v>43678</v>
      </c>
      <c r="J117" s="1">
        <f t="shared" si="8"/>
        <v>43709</v>
      </c>
      <c r="K117" s="1">
        <f t="shared" si="8"/>
        <v>43739</v>
      </c>
      <c r="L117" s="1">
        <f t="shared" si="8"/>
        <v>43770</v>
      </c>
      <c r="M117" s="1">
        <f t="shared" si="8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9">C100+C106+C112</f>
        <v>77982.752649999995</v>
      </c>
      <c r="D118" s="26">
        <f t="shared" si="9"/>
        <v>75216.468523999996</v>
      </c>
      <c r="E118" s="26">
        <f>E100+E106+E112</f>
        <v>73793.355540000004</v>
      </c>
      <c r="F118" s="26">
        <f>F100+F106+F112</f>
        <v>89928.997616000008</v>
      </c>
      <c r="G118" s="26">
        <f t="shared" si="9"/>
        <v>76257.984066000005</v>
      </c>
      <c r="H118" s="26">
        <f t="shared" si="9"/>
        <v>90214.944826000006</v>
      </c>
      <c r="I118" s="26">
        <f t="shared" si="9"/>
        <v>73850.387881999995</v>
      </c>
      <c r="J118" s="26">
        <f t="shared" si="9"/>
        <v>75219.758914000005</v>
      </c>
      <c r="K118" s="26">
        <f t="shared" si="9"/>
        <v>90372.770853999988</v>
      </c>
      <c r="L118" s="26">
        <f t="shared" si="9"/>
        <v>75639.063420000006</v>
      </c>
      <c r="M118" s="26">
        <f t="shared" si="9"/>
        <v>89325.690199999997</v>
      </c>
      <c r="N118" s="64">
        <f>SUM(B118:M118)</f>
        <v>987846.6633619999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-61078.382259999991</v>
      </c>
      <c r="D119" s="26">
        <f t="shared" si="9"/>
        <v>-80195.853360000008</v>
      </c>
      <c r="E119" s="26">
        <f>E101+E107+E113</f>
        <v>-70965.57852000001</v>
      </c>
      <c r="F119" s="26">
        <f>F101+F107+F113</f>
        <v>-104790.37004999998</v>
      </c>
      <c r="G119" s="26">
        <f t="shared" si="9"/>
        <v>-76524.258789999993</v>
      </c>
      <c r="H119" s="26">
        <f t="shared" si="9"/>
        <v>-101764.39685</v>
      </c>
      <c r="I119" s="26">
        <f t="shared" si="9"/>
        <v>-73701.197719999996</v>
      </c>
      <c r="J119" s="26">
        <f t="shared" si="9"/>
        <v>-67582.121760000009</v>
      </c>
      <c r="K119" s="26">
        <f t="shared" si="9"/>
        <v>-78324.847479999997</v>
      </c>
      <c r="L119" s="26">
        <f t="shared" si="9"/>
        <v>-72491.874210000009</v>
      </c>
      <c r="M119" s="26">
        <f>M101+M107+M113</f>
        <v>-59636.394560000001</v>
      </c>
      <c r="N119" s="64">
        <f>SUM(B119:M119)</f>
        <v>-915492.51997999998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0">SUM(C118:C119)</f>
        <v>16904.370390000004</v>
      </c>
      <c r="D120" s="56">
        <f>SUM(D118:D119)</f>
        <v>-4979.384836000012</v>
      </c>
      <c r="E120" s="56">
        <f>SUM(E118:E119)</f>
        <v>2827.7770199999941</v>
      </c>
      <c r="F120" s="56">
        <f>SUM(F118:F119)</f>
        <v>-14861.372433999975</v>
      </c>
      <c r="G120" s="56">
        <f t="shared" si="10"/>
        <v>-266.27472399998805</v>
      </c>
      <c r="H120" s="56">
        <f t="shared" si="10"/>
        <v>-11549.452023999998</v>
      </c>
      <c r="I120" s="56">
        <f t="shared" si="10"/>
        <v>149.19016199999896</v>
      </c>
      <c r="J120" s="56">
        <f t="shared" si="10"/>
        <v>7637.6371539999964</v>
      </c>
      <c r="K120" s="56">
        <f t="shared" si="10"/>
        <v>12047.923373999991</v>
      </c>
      <c r="L120" s="56">
        <f t="shared" si="10"/>
        <v>3147.1892099999968</v>
      </c>
      <c r="M120" s="56">
        <f>SUM(M118:M119)</f>
        <v>29689.295639999997</v>
      </c>
      <c r="N120" s="65">
        <f>SUM(B120:M120)</f>
        <v>72354.14338199998</v>
      </c>
      <c r="O120" s="133">
        <f>'FO 25 ene-19'!N120+P112+O108</f>
        <v>72354.143382000038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57">
        <f>'[12]Flujo 2018'!X3</f>
        <v>3169</v>
      </c>
      <c r="C121" s="57"/>
      <c r="D121" s="57"/>
      <c r="E121" s="57"/>
      <c r="F121" s="57"/>
      <c r="G121" s="57"/>
      <c r="H121" s="38"/>
      <c r="I121" s="38"/>
      <c r="J121" s="38"/>
      <c r="K121" s="38"/>
      <c r="L121" s="38"/>
      <c r="M121" s="38"/>
      <c r="N121" s="72">
        <f>SUM(B121)+SUM(C120:M120)</f>
        <v>43915.898932000004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-43191.00702399997</v>
      </c>
      <c r="F123" s="26">
        <f>SUM($B$121:F121)-SUM($B$120:F120)</f>
        <v>-28329.634589999994</v>
      </c>
      <c r="G123" s="26">
        <f>SUM($B$121:G121)-SUM($B$120:G120)</f>
        <v>-28063.359866000006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5.5170987882352946</v>
      </c>
      <c r="C126" s="43">
        <f>B126*4</f>
        <v>22.068395152941179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2.8348127141176471</v>
      </c>
      <c r="C127" s="43">
        <f>B127*4</f>
        <v>11.339250856470589</v>
      </c>
      <c r="Z127" s="89"/>
      <c r="AA127" s="89"/>
    </row>
    <row r="128" spans="1:30" ht="15.75" hidden="1">
      <c r="A128" s="44" t="s">
        <v>104</v>
      </c>
      <c r="B128" s="45">
        <f>SUM(B124:B127)</f>
        <v>10.731343128431373</v>
      </c>
      <c r="C128" s="45">
        <f>SUM(C124:C127)</f>
        <v>42.925372513725492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12.465881542729065</v>
      </c>
      <c r="C136" s="45">
        <f>C128+C131+C134</f>
        <v>49.863526170916259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26.252648362615918</v>
      </c>
      <c r="C138" s="47">
        <f>C136+C137</f>
        <v>63.650292990803109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BB200"/>
  <sheetViews>
    <sheetView showGridLines="0" topLeftCell="A30" zoomScaleNormal="100" workbookViewId="0">
      <pane xSplit="1" topLeftCell="P1" activePane="topRight" state="frozen"/>
      <selection pane="topRight" activeCell="R40" sqref="R40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157</v>
      </c>
      <c r="G1" s="17" t="s">
        <v>158</v>
      </c>
      <c r="H1" s="17" t="s">
        <v>159</v>
      </c>
      <c r="I1" s="30" t="s">
        <v>160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>
        <f>D93-'FO 18 ene-19'!D93</f>
        <v>2058355.9000000022</v>
      </c>
      <c r="E2" s="143">
        <f>E93-'FO 18 ene-19'!E93</f>
        <v>170204.97999999858</v>
      </c>
      <c r="F2" s="125">
        <f>F93-'FO 18 ene-19'!F93</f>
        <v>3893716.1999999993</v>
      </c>
      <c r="G2" s="129">
        <f>G93-'FO 18 ene-19'!G93</f>
        <v>0</v>
      </c>
      <c r="H2" s="129">
        <f>H93-'FO 18 ene-19'!H93</f>
        <v>0</v>
      </c>
      <c r="I2" s="130">
        <f>I93-'FO 18 ene-19'!I93</f>
        <v>0</v>
      </c>
      <c r="J2" s="129">
        <f>J93-'FO 18 ene-19'!J93</f>
        <v>0</v>
      </c>
      <c r="K2" s="129">
        <f>K93-'FO 18 ene-19'!K93</f>
        <v>0</v>
      </c>
      <c r="L2" s="129">
        <f>L93-'FO 18 ene-19'!L93</f>
        <v>0</v>
      </c>
      <c r="M2" s="130">
        <f>M93-'FO 18 ene-19'!M93</f>
        <v>0</v>
      </c>
      <c r="N2" s="129">
        <f>N93-'FO 18 ene-19'!N93</f>
        <v>0</v>
      </c>
      <c r="O2" s="129">
        <f>O93-'FO 18 ene-19'!O93</f>
        <v>0</v>
      </c>
      <c r="P2" s="129">
        <f>P93-'FO 18 ene-19'!P93</f>
        <v>0</v>
      </c>
      <c r="Q2" s="130">
        <f>Q93-'FO 18 ene-19'!Q93</f>
        <v>0</v>
      </c>
      <c r="R2" s="129">
        <f>R93-'FO 18 ene-19'!R93</f>
        <v>0</v>
      </c>
      <c r="S2" s="129">
        <f>S93-'FO 18 ene-19'!S93</f>
        <v>0</v>
      </c>
      <c r="T2" s="129">
        <f>T93-'FO 18 ene-19'!T93</f>
        <v>0</v>
      </c>
      <c r="U2" s="129">
        <f>U93-'FO 18 ene-19'!U93</f>
        <v>0</v>
      </c>
      <c r="V2" s="130">
        <f>V93-'FO 18 ene-19'!V93</f>
        <v>0</v>
      </c>
      <c r="W2" s="129">
        <f>W93-'FO 18 ene-19'!W93</f>
        <v>0</v>
      </c>
      <c r="X2" s="129">
        <f>X93-'FO 18 ene-19'!X93</f>
        <v>0</v>
      </c>
      <c r="Y2" s="129">
        <f>Y93-'FO 18 ene-19'!Y93</f>
        <v>0</v>
      </c>
      <c r="Z2" s="130">
        <f>Z93-'FO 18 ene-19'!Z93</f>
        <v>0</v>
      </c>
      <c r="AA2" s="129">
        <f>AA93-'FO 18 ene-19'!AA93</f>
        <v>0</v>
      </c>
      <c r="AB2" s="129">
        <f>AB93-'FO 18 ene-19'!AB93</f>
        <v>0</v>
      </c>
      <c r="AC2" s="129">
        <f>AC93-'FO 18 ene-19'!AC93</f>
        <v>0</v>
      </c>
      <c r="AD2" s="129">
        <f>AD93-'FO 18 ene-19'!AD93</f>
        <v>0</v>
      </c>
      <c r="AE2" s="130">
        <f>AE93-'FO 18 ene-19'!AE93</f>
        <v>0</v>
      </c>
      <c r="AF2" s="129">
        <f>AF93-'FO 18 ene-19'!AF93</f>
        <v>0</v>
      </c>
      <c r="AG2" s="129">
        <f>AG93-'FO 18 ene-19'!AG93</f>
        <v>0</v>
      </c>
      <c r="AH2" s="129">
        <f>AH93-'FO 18 ene-19'!AH93</f>
        <v>0</v>
      </c>
      <c r="AI2" s="130">
        <f>AI93-'FO 18 ene-19'!AI93</f>
        <v>0</v>
      </c>
      <c r="AJ2" s="129">
        <f>AJ93-'FO 18 ene-19'!AJ93</f>
        <v>0</v>
      </c>
      <c r="AK2" s="129">
        <f>AK93-'FO 18 ene-19'!AK93</f>
        <v>0</v>
      </c>
      <c r="AL2" s="129">
        <f>AL93-'FO 18 ene-19'!AL93</f>
        <v>0</v>
      </c>
      <c r="AM2" s="130">
        <f>AM93-'FO 18 ene-19'!AM93</f>
        <v>0</v>
      </c>
      <c r="AN2" s="129">
        <f>AN93-'FO 18 ene-19'!AN93</f>
        <v>0</v>
      </c>
      <c r="AO2" s="129">
        <f>AO93-'FO 18 ene-19'!AO93</f>
        <v>0</v>
      </c>
      <c r="AP2" s="129">
        <f>AP93-'FO 18 ene-19'!AP93</f>
        <v>0</v>
      </c>
      <c r="AQ2" s="129">
        <f>AQ93-'FO 18 ene-19'!AQ93</f>
        <v>0</v>
      </c>
      <c r="AR2" s="130">
        <f>AR93-'FO 18 ene-19'!AR93</f>
        <v>0</v>
      </c>
      <c r="AS2" s="129">
        <f>AS93-'FO 18 ene-19'!AS93</f>
        <v>0</v>
      </c>
      <c r="AT2" s="129">
        <f>AT93-'FO 18 ene-19'!AT93</f>
        <v>0</v>
      </c>
      <c r="AU2" s="129">
        <f>AU93-'FO 18 ene-19'!AU93</f>
        <v>0</v>
      </c>
      <c r="AV2" s="130">
        <f>AV93-'FO 18 ene-19'!AV93</f>
        <v>0</v>
      </c>
      <c r="AW2" s="129">
        <f>AW93-'FO 18 ene-19'!AW93</f>
        <v>0</v>
      </c>
      <c r="AX2" s="131">
        <f>AX93-'FO 18 ene-19'!AX93</f>
        <v>0</v>
      </c>
      <c r="AY2" s="131">
        <f>AY93-'FO 18 ene-19'!AY93</f>
        <v>0</v>
      </c>
      <c r="AZ2" s="131">
        <f>AZ93-'FO 18 ene-19'!AZ93</f>
        <v>0</v>
      </c>
      <c r="BA2" s="131">
        <f>BA93-'FO 18 ene-19'!BA93</f>
        <v>0</v>
      </c>
    </row>
    <row r="3" spans="1:54" s="5" customFormat="1" ht="12.75">
      <c r="A3" s="3" t="s">
        <v>2</v>
      </c>
      <c r="B3" s="18"/>
      <c r="C3" s="18"/>
      <c r="D3" s="18"/>
      <c r="E3" s="32">
        <v>14473625.35</v>
      </c>
      <c r="F3" s="18">
        <v>19794050.819999993</v>
      </c>
      <c r="G3" s="18">
        <v>24244065.019999996</v>
      </c>
      <c r="H3" s="18">
        <v>29786046.889999997</v>
      </c>
      <c r="I3" s="32">
        <v>37159852.200000003</v>
      </c>
      <c r="J3" s="18">
        <v>48101714.800000004</v>
      </c>
      <c r="K3" s="18">
        <v>60237300.160999998</v>
      </c>
      <c r="L3" s="18">
        <v>47519458.612000003</v>
      </c>
      <c r="M3" s="32">
        <v>37944929.002999999</v>
      </c>
      <c r="N3" s="18">
        <v>40402271.293999992</v>
      </c>
      <c r="O3" s="18">
        <v>44749867.223999992</v>
      </c>
      <c r="P3" s="18">
        <v>34637497.533999994</v>
      </c>
      <c r="Q3" s="32">
        <v>32532129.683999989</v>
      </c>
      <c r="R3" s="18">
        <v>54725059.943999991</v>
      </c>
      <c r="S3" s="18">
        <v>45456219.909199998</v>
      </c>
      <c r="T3" s="18">
        <v>43567595.054399997</v>
      </c>
      <c r="U3" s="18">
        <v>23791758.269599997</v>
      </c>
      <c r="V3" s="32">
        <v>23854300.1248</v>
      </c>
      <c r="W3" s="18">
        <v>21501012.049999997</v>
      </c>
      <c r="X3" s="18">
        <v>8304736.3239999972</v>
      </c>
      <c r="Y3" s="18">
        <v>10929702.558000004</v>
      </c>
      <c r="Z3" s="32">
        <v>6053311.3720000051</v>
      </c>
      <c r="AA3" s="18">
        <v>12160537.326000003</v>
      </c>
      <c r="AB3" s="18">
        <v>12485314.167199999</v>
      </c>
      <c r="AC3" s="18">
        <v>9982570.0683999974</v>
      </c>
      <c r="AD3" s="18">
        <v>-8645191.4804000035</v>
      </c>
      <c r="AE3" s="32">
        <v>-7673119.7692000084</v>
      </c>
      <c r="AF3" s="18">
        <v>-11201344.05800001</v>
      </c>
      <c r="AG3" s="18">
        <v>-19061937.115000013</v>
      </c>
      <c r="AH3" s="18">
        <v>-27597321.38200001</v>
      </c>
      <c r="AI3" s="32">
        <v>-26685934.659000009</v>
      </c>
      <c r="AJ3" s="18">
        <v>-27364469.996000011</v>
      </c>
      <c r="AK3" s="18">
        <v>-20964048.465000011</v>
      </c>
      <c r="AL3" s="18">
        <v>-33665049.574000008</v>
      </c>
      <c r="AM3" s="32">
        <v>-31865885.573000014</v>
      </c>
      <c r="AN3" s="18">
        <v>-39929366.312000014</v>
      </c>
      <c r="AO3" s="18">
        <v>-42927314.469200008</v>
      </c>
      <c r="AP3" s="18">
        <v>-38586610.606400013</v>
      </c>
      <c r="AQ3" s="18">
        <v>-42020158.113600016</v>
      </c>
      <c r="AR3" s="32">
        <v>-37347016.080800019</v>
      </c>
      <c r="AS3" s="18">
        <v>-38697674.998000026</v>
      </c>
      <c r="AT3" s="18">
        <v>-33786431.84800002</v>
      </c>
      <c r="AU3" s="18">
        <v>-48520567.538000025</v>
      </c>
      <c r="AV3" s="32">
        <v>-45467537.34800002</v>
      </c>
      <c r="AW3" s="18">
        <v>-42718703.518000014</v>
      </c>
      <c r="AX3" s="18">
        <v>-32851510.71800001</v>
      </c>
      <c r="AY3" s="18">
        <v>-34296287.238000005</v>
      </c>
      <c r="AZ3" s="18">
        <v>-26645850.598000005</v>
      </c>
      <c r="BA3" s="18">
        <v>-14870677.738000005</v>
      </c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52696.912231999995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18228248.219999995</v>
      </c>
      <c r="F30" s="20">
        <v>17500128.350000001</v>
      </c>
      <c r="G30" s="20">
        <v>16816789.139999997</v>
      </c>
      <c r="H30" s="20">
        <v>16724375.780000001</v>
      </c>
      <c r="I30" s="33">
        <v>15957042.380000001</v>
      </c>
      <c r="J30" s="20">
        <v>16829610.390999999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849740.09592200001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0</v>
      </c>
      <c r="G42" s="24">
        <v>0</v>
      </c>
      <c r="H42" s="24">
        <v>0</v>
      </c>
      <c r="I42" s="31">
        <v>0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-995.76341000000002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0</v>
      </c>
      <c r="G44" s="24">
        <v>0</v>
      </c>
      <c r="H44" s="24">
        <v>0</v>
      </c>
      <c r="I44" s="31">
        <v>0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-779.08645000000001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1"/>
        <v>-34665.044900000001</v>
      </c>
    </row>
    <row r="48" spans="1:54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1"/>
        <v>0</v>
      </c>
    </row>
    <row r="49" spans="1:54" s="4" customFormat="1" ht="15" hidden="1" outlineLevel="1">
      <c r="A49" s="3" t="s">
        <v>48</v>
      </c>
      <c r="B49" s="24"/>
      <c r="C49" s="24">
        <v>-2392546</v>
      </c>
      <c r="D49" s="24">
        <v>-2392546</v>
      </c>
      <c r="E49" s="31">
        <v>0</v>
      </c>
      <c r="F49" s="24">
        <v>0</v>
      </c>
      <c r="G49" s="24">
        <v>0</v>
      </c>
      <c r="H49" s="24">
        <v>-2187689.96</v>
      </c>
      <c r="I49" s="31">
        <v>0</v>
      </c>
      <c r="J49" s="24">
        <v>0</v>
      </c>
      <c r="K49" s="24">
        <v>0</v>
      </c>
      <c r="L49" s="24">
        <v>-2858200.4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1"/>
        <v>-38159.063020000001</v>
      </c>
    </row>
    <row r="50" spans="1:54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-36663.24</v>
      </c>
      <c r="G59" s="24">
        <v>-36663.24</v>
      </c>
      <c r="H59" s="24">
        <v>-36663.24</v>
      </c>
      <c r="I59" s="31">
        <v>-74191.34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-3851.49386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-50005.94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-721.62625000000003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-464145.15</v>
      </c>
      <c r="G62" s="24">
        <v>-464145.15</v>
      </c>
      <c r="H62" s="24">
        <v>-464145.15</v>
      </c>
      <c r="I62" s="31">
        <v>-252181.83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-14143.781039999994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-172514.95</v>
      </c>
      <c r="G65" s="24">
        <v>-172514.95</v>
      </c>
      <c r="H65" s="24">
        <v>-172514.95</v>
      </c>
      <c r="I65" s="31">
        <v>-139333.47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-7985.8901100000003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-296033.27</v>
      </c>
      <c r="G67" s="24">
        <v>-296033.27</v>
      </c>
      <c r="H67" s="24">
        <v>-296033.27</v>
      </c>
      <c r="I67" s="31">
        <v>-251559.92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-13545.731989999991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-2051026.3</v>
      </c>
      <c r="G68" s="24">
        <v>-2051026.3</v>
      </c>
      <c r="H68" s="24">
        <v>-2051026.3</v>
      </c>
      <c r="I68" s="31">
        <v>-1710225.35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-87273.969570000016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-644941.94999999995</v>
      </c>
      <c r="G73" s="16">
        <v>-644941.94999999995</v>
      </c>
      <c r="H73" s="16">
        <v>-644941.94999999995</v>
      </c>
      <c r="I73" s="35">
        <v>-540307.13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-29006.410480000013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-320442.23999999999</v>
      </c>
      <c r="G75" s="24">
        <v>-320442.23999999999</v>
      </c>
      <c r="H75" s="24">
        <v>-320442.23999999999</v>
      </c>
      <c r="I75" s="31">
        <v>-254152.59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-14902.577560000007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-78875.179999999993</v>
      </c>
      <c r="G79" s="24">
        <v>-78875.179999999993</v>
      </c>
      <c r="H79" s="24">
        <v>-78875.179999999993</v>
      </c>
      <c r="I79" s="31">
        <v>-58337.37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-3090.2337000000007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-5396718.25</v>
      </c>
      <c r="G82" s="121">
        <v>-5136826.93</v>
      </c>
      <c r="H82" s="121">
        <v>-1812826.93</v>
      </c>
      <c r="I82" s="120">
        <v>-2560535.35</v>
      </c>
      <c r="J82" s="121">
        <v>-1471182.6</v>
      </c>
      <c r="K82" s="121">
        <v>-14330728.48</v>
      </c>
      <c r="L82" s="121">
        <v>-14330728.48</v>
      </c>
      <c r="M82" s="120">
        <v>-1471182.6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-282651.46905999997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-41951.47</v>
      </c>
      <c r="G87" s="24">
        <v>-41951.47</v>
      </c>
      <c r="H87" s="24">
        <v>-41951.47</v>
      </c>
      <c r="I87" s="31">
        <v>-37350.99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-2049.4297399999991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-449177.34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-4785.6807399999989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-874547.43</v>
      </c>
      <c r="G89" s="24">
        <v>-874547.43</v>
      </c>
      <c r="H89" s="24">
        <v>-874547.43</v>
      </c>
      <c r="I89" s="31">
        <v>-747255.85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-53802.900699999984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-18697.189999999999</v>
      </c>
      <c r="G90" s="24">
        <v>-18697.189999999999</v>
      </c>
      <c r="H90" s="24">
        <v>-18697.189999999999</v>
      </c>
      <c r="I90" s="31">
        <v>-14786.84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-856.51787000000036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-1161901.83</v>
      </c>
      <c r="G92" s="24">
        <v>-1161901.83</v>
      </c>
      <c r="H92" s="24">
        <v>-1161901.83</v>
      </c>
      <c r="I92" s="31">
        <v>-1076648.08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-56523.485050000003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-12738017</v>
      </c>
      <c r="F93" s="18">
        <v>-12005103.4</v>
      </c>
      <c r="G93" s="18">
        <v>-16660173.970000001</v>
      </c>
      <c r="H93" s="18">
        <v>-10185764.719999999</v>
      </c>
      <c r="I93" s="32">
        <v>-13038612.179999998</v>
      </c>
      <c r="J93" s="18">
        <v>-6713457.4299999997</v>
      </c>
      <c r="K93" s="18">
        <v>-25655581.119999997</v>
      </c>
      <c r="L93" s="18">
        <v>-23075751.75</v>
      </c>
      <c r="M93" s="32">
        <v>-11266317.059999999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-778991.14257999987</v>
      </c>
    </row>
    <row r="94" spans="1:54" s="8" customFormat="1" ht="12.75">
      <c r="A94" s="7" t="s">
        <v>1</v>
      </c>
      <c r="B94" s="21">
        <f>B30+B93</f>
        <v>16436818.079999994</v>
      </c>
      <c r="C94" s="21">
        <f>C30+C93</f>
        <v>2892569.9699999988</v>
      </c>
      <c r="D94" s="21">
        <f>D30+D93</f>
        <v>5759561.1500000004</v>
      </c>
      <c r="E94" s="36">
        <v>5490231.2199999951</v>
      </c>
      <c r="F94" s="21">
        <v>5495024.9500000011</v>
      </c>
      <c r="G94" s="21">
        <v>156615.1699999962</v>
      </c>
      <c r="H94" s="21">
        <v>6538611.0600000024</v>
      </c>
      <c r="I94" s="36">
        <v>2918430.200000003</v>
      </c>
      <c r="J94" s="21">
        <v>10116152.960999999</v>
      </c>
      <c r="K94" s="21">
        <v>-9694607.9489999991</v>
      </c>
      <c r="L94" s="21">
        <v>-7320234.7389999982</v>
      </c>
      <c r="M94" s="36">
        <v>4438909.8910000008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70748.953341999993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88084.771429999993</v>
      </c>
      <c r="C100" s="58">
        <f>SUM(F30:I30)/1000</f>
        <v>66998.335649999994</v>
      </c>
      <c r="D100" s="58">
        <f>SUM(J30:M30)/1000</f>
        <v>64251.327523999993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849740.09592199989</v>
      </c>
      <c r="O100" s="39"/>
    </row>
    <row r="101" spans="1:54" s="23" customFormat="1">
      <c r="A101" s="3" t="s">
        <v>94</v>
      </c>
      <c r="B101" s="58">
        <f>SUM(B93:E93)/1000</f>
        <v>-57505.591009999996</v>
      </c>
      <c r="C101" s="58">
        <f>SUM(F93:I93)/1000</f>
        <v>-51889.654270000006</v>
      </c>
      <c r="D101" s="58">
        <f>SUM(J93:M93)/1000</f>
        <v>-66711.107359999995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-90132.817850000007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-778991.14257999987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30579.180419999997</v>
      </c>
      <c r="C102" s="58">
        <f t="shared" ref="C102:L102" si="3">SUM(C100:C101)</f>
        <v>15108.681379999987</v>
      </c>
      <c r="D102" s="58">
        <f>SUM(D100:D101)</f>
        <v>-2459.7798360000015</v>
      </c>
      <c r="E102" s="58">
        <f>SUM(E100:E101)</f>
        <v>3952.2480200000064</v>
      </c>
      <c r="F102" s="60">
        <f>SUM(F100:F101)</f>
        <v>-15150.009433999978</v>
      </c>
      <c r="G102" s="60">
        <f t="shared" si="3"/>
        <v>-490.49772399998619</v>
      </c>
      <c r="H102" s="60">
        <f t="shared" si="3"/>
        <v>-11456.313024000003</v>
      </c>
      <c r="I102" s="60">
        <f t="shared" si="3"/>
        <v>-55.423838000002434</v>
      </c>
      <c r="J102" s="60">
        <f t="shared" si="3"/>
        <v>7231.5871540000007</v>
      </c>
      <c r="K102" s="60">
        <f t="shared" si="3"/>
        <v>11529.106373999995</v>
      </c>
      <c r="L102" s="60">
        <f t="shared" si="3"/>
        <v>2312.5822100000078</v>
      </c>
      <c r="M102" s="60">
        <f>SUM(M100:M101)</f>
        <v>29647.591639999991</v>
      </c>
      <c r="N102" s="60">
        <f>SUM(B102:M102)</f>
        <v>70748.953342000023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18 ene-19'!N100</f>
        <v>-2346.4503900001291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18 ene-19'!N100</f>
        <v>-2346.4503900001291</v>
      </c>
      <c r="Q104" s="73" t="s">
        <v>125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4">C99</f>
        <v>43497</v>
      </c>
      <c r="D105" s="52">
        <f t="shared" si="4"/>
        <v>43525</v>
      </c>
      <c r="E105" s="52">
        <f t="shared" si="4"/>
        <v>43556</v>
      </c>
      <c r="F105" s="52">
        <f t="shared" si="4"/>
        <v>43586</v>
      </c>
      <c r="G105" s="52">
        <f t="shared" si="4"/>
        <v>43617</v>
      </c>
      <c r="H105" s="52">
        <f t="shared" si="4"/>
        <v>43647</v>
      </c>
      <c r="I105" s="52">
        <f t="shared" si="4"/>
        <v>43678</v>
      </c>
      <c r="J105" s="52">
        <f t="shared" si="4"/>
        <v>43709</v>
      </c>
      <c r="K105" s="52">
        <f t="shared" si="4"/>
        <v>43739</v>
      </c>
      <c r="L105" s="52">
        <f t="shared" si="4"/>
        <v>43770</v>
      </c>
      <c r="M105" s="52">
        <f t="shared" si="4"/>
        <v>43800</v>
      </c>
    </row>
    <row r="106" spans="1:54" s="23" customFormat="1">
      <c r="A106" s="3" t="s">
        <v>93</v>
      </c>
      <c r="B106" s="22">
        <f>[11]Todo!F471</f>
        <v>3978.1219999999998</v>
      </c>
      <c r="C106" s="22">
        <f>[11]Todo!G471-[11]Todo!F471</f>
        <v>2984.4169999999999</v>
      </c>
      <c r="D106" s="22">
        <f>[11]Todo!H471-[11]Todo!G471</f>
        <v>2965.1410000000005</v>
      </c>
      <c r="E106" s="22">
        <f>[11]Todo!I471-[11]Todo!H471</f>
        <v>2694.344000000001</v>
      </c>
      <c r="F106" s="22">
        <f>[11]Todo!J471-[11]Todo!I471</f>
        <v>3763.7099999999991</v>
      </c>
      <c r="G106" s="22">
        <f>[11]Todo!K471-[11]Todo!J471</f>
        <v>3672.869999999999</v>
      </c>
      <c r="H106" s="22">
        <f>[11]Todo!L471-[11]Todo!K471</f>
        <v>3538.4400000000023</v>
      </c>
      <c r="I106" s="22">
        <f>[11]Todo!M471-[11]Todo!L471</f>
        <v>3686.4629999999997</v>
      </c>
      <c r="J106" s="22">
        <f>[11]Todo!N471-[11]Todo!M471</f>
        <v>3873.2129999999961</v>
      </c>
      <c r="K106" s="22">
        <f>[11]Todo!O471-[11]Todo!N471</f>
        <v>3841.8469999999979</v>
      </c>
      <c r="L106" s="22">
        <f>[11]Todo!P471-[11]Todo!O471</f>
        <v>3963.1510000000053</v>
      </c>
      <c r="M106" s="22">
        <f>[11]Todo!Q471-[11]Todo!P471</f>
        <v>3163.2540000000008</v>
      </c>
      <c r="O106" s="62"/>
      <c r="P106" s="39"/>
    </row>
    <row r="107" spans="1:54" s="23" customFormat="1">
      <c r="A107" s="3" t="s">
        <v>94</v>
      </c>
      <c r="B107" s="22">
        <f>SUM([11]Todo!F472:F479)</f>
        <v>-2922.9680000000003</v>
      </c>
      <c r="C107" s="22">
        <f>SUM([11]Todo!G472:G479)-SUM([11]Todo!F472:F479)</f>
        <v>-2977.0709999999995</v>
      </c>
      <c r="D107" s="22">
        <f>SUM([11]Todo!H472:H479)-SUM([11]Todo!G472:G479)</f>
        <v>-3215.8010000000004</v>
      </c>
      <c r="E107" s="22">
        <f>SUM([11]Todo!I472:I479)-SUM([11]Todo!H472:H479)</f>
        <v>-3818.8150000000005</v>
      </c>
      <c r="F107" s="22">
        <f>SUM([11]Todo!J472:J479)-SUM([11]Todo!I472:I479)</f>
        <v>-3475.0729999999985</v>
      </c>
      <c r="G107" s="22">
        <f>SUM([11]Todo!K472:K479)-SUM([11]Todo!J472:J479)</f>
        <v>-3448.6470000000008</v>
      </c>
      <c r="H107" s="22">
        <f>SUM([11]Todo!L472:L479)-SUM([11]Todo!K472:K479)</f>
        <v>-3631.5789999999979</v>
      </c>
      <c r="I107" s="22">
        <f>SUM([11]Todo!M472:M479)-SUM([11]Todo!L472:L479)</f>
        <v>-3481.849000000002</v>
      </c>
      <c r="J107" s="22">
        <f>SUM([11]Todo!N472:N479)-SUM([11]Todo!M472:M479)</f>
        <v>-3467.1630000000005</v>
      </c>
      <c r="K107" s="22">
        <f>SUM([11]Todo!O472:O479)-SUM([11]Todo!N472:N479)</f>
        <v>-3323.0299999999988</v>
      </c>
      <c r="L107" s="22">
        <f>SUM([11]Todo!P472:P479)-SUM([11]Todo!O472:O479)</f>
        <v>-3128.544000000009</v>
      </c>
      <c r="M107" s="22">
        <f>SUM([11]Todo!Q472:Q479)-SUM([11]Todo!P472:P479)</f>
        <v>-3121.5499999999956</v>
      </c>
      <c r="O107" s="58"/>
      <c r="P107" s="39">
        <f>SUM(B2:BA2)/1000</f>
        <v>6122.2770799999998</v>
      </c>
      <c r="Q107" s="23" t="s">
        <v>152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5">SUM(C106:C107)</f>
        <v>7.3460000000004584</v>
      </c>
      <c r="D108" s="22">
        <f t="shared" si="5"/>
        <v>-250.65999999999985</v>
      </c>
      <c r="E108" s="22">
        <f t="shared" si="5"/>
        <v>-1124.4709999999995</v>
      </c>
      <c r="F108" s="22">
        <f t="shared" si="5"/>
        <v>288.63700000000063</v>
      </c>
      <c r="G108" s="22">
        <f t="shared" si="5"/>
        <v>224.22299999999814</v>
      </c>
      <c r="H108" s="22">
        <f t="shared" si="5"/>
        <v>-93.138999999995576</v>
      </c>
      <c r="I108" s="39">
        <f t="shared" si="5"/>
        <v>204.61399999999776</v>
      </c>
      <c r="J108" s="39">
        <f t="shared" si="5"/>
        <v>406.04999999999563</v>
      </c>
      <c r="K108" s="39">
        <f t="shared" si="5"/>
        <v>518.8169999999991</v>
      </c>
      <c r="L108" s="39">
        <f t="shared" si="5"/>
        <v>834.60699999999633</v>
      </c>
      <c r="M108" s="39">
        <f t="shared" si="5"/>
        <v>41.70400000000518</v>
      </c>
      <c r="N108" s="59">
        <f>SUM(B108:M108)</f>
        <v>2112.8819999999978</v>
      </c>
      <c r="O108" s="133">
        <f>N108-SUM('FO 18 ene-19'!B108:M108)</f>
        <v>0</v>
      </c>
      <c r="P108" s="78">
        <f>N101-'FO 18 ene-19'!N101</f>
        <v>6122.2770800000289</v>
      </c>
      <c r="Q108" s="61" t="s">
        <v>103</v>
      </c>
      <c r="R108" s="63"/>
      <c r="S108" s="23" t="s">
        <v>126</v>
      </c>
      <c r="T108" s="115">
        <f>SUM(E47:BA50)/1000-SUM('FO 18 ene-19'!E47:BA50)/1000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SUM(E82:BA82)/1000-SUM('FO 18 ene-19'!E82:BA82)/1000</f>
        <v>3961.1696099999826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SUM(E31:BA92)/1000-SUM('FO 18 ene-19'!E31:BA92)/1000-T108-T109</f>
        <v>102.75157000019681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6">C99</f>
        <v>43497</v>
      </c>
      <c r="D111" s="52">
        <f t="shared" si="6"/>
        <v>43525</v>
      </c>
      <c r="E111" s="52">
        <f t="shared" si="6"/>
        <v>43556</v>
      </c>
      <c r="F111" s="52">
        <f t="shared" si="6"/>
        <v>43586</v>
      </c>
      <c r="G111" s="52">
        <f t="shared" si="6"/>
        <v>43617</v>
      </c>
      <c r="H111" s="52">
        <f t="shared" si="6"/>
        <v>43647</v>
      </c>
      <c r="I111" s="52">
        <f t="shared" si="6"/>
        <v>43678</v>
      </c>
      <c r="J111" s="52">
        <f t="shared" si="6"/>
        <v>43709</v>
      </c>
      <c r="K111" s="52">
        <f t="shared" si="6"/>
        <v>43739</v>
      </c>
      <c r="L111" s="52">
        <f t="shared" si="6"/>
        <v>43770</v>
      </c>
      <c r="M111" s="52">
        <f t="shared" si="6"/>
        <v>43800</v>
      </c>
      <c r="P111" s="39">
        <f>N102-'FO 18 ene-19'!N102</f>
        <v>3775.8266900000162</v>
      </c>
      <c r="Q111" s="119"/>
      <c r="S111" s="70" t="s">
        <v>129</v>
      </c>
      <c r="T111" s="77">
        <f>SUM(T108:T110)</f>
        <v>4063.9211800001794</v>
      </c>
      <c r="U111" s="71">
        <f>D2/1000</f>
        <v>2058.3559000000023</v>
      </c>
      <c r="V111" s="75">
        <f>SUM(T111:U111)</f>
        <v>6122.2770800001817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3775.8266899998998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7">SUM(C112:C113)</f>
        <v>0</v>
      </c>
      <c r="D114" s="26">
        <f t="shared" si="7"/>
        <v>0</v>
      </c>
      <c r="E114" s="26">
        <f t="shared" si="7"/>
        <v>0</v>
      </c>
      <c r="F114" s="26">
        <f t="shared" si="7"/>
        <v>0</v>
      </c>
      <c r="G114" s="26">
        <f t="shared" si="7"/>
        <v>0</v>
      </c>
      <c r="H114" s="26">
        <f t="shared" si="7"/>
        <v>0</v>
      </c>
      <c r="I114" s="26">
        <f t="shared" si="7"/>
        <v>0</v>
      </c>
      <c r="J114" s="26">
        <f t="shared" si="7"/>
        <v>0</v>
      </c>
      <c r="K114" s="26">
        <f t="shared" si="7"/>
        <v>0</v>
      </c>
      <c r="L114" s="26">
        <f t="shared" si="7"/>
        <v>0</v>
      </c>
      <c r="M114" s="26">
        <f t="shared" si="7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8">C99</f>
        <v>43497</v>
      </c>
      <c r="D117" s="1">
        <f t="shared" si="8"/>
        <v>43525</v>
      </c>
      <c r="E117" s="1">
        <f t="shared" si="8"/>
        <v>43556</v>
      </c>
      <c r="F117" s="1">
        <f t="shared" si="8"/>
        <v>43586</v>
      </c>
      <c r="G117" s="1">
        <f t="shared" si="8"/>
        <v>43617</v>
      </c>
      <c r="H117" s="1">
        <f t="shared" si="8"/>
        <v>43647</v>
      </c>
      <c r="I117" s="1">
        <f t="shared" si="8"/>
        <v>43678</v>
      </c>
      <c r="J117" s="1">
        <f t="shared" si="8"/>
        <v>43709</v>
      </c>
      <c r="K117" s="1">
        <f t="shared" si="8"/>
        <v>43739</v>
      </c>
      <c r="L117" s="1">
        <f t="shared" si="8"/>
        <v>43770</v>
      </c>
      <c r="M117" s="1">
        <f t="shared" si="8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100062.89343</v>
      </c>
      <c r="C118" s="26">
        <f t="shared" ref="C118:M119" si="9">C100+C106+C112</f>
        <v>77982.752649999995</v>
      </c>
      <c r="D118" s="26">
        <f t="shared" si="9"/>
        <v>75216.468523999996</v>
      </c>
      <c r="E118" s="26">
        <f>E100+E106+E112</f>
        <v>73793.355540000004</v>
      </c>
      <c r="F118" s="26">
        <f>F100+F106+F112</f>
        <v>89928.997616000008</v>
      </c>
      <c r="G118" s="26">
        <f t="shared" si="9"/>
        <v>76257.984066000005</v>
      </c>
      <c r="H118" s="26">
        <f t="shared" si="9"/>
        <v>90214.944826000006</v>
      </c>
      <c r="I118" s="26">
        <f t="shared" si="9"/>
        <v>73850.387881999995</v>
      </c>
      <c r="J118" s="26">
        <f t="shared" si="9"/>
        <v>75219.758914000005</v>
      </c>
      <c r="K118" s="26">
        <f t="shared" si="9"/>
        <v>90372.770853999988</v>
      </c>
      <c r="L118" s="26">
        <f t="shared" si="9"/>
        <v>75639.063420000006</v>
      </c>
      <c r="M118" s="26">
        <f t="shared" si="9"/>
        <v>89325.690199999997</v>
      </c>
      <c r="N118" s="64">
        <f>SUM(B118:M118)</f>
        <v>987865.06792199996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-68428.559009999997</v>
      </c>
      <c r="C119" s="26">
        <f>C101+C107+C113</f>
        <v>-62866.725270000003</v>
      </c>
      <c r="D119" s="26">
        <f t="shared" si="9"/>
        <v>-77926.908360000001</v>
      </c>
      <c r="E119" s="26">
        <f>E101+E107+E113</f>
        <v>-70965.57852000001</v>
      </c>
      <c r="F119" s="26">
        <f>F101+F107+F113</f>
        <v>-104790.37004999998</v>
      </c>
      <c r="G119" s="26">
        <f t="shared" si="9"/>
        <v>-76524.258789999993</v>
      </c>
      <c r="H119" s="26">
        <f t="shared" si="9"/>
        <v>-101764.39685</v>
      </c>
      <c r="I119" s="26">
        <f t="shared" si="9"/>
        <v>-73701.197719999996</v>
      </c>
      <c r="J119" s="26">
        <f t="shared" si="9"/>
        <v>-67582.121760000009</v>
      </c>
      <c r="K119" s="26">
        <f t="shared" si="9"/>
        <v>-78324.847479999997</v>
      </c>
      <c r="L119" s="26">
        <f t="shared" si="9"/>
        <v>-72491.874210000009</v>
      </c>
      <c r="M119" s="26">
        <f>M101+M107+M113</f>
        <v>-59636.394560000001</v>
      </c>
      <c r="N119" s="64">
        <f>SUM(B119:M119)</f>
        <v>-915003.23257999995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31634.334419999999</v>
      </c>
      <c r="C120" s="56">
        <f t="shared" ref="C120:L120" si="10">SUM(C118:C119)</f>
        <v>15116.027379999992</v>
      </c>
      <c r="D120" s="56">
        <f>SUM(D118:D119)</f>
        <v>-2710.439836000005</v>
      </c>
      <c r="E120" s="56">
        <f>SUM(E118:E119)</f>
        <v>2827.7770199999941</v>
      </c>
      <c r="F120" s="56">
        <f>SUM(F118:F119)</f>
        <v>-14861.372433999975</v>
      </c>
      <c r="G120" s="56">
        <f t="shared" si="10"/>
        <v>-266.27472399998805</v>
      </c>
      <c r="H120" s="56">
        <f t="shared" si="10"/>
        <v>-11549.452023999998</v>
      </c>
      <c r="I120" s="56">
        <f t="shared" si="10"/>
        <v>149.19016199999896</v>
      </c>
      <c r="J120" s="56">
        <f t="shared" si="10"/>
        <v>7637.6371539999964</v>
      </c>
      <c r="K120" s="56">
        <f t="shared" si="10"/>
        <v>12047.923373999991</v>
      </c>
      <c r="L120" s="56">
        <f t="shared" si="10"/>
        <v>3147.1892099999968</v>
      </c>
      <c r="M120" s="56">
        <f>SUM(M118:M119)</f>
        <v>29689.295639999997</v>
      </c>
      <c r="N120" s="65">
        <f>SUM(B120:M120)</f>
        <v>72861.835342000006</v>
      </c>
      <c r="O120" s="133">
        <f>'FO 18 ene-19'!N120+P112+O108</f>
        <v>72861.835341999904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57">
        <f>'[12]Flujo 2018'!X3</f>
        <v>3169</v>
      </c>
      <c r="C121" s="57"/>
      <c r="D121" s="57"/>
      <c r="E121" s="57"/>
      <c r="F121" s="57"/>
      <c r="G121" s="57"/>
      <c r="H121" s="38"/>
      <c r="I121" s="38"/>
      <c r="J121" s="38"/>
      <c r="K121" s="38"/>
      <c r="L121" s="38"/>
      <c r="M121" s="38"/>
      <c r="N121" s="72">
        <f>SUM(B121)+SUM(C120:M120)</f>
        <v>44396.500921999999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-43698.698983999981</v>
      </c>
      <c r="F123" s="26">
        <f>SUM($B$121:F121)-SUM($B$120:F120)</f>
        <v>-28837.326550000005</v>
      </c>
      <c r="G123" s="26">
        <f>SUM($B$121:G121)-SUM($B$120:G120)</f>
        <v>-28571.051826000017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5.5421856678431372</v>
      </c>
      <c r="C126" s="43">
        <f>B126*4</f>
        <v>22.168742671372549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2.7662131425490197</v>
      </c>
      <c r="C127" s="43">
        <f>B127*4</f>
        <v>11.064852570196079</v>
      </c>
      <c r="Z127" s="89"/>
      <c r="AA127" s="89"/>
    </row>
    <row r="128" spans="1:30" ht="15.75" hidden="1">
      <c r="A128" s="44" t="s">
        <v>104</v>
      </c>
      <c r="B128" s="45">
        <f>SUM(B124:B127)</f>
        <v>10.687830436470589</v>
      </c>
      <c r="C128" s="45">
        <f>SUM(C124:C127)</f>
        <v>42.751321745882358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12.422368850768281</v>
      </c>
      <c r="C136" s="45">
        <f>C128+C131+C134</f>
        <v>49.689475403073125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26.209135670655137</v>
      </c>
      <c r="C138" s="47">
        <f>C136+C137</f>
        <v>63.476242222959982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BB200"/>
  <sheetViews>
    <sheetView showGridLines="0" zoomScale="70" zoomScaleNormal="70" workbookViewId="0">
      <pane xSplit="1" topLeftCell="L1" activePane="topRight" state="frozen"/>
      <selection pane="topRight" activeCell="F93" sqref="F93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2.5703125" style="9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156</v>
      </c>
      <c r="F1" s="17" t="s">
        <v>157</v>
      </c>
      <c r="G1" s="17" t="s">
        <v>158</v>
      </c>
      <c r="H1" s="17" t="s">
        <v>159</v>
      </c>
      <c r="I1" s="30" t="s">
        <v>160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>
        <f>B93-'FO 0 ene-19'!B93</f>
        <v>-19901382.190000001</v>
      </c>
      <c r="C2" s="129">
        <f>C93-'FO 0 ene-19'!C93</f>
        <v>3996332.2200000025</v>
      </c>
      <c r="D2" s="129">
        <f>D93-'FO 0 ene-19'!D93</f>
        <v>-4144388.1900000013</v>
      </c>
      <c r="E2" s="130">
        <f>E93-'FO 0 ene-19'!E93</f>
        <v>0</v>
      </c>
      <c r="F2" s="129">
        <f>F93-'FO 0 ene-19'!F93</f>
        <v>0</v>
      </c>
      <c r="G2" s="129">
        <f>G93-'FO 0 ene-19'!G93</f>
        <v>0</v>
      </c>
      <c r="H2" s="129">
        <f>H93-'FO 0 ene-19'!H93</f>
        <v>0</v>
      </c>
      <c r="I2" s="130">
        <f>I93-'FO 0 ene-19'!I93</f>
        <v>0</v>
      </c>
      <c r="J2" s="129">
        <f>J93-'FO 0 ene-19'!J93</f>
        <v>0</v>
      </c>
      <c r="K2" s="129">
        <f>K93-'FO 0 ene-19'!K93</f>
        <v>0</v>
      </c>
      <c r="L2" s="129">
        <f>L93-'FO 0 ene-19'!L93</f>
        <v>0</v>
      </c>
      <c r="M2" s="130">
        <f>M93-'FO 0 ene-19'!M93</f>
        <v>0</v>
      </c>
      <c r="N2" s="129">
        <f>N93-'FO 0 ene-19'!N93</f>
        <v>0</v>
      </c>
      <c r="O2" s="129">
        <f>O93-'FO 0 ene-19'!O93</f>
        <v>0</v>
      </c>
      <c r="P2" s="129">
        <f>P93-'FO 0 ene-19'!P93</f>
        <v>0</v>
      </c>
      <c r="Q2" s="130">
        <f>Q93-'FO 0 ene-19'!Q93</f>
        <v>0</v>
      </c>
      <c r="R2" s="129">
        <f>R93-'FO 0 ene-19'!R93</f>
        <v>0</v>
      </c>
      <c r="S2" s="129">
        <f>S93-'FO 0 ene-19'!S93</f>
        <v>0</v>
      </c>
      <c r="T2" s="129">
        <f>T93-'FO 0 ene-19'!T93</f>
        <v>0</v>
      </c>
      <c r="U2" s="129">
        <f>U93-'FO 0 ene-19'!U93</f>
        <v>0</v>
      </c>
      <c r="V2" s="130">
        <f>V93-'FO 0 ene-19'!V93</f>
        <v>0</v>
      </c>
      <c r="W2" s="129">
        <f>W93-'FO 0 ene-19'!W93</f>
        <v>0</v>
      </c>
      <c r="X2" s="129">
        <f>X93-'FO 0 ene-19'!X93</f>
        <v>0</v>
      </c>
      <c r="Y2" s="129">
        <f>Y93-'FO 0 ene-19'!Y93</f>
        <v>0</v>
      </c>
      <c r="Z2" s="130">
        <f>Z93-'FO 0 ene-19'!Z93</f>
        <v>0</v>
      </c>
      <c r="AA2" s="129">
        <f>AA93-'FO 0 ene-19'!AA93</f>
        <v>0</v>
      </c>
      <c r="AB2" s="129">
        <f>AB93-'FO 0 ene-19'!AB93</f>
        <v>0</v>
      </c>
      <c r="AC2" s="129">
        <f>AC93-'FO 0 ene-19'!AC93</f>
        <v>0</v>
      </c>
      <c r="AD2" s="129">
        <f>AD93-'FO 0 ene-19'!AD93</f>
        <v>0</v>
      </c>
      <c r="AE2" s="130">
        <f>AE93-'FO 0 ene-19'!AE93</f>
        <v>0</v>
      </c>
      <c r="AF2" s="129">
        <f>AF93-'FO 0 ene-19'!AF93</f>
        <v>0</v>
      </c>
      <c r="AG2" s="129">
        <f>AG93-'FO 0 ene-19'!AG93</f>
        <v>0</v>
      </c>
      <c r="AH2" s="129">
        <f>AH93-'FO 0 ene-19'!AH93</f>
        <v>0</v>
      </c>
      <c r="AI2" s="130">
        <f>AI93-'FO 0 ene-19'!AI93</f>
        <v>0</v>
      </c>
      <c r="AJ2" s="129">
        <f>AJ93-'FO 0 ene-19'!AJ93</f>
        <v>0</v>
      </c>
      <c r="AK2" s="129">
        <f>AK93-'FO 0 ene-19'!AK93</f>
        <v>0</v>
      </c>
      <c r="AL2" s="129">
        <f>AL93-'FO 0 ene-19'!AL93</f>
        <v>0</v>
      </c>
      <c r="AM2" s="130">
        <f>AM93-'FO 0 ene-19'!AM93</f>
        <v>0</v>
      </c>
      <c r="AN2" s="129">
        <f>AN93-'FO 0 ene-19'!AN93</f>
        <v>0</v>
      </c>
      <c r="AO2" s="129">
        <f>AO93-'FO 0 ene-19'!AO93</f>
        <v>0</v>
      </c>
      <c r="AP2" s="129">
        <f>AP93-'FO 0 ene-19'!AP93</f>
        <v>0</v>
      </c>
      <c r="AQ2" s="129">
        <f>AQ93-'FO 0 ene-19'!AQ93</f>
        <v>0</v>
      </c>
      <c r="AR2" s="130">
        <f>AR93-'FO 0 ene-19'!AR93</f>
        <v>0</v>
      </c>
      <c r="AS2" s="129">
        <f>AS93-'FO 0 ene-19'!AS93</f>
        <v>0</v>
      </c>
      <c r="AT2" s="129">
        <f>AT93-'FO 0 ene-19'!AT93</f>
        <v>0</v>
      </c>
      <c r="AU2" s="129">
        <f>AU93-'FO 0 ene-19'!AU93</f>
        <v>0</v>
      </c>
      <c r="AV2" s="130">
        <f>AV93-'FO 0 ene-19'!AV93</f>
        <v>0</v>
      </c>
      <c r="AW2" s="129">
        <f>AW93-'FO 0 ene-19'!AW93</f>
        <v>0</v>
      </c>
      <c r="AX2" s="131">
        <f>AX93-'FO 0 ene-19'!AX93</f>
        <v>0</v>
      </c>
      <c r="AY2" s="131">
        <f>AY93-'FO 0 ene-19'!AY93</f>
        <v>0</v>
      </c>
      <c r="AZ2" s="131">
        <f>AZ93-'FO 0 ene-19'!AZ93</f>
        <v>0</v>
      </c>
      <c r="BA2" s="131">
        <f>BA93-'FO 0 ene-19'!BA93</f>
        <v>0</v>
      </c>
    </row>
    <row r="3" spans="1:54" s="5" customFormat="1" ht="12.75">
      <c r="A3" s="3" t="s">
        <v>2</v>
      </c>
      <c r="B3" s="18"/>
      <c r="C3" s="18">
        <v>32102771.949999999</v>
      </c>
      <c r="D3" s="18">
        <v>24997439.850000001</v>
      </c>
      <c r="E3" s="32">
        <v>23882789.740000002</v>
      </c>
      <c r="F3" s="18">
        <v>29033010.229999997</v>
      </c>
      <c r="G3" s="18">
        <v>29589308.229999997</v>
      </c>
      <c r="H3" s="18">
        <v>35131290.099999994</v>
      </c>
      <c r="I3" s="32">
        <v>42505095.409999996</v>
      </c>
      <c r="J3" s="18">
        <v>53446958.009999998</v>
      </c>
      <c r="K3" s="18">
        <v>65582543.370999992</v>
      </c>
      <c r="L3" s="18">
        <v>52864701.821999997</v>
      </c>
      <c r="M3" s="32">
        <v>43290172.213</v>
      </c>
      <c r="N3" s="18">
        <v>45747514.504000001</v>
      </c>
      <c r="O3" s="18">
        <v>50095110.434</v>
      </c>
      <c r="P3" s="18">
        <v>39982740.744000003</v>
      </c>
      <c r="Q3" s="32">
        <v>37877372.893999994</v>
      </c>
      <c r="R3" s="18">
        <v>60070303.153999999</v>
      </c>
      <c r="S3" s="18">
        <v>40801463.119200006</v>
      </c>
      <c r="T3" s="18">
        <v>38912838.264400005</v>
      </c>
      <c r="U3" s="18">
        <v>19137001.479600005</v>
      </c>
      <c r="V3" s="32">
        <v>19199543.334800009</v>
      </c>
      <c r="W3" s="18">
        <v>16846255.260000005</v>
      </c>
      <c r="X3" s="18">
        <v>3649979.5340000056</v>
      </c>
      <c r="Y3" s="18">
        <v>6274945.7680000123</v>
      </c>
      <c r="Z3" s="32">
        <v>1398554.5820000153</v>
      </c>
      <c r="AA3" s="18">
        <v>7505780.5360000152</v>
      </c>
      <c r="AB3" s="18">
        <v>7830557.3772000149</v>
      </c>
      <c r="AC3" s="18">
        <v>5327813.2784000123</v>
      </c>
      <c r="AD3" s="18">
        <v>-13299948.270399988</v>
      </c>
      <c r="AE3" s="32">
        <v>-12327876.559199993</v>
      </c>
      <c r="AF3" s="18">
        <v>-15856100.847999994</v>
      </c>
      <c r="AG3" s="18">
        <v>-23716693.904999997</v>
      </c>
      <c r="AH3" s="18">
        <v>-32252078.171999995</v>
      </c>
      <c r="AI3" s="32">
        <v>-31340691.448999997</v>
      </c>
      <c r="AJ3" s="18">
        <v>-32019226.785999998</v>
      </c>
      <c r="AK3" s="18">
        <v>-25618805.254999999</v>
      </c>
      <c r="AL3" s="18">
        <v>-38319806.363999993</v>
      </c>
      <c r="AM3" s="32">
        <v>-36520642.362999998</v>
      </c>
      <c r="AN3" s="18">
        <v>-44584123.101999998</v>
      </c>
      <c r="AO3" s="18">
        <v>-47582071.259199999</v>
      </c>
      <c r="AP3" s="18">
        <v>-43241367.396400005</v>
      </c>
      <c r="AQ3" s="18">
        <v>-46674914.903600007</v>
      </c>
      <c r="AR3" s="32">
        <v>-42001772.870800011</v>
      </c>
      <c r="AS3" s="18">
        <v>-43352431.788000017</v>
      </c>
      <c r="AT3" s="18">
        <v>-38441188.638000011</v>
      </c>
      <c r="AU3" s="18">
        <v>-53175324.328000017</v>
      </c>
      <c r="AV3" s="32">
        <v>-50122294.138000019</v>
      </c>
      <c r="AW3" s="18">
        <v>-47373460.308000006</v>
      </c>
      <c r="AX3" s="18">
        <v>-37506267.508000001</v>
      </c>
      <c r="AY3" s="18">
        <v>-38951044.027999997</v>
      </c>
      <c r="AZ3" s="18">
        <v>-31300607.387999997</v>
      </c>
      <c r="BA3" s="18">
        <v>-19525434.527999997</v>
      </c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52696.912231999995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17733377.16</v>
      </c>
      <c r="E30" s="33">
        <v>18228248.219999995</v>
      </c>
      <c r="F30" s="20">
        <v>17500128.350000001</v>
      </c>
      <c r="G30" s="20">
        <v>16816789.139999997</v>
      </c>
      <c r="H30" s="20">
        <v>16724375.780000001</v>
      </c>
      <c r="I30" s="33">
        <v>15957042.380000001</v>
      </c>
      <c r="J30" s="20">
        <v>16829610.390999999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852086.54631200014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0</v>
      </c>
      <c r="F42" s="24">
        <v>0</v>
      </c>
      <c r="G42" s="24">
        <v>0</v>
      </c>
      <c r="H42" s="24">
        <v>0</v>
      </c>
      <c r="I42" s="31">
        <v>0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-761.89683000000002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0</v>
      </c>
      <c r="F44" s="24">
        <v>0</v>
      </c>
      <c r="G44" s="24">
        <v>0</v>
      </c>
      <c r="H44" s="24">
        <v>0</v>
      </c>
      <c r="I44" s="31">
        <v>0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-608.86541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1"/>
        <v>-34665.044900000001</v>
      </c>
    </row>
    <row r="48" spans="1:54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1"/>
        <v>0</v>
      </c>
    </row>
    <row r="49" spans="1:54" s="4" customFormat="1" ht="15" hidden="1" outlineLevel="1">
      <c r="A49" s="3" t="s">
        <v>48</v>
      </c>
      <c r="B49" s="24"/>
      <c r="C49" s="24">
        <v>-2392546</v>
      </c>
      <c r="D49" s="24">
        <v>-2392546</v>
      </c>
      <c r="E49" s="31">
        <v>0</v>
      </c>
      <c r="F49" s="24">
        <v>0</v>
      </c>
      <c r="G49" s="24">
        <v>0</v>
      </c>
      <c r="H49" s="24">
        <v>-2187689.96</v>
      </c>
      <c r="I49" s="31">
        <v>0</v>
      </c>
      <c r="J49" s="24">
        <v>0</v>
      </c>
      <c r="K49" s="24">
        <v>0</v>
      </c>
      <c r="L49" s="24">
        <v>-2858200.4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1"/>
        <v>-38159.063020000001</v>
      </c>
    </row>
    <row r="50" spans="1:54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-36663.24</v>
      </c>
      <c r="F59" s="24">
        <v>-36663.24</v>
      </c>
      <c r="G59" s="24">
        <v>-36663.24</v>
      </c>
      <c r="H59" s="24">
        <v>-36663.24</v>
      </c>
      <c r="I59" s="31">
        <v>-74191.34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-3490.9790000000007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-50005.94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-721.62625000000003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-3607.8649799999994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-464145.15</v>
      </c>
      <c r="F62" s="24">
        <v>-464145.15</v>
      </c>
      <c r="G62" s="24">
        <v>-464145.15</v>
      </c>
      <c r="H62" s="24">
        <v>-464145.15</v>
      </c>
      <c r="I62" s="31">
        <v>-252181.83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-14607.926189999995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-172514.95</v>
      </c>
      <c r="F65" s="24">
        <v>-172514.95</v>
      </c>
      <c r="G65" s="24">
        <v>-172514.95</v>
      </c>
      <c r="H65" s="24">
        <v>-172514.95</v>
      </c>
      <c r="I65" s="31">
        <v>-139333.47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-8158.4050600000019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-296033.27</v>
      </c>
      <c r="F67" s="24">
        <v>-296033.27</v>
      </c>
      <c r="G67" s="24">
        <v>-296033.27</v>
      </c>
      <c r="H67" s="24">
        <v>-296033.27</v>
      </c>
      <c r="I67" s="31">
        <v>-251559.92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-13841.765259999993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-2051026.3</v>
      </c>
      <c r="F68" s="24">
        <v>-2051026.3</v>
      </c>
      <c r="G68" s="24">
        <v>-2051026.3</v>
      </c>
      <c r="H68" s="24">
        <v>-2051026.3</v>
      </c>
      <c r="I68" s="31">
        <v>-1710225.35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-89324.995870000013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-644941.94999999995</v>
      </c>
      <c r="F73" s="16">
        <v>-644941.94999999995</v>
      </c>
      <c r="G73" s="16">
        <v>-644941.94999999995</v>
      </c>
      <c r="H73" s="16">
        <v>-644941.94999999995</v>
      </c>
      <c r="I73" s="35">
        <v>-540307.13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-29651.35243000001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-320442.23999999999</v>
      </c>
      <c r="F75" s="24">
        <v>-320442.23999999999</v>
      </c>
      <c r="G75" s="24">
        <v>-320442.23999999999</v>
      </c>
      <c r="H75" s="24">
        <v>-320442.23999999999</v>
      </c>
      <c r="I75" s="31">
        <v>-254152.59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-15024.913690000005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-78875.179999999993</v>
      </c>
      <c r="F79" s="24">
        <v>-78875.179999999993</v>
      </c>
      <c r="G79" s="24">
        <v>-78875.179999999993</v>
      </c>
      <c r="H79" s="24">
        <v>-78875.179999999993</v>
      </c>
      <c r="I79" s="31">
        <v>-58337.37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-3169.1088800000002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-2159390.0499999998</v>
      </c>
      <c r="F82" s="121">
        <v>-9290434.4499999993</v>
      </c>
      <c r="G82" s="121">
        <v>-5136826.93</v>
      </c>
      <c r="H82" s="121">
        <v>-1812826.93</v>
      </c>
      <c r="I82" s="120">
        <v>-2560535.35</v>
      </c>
      <c r="J82" s="121">
        <v>-1471182.6</v>
      </c>
      <c r="K82" s="121">
        <v>-14330728.48</v>
      </c>
      <c r="L82" s="121">
        <v>-14330728.48</v>
      </c>
      <c r="M82" s="120">
        <v>-1471182.6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-286612.63867000001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-41951.47</v>
      </c>
      <c r="F87" s="24">
        <v>-41951.47</v>
      </c>
      <c r="G87" s="24">
        <v>-41951.47</v>
      </c>
      <c r="H87" s="24">
        <v>-41951.47</v>
      </c>
      <c r="I87" s="31">
        <v>-37350.99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-2091.3812099999991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-428683.34</v>
      </c>
      <c r="F88" s="24">
        <v>0</v>
      </c>
      <c r="G88" s="24">
        <v>0</v>
      </c>
      <c r="H88" s="24">
        <v>0</v>
      </c>
      <c r="I88" s="31">
        <v>-449177.34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-5214.3640799999994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-874547.43</v>
      </c>
      <c r="F89" s="24">
        <v>-874547.43</v>
      </c>
      <c r="G89" s="24">
        <v>-874547.43</v>
      </c>
      <c r="H89" s="24">
        <v>-874547.43</v>
      </c>
      <c r="I89" s="31">
        <v>-747255.85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-49253.844919999996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-18697.189999999999</v>
      </c>
      <c r="F90" s="24">
        <v>-18697.189999999999</v>
      </c>
      <c r="G90" s="24">
        <v>-18697.189999999999</v>
      </c>
      <c r="H90" s="24">
        <v>-18697.189999999999</v>
      </c>
      <c r="I90" s="31">
        <v>-14786.84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-875.21506000000056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-1161901.83</v>
      </c>
      <c r="F92" s="24">
        <v>-1161901.83</v>
      </c>
      <c r="G92" s="24">
        <v>-1161901.83</v>
      </c>
      <c r="H92" s="24">
        <v>-1161901.83</v>
      </c>
      <c r="I92" s="31">
        <v>-1076648.08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-57620.68995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-11685721.520000001</v>
      </c>
      <c r="E93" s="32">
        <v>-12908221.979999999</v>
      </c>
      <c r="F93" s="18">
        <v>-15898819.6</v>
      </c>
      <c r="G93" s="18">
        <v>-16660173.970000001</v>
      </c>
      <c r="H93" s="18">
        <v>-10185764.719999999</v>
      </c>
      <c r="I93" s="32">
        <v>-13038612.179999998</v>
      </c>
      <c r="J93" s="18">
        <v>-6713457.4299999997</v>
      </c>
      <c r="K93" s="18">
        <v>-25655581.119999997</v>
      </c>
      <c r="L93" s="18">
        <v>-23075751.75</v>
      </c>
      <c r="M93" s="32">
        <v>-11266317.059999999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-785113.4196599999</v>
      </c>
    </row>
    <row r="94" spans="1:54" s="8" customFormat="1" ht="12.75">
      <c r="A94" s="7" t="s">
        <v>1</v>
      </c>
      <c r="B94" s="21">
        <f>B30+B93</f>
        <v>16436818.079999994</v>
      </c>
      <c r="C94" s="21">
        <f>C30+C93</f>
        <v>2892569.9699999988</v>
      </c>
      <c r="D94" s="21">
        <v>6047655.6399999987</v>
      </c>
      <c r="E94" s="36">
        <v>5320026.2399999965</v>
      </c>
      <c r="F94" s="21">
        <v>1601308.7500000019</v>
      </c>
      <c r="G94" s="21">
        <v>156615.1699999962</v>
      </c>
      <c r="H94" s="21">
        <v>6538611.0600000024</v>
      </c>
      <c r="I94" s="36">
        <v>2918430.200000003</v>
      </c>
      <c r="J94" s="21">
        <v>10116152.960999999</v>
      </c>
      <c r="K94" s="21">
        <v>-9694607.9489999991</v>
      </c>
      <c r="L94" s="21">
        <v>-7320234.7389999982</v>
      </c>
      <c r="M94" s="36">
        <v>4438909.8910000008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66973.126651999992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90431.221819999992</v>
      </c>
      <c r="C100" s="58">
        <f>SUM(F30:I30)/1000</f>
        <v>66998.335649999994</v>
      </c>
      <c r="D100" s="58">
        <f>SUM(J30:M30)/1000</f>
        <v>64251.327523999993</v>
      </c>
      <c r="E100" s="58">
        <f>SUM(N30:Q30)/1000</f>
        <v>63099.011540000007</v>
      </c>
      <c r="F100" s="60">
        <f>SUM(R30:V30)/1000</f>
        <v>78165.287616000001</v>
      </c>
      <c r="G100" s="60">
        <f>SUM(W30:Z30)/1000</f>
        <v>64585.114066000002</v>
      </c>
      <c r="H100" s="60">
        <f>SUM(AA30:AE30)/1000</f>
        <v>78676.504826000004</v>
      </c>
      <c r="I100" s="60">
        <f>SUM(AF30:AI30)/1000</f>
        <v>62163.924881999999</v>
      </c>
      <c r="J100" s="60">
        <f>SUM(AJ30:AM30)/1000</f>
        <v>63346.545914000002</v>
      </c>
      <c r="K100" s="60">
        <f>SUM(AN30:AR30)/1000</f>
        <v>78530.923853999993</v>
      </c>
      <c r="L100" s="60">
        <f>SUM(AS30:AV30)/1000</f>
        <v>63675.912420000001</v>
      </c>
      <c r="M100" s="60">
        <f>SUM(AW30:BA30)/1000</f>
        <v>78162.436199999996</v>
      </c>
      <c r="N100" s="60">
        <f>SUM(B100:M100)</f>
        <v>852086.54631200002</v>
      </c>
      <c r="O100" s="39"/>
    </row>
    <row r="101" spans="1:54" s="23" customFormat="1">
      <c r="A101" s="3" t="s">
        <v>94</v>
      </c>
      <c r="B101" s="58">
        <f>SUM(B93:E93)/1000</f>
        <v>-59734.151890000001</v>
      </c>
      <c r="C101" s="58">
        <f>SUM(F93:I93)/1000</f>
        <v>-55783.370470000002</v>
      </c>
      <c r="D101" s="58">
        <f>SUM(J93:M93)/1000</f>
        <v>-66711.107359999995</v>
      </c>
      <c r="E101" s="58">
        <f>SUM(N93:Q93)/1000</f>
        <v>-59146.76352</v>
      </c>
      <c r="F101" s="60">
        <f>SUM(R93:V93)/1000</f>
        <v>-93315.297049999979</v>
      </c>
      <c r="G101" s="60">
        <f>SUM(W93:Z93)/1000</f>
        <v>-65075.611789999988</v>
      </c>
      <c r="H101" s="60">
        <f>SUM(AA93:AE93)/1000</f>
        <v>-90132.817850000007</v>
      </c>
      <c r="I101" s="39">
        <f>SUM(AF93:AI93)/1000</f>
        <v>-62219.348720000002</v>
      </c>
      <c r="J101" s="39">
        <f>SUM(AJ93:AM93)/1000</f>
        <v>-56114.958760000001</v>
      </c>
      <c r="K101" s="39">
        <f>SUM(AN93:AR93)/1000</f>
        <v>-67001.817479999998</v>
      </c>
      <c r="L101" s="39">
        <f>SUM(AS93:AV93)/1000</f>
        <v>-61363.330209999993</v>
      </c>
      <c r="M101" s="39">
        <f>SUM(AW93:BA93)/1000</f>
        <v>-48514.844560000005</v>
      </c>
      <c r="N101" s="60">
        <f>SUM(B101:M101)</f>
        <v>-785113.4196599999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30697.069929999991</v>
      </c>
      <c r="C102" s="58">
        <f t="shared" ref="C102:L102" si="3">SUM(C100:C101)</f>
        <v>11214.965179999992</v>
      </c>
      <c r="D102" s="58">
        <f>SUM(D100:D101)</f>
        <v>-2459.7798360000015</v>
      </c>
      <c r="E102" s="58">
        <f>SUM(E100:E101)</f>
        <v>3952.2480200000064</v>
      </c>
      <c r="F102" s="60">
        <f>SUM(F100:F101)</f>
        <v>-15150.009433999978</v>
      </c>
      <c r="G102" s="60">
        <f t="shared" si="3"/>
        <v>-490.49772399998619</v>
      </c>
      <c r="H102" s="60">
        <f t="shared" si="3"/>
        <v>-11456.313024000003</v>
      </c>
      <c r="I102" s="60">
        <f t="shared" si="3"/>
        <v>-55.423838000002434</v>
      </c>
      <c r="J102" s="60">
        <f t="shared" si="3"/>
        <v>7231.5871540000007</v>
      </c>
      <c r="K102" s="60">
        <f t="shared" si="3"/>
        <v>11529.106373999995</v>
      </c>
      <c r="L102" s="60">
        <f t="shared" si="3"/>
        <v>2312.5822100000078</v>
      </c>
      <c r="M102" s="60">
        <f>SUM(M100:M101)</f>
        <v>29647.591639999991</v>
      </c>
      <c r="N102" s="60">
        <f>SUM(B102:M102)</f>
        <v>66973.126652000006</v>
      </c>
      <c r="O102" s="133">
        <f>BB94-N102</f>
        <v>0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0 ene-19'!N100</f>
        <v>36846.318089999957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0 ene-19'!N100</f>
        <v>36846.318089999957</v>
      </c>
      <c r="Q104" s="73" t="s">
        <v>125</v>
      </c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4">C99</f>
        <v>43497</v>
      </c>
      <c r="D105" s="52">
        <f t="shared" si="4"/>
        <v>43525</v>
      </c>
      <c r="E105" s="52">
        <f t="shared" si="4"/>
        <v>43556</v>
      </c>
      <c r="F105" s="52">
        <f t="shared" si="4"/>
        <v>43586</v>
      </c>
      <c r="G105" s="52">
        <f t="shared" si="4"/>
        <v>43617</v>
      </c>
      <c r="H105" s="52">
        <f t="shared" si="4"/>
        <v>43647</v>
      </c>
      <c r="I105" s="52">
        <f t="shared" si="4"/>
        <v>43678</v>
      </c>
      <c r="J105" s="52">
        <f t="shared" si="4"/>
        <v>43709</v>
      </c>
      <c r="K105" s="52">
        <f t="shared" si="4"/>
        <v>43739</v>
      </c>
      <c r="L105" s="52">
        <f t="shared" si="4"/>
        <v>43770</v>
      </c>
      <c r="M105" s="52">
        <f t="shared" si="4"/>
        <v>43800</v>
      </c>
    </row>
    <row r="106" spans="1:54" s="23" customFormat="1">
      <c r="A106" s="3" t="s">
        <v>93</v>
      </c>
      <c r="B106" s="22">
        <f>[11]Todo!F471</f>
        <v>3978.1219999999998</v>
      </c>
      <c r="C106" s="22">
        <f>[11]Todo!G471-[11]Todo!F471</f>
        <v>2984.4169999999999</v>
      </c>
      <c r="D106" s="22">
        <f>[11]Todo!H471-[11]Todo!G471</f>
        <v>2965.1410000000005</v>
      </c>
      <c r="E106" s="22">
        <f>[11]Todo!I471-[11]Todo!H471</f>
        <v>2694.344000000001</v>
      </c>
      <c r="F106" s="22">
        <f>[11]Todo!J471-[11]Todo!I471</f>
        <v>3763.7099999999991</v>
      </c>
      <c r="G106" s="22">
        <f>[11]Todo!K471-[11]Todo!J471</f>
        <v>3672.869999999999</v>
      </c>
      <c r="H106" s="22">
        <f>[11]Todo!L471-[11]Todo!K471</f>
        <v>3538.4400000000023</v>
      </c>
      <c r="I106" s="22">
        <f>[11]Todo!M471-[11]Todo!L471</f>
        <v>3686.4629999999997</v>
      </c>
      <c r="J106" s="22">
        <f>[11]Todo!N471-[11]Todo!M471</f>
        <v>3873.2129999999961</v>
      </c>
      <c r="K106" s="22">
        <f>[11]Todo!O471-[11]Todo!N471</f>
        <v>3841.8469999999979</v>
      </c>
      <c r="L106" s="22">
        <f>[11]Todo!P471-[11]Todo!O471</f>
        <v>3963.1510000000053</v>
      </c>
      <c r="M106" s="22">
        <f>[11]Todo!Q471-[11]Todo!P471</f>
        <v>3163.2540000000008</v>
      </c>
      <c r="O106" s="62"/>
      <c r="P106" s="39"/>
    </row>
    <row r="107" spans="1:54" s="23" customFormat="1">
      <c r="A107" s="3" t="s">
        <v>94</v>
      </c>
      <c r="B107" s="22">
        <f>SUM([11]Todo!F472:F479)</f>
        <v>-2922.9680000000003</v>
      </c>
      <c r="C107" s="22">
        <f>SUM([11]Todo!G472:G479)-SUM([11]Todo!F472:F479)</f>
        <v>-2977.0709999999995</v>
      </c>
      <c r="D107" s="22">
        <f>SUM([11]Todo!H472:H479)-SUM([11]Todo!G472:G479)</f>
        <v>-3215.8010000000004</v>
      </c>
      <c r="E107" s="22">
        <f>SUM([11]Todo!I472:I479)-SUM([11]Todo!H472:H479)</f>
        <v>-3818.8150000000005</v>
      </c>
      <c r="F107" s="22">
        <f>SUM([11]Todo!J472:J479)-SUM([11]Todo!I472:I479)</f>
        <v>-3475.0729999999985</v>
      </c>
      <c r="G107" s="22">
        <f>SUM([11]Todo!K472:K479)-SUM([11]Todo!J472:J479)</f>
        <v>-3448.6470000000008</v>
      </c>
      <c r="H107" s="22">
        <f>SUM([11]Todo!L472:L479)-SUM([11]Todo!K472:K479)</f>
        <v>-3631.5789999999979</v>
      </c>
      <c r="I107" s="22">
        <f>SUM([11]Todo!M472:M479)-SUM([11]Todo!L472:L479)</f>
        <v>-3481.849000000002</v>
      </c>
      <c r="J107" s="22">
        <f>SUM([11]Todo!N472:N479)-SUM([11]Todo!M472:M479)</f>
        <v>-3467.1630000000005</v>
      </c>
      <c r="K107" s="22">
        <f>SUM([11]Todo!O472:O479)-SUM([11]Todo!N472:N479)</f>
        <v>-3323.0299999999988</v>
      </c>
      <c r="L107" s="22">
        <f>SUM([11]Todo!P472:P479)-SUM([11]Todo!O472:O479)</f>
        <v>-3128.544000000009</v>
      </c>
      <c r="M107" s="22">
        <f>SUM([11]Todo!Q472:Q479)-SUM([11]Todo!P472:P479)</f>
        <v>-3121.5499999999956</v>
      </c>
      <c r="O107" s="58"/>
      <c r="P107" s="39">
        <f>SUM(B2:BA2)/1000</f>
        <v>-20049.438160000002</v>
      </c>
      <c r="Q107" s="23" t="s">
        <v>152</v>
      </c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5">SUM(C106:C107)</f>
        <v>7.3460000000004584</v>
      </c>
      <c r="D108" s="22">
        <f t="shared" si="5"/>
        <v>-250.65999999999985</v>
      </c>
      <c r="E108" s="22">
        <f t="shared" si="5"/>
        <v>-1124.4709999999995</v>
      </c>
      <c r="F108" s="22">
        <f t="shared" si="5"/>
        <v>288.63700000000063</v>
      </c>
      <c r="G108" s="22">
        <f t="shared" si="5"/>
        <v>224.22299999999814</v>
      </c>
      <c r="H108" s="22">
        <f t="shared" si="5"/>
        <v>-93.138999999995576</v>
      </c>
      <c r="I108" s="39">
        <f t="shared" si="5"/>
        <v>204.61399999999776</v>
      </c>
      <c r="J108" s="39">
        <f t="shared" si="5"/>
        <v>406.04999999999563</v>
      </c>
      <c r="K108" s="39">
        <f t="shared" si="5"/>
        <v>518.8169999999991</v>
      </c>
      <c r="L108" s="39">
        <f t="shared" si="5"/>
        <v>834.60699999999633</v>
      </c>
      <c r="M108" s="39">
        <f t="shared" si="5"/>
        <v>41.70400000000518</v>
      </c>
      <c r="N108" s="59">
        <f>SUM(B108:M108)</f>
        <v>2112.8819999999978</v>
      </c>
      <c r="O108" s="133">
        <f>N108-SUM('FO 0 ene-19'!B108:M108)</f>
        <v>-1101.5420000000086</v>
      </c>
      <c r="P108" s="78">
        <f>N101-'FO 0 ene-19'!N101</f>
        <v>-20049.43816000002</v>
      </c>
      <c r="Q108" s="61" t="s">
        <v>103</v>
      </c>
      <c r="R108" s="63"/>
      <c r="S108" s="23" t="s">
        <v>126</v>
      </c>
      <c r="T108" s="115">
        <f>SUM(D47:BA50)/1000-SUM('FO 0 ene-19'!D47:BA50)/1000</f>
        <v>-2392.5459999999948</v>
      </c>
      <c r="U108" s="74" t="s">
        <v>206</v>
      </c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SUM(D82:BA82)/1000-SUM('FO 0 ene-19'!D82:BA82)/1000</f>
        <v>0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SUM(D31:BA92)/1000-SUM('FO 0 ene-19'!D31:BA92)/1000-T108-T109</f>
        <v>-1751.8421899999739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6">C99</f>
        <v>43497</v>
      </c>
      <c r="D111" s="52">
        <f t="shared" si="6"/>
        <v>43525</v>
      </c>
      <c r="E111" s="52">
        <f t="shared" si="6"/>
        <v>43556</v>
      </c>
      <c r="F111" s="52">
        <f t="shared" si="6"/>
        <v>43586</v>
      </c>
      <c r="G111" s="52">
        <f t="shared" si="6"/>
        <v>43617</v>
      </c>
      <c r="H111" s="52">
        <f t="shared" si="6"/>
        <v>43647</v>
      </c>
      <c r="I111" s="52">
        <f t="shared" si="6"/>
        <v>43678</v>
      </c>
      <c r="J111" s="52">
        <f t="shared" si="6"/>
        <v>43709</v>
      </c>
      <c r="K111" s="52">
        <f t="shared" si="6"/>
        <v>43739</v>
      </c>
      <c r="L111" s="52">
        <f t="shared" si="6"/>
        <v>43770</v>
      </c>
      <c r="M111" s="52">
        <f t="shared" si="6"/>
        <v>43800</v>
      </c>
      <c r="P111" s="39">
        <f>N102-'FO 0 ene-19'!N102</f>
        <v>16796.879929999974</v>
      </c>
      <c r="Q111" s="119"/>
      <c r="S111" s="70" t="s">
        <v>129</v>
      </c>
      <c r="T111" s="77">
        <f>SUM(T108:T110)</f>
        <v>-4144.3881899999687</v>
      </c>
      <c r="U111" s="71">
        <f>C2/1000+B2/1000</f>
        <v>-15905.049969999998</v>
      </c>
      <c r="V111" s="75">
        <f>SUM(T111:U111)</f>
        <v>-20049.438159999969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>
        <f>P104+P108</f>
        <v>16796.879929999937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7">SUM(C112:C113)</f>
        <v>0</v>
      </c>
      <c r="D114" s="26">
        <f t="shared" si="7"/>
        <v>0</v>
      </c>
      <c r="E114" s="26">
        <f t="shared" si="7"/>
        <v>0</v>
      </c>
      <c r="F114" s="26">
        <f t="shared" si="7"/>
        <v>0</v>
      </c>
      <c r="G114" s="26">
        <f t="shared" si="7"/>
        <v>0</v>
      </c>
      <c r="H114" s="26">
        <f t="shared" si="7"/>
        <v>0</v>
      </c>
      <c r="I114" s="26">
        <f t="shared" si="7"/>
        <v>0</v>
      </c>
      <c r="J114" s="26">
        <f t="shared" si="7"/>
        <v>0</v>
      </c>
      <c r="K114" s="26">
        <f t="shared" si="7"/>
        <v>0</v>
      </c>
      <c r="L114" s="26">
        <f t="shared" si="7"/>
        <v>0</v>
      </c>
      <c r="M114" s="26">
        <f t="shared" si="7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8">C99</f>
        <v>43497</v>
      </c>
      <c r="D117" s="1">
        <f t="shared" si="8"/>
        <v>43525</v>
      </c>
      <c r="E117" s="1">
        <f t="shared" si="8"/>
        <v>43556</v>
      </c>
      <c r="F117" s="1">
        <f t="shared" si="8"/>
        <v>43586</v>
      </c>
      <c r="G117" s="1">
        <f t="shared" si="8"/>
        <v>43617</v>
      </c>
      <c r="H117" s="1">
        <f t="shared" si="8"/>
        <v>43647</v>
      </c>
      <c r="I117" s="1">
        <f t="shared" si="8"/>
        <v>43678</v>
      </c>
      <c r="J117" s="1">
        <f t="shared" si="8"/>
        <v>43709</v>
      </c>
      <c r="K117" s="1">
        <f t="shared" si="8"/>
        <v>43739</v>
      </c>
      <c r="L117" s="1">
        <f t="shared" si="8"/>
        <v>43770</v>
      </c>
      <c r="M117" s="1">
        <f t="shared" si="8"/>
        <v>43800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102409.34381999999</v>
      </c>
      <c r="C118" s="26">
        <f t="shared" ref="C118:M119" si="9">C100+C106+C112</f>
        <v>77982.752649999995</v>
      </c>
      <c r="D118" s="26">
        <f t="shared" si="9"/>
        <v>75216.468523999996</v>
      </c>
      <c r="E118" s="26">
        <f>E100+E106+E112</f>
        <v>73793.355540000004</v>
      </c>
      <c r="F118" s="26">
        <f>F100+F106+F112</f>
        <v>89928.997616000008</v>
      </c>
      <c r="G118" s="26">
        <f t="shared" si="9"/>
        <v>76257.984066000005</v>
      </c>
      <c r="H118" s="26">
        <f t="shared" si="9"/>
        <v>90214.944826000006</v>
      </c>
      <c r="I118" s="26">
        <f t="shared" si="9"/>
        <v>73850.387881999995</v>
      </c>
      <c r="J118" s="26">
        <f t="shared" si="9"/>
        <v>75219.758914000005</v>
      </c>
      <c r="K118" s="26">
        <f t="shared" si="9"/>
        <v>90372.770853999988</v>
      </c>
      <c r="L118" s="26">
        <f t="shared" si="9"/>
        <v>75639.063420000006</v>
      </c>
      <c r="M118" s="26">
        <f t="shared" si="9"/>
        <v>89325.690199999997</v>
      </c>
      <c r="N118" s="64">
        <f>SUM(B118:M118)</f>
        <v>990211.51831199997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-70657.119890000002</v>
      </c>
      <c r="C119" s="26">
        <f>C101+C107+C113</f>
        <v>-66760.441469999991</v>
      </c>
      <c r="D119" s="26">
        <f t="shared" si="9"/>
        <v>-77926.908360000001</v>
      </c>
      <c r="E119" s="26">
        <f>E101+E107+E113</f>
        <v>-70965.57852000001</v>
      </c>
      <c r="F119" s="26">
        <f>F101+F107+F113</f>
        <v>-104790.37004999998</v>
      </c>
      <c r="G119" s="26">
        <f t="shared" si="9"/>
        <v>-76524.258789999993</v>
      </c>
      <c r="H119" s="26">
        <f t="shared" si="9"/>
        <v>-101764.39685</v>
      </c>
      <c r="I119" s="26">
        <f t="shared" si="9"/>
        <v>-73701.197719999996</v>
      </c>
      <c r="J119" s="26">
        <f t="shared" si="9"/>
        <v>-67582.121760000009</v>
      </c>
      <c r="K119" s="26">
        <f t="shared" si="9"/>
        <v>-78324.847479999997</v>
      </c>
      <c r="L119" s="26">
        <f t="shared" si="9"/>
        <v>-72491.874210000009</v>
      </c>
      <c r="M119" s="26">
        <f>M101+M107+M113</f>
        <v>-59636.394560000001</v>
      </c>
      <c r="N119" s="64">
        <f>SUM(B119:M119)</f>
        <v>-921125.5096600001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31752.223929999993</v>
      </c>
      <c r="C120" s="56">
        <f t="shared" ref="C120:L120" si="10">SUM(C118:C119)</f>
        <v>11222.311180000004</v>
      </c>
      <c r="D120" s="56">
        <f>SUM(D118:D119)</f>
        <v>-2710.439836000005</v>
      </c>
      <c r="E120" s="56">
        <f>SUM(E118:E119)</f>
        <v>2827.7770199999941</v>
      </c>
      <c r="F120" s="56">
        <f>SUM(F118:F119)</f>
        <v>-14861.372433999975</v>
      </c>
      <c r="G120" s="56">
        <f t="shared" si="10"/>
        <v>-266.27472399998805</v>
      </c>
      <c r="H120" s="56">
        <f t="shared" si="10"/>
        <v>-11549.452023999998</v>
      </c>
      <c r="I120" s="56">
        <f t="shared" si="10"/>
        <v>149.19016199999896</v>
      </c>
      <c r="J120" s="56">
        <f t="shared" si="10"/>
        <v>7637.6371539999964</v>
      </c>
      <c r="K120" s="56">
        <f t="shared" si="10"/>
        <v>12047.923373999991</v>
      </c>
      <c r="L120" s="56">
        <f t="shared" si="10"/>
        <v>3147.1892099999968</v>
      </c>
      <c r="M120" s="56">
        <f>SUM(M118:M119)</f>
        <v>29689.295639999997</v>
      </c>
      <c r="N120" s="65">
        <f>SUM(B120:M120)</f>
        <v>69086.008652000004</v>
      </c>
      <c r="O120" s="133">
        <f>'FO 0 ene-19'!N120+P112+O108</f>
        <v>69086.00865199999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73850.387881999995</v>
      </c>
      <c r="U120" s="9"/>
      <c r="V120" s="9"/>
      <c r="W120" s="80">
        <f>SUM(W117:W119)</f>
        <v>314967.434847</v>
      </c>
      <c r="X120" s="9"/>
      <c r="Y120" s="9"/>
      <c r="Z120" s="76">
        <f>R120+T120+W120</f>
        <v>963023.82272899989</v>
      </c>
      <c r="AA120" s="89"/>
    </row>
    <row r="121" spans="1:30" ht="15">
      <c r="A121" s="40" t="s">
        <v>124</v>
      </c>
      <c r="B121" s="57">
        <f>'[12]Flujo 2018'!X3</f>
        <v>3169</v>
      </c>
      <c r="C121" s="57"/>
      <c r="D121" s="57"/>
      <c r="E121" s="57"/>
      <c r="F121" s="57"/>
      <c r="G121" s="57"/>
      <c r="H121" s="38"/>
      <c r="I121" s="38"/>
      <c r="J121" s="38"/>
      <c r="K121" s="38"/>
      <c r="L121" s="38"/>
      <c r="M121" s="38"/>
      <c r="N121" s="72">
        <f>SUM(B121)+SUM(C120:M120)</f>
        <v>40502.784722000011</v>
      </c>
      <c r="O121" s="38"/>
      <c r="Z121" s="89"/>
      <c r="AA121" s="89"/>
    </row>
    <row r="122" spans="1:30" ht="15">
      <c r="B122" s="26"/>
      <c r="C122" s="26"/>
      <c r="D122" s="26"/>
      <c r="E122" s="26"/>
      <c r="F122" s="26"/>
      <c r="G122" s="26"/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-39922.872293999986</v>
      </c>
      <c r="F123" s="26">
        <f>SUM($B$121:F121)-SUM($B$120:F120)</f>
        <v>-25061.499860000011</v>
      </c>
      <c r="G123" s="26">
        <f>SUM($B$121:G121)-SUM($B$120:G120)</f>
        <v>-24795.225136000023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62988.412280405173</v>
      </c>
      <c r="U124" s="80">
        <f>'[1]Proy. 2018'!$D$60</f>
        <v>74585.869999999879</v>
      </c>
      <c r="W124" s="80">
        <f>SUM(W122:W123)</f>
        <v>272635.04984699999</v>
      </c>
      <c r="X124" s="80">
        <f>SUM('[1]Proy. 2018'!$E$60:$H$60)</f>
        <v>292023.20500000007</v>
      </c>
      <c r="Z124" s="91">
        <f>R120+T124+W124</f>
        <v>909829.46212740522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 hidden="1">
      <c r="A126" s="42" t="s">
        <v>120</v>
      </c>
      <c r="B126" s="43">
        <f>-AVERAGE(B82:BA82)/1000000</f>
        <v>5.6198556601960785</v>
      </c>
      <c r="C126" s="43">
        <f>B126*4</f>
        <v>22.479422640784314</v>
      </c>
      <c r="S126" s="92" t="s">
        <v>144</v>
      </c>
      <c r="U126" s="104">
        <f>T124-U124</f>
        <v>-11597.457719594706</v>
      </c>
      <c r="X126" s="104">
        <f>W124-X124</f>
        <v>-19388.155153000087</v>
      </c>
      <c r="Z126" s="89"/>
      <c r="AA126" s="89">
        <f>Z124-AA124</f>
        <v>-30985.612872594735</v>
      </c>
      <c r="AB126" s="112">
        <f>(X126+U126)/(T122+W122)</f>
        <v>-9.771696393600153E-2</v>
      </c>
      <c r="AC126" s="111">
        <f>AA126/Z124</f>
        <v>-3.4056506370042962E-2</v>
      </c>
    </row>
    <row r="127" spans="1:30" ht="15" hidden="1">
      <c r="A127" s="42" t="s">
        <v>121</v>
      </c>
      <c r="B127" s="43">
        <f>-(AVERAGE(B89:BA89)+AVERAGE(B68:BA68))/1000000</f>
        <v>2.7172321723529413</v>
      </c>
      <c r="C127" s="43">
        <f>B127*4</f>
        <v>10.868928689411765</v>
      </c>
      <c r="Z127" s="89"/>
      <c r="AA127" s="89"/>
    </row>
    <row r="128" spans="1:30" ht="15.75" hidden="1">
      <c r="A128" s="44" t="s">
        <v>104</v>
      </c>
      <c r="B128" s="45">
        <f>SUM(B124:B127)</f>
        <v>10.716519458627452</v>
      </c>
      <c r="C128" s="45">
        <f>SUM(C124:C127)</f>
        <v>42.866077834509809</v>
      </c>
      <c r="R128" s="23"/>
      <c r="S128" s="9" t="s">
        <v>141</v>
      </c>
      <c r="Z128" s="87">
        <f>Z120-'[4]Flujo 2018'!$AQ$4</f>
        <v>-19269.78473100008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12.451057872925144</v>
      </c>
      <c r="C136" s="45">
        <f>C128+C131+C134</f>
        <v>49.804231491700577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26.237824692811998</v>
      </c>
      <c r="C138" s="47">
        <f>C136+C137</f>
        <v>63.590998311587427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-73701.197719999996</v>
      </c>
      <c r="W141" s="80">
        <f>SUM(W138:W140)</f>
        <v>-269666.33380000002</v>
      </c>
      <c r="X141" s="24"/>
      <c r="Z141" s="80">
        <f>R141+T141+W141</f>
        <v>-926017.53152000008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-62839.222118405181</v>
      </c>
      <c r="U145" s="85">
        <f>'[1]Proy. 2018'!$D$61</f>
        <v>-57037.396000000183</v>
      </c>
      <c r="W145" s="85">
        <f>SUM(W143:W144)</f>
        <v>-227333.94879999998</v>
      </c>
      <c r="X145" s="85">
        <f>SUM('[1]Proy. 2018'!$E$61:$H$61)</f>
        <v>-260447.245</v>
      </c>
      <c r="Z145" s="85">
        <f>R141+T145+W145</f>
        <v>-872823.17091840517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-5801.8261184049989</v>
      </c>
      <c r="V147" s="40"/>
      <c r="W147" s="40"/>
      <c r="X147" s="104">
        <f>W145-X145</f>
        <v>33113.296200000012</v>
      </c>
      <c r="Z147" s="90"/>
      <c r="AA147" s="89">
        <f>Z145-AA145</f>
        <v>27311.470081595005</v>
      </c>
      <c r="AB147" s="112">
        <f>(X147+U147)/(W145+T145)</f>
        <v>-9.4121279355887877E-2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16772.857879999909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37006.291208999814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-2496.9268510001857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-3674.1427909997292</v>
      </c>
    </row>
    <row r="157" spans="1:30" ht="12.75" hidden="1">
      <c r="A157" s="18">
        <v>-8256517.8300000001</v>
      </c>
      <c r="AA157" s="10">
        <f>Z154-AA154</f>
        <v>-3674.142790999962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" ht="12.75" hidden="1">
      <c r="A193" s="18">
        <v>-17671664.530000001</v>
      </c>
    </row>
    <row r="194" spans="1:1" ht="12.75" hidden="1">
      <c r="A194" s="18">
        <v>-9074849.4499999993</v>
      </c>
    </row>
    <row r="195" spans="1:1" ht="12.75" hidden="1">
      <c r="A195" s="18">
        <v>-11314401.319999998</v>
      </c>
    </row>
    <row r="196" spans="1:1" ht="12.75" hidden="1">
      <c r="A196" s="18">
        <v>-7433314.2800000003</v>
      </c>
    </row>
    <row r="197" spans="1:1" ht="12.75" hidden="1">
      <c r="A197" s="18">
        <v>-19842362.970000003</v>
      </c>
    </row>
    <row r="198" spans="1:1" ht="12.75" hidden="1">
      <c r="A198" s="18">
        <v>-10999156.18</v>
      </c>
    </row>
    <row r="199" spans="1:1" ht="12.75" hidden="1">
      <c r="A199" s="18">
        <v>-11323192.379999999</v>
      </c>
    </row>
    <row r="200" spans="1:1" hidden="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BB200"/>
  <sheetViews>
    <sheetView showGridLines="0" zoomScale="80" zoomScaleNormal="8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155</v>
      </c>
      <c r="E1" s="30" t="s">
        <v>156</v>
      </c>
      <c r="F1" s="17" t="s">
        <v>157</v>
      </c>
      <c r="G1" s="17" t="s">
        <v>158</v>
      </c>
      <c r="H1" s="17" t="s">
        <v>159</v>
      </c>
      <c r="I1" s="30" t="s">
        <v>160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1"/>
      <c r="C2" s="121"/>
      <c r="D2" s="121"/>
      <c r="E2" s="123"/>
      <c r="F2" s="122"/>
      <c r="G2" s="122"/>
      <c r="H2" s="122"/>
      <c r="I2" s="123"/>
      <c r="J2" s="122"/>
      <c r="K2" s="122"/>
      <c r="L2" s="122"/>
      <c r="M2" s="123"/>
      <c r="N2" s="122"/>
      <c r="O2" s="122"/>
      <c r="P2" s="122"/>
      <c r="Q2" s="123"/>
      <c r="R2" s="122"/>
      <c r="S2" s="122"/>
      <c r="T2" s="122"/>
      <c r="U2" s="122"/>
      <c r="V2" s="123"/>
      <c r="W2" s="122"/>
      <c r="X2" s="122"/>
      <c r="Y2" s="122"/>
      <c r="Z2" s="123"/>
      <c r="AA2" s="122"/>
      <c r="AB2" s="122"/>
      <c r="AC2" s="122"/>
      <c r="AD2" s="122"/>
      <c r="AE2" s="123"/>
      <c r="AF2" s="122"/>
      <c r="AG2" s="122"/>
      <c r="AH2" s="122"/>
      <c r="AI2" s="123"/>
      <c r="AJ2" s="122"/>
      <c r="AK2" s="122"/>
      <c r="AL2" s="122"/>
      <c r="AM2" s="123"/>
      <c r="AN2" s="122"/>
      <c r="AO2" s="122"/>
      <c r="AP2" s="122"/>
      <c r="AQ2" s="122"/>
      <c r="AR2" s="123"/>
      <c r="AS2" s="122"/>
      <c r="AT2" s="122"/>
      <c r="AU2" s="122"/>
      <c r="AV2" s="123"/>
      <c r="AW2" s="125"/>
      <c r="AX2" s="13"/>
      <c r="AY2" s="13"/>
      <c r="AZ2" s="13"/>
      <c r="BA2" s="13"/>
    </row>
    <row r="3" spans="1:54" s="5" customFormat="1" ht="12.75">
      <c r="A3" s="3" t="s">
        <v>2</v>
      </c>
      <c r="B3" s="18"/>
      <c r="C3" s="18">
        <v>32102771.949999999</v>
      </c>
      <c r="D3" s="18">
        <v>28326956.369999994</v>
      </c>
      <c r="E3" s="32">
        <v>37356694.449999996</v>
      </c>
      <c r="F3" s="18">
        <v>42506914.93999999</v>
      </c>
      <c r="G3" s="18">
        <v>42938417.93999999</v>
      </c>
      <c r="H3" s="18">
        <v>48480399.809999987</v>
      </c>
      <c r="I3" s="32">
        <v>55854205.11999999</v>
      </c>
      <c r="J3" s="18">
        <v>65791067.719999999</v>
      </c>
      <c r="K3" s="18">
        <v>80928653.081</v>
      </c>
      <c r="L3" s="18">
        <v>68210811.532000005</v>
      </c>
      <c r="M3" s="32">
        <v>58636281.923000008</v>
      </c>
      <c r="N3" s="18">
        <v>61093624.214000009</v>
      </c>
      <c r="O3" s="18">
        <v>65441220.144000016</v>
      </c>
      <c r="P3" s="18">
        <v>55328850.454000026</v>
      </c>
      <c r="Q3" s="32">
        <v>53223482.604000017</v>
      </c>
      <c r="R3" s="18">
        <v>60416412.864000015</v>
      </c>
      <c r="S3" s="18">
        <v>41147572.829200029</v>
      </c>
      <c r="T3" s="18">
        <v>39258947.974400029</v>
      </c>
      <c r="U3" s="18">
        <v>19483111.189600028</v>
      </c>
      <c r="V3" s="32">
        <v>19545653.044800032</v>
      </c>
      <c r="W3" s="18">
        <v>17192364.970000029</v>
      </c>
      <c r="X3" s="18">
        <v>3996089.2440000288</v>
      </c>
      <c r="Y3" s="18">
        <v>6621055.4780000355</v>
      </c>
      <c r="Z3" s="32">
        <v>1744664.2920000385</v>
      </c>
      <c r="AA3" s="18">
        <v>7851890.2460000385</v>
      </c>
      <c r="AB3" s="18">
        <v>8176667.0872000381</v>
      </c>
      <c r="AC3" s="18">
        <v>5673922.9884000355</v>
      </c>
      <c r="AD3" s="18">
        <v>-12953838.560399964</v>
      </c>
      <c r="AE3" s="32">
        <v>-11981766.849199969</v>
      </c>
      <c r="AF3" s="18">
        <v>-15509991.13799997</v>
      </c>
      <c r="AG3" s="18">
        <v>-23370584.194999974</v>
      </c>
      <c r="AH3" s="18">
        <v>-31905968.461999971</v>
      </c>
      <c r="AI3" s="32">
        <v>-30994581.73899997</v>
      </c>
      <c r="AJ3" s="18">
        <v>-31673117.075999971</v>
      </c>
      <c r="AK3" s="18">
        <v>-25272695.544999972</v>
      </c>
      <c r="AL3" s="18">
        <v>-37973696.653999969</v>
      </c>
      <c r="AM3" s="32">
        <v>-36174532.652999975</v>
      </c>
      <c r="AN3" s="18">
        <v>-44238013.391999975</v>
      </c>
      <c r="AO3" s="18">
        <v>-47235961.549199976</v>
      </c>
      <c r="AP3" s="18">
        <v>-42895257.686399981</v>
      </c>
      <c r="AQ3" s="18">
        <v>-46328805.193599984</v>
      </c>
      <c r="AR3" s="32">
        <v>-41655663.160799988</v>
      </c>
      <c r="AS3" s="18">
        <v>-43006322.077999994</v>
      </c>
      <c r="AT3" s="18">
        <v>-38095078.927999988</v>
      </c>
      <c r="AU3" s="18">
        <v>-52829214.617999993</v>
      </c>
      <c r="AV3" s="32">
        <v>-49776184.427999996</v>
      </c>
      <c r="AW3" s="18">
        <v>-47027350.597999983</v>
      </c>
      <c r="AX3" s="18">
        <v>-37160157.797999978</v>
      </c>
      <c r="AY3" s="18">
        <v>-38604934.317999974</v>
      </c>
      <c r="AZ3" s="18">
        <v>-30954497.677999973</v>
      </c>
      <c r="BA3" s="18">
        <v>-19179324.817999974</v>
      </c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7970288.7599999998</v>
      </c>
      <c r="E24" s="31">
        <v>7874904.5099999998</v>
      </c>
      <c r="F24" s="24">
        <v>6857550.1800000006</v>
      </c>
      <c r="G24" s="24">
        <v>4586419.92</v>
      </c>
      <c r="H24" s="24">
        <v>3512669.2399999998</v>
      </c>
      <c r="I24" s="31">
        <v>2627441.08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61696.912231999995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54" s="5" customFormat="1" collapsed="1">
      <c r="A30" s="3" t="s">
        <v>29</v>
      </c>
      <c r="B30" s="20"/>
      <c r="C30" s="20">
        <v>17623278.350000001</v>
      </c>
      <c r="D30" s="20">
        <v>17733377.16</v>
      </c>
      <c r="E30" s="33">
        <v>18228248.219999995</v>
      </c>
      <c r="F30" s="20">
        <v>17500128.350000001</v>
      </c>
      <c r="G30" s="20">
        <v>16816789.139999997</v>
      </c>
      <c r="H30" s="20">
        <v>16724375.780000001</v>
      </c>
      <c r="I30" s="33">
        <v>15957042.380000003</v>
      </c>
      <c r="J30" s="20">
        <v>16829610.390999999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 t="shared" si="0"/>
        <v>815240.2282220003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67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0</v>
      </c>
      <c r="E42" s="31">
        <v>0</v>
      </c>
      <c r="F42" s="24">
        <v>0</v>
      </c>
      <c r="G42" s="24">
        <v>0</v>
      </c>
      <c r="H42" s="24">
        <v>0</v>
      </c>
      <c r="I42" s="31">
        <v>0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-428.20256000000001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-86685.968030000018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0</v>
      </c>
      <c r="E44" s="31">
        <v>0</v>
      </c>
      <c r="F44" s="24">
        <v>0</v>
      </c>
      <c r="G44" s="24">
        <v>0</v>
      </c>
      <c r="H44" s="24">
        <v>0</v>
      </c>
      <c r="I44" s="31">
        <v>0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-257.08359999999999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-10959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1"/>
        <v>-34665.044900000001</v>
      </c>
    </row>
    <row r="48" spans="1:54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1"/>
        <v>0</v>
      </c>
    </row>
    <row r="49" spans="1:54" s="4" customFormat="1" ht="15" hidden="1" outlineLevel="1">
      <c r="A49" s="3" t="s">
        <v>48</v>
      </c>
      <c r="B49" s="24"/>
      <c r="C49" s="24">
        <v>-2392546</v>
      </c>
      <c r="D49" s="24">
        <v>0</v>
      </c>
      <c r="E49" s="31">
        <v>0</v>
      </c>
      <c r="F49" s="24">
        <v>0</v>
      </c>
      <c r="G49" s="24">
        <v>0</v>
      </c>
      <c r="H49" s="24">
        <v>-2187689.96</v>
      </c>
      <c r="I49" s="31">
        <v>0</v>
      </c>
      <c r="J49" s="24">
        <v>0</v>
      </c>
      <c r="K49" s="24">
        <v>0</v>
      </c>
      <c r="L49" s="24">
        <v>-2858200.4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1"/>
        <v>-35766.517020000007</v>
      </c>
    </row>
    <row r="50" spans="1:54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-16938.8</v>
      </c>
      <c r="E59" s="31">
        <v>-36663.24</v>
      </c>
      <c r="F59" s="24">
        <v>-36663.24</v>
      </c>
      <c r="G59" s="24">
        <v>-36663.24</v>
      </c>
      <c r="H59" s="24">
        <v>-36663.24</v>
      </c>
      <c r="I59" s="31">
        <v>-74191.34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-2921.1756000000005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-50005.94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-721.62625000000003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-2991.8649799999994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-186588.04</v>
      </c>
      <c r="E62" s="31">
        <v>-464145.15</v>
      </c>
      <c r="F62" s="24">
        <v>-464145.15</v>
      </c>
      <c r="G62" s="24">
        <v>-464145.15</v>
      </c>
      <c r="H62" s="24">
        <v>-464145.15</v>
      </c>
      <c r="I62" s="31">
        <v>-252181.83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1"/>
        <v>-14794.514229999993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-167196.06</v>
      </c>
      <c r="E65" s="31">
        <v>-172514.95</v>
      </c>
      <c r="F65" s="24">
        <v>-172514.95</v>
      </c>
      <c r="G65" s="24">
        <v>-172514.95</v>
      </c>
      <c r="H65" s="24">
        <v>-172514.95</v>
      </c>
      <c r="I65" s="31">
        <v>-139333.47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-8325.6011200000012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-329877.82</v>
      </c>
      <c r="E67" s="31">
        <v>-296033.27</v>
      </c>
      <c r="F67" s="24">
        <v>-296033.27</v>
      </c>
      <c r="G67" s="24">
        <v>-296033.27</v>
      </c>
      <c r="H67" s="24">
        <v>-296033.27</v>
      </c>
      <c r="I67" s="31">
        <v>-251559.92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-14171.643079999993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-2234879.33</v>
      </c>
      <c r="E68" s="31">
        <v>-2051026.3</v>
      </c>
      <c r="F68" s="24">
        <v>-2051026.3</v>
      </c>
      <c r="G68" s="24">
        <v>-2051026.3</v>
      </c>
      <c r="H68" s="24">
        <v>-2051026.3</v>
      </c>
      <c r="I68" s="31">
        <v>-1710225.35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2">SUM(B68:BA68)/1000</f>
        <v>-91559.875200000024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2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2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2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2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-633865.4</v>
      </c>
      <c r="E73" s="35">
        <v>-644941.94999999995</v>
      </c>
      <c r="F73" s="16">
        <v>-644941.94999999995</v>
      </c>
      <c r="G73" s="16">
        <v>-644941.94999999995</v>
      </c>
      <c r="H73" s="16">
        <v>-644941.94999999995</v>
      </c>
      <c r="I73" s="35">
        <v>-540307.13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2"/>
        <v>-30285.217830000012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2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-309420.7</v>
      </c>
      <c r="E75" s="31">
        <v>-320442.23999999999</v>
      </c>
      <c r="F75" s="24">
        <v>-320442.23999999999</v>
      </c>
      <c r="G75" s="24">
        <v>-320442.23999999999</v>
      </c>
      <c r="H75" s="24">
        <v>-320442.23999999999</v>
      </c>
      <c r="I75" s="31">
        <v>-254152.59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2"/>
        <v>-15227.911060000004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2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2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2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-71812.289999999994</v>
      </c>
      <c r="E79" s="31">
        <v>-78875.179999999993</v>
      </c>
      <c r="F79" s="24">
        <v>-78875.179999999993</v>
      </c>
      <c r="G79" s="24">
        <v>-78875.179999999993</v>
      </c>
      <c r="H79" s="24">
        <v>-78875.179999999993</v>
      </c>
      <c r="I79" s="31">
        <v>-58337.37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2"/>
        <v>-3240.9211700000005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2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2"/>
        <v>0</v>
      </c>
    </row>
    <row r="82" spans="1:54" s="127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-2159390.0499999998</v>
      </c>
      <c r="F82" s="121">
        <v>-9290434.4499999993</v>
      </c>
      <c r="G82" s="121">
        <v>-5136826.93</v>
      </c>
      <c r="H82" s="121">
        <v>-1812826.93</v>
      </c>
      <c r="I82" s="120">
        <v>-2560535.35</v>
      </c>
      <c r="J82" s="121">
        <v>-1471182.6</v>
      </c>
      <c r="K82" s="121">
        <v>-14330728.48</v>
      </c>
      <c r="L82" s="121">
        <v>-14330728.48</v>
      </c>
      <c r="M82" s="120">
        <v>-1471182.6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2"/>
        <v>-286612.63867000001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2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2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2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2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-2944.11</v>
      </c>
      <c r="E87" s="31">
        <v>-41951.47</v>
      </c>
      <c r="F87" s="24">
        <v>-41951.47</v>
      </c>
      <c r="G87" s="24">
        <v>-41951.47</v>
      </c>
      <c r="H87" s="24">
        <v>-41951.47</v>
      </c>
      <c r="I87" s="31">
        <v>-37350.99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2"/>
        <v>-2094.325319999999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-428683.34</v>
      </c>
      <c r="F88" s="24">
        <v>0</v>
      </c>
      <c r="G88" s="24">
        <v>0</v>
      </c>
      <c r="H88" s="24">
        <v>0</v>
      </c>
      <c r="I88" s="31">
        <v>-449177.34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2"/>
        <v>-5214.3640799999994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-1013785.97</v>
      </c>
      <c r="E89" s="31">
        <v>-874547.43</v>
      </c>
      <c r="F89" s="24">
        <v>-874547.43</v>
      </c>
      <c r="G89" s="24">
        <v>-874547.43</v>
      </c>
      <c r="H89" s="24">
        <v>-874547.43</v>
      </c>
      <c r="I89" s="31">
        <v>-747255.85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2"/>
        <v>-45366.723519999992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-30838.06</v>
      </c>
      <c r="E90" s="31">
        <v>-18697.189999999999</v>
      </c>
      <c r="F90" s="24">
        <v>-18697.189999999999</v>
      </c>
      <c r="G90" s="24">
        <v>-18697.189999999999</v>
      </c>
      <c r="H90" s="24">
        <v>-18697.189999999999</v>
      </c>
      <c r="I90" s="31">
        <v>-14786.84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2"/>
        <v>-906.0531200000006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2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-200639.7</v>
      </c>
      <c r="E92" s="31">
        <v>-1161901.83</v>
      </c>
      <c r="F92" s="24">
        <v>-1161901.83</v>
      </c>
      <c r="G92" s="24">
        <v>-1161901.83</v>
      </c>
      <c r="H92" s="24">
        <v>-1161901.83</v>
      </c>
      <c r="I92" s="31">
        <v>-1076648.08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2"/>
        <v>-57766.250160000003</v>
      </c>
    </row>
    <row r="93" spans="1:54" s="4" customFormat="1" ht="12.75" collapsed="1">
      <c r="A93" s="3" t="s">
        <v>92</v>
      </c>
      <c r="B93" s="18"/>
      <c r="C93" s="18">
        <v>-19235158.420000002</v>
      </c>
      <c r="D93" s="18">
        <v>-7541333.3300000001</v>
      </c>
      <c r="E93" s="32">
        <v>-12908221.979999999</v>
      </c>
      <c r="F93" s="18">
        <v>-15898819.6</v>
      </c>
      <c r="G93" s="18">
        <v>-16660173.970000001</v>
      </c>
      <c r="H93" s="18">
        <v>-10185764.719999999</v>
      </c>
      <c r="I93" s="32">
        <v>-13038612.179999998</v>
      </c>
      <c r="J93" s="18">
        <v>-6713457.4299999997</v>
      </c>
      <c r="K93" s="18">
        <v>-25655581.119999997</v>
      </c>
      <c r="L93" s="18">
        <v>-23075751.75</v>
      </c>
      <c r="M93" s="32">
        <v>-11266317.059999999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 t="shared" si="2"/>
        <v>-765063.98149999999</v>
      </c>
    </row>
    <row r="94" spans="1:54" s="8" customFormat="1" ht="12.75">
      <c r="A94" s="7" t="s">
        <v>1</v>
      </c>
      <c r="B94" s="21"/>
      <c r="C94" s="21">
        <v>-1611880.0700000003</v>
      </c>
      <c r="D94" s="21">
        <v>10192043.83</v>
      </c>
      <c r="E94" s="36">
        <v>5320026.2399999965</v>
      </c>
      <c r="F94" s="21">
        <v>1601308.7500000019</v>
      </c>
      <c r="G94" s="21">
        <v>156615.1699999962</v>
      </c>
      <c r="H94" s="21">
        <v>6538611.0600000024</v>
      </c>
      <c r="I94" s="36">
        <v>2918430.2000000048</v>
      </c>
      <c r="J94" s="21">
        <v>10116152.960999999</v>
      </c>
      <c r="K94" s="21">
        <v>-9694607.9489999991</v>
      </c>
      <c r="L94" s="21">
        <v>-7320234.7389999982</v>
      </c>
      <c r="M94" s="36">
        <v>4438909.8910000008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2"/>
        <v>50176.246722000004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43101</v>
      </c>
      <c r="C99" s="52">
        <v>43132</v>
      </c>
      <c r="D99" s="52">
        <v>43160</v>
      </c>
      <c r="E99" s="52">
        <v>43191</v>
      </c>
      <c r="F99" s="52">
        <v>43221</v>
      </c>
      <c r="G99" s="52">
        <v>43252</v>
      </c>
      <c r="H99" s="52">
        <v>43282</v>
      </c>
      <c r="I99" s="52">
        <v>43313</v>
      </c>
      <c r="J99" s="52">
        <v>43344</v>
      </c>
      <c r="K99" s="52">
        <v>43374</v>
      </c>
      <c r="L99" s="52">
        <v>43405</v>
      </c>
      <c r="M99" s="52">
        <v>43435</v>
      </c>
    </row>
    <row r="100" spans="1:54" s="23" customFormat="1">
      <c r="A100" s="3" t="s">
        <v>93</v>
      </c>
      <c r="B100" s="25">
        <f>SUM(B30:E30)/1000</f>
        <v>53584.903730000005</v>
      </c>
      <c r="C100" s="25">
        <f>SUM(F30:I30)/1000</f>
        <v>66998.335649999994</v>
      </c>
      <c r="D100" s="25">
        <f>SUM(J30:M30)/1000</f>
        <v>64251.327523999993</v>
      </c>
      <c r="E100" s="25">
        <f>SUM(N30:Q30)/1000</f>
        <v>63099.011540000007</v>
      </c>
      <c r="F100" s="38">
        <f>SUM(R30:V30)/1000</f>
        <v>78165.287616000001</v>
      </c>
      <c r="G100" s="38">
        <f>SUM(W30:Z30)/1000</f>
        <v>64585.114066000002</v>
      </c>
      <c r="H100" s="38">
        <f>SUM(AA30:AE30)/1000</f>
        <v>78676.504826000004</v>
      </c>
      <c r="I100" s="38">
        <f>SUM(AF30:AI30)/1000</f>
        <v>62163.924881999999</v>
      </c>
      <c r="J100" s="38">
        <f>SUM(AJ30:AM30)/1000</f>
        <v>63346.545914000002</v>
      </c>
      <c r="K100" s="38">
        <f>SUM(AN30:AR30)/1000</f>
        <v>78530.923853999993</v>
      </c>
      <c r="L100" s="38">
        <f>SUM(AS30:AV30)/1000</f>
        <v>63675.912420000001</v>
      </c>
      <c r="M100" s="38">
        <f>SUM(AW30:BA30)/1000</f>
        <v>78162.436199999996</v>
      </c>
      <c r="N100" s="60">
        <f>SUM(B100:M100)</f>
        <v>815240.22822200006</v>
      </c>
      <c r="O100" s="39"/>
    </row>
    <row r="101" spans="1:54" s="23" customFormat="1">
      <c r="A101" s="3" t="s">
        <v>94</v>
      </c>
      <c r="B101" s="25">
        <f>SUM(B93:E93)/1000</f>
        <v>-39684.713729999996</v>
      </c>
      <c r="C101" s="25">
        <f>SUM(F93:I93)/1000</f>
        <v>-55783.370470000002</v>
      </c>
      <c r="D101" s="25">
        <f>SUM(J93:M93)/1000</f>
        <v>-66711.107359999995</v>
      </c>
      <c r="E101" s="25">
        <f>SUM(N93:Q93)/1000</f>
        <v>-59146.76352</v>
      </c>
      <c r="F101" s="38">
        <f>SUM(R93:V93)/1000</f>
        <v>-93315.297049999979</v>
      </c>
      <c r="G101" s="38">
        <f>SUM(W93:Z93)/1000</f>
        <v>-65075.611789999988</v>
      </c>
      <c r="H101" s="38">
        <f>SUM(AA93:AE93)/1000</f>
        <v>-90132.817850000007</v>
      </c>
      <c r="I101" s="82">
        <f>SUM(AF93:AI93)/1000</f>
        <v>-62219.348720000002</v>
      </c>
      <c r="J101" s="82">
        <f>SUM(AJ93:AM93)/1000</f>
        <v>-56114.958760000001</v>
      </c>
      <c r="K101" s="82">
        <f>SUM(AN93:AR93)/1000</f>
        <v>-67001.817479999998</v>
      </c>
      <c r="L101" s="82">
        <f>SUM(AS93:AV93)/1000</f>
        <v>-61363.330209999993</v>
      </c>
      <c r="M101" s="82">
        <f>SUM(AW93:BA93)/1000</f>
        <v>-48514.844560000005</v>
      </c>
      <c r="N101" s="60">
        <f>SUM(B101:M101)</f>
        <v>-765063.98149999988</v>
      </c>
      <c r="O101" s="58"/>
      <c r="AB101" s="58"/>
      <c r="AG101" s="58"/>
    </row>
    <row r="102" spans="1:54" s="23" customFormat="1">
      <c r="A102" s="3" t="s">
        <v>95</v>
      </c>
      <c r="B102" s="22">
        <f>SUM(B100:B101)</f>
        <v>13900.19000000001</v>
      </c>
      <c r="C102" s="25">
        <f t="shared" ref="C102:L102" si="3">SUM(C100:C101)</f>
        <v>11214.965179999992</v>
      </c>
      <c r="D102" s="25">
        <f>SUM(D100:D101)</f>
        <v>-2459.7798360000015</v>
      </c>
      <c r="E102" s="25">
        <f>SUM(E100:E101)</f>
        <v>3952.2480200000064</v>
      </c>
      <c r="F102" s="38">
        <f>SUM(F100:F101)</f>
        <v>-15150.009433999978</v>
      </c>
      <c r="G102" s="38">
        <f t="shared" si="3"/>
        <v>-490.49772399998619</v>
      </c>
      <c r="H102" s="38">
        <f t="shared" si="3"/>
        <v>-11456.313024000003</v>
      </c>
      <c r="I102" s="38">
        <f t="shared" si="3"/>
        <v>-55.423838000002434</v>
      </c>
      <c r="J102" s="38">
        <f t="shared" si="3"/>
        <v>7231.5871540000007</v>
      </c>
      <c r="K102" s="38">
        <f t="shared" si="3"/>
        <v>11529.106373999995</v>
      </c>
      <c r="L102" s="38">
        <f t="shared" si="3"/>
        <v>2312.5822100000078</v>
      </c>
      <c r="M102" s="38">
        <f>SUM(M100:M101)</f>
        <v>29647.591639999991</v>
      </c>
      <c r="N102" s="60">
        <f>SUM(B102:M102)</f>
        <v>50176.246722000033</v>
      </c>
      <c r="O102" s="128">
        <f>BB94-N102</f>
        <v>0</v>
      </c>
      <c r="P102" s="59" t="s">
        <v>207</v>
      </c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 t="e">
        <f>N100-#REF!</f>
        <v>#REF!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 t="e">
        <f>N100-#REF!</f>
        <v>#REF!</v>
      </c>
      <c r="Q104" s="73" t="s">
        <v>125</v>
      </c>
    </row>
    <row r="105" spans="1:54" s="23" customFormat="1" ht="15">
      <c r="A105" s="51" t="s">
        <v>97</v>
      </c>
      <c r="B105" s="52">
        <v>43101</v>
      </c>
      <c r="C105" s="52">
        <v>43132</v>
      </c>
      <c r="D105" s="52">
        <v>43160</v>
      </c>
      <c r="E105" s="52">
        <v>43191</v>
      </c>
      <c r="F105" s="52">
        <v>43221</v>
      </c>
      <c r="G105" s="52">
        <v>43252</v>
      </c>
      <c r="H105" s="52">
        <v>43282</v>
      </c>
      <c r="I105" s="52">
        <v>43313</v>
      </c>
      <c r="J105" s="52">
        <v>43344</v>
      </c>
      <c r="K105" s="52">
        <v>43374</v>
      </c>
      <c r="L105" s="52">
        <v>43405</v>
      </c>
      <c r="M105" s="52">
        <v>43435</v>
      </c>
    </row>
    <row r="106" spans="1:54" s="23" customFormat="1">
      <c r="A106" s="3" t="s">
        <v>93</v>
      </c>
      <c r="B106" s="22">
        <f>'[13]Flujo 2018'!AS9</f>
        <v>3472.953</v>
      </c>
      <c r="C106" s="22">
        <f>'[13]Flujo 2018'!AT9-B106</f>
        <v>3006.0060000000008</v>
      </c>
      <c r="D106" s="22">
        <f>'[13]Flujo 2018'!AU9-SUM($B$106:C106)</f>
        <v>3116.0829999999987</v>
      </c>
      <c r="E106" s="22">
        <f>'[13]Flujo 2018'!AV9-SUM($B$106:D106)</f>
        <v>3219.9440000000013</v>
      </c>
      <c r="F106" s="22">
        <f>'[13]Flujo 2018'!AW9-SUM($B$106:E106)</f>
        <v>3548.2889999999989</v>
      </c>
      <c r="G106" s="22">
        <f>'[13]Flujo 2018'!AX9-SUM($B$106:F106)</f>
        <v>3579.6670000000031</v>
      </c>
      <c r="H106" s="39">
        <f>'[1]Proy. 2018'!C154</f>
        <v>3146.1870000000017</v>
      </c>
      <c r="I106" s="82">
        <f>'[1]Proy. 2018'!D154</f>
        <v>3125.4889999999978</v>
      </c>
      <c r="J106" s="82">
        <f>'[1]Proy. 2018'!E154</f>
        <v>3203.0630000000019</v>
      </c>
      <c r="K106" s="82">
        <f>'[1]Proy. 2018'!F154</f>
        <v>3132.7079999999987</v>
      </c>
      <c r="L106" s="82">
        <f>'[1]Proy. 2018'!G154</f>
        <v>3155.601999999999</v>
      </c>
      <c r="M106" s="82">
        <f>'[1]Proy. 2018'!H154</f>
        <v>3179.6690000000017</v>
      </c>
      <c r="O106" s="62"/>
      <c r="P106" s="39"/>
    </row>
    <row r="107" spans="1:54" s="23" customFormat="1">
      <c r="A107" s="3" t="s">
        <v>94</v>
      </c>
      <c r="B107" s="22">
        <f>SUM('[13]Flujo 2018'!AS10:AS14)</f>
        <v>-3118.9280000000003</v>
      </c>
      <c r="C107" s="22">
        <f>SUM('[13]Flujo 2018'!AT10:AT14)-SUM($B$107:B107)</f>
        <v>-2989.1089999999999</v>
      </c>
      <c r="D107" s="22">
        <f>SUM('[13]Flujo 2018'!AU10:AU14)-SUM($B$107:C107)</f>
        <v>-3168.8729999999996</v>
      </c>
      <c r="E107" s="22">
        <f>SUM('[13]Flujo 2018'!AV10:AV14)-SUM($B$107:D107)</f>
        <v>-3412.2210000000014</v>
      </c>
      <c r="F107" s="22">
        <f>SUM('[13]Flujo 2018'!AW10:AW14)-SUM($B$107:E107)</f>
        <v>-3371.8169999999991</v>
      </c>
      <c r="G107" s="22">
        <f>SUM('[13]Flujo 2018'!AX10:AX14)-SUM($B$107:F107)</f>
        <v>-3359.3429999999971</v>
      </c>
      <c r="H107" s="39">
        <f>'[1]Proy. 2018'!C155</f>
        <v>-2981.2239999999983</v>
      </c>
      <c r="I107" s="82">
        <f>'[1]Proy. 2018'!D155</f>
        <v>-2850.997000000003</v>
      </c>
      <c r="J107" s="82">
        <f>'[1]Proy. 2018'!E155</f>
        <v>-2650.0739999999969</v>
      </c>
      <c r="K107" s="82">
        <f>'[1]Proy. 2018'!F155</f>
        <v>-2594.2589999999982</v>
      </c>
      <c r="L107" s="82">
        <f>'[1]Proy. 2018'!G155</f>
        <v>-2457.8860000000022</v>
      </c>
      <c r="M107" s="82">
        <f>'[1]Proy. 2018'!H155</f>
        <v>-2716.505000000001</v>
      </c>
      <c r="O107" s="58"/>
      <c r="P107" s="39">
        <f>SUM(Z2:BA2)/1000</f>
        <v>0</v>
      </c>
      <c r="Q107" s="23" t="s">
        <v>152</v>
      </c>
    </row>
    <row r="108" spans="1:54" s="23" customFormat="1">
      <c r="A108" s="3" t="s">
        <v>95</v>
      </c>
      <c r="B108" s="22">
        <f>SUM(B106:B107)</f>
        <v>354.02499999999964</v>
      </c>
      <c r="C108" s="22">
        <f t="shared" ref="C108:M108" si="4">SUM(C106:C107)</f>
        <v>16.897000000000844</v>
      </c>
      <c r="D108" s="22">
        <f t="shared" si="4"/>
        <v>-52.790000000000873</v>
      </c>
      <c r="E108" s="22">
        <f t="shared" si="4"/>
        <v>-192.27700000000004</v>
      </c>
      <c r="F108" s="22">
        <f t="shared" si="4"/>
        <v>176.47199999999975</v>
      </c>
      <c r="G108" s="22">
        <f t="shared" si="4"/>
        <v>220.32400000000598</v>
      </c>
      <c r="H108" s="22">
        <f t="shared" si="4"/>
        <v>164.96300000000338</v>
      </c>
      <c r="I108" s="22">
        <f t="shared" si="4"/>
        <v>274.49199999999473</v>
      </c>
      <c r="J108" s="22">
        <f t="shared" si="4"/>
        <v>552.98900000000503</v>
      </c>
      <c r="K108" s="22">
        <f t="shared" si="4"/>
        <v>538.44900000000052</v>
      </c>
      <c r="L108" s="22">
        <f t="shared" si="4"/>
        <v>697.71599999999671</v>
      </c>
      <c r="M108" s="22">
        <f t="shared" si="4"/>
        <v>463.16400000000067</v>
      </c>
      <c r="P108" s="78" t="e">
        <f>N101-#REF!</f>
        <v>#REF!</v>
      </c>
      <c r="Q108" s="61" t="s">
        <v>103</v>
      </c>
      <c r="R108" s="63"/>
      <c r="S108" s="23" t="s">
        <v>126</v>
      </c>
      <c r="T108" s="115" t="e">
        <f>SUM(AY47:BA50)/1000-SUM(#REF!)/1000</f>
        <v>#REF!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 t="e">
        <f>SUM(AY82:BA82)/1000-SUM(#REF!)/1000</f>
        <v>#REF!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 t="e">
        <f>SUM(AY31:BA92)/1000-SUM(#REF!)/1000-T108-T109</f>
        <v>#REF!</v>
      </c>
    </row>
    <row r="111" spans="1:54" s="14" customFormat="1" ht="15">
      <c r="A111" s="54" t="s">
        <v>100</v>
      </c>
      <c r="B111" s="52">
        <v>43101</v>
      </c>
      <c r="C111" s="52">
        <v>43132</v>
      </c>
      <c r="D111" s="52">
        <v>43160</v>
      </c>
      <c r="E111" s="52">
        <v>43191</v>
      </c>
      <c r="F111" s="52">
        <v>43221</v>
      </c>
      <c r="G111" s="52">
        <v>43252</v>
      </c>
      <c r="H111" s="52">
        <v>43282</v>
      </c>
      <c r="I111" s="52">
        <v>43313</v>
      </c>
      <c r="J111" s="52">
        <v>43344</v>
      </c>
      <c r="K111" s="52">
        <v>43374</v>
      </c>
      <c r="L111" s="52">
        <v>43405</v>
      </c>
      <c r="M111" s="52">
        <v>43435</v>
      </c>
      <c r="P111" s="39" t="e">
        <f>N102-#REF!</f>
        <v>#REF!</v>
      </c>
      <c r="Q111" s="119" t="s">
        <v>153</v>
      </c>
      <c r="S111" s="70" t="s">
        <v>129</v>
      </c>
      <c r="T111" s="77" t="e">
        <f>SUM(T108:T110)</f>
        <v>#REF!</v>
      </c>
      <c r="U111" s="71">
        <f>AZ2/1000+BA2/1000</f>
        <v>0</v>
      </c>
      <c r="V111" s="75" t="e">
        <f>SUM(T111:U111)</f>
        <v>#REF!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 t="e">
        <f>P104+P108</f>
        <v>#REF!</v>
      </c>
      <c r="Q112" s="23" t="s">
        <v>130</v>
      </c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13">
        <v>-8000</v>
      </c>
      <c r="J113" s="113">
        <v>-8000</v>
      </c>
      <c r="K113" s="113">
        <v>-8000</v>
      </c>
      <c r="L113" s="113">
        <v>-8000</v>
      </c>
      <c r="M113" s="113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5">SUM(C112:C113)</f>
        <v>0</v>
      </c>
      <c r="D114" s="26">
        <f t="shared" si="5"/>
        <v>0</v>
      </c>
      <c r="E114" s="26">
        <f t="shared" si="5"/>
        <v>0</v>
      </c>
      <c r="F114" s="26">
        <f t="shared" si="5"/>
        <v>0</v>
      </c>
      <c r="G114" s="26">
        <f t="shared" si="5"/>
        <v>0</v>
      </c>
      <c r="H114" s="26">
        <f t="shared" si="5"/>
        <v>0</v>
      </c>
      <c r="I114" s="26">
        <f t="shared" si="5"/>
        <v>0</v>
      </c>
      <c r="J114" s="26">
        <f t="shared" si="5"/>
        <v>0</v>
      </c>
      <c r="K114" s="26">
        <f t="shared" si="5"/>
        <v>0</v>
      </c>
      <c r="L114" s="26">
        <f t="shared" si="5"/>
        <v>0</v>
      </c>
      <c r="M114" s="26">
        <f t="shared" si="5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v>43101</v>
      </c>
      <c r="C117" s="1">
        <v>43132</v>
      </c>
      <c r="D117" s="1">
        <v>43160</v>
      </c>
      <c r="E117" s="1">
        <v>43191</v>
      </c>
      <c r="F117" s="1">
        <v>43221</v>
      </c>
      <c r="G117" s="1">
        <v>43252</v>
      </c>
      <c r="H117" s="1">
        <v>43282</v>
      </c>
      <c r="I117" s="1">
        <v>43313</v>
      </c>
      <c r="J117" s="1">
        <v>43344</v>
      </c>
      <c r="K117" s="1">
        <v>43374</v>
      </c>
      <c r="L117" s="1">
        <v>43405</v>
      </c>
      <c r="M117" s="1">
        <v>43435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65057.856730000007</v>
      </c>
      <c r="C118" s="26">
        <f t="shared" ref="C118:M119" si="6">C100+C106+C112</f>
        <v>78004.341649999988</v>
      </c>
      <c r="D118" s="26">
        <f t="shared" si="6"/>
        <v>75367.410523999992</v>
      </c>
      <c r="E118" s="26">
        <f>E100+E106+E112</f>
        <v>74318.95554000001</v>
      </c>
      <c r="F118" s="26">
        <f>F100+F106+F112</f>
        <v>89713.576616000006</v>
      </c>
      <c r="G118" s="26">
        <f t="shared" si="6"/>
        <v>76164.78106600001</v>
      </c>
      <c r="H118" s="26">
        <f t="shared" si="6"/>
        <v>89822.691826000009</v>
      </c>
      <c r="I118" s="26">
        <f t="shared" si="6"/>
        <v>73289.413881999993</v>
      </c>
      <c r="J118" s="26">
        <f t="shared" si="6"/>
        <v>74549.608914000011</v>
      </c>
      <c r="K118" s="26">
        <f t="shared" si="6"/>
        <v>89663.631853999992</v>
      </c>
      <c r="L118" s="26">
        <f t="shared" si="6"/>
        <v>74831.514419999992</v>
      </c>
      <c r="M118" s="26">
        <f t="shared" si="6"/>
        <v>89342.105199999991</v>
      </c>
      <c r="N118" s="64">
        <f>SUM(B118:M118)</f>
        <v>950125.88822199998</v>
      </c>
      <c r="O118" s="68"/>
      <c r="S118" s="40" t="s">
        <v>134</v>
      </c>
      <c r="T118" s="80">
        <f>I106</f>
        <v>3125.4889999999978</v>
      </c>
      <c r="W118" s="80">
        <f>SUM(J106:M106)</f>
        <v>12671.042000000001</v>
      </c>
    </row>
    <row r="119" spans="1:30" s="14" customFormat="1" ht="15">
      <c r="A119" t="s">
        <v>94</v>
      </c>
      <c r="B119" s="26">
        <f>B101+B107+B113</f>
        <v>-50803.641729999996</v>
      </c>
      <c r="C119" s="26">
        <f>C101+C107+C113</f>
        <v>-66772.479469999991</v>
      </c>
      <c r="D119" s="26">
        <f t="shared" si="6"/>
        <v>-77879.980359999987</v>
      </c>
      <c r="E119" s="26">
        <f>E101+E107+E113</f>
        <v>-70558.984519999998</v>
      </c>
      <c r="F119" s="26">
        <f>F101+F107+F113</f>
        <v>-104687.11404999997</v>
      </c>
      <c r="G119" s="26">
        <f t="shared" si="6"/>
        <v>-76434.954789999989</v>
      </c>
      <c r="H119" s="26">
        <f t="shared" si="6"/>
        <v>-101114.04185000001</v>
      </c>
      <c r="I119" s="26">
        <f t="shared" si="6"/>
        <v>-73070.345720000012</v>
      </c>
      <c r="J119" s="26">
        <f t="shared" si="6"/>
        <v>-66765.032760000002</v>
      </c>
      <c r="K119" s="26">
        <f t="shared" si="6"/>
        <v>-77596.076479999989</v>
      </c>
      <c r="L119" s="26">
        <f t="shared" si="6"/>
        <v>-71821.216209999999</v>
      </c>
      <c r="M119" s="26">
        <f>M101+M107+M113</f>
        <v>-59231.349560000002</v>
      </c>
      <c r="N119" s="64">
        <f>SUM(B119:M119)</f>
        <v>-896735.2174999998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14254.215000000011</v>
      </c>
      <c r="C120" s="56">
        <f t="shared" ref="C120:L120" si="7">SUM(C118:C119)</f>
        <v>11231.862179999996</v>
      </c>
      <c r="D120" s="56">
        <f>SUM(D118:D119)</f>
        <v>-2512.5698359999951</v>
      </c>
      <c r="E120" s="56">
        <f>SUM(E118:E119)</f>
        <v>3759.9710200000118</v>
      </c>
      <c r="F120" s="56">
        <f>SUM(F118:F119)</f>
        <v>-14973.537433999969</v>
      </c>
      <c r="G120" s="56">
        <f t="shared" si="7"/>
        <v>-270.17372399997839</v>
      </c>
      <c r="H120" s="56">
        <f t="shared" si="7"/>
        <v>-11291.350023999999</v>
      </c>
      <c r="I120" s="56">
        <f t="shared" si="7"/>
        <v>219.06816199998138</v>
      </c>
      <c r="J120" s="56">
        <f t="shared" si="7"/>
        <v>7784.5761540000094</v>
      </c>
      <c r="K120" s="56">
        <f t="shared" si="7"/>
        <v>12067.555374000003</v>
      </c>
      <c r="L120" s="56">
        <f t="shared" si="7"/>
        <v>3010.2982099999936</v>
      </c>
      <c r="M120" s="56">
        <f>SUM(M118:M119)</f>
        <v>30110.755639999988</v>
      </c>
      <c r="N120" s="65">
        <f>SUM(B120:M120)</f>
        <v>53390.670722000054</v>
      </c>
      <c r="O120" s="66"/>
      <c r="P120" s="65"/>
      <c r="R120" s="86">
        <f>[1]EEFF!$H$63</f>
        <v>574206</v>
      </c>
      <c r="S120" s="40" t="s">
        <v>135</v>
      </c>
      <c r="T120" s="80">
        <f>SUM(T117:T119)</f>
        <v>73289.413881999993</v>
      </c>
      <c r="U120" s="9"/>
      <c r="V120" s="9"/>
      <c r="W120" s="80">
        <f>SUM(W117:W119)</f>
        <v>312797.01184699999</v>
      </c>
      <c r="X120" s="9"/>
      <c r="Y120" s="9"/>
      <c r="Z120" s="76">
        <f>R120+T120+W120</f>
        <v>960292.42572900001</v>
      </c>
      <c r="AA120" s="89"/>
    </row>
    <row r="121" spans="1:30" ht="15">
      <c r="A121" s="40" t="s">
        <v>124</v>
      </c>
      <c r="B121" s="57">
        <f>'[12]Flujo 2018'!X3</f>
        <v>3169</v>
      </c>
      <c r="C121" s="57">
        <f>'[12]Flujo 2018'!Y3</f>
        <v>21187</v>
      </c>
      <c r="D121" s="57">
        <f>'[12]Flujo 2018'!Z3</f>
        <v>6482</v>
      </c>
      <c r="E121" s="57">
        <f>'[12]Flujo 2018'!AA3</f>
        <v>-8447</v>
      </c>
      <c r="F121" s="57">
        <f>'[4]Flujo 2018'!$AB$3</f>
        <v>-6555</v>
      </c>
      <c r="G121" s="57">
        <v>-17216</v>
      </c>
      <c r="H121" s="38">
        <f>'[4]Flujo 2018'!$AD$3</f>
        <v>-7064</v>
      </c>
      <c r="I121" s="38"/>
      <c r="J121" s="38"/>
      <c r="K121" s="38"/>
      <c r="L121" s="38"/>
      <c r="M121" s="38"/>
      <c r="N121" s="72">
        <f>SUM(B121:H121)+SUM(I120:M120)</f>
        <v>44748.253539999976</v>
      </c>
      <c r="O121" s="38"/>
      <c r="Z121" s="89"/>
      <c r="AA121" s="89"/>
    </row>
    <row r="122" spans="1:30" ht="15">
      <c r="B122" s="26">
        <f>B121-B120</f>
        <v>-11085.215000000011</v>
      </c>
      <c r="C122" s="26">
        <f t="shared" ref="C122" si="8">C121-C120</f>
        <v>9955.1378200000036</v>
      </c>
      <c r="D122" s="26">
        <f>D121-D120</f>
        <v>8994.5698359999951</v>
      </c>
      <c r="E122" s="26">
        <f>E121-E120</f>
        <v>-12206.971020000012</v>
      </c>
      <c r="F122" s="26">
        <f>F121-F120</f>
        <v>8418.5374339999689</v>
      </c>
      <c r="G122" s="26">
        <f>G121-G120</f>
        <v>-16945.826276000022</v>
      </c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>
      <c r="A123" s="41" t="s">
        <v>111</v>
      </c>
      <c r="B123" s="41" t="s">
        <v>112</v>
      </c>
      <c r="C123" s="41" t="s">
        <v>110</v>
      </c>
      <c r="E123" s="26">
        <f>SUM($B$121:E121)-SUM($B$120:E120)</f>
        <v>-4342.4783640000242</v>
      </c>
      <c r="F123" s="26">
        <f>SUM($B$121:F121)-SUM($B$120:F120)</f>
        <v>4076.0590699999448</v>
      </c>
      <c r="G123" s="26">
        <f>SUM($B$121:G121)-SUM($B$120:G120)</f>
        <v>-12869.767206000077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3125.4889999999978</v>
      </c>
      <c r="U123" s="80">
        <f>'[1]Proy. 2018'!$D$154</f>
        <v>3125.4889999999978</v>
      </c>
      <c r="W123" s="80">
        <f>W118</f>
        <v>12671.042000000001</v>
      </c>
      <c r="X123" s="80">
        <f>SUM('[1]Proy. 2018'!$E$154:$H$154)</f>
        <v>12671.042000000001</v>
      </c>
      <c r="Z123" s="89"/>
      <c r="AA123" s="89"/>
    </row>
    <row r="124" spans="1:30" ht="15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62427.438280405171</v>
      </c>
      <c r="U124" s="80">
        <f>'[1]Proy. 2018'!$D$60</f>
        <v>74585.869999999879</v>
      </c>
      <c r="W124" s="80">
        <f>SUM(W122:W123)</f>
        <v>270464.62684699998</v>
      </c>
      <c r="X124" s="80">
        <f>SUM('[1]Proy. 2018'!$E$60:$H$60)</f>
        <v>292023.20500000007</v>
      </c>
      <c r="Z124" s="91">
        <f>R120+T124+W124</f>
        <v>907098.06512740511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>
      <c r="A126" s="42" t="s">
        <v>120</v>
      </c>
      <c r="B126" s="43">
        <f>-AVERAGE(B82:BA82)/1000000</f>
        <v>5.6198556601960785</v>
      </c>
      <c r="C126" s="43">
        <f>B126*4</f>
        <v>22.479422640784314</v>
      </c>
      <c r="S126" s="92" t="s">
        <v>144</v>
      </c>
      <c r="U126" s="104">
        <f>T124-U124</f>
        <v>-12158.431719594708</v>
      </c>
      <c r="X126" s="104">
        <f>W124-X124</f>
        <v>-21558.578153000097</v>
      </c>
      <c r="Z126" s="89"/>
      <c r="AA126" s="89">
        <f>Z124-AA124</f>
        <v>-33717.009872594848</v>
      </c>
      <c r="AB126" s="112">
        <f>(X126+U126)/(T122+W122)</f>
        <v>-0.10633076232176679</v>
      </c>
      <c r="AC126" s="111">
        <f>AA126/Z124</f>
        <v>-3.7170192693398788E-2</v>
      </c>
    </row>
    <row r="127" spans="1:30" ht="15.75" thickBot="1">
      <c r="A127" s="42" t="s">
        <v>121</v>
      </c>
      <c r="B127" s="43">
        <f>-(AVERAGE(B89:BA89)+AVERAGE(B68:BA68))/1000000</f>
        <v>2.684835269019608</v>
      </c>
      <c r="C127" s="43">
        <f>B127*4</f>
        <v>10.739341076078432</v>
      </c>
      <c r="Z127" s="89"/>
      <c r="AA127" s="89"/>
    </row>
    <row r="128" spans="1:30" ht="15.75">
      <c r="A128" s="44" t="s">
        <v>104</v>
      </c>
      <c r="B128" s="45">
        <f>SUM(B124:B127)</f>
        <v>10.684122555294119</v>
      </c>
      <c r="C128" s="45">
        <f>SUM(C124:C127)</f>
        <v>42.736490221176474</v>
      </c>
      <c r="R128" s="23"/>
      <c r="S128" s="9" t="s">
        <v>141</v>
      </c>
      <c r="Z128" s="87">
        <f>Z120-'[4]Flujo 2018'!$AQ$4</f>
        <v>-22001.181730999961</v>
      </c>
      <c r="AA128" s="87">
        <f>AA124-'[1]Proy. 2018'!$H$57</f>
        <v>15788.686999999918</v>
      </c>
    </row>
    <row r="129" spans="1:31" ht="15">
      <c r="A129" s="42"/>
      <c r="B129" s="43"/>
      <c r="C129" s="43"/>
      <c r="R129" s="23"/>
    </row>
    <row r="130" spans="1:31" ht="16.5" thickBot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6.5" thickBot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6.5" thickBot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>
      <c r="A136" s="44" t="s">
        <v>107</v>
      </c>
      <c r="B136" s="45">
        <f>B128+B131+B134</f>
        <v>12.41866096959181</v>
      </c>
      <c r="C136" s="45">
        <f>C128+C131+C134</f>
        <v>49.674643878367242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thickBot="1">
      <c r="A138" s="46" t="s">
        <v>108</v>
      </c>
      <c r="B138" s="47">
        <f>B136+B137</f>
        <v>26.205427789478662</v>
      </c>
      <c r="C138" s="47">
        <f>C136+C137</f>
        <v>63.461410698254099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>
      <c r="S139" s="40" t="s">
        <v>134</v>
      </c>
      <c r="T139" s="80">
        <f>I107</f>
        <v>-2850.997000000003</v>
      </c>
      <c r="W139" s="80">
        <f>SUM(J107:M107)</f>
        <v>-10418.723999999998</v>
      </c>
      <c r="X139" s="24"/>
    </row>
    <row r="140" spans="1:31" ht="15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>
      <c r="R141" s="22">
        <f>[1]EEFF!$H$64</f>
        <v>-582650</v>
      </c>
      <c r="S141" s="40" t="s">
        <v>135</v>
      </c>
      <c r="T141" s="80">
        <f>SUM(T138:T140)</f>
        <v>-73070.345720000012</v>
      </c>
      <c r="W141" s="80">
        <f>SUM(W138:W140)</f>
        <v>-267044.77079999994</v>
      </c>
      <c r="X141" s="24"/>
      <c r="Z141" s="80">
        <f>R141+T141+W141</f>
        <v>-922765.11651999992</v>
      </c>
    </row>
    <row r="142" spans="1:31" ht="15">
      <c r="S142" s="40"/>
      <c r="T142" s="24"/>
      <c r="W142" s="24"/>
      <c r="X142" s="24"/>
    </row>
    <row r="143" spans="1:3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>
      <c r="S144" s="40" t="s">
        <v>134</v>
      </c>
      <c r="T144" s="80">
        <f>T139</f>
        <v>-2850.997000000003</v>
      </c>
      <c r="U144" s="80">
        <f>'[1]Proy. 2018'!$D$155</f>
        <v>-2850.997000000003</v>
      </c>
      <c r="W144" s="80">
        <f>W139</f>
        <v>-10418.723999999998</v>
      </c>
      <c r="X144" s="80">
        <f>SUM('[1]Proy. 2018'!$E$155:$H$155)</f>
        <v>-10418.723999999998</v>
      </c>
    </row>
    <row r="145" spans="1:30" ht="12.75">
      <c r="S145" s="40" t="s">
        <v>135</v>
      </c>
      <c r="T145" s="85">
        <f>SUM(T143:T144)</f>
        <v>-62208.370118405182</v>
      </c>
      <c r="U145" s="85">
        <f>'[1]Proy. 2018'!$D$61</f>
        <v>-57037.396000000183</v>
      </c>
      <c r="W145" s="85">
        <f>SUM(W143:W144)</f>
        <v>-224712.38579999996</v>
      </c>
      <c r="X145" s="85">
        <f>SUM('[1]Proy. 2018'!$E$61:$H$61)</f>
        <v>-260447.245</v>
      </c>
      <c r="Z145" s="85">
        <f>R141+T145+W145</f>
        <v>-869570.75591840514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>
      <c r="B146" s="48" t="s">
        <v>113</v>
      </c>
      <c r="C146" s="25">
        <f>AVERAGE(A148:A200)/1000000</f>
        <v>-14.911536360188679</v>
      </c>
      <c r="Z146" s="90"/>
      <c r="AA146" s="90"/>
    </row>
    <row r="147" spans="1:30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-5170.9741184049999</v>
      </c>
      <c r="V147" s="40"/>
      <c r="W147" s="40"/>
      <c r="X147" s="104">
        <f>W145-X145</f>
        <v>35734.859200000035</v>
      </c>
      <c r="Z147" s="90"/>
      <c r="AA147" s="89">
        <f>Z145-AA145</f>
        <v>30563.885081595043</v>
      </c>
      <c r="AB147" s="112">
        <f>(X147+U147)/(W145+T145)</f>
        <v>-0.1065237855789242</v>
      </c>
    </row>
    <row r="148" spans="1:30" ht="12.75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>
      <c r="A152" s="18">
        <v>-39269103.120000005</v>
      </c>
      <c r="S152" s="9" t="s">
        <v>141</v>
      </c>
      <c r="Z152" s="87">
        <f>Z141-'[4]Flujo 2018'!$AQ$5</f>
        <v>20025.272880000062</v>
      </c>
      <c r="AA152" s="87">
        <f>AA145-'[1]Proy. 2018'!$H$58</f>
        <v>-13303.273000000045</v>
      </c>
    </row>
    <row r="153" spans="1:30" ht="12.75">
      <c r="A153" s="18">
        <v>-9105093</v>
      </c>
    </row>
    <row r="154" spans="1:30" ht="12.75">
      <c r="A154" s="18">
        <v>-25312139.880000006</v>
      </c>
      <c r="S154" s="9" t="s">
        <v>95</v>
      </c>
      <c r="Z154" s="88">
        <f>Z120+Z141</f>
        <v>37527.309209000086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>
      <c r="A155" s="18">
        <v>-12578049.57</v>
      </c>
      <c r="Z155" s="87">
        <f>Z154-'[4]Flujo 2018'!$AQ$3</f>
        <v>-1975.9088509999128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>
      <c r="A156" s="18">
        <v>-12967963.389999997</v>
      </c>
      <c r="AA156" s="81">
        <f>AA126+AA147</f>
        <v>-3153.1247909998056</v>
      </c>
    </row>
    <row r="157" spans="1:30" ht="12.75">
      <c r="A157" s="18">
        <v>-8256517.8300000001</v>
      </c>
      <c r="AA157" s="10">
        <f>Z154-AA154</f>
        <v>-3153.1247909996891</v>
      </c>
    </row>
    <row r="158" spans="1:30" ht="12.75">
      <c r="A158" s="18">
        <v>-16715896.169999998</v>
      </c>
    </row>
    <row r="159" spans="1:30" ht="12.75">
      <c r="A159" s="18">
        <v>-7781264.6299999999</v>
      </c>
    </row>
    <row r="160" spans="1:30" ht="12.75">
      <c r="A160" s="18">
        <v>-11260163.460000001</v>
      </c>
    </row>
    <row r="161" spans="1:1" ht="12.75">
      <c r="A161" s="18">
        <v>-7148236.0399999991</v>
      </c>
    </row>
    <row r="162" spans="1:1" ht="12.75">
      <c r="A162" s="18">
        <v>-39931943</v>
      </c>
    </row>
    <row r="163" spans="1:1" ht="12.75">
      <c r="A163" s="18">
        <v>-17562299.390000001</v>
      </c>
    </row>
    <row r="164" spans="1:1" ht="12.75">
      <c r="A164" s="18">
        <v>-9393337.9000000004</v>
      </c>
    </row>
    <row r="165" spans="1:1" ht="12.75">
      <c r="A165" s="18">
        <v>-18670296.349999998</v>
      </c>
    </row>
    <row r="166" spans="1:1" ht="12.75">
      <c r="A166" s="18">
        <v>-17981320.5</v>
      </c>
    </row>
    <row r="167" spans="1:1" ht="12.75">
      <c r="A167" s="18">
        <v>-19779546.189999998</v>
      </c>
    </row>
    <row r="168" spans="1:1" ht="12.75">
      <c r="A168" s="18">
        <v>-14716797.210000001</v>
      </c>
    </row>
    <row r="169" spans="1:1" ht="12.75">
      <c r="A169" s="18">
        <v>-19137676.490000006</v>
      </c>
    </row>
    <row r="170" spans="1:1" ht="12.75">
      <c r="A170" s="18">
        <v>-15668641.6</v>
      </c>
    </row>
    <row r="171" spans="1:1" ht="12.75">
      <c r="A171" s="18">
        <v>-32996590.100000005</v>
      </c>
    </row>
    <row r="172" spans="1:1" ht="12.75">
      <c r="A172" s="18">
        <v>-14992755.369999999</v>
      </c>
    </row>
    <row r="173" spans="1:1" ht="12.75">
      <c r="A173" s="18">
        <v>-14485372.019999998</v>
      </c>
    </row>
    <row r="174" spans="1:1" ht="12.75">
      <c r="A174" s="18">
        <v>-10392831.639999999</v>
      </c>
    </row>
    <row r="175" spans="1:1" ht="12.75">
      <c r="A175" s="18">
        <v>-15708281.379999997</v>
      </c>
    </row>
    <row r="176" spans="1:1" ht="12.75">
      <c r="A176" s="18">
        <v>-14005617.209999999</v>
      </c>
    </row>
    <row r="177" spans="1:1" ht="12.75">
      <c r="A177" s="18">
        <v>-10310799.1</v>
      </c>
    </row>
    <row r="178" spans="1:1" ht="12.75">
      <c r="A178" s="18">
        <v>-14690932.689999999</v>
      </c>
    </row>
    <row r="179" spans="1:1" ht="12.75">
      <c r="A179" s="18">
        <v>-20986111.840000004</v>
      </c>
    </row>
    <row r="180" spans="1:1" ht="12.75">
      <c r="A180" s="18">
        <v>-20108286.910000004</v>
      </c>
    </row>
    <row r="181" spans="1:1" ht="12.75">
      <c r="A181" s="18">
        <v>-10539927.389999999</v>
      </c>
    </row>
    <row r="182" spans="1:1" ht="12.75">
      <c r="A182" s="18">
        <v>-11907511.999999996</v>
      </c>
    </row>
    <row r="183" spans="1:1" ht="12.75">
      <c r="A183" s="18">
        <v>-7817853.9199999999</v>
      </c>
    </row>
    <row r="184" spans="1:1" ht="12.75">
      <c r="A184" s="18">
        <v>-18903649.48</v>
      </c>
    </row>
    <row r="185" spans="1:1" ht="12.75">
      <c r="A185" s="18">
        <v>-11719224.569999997</v>
      </c>
    </row>
    <row r="186" spans="1:1" ht="12.75">
      <c r="A186" s="18">
        <v>-11809515.199999997</v>
      </c>
    </row>
    <row r="187" spans="1:1" ht="12.75">
      <c r="A187" s="18">
        <v>-18145407.98</v>
      </c>
    </row>
    <row r="188" spans="1:1" ht="12.75">
      <c r="A188" s="18">
        <v>-14712916.180000002</v>
      </c>
    </row>
    <row r="189" spans="1:1" ht="12.75">
      <c r="A189" s="18">
        <v>-15948915.860000003</v>
      </c>
    </row>
    <row r="190" spans="1:1" ht="12.75">
      <c r="A190" s="18">
        <v>-10619348.260000002</v>
      </c>
    </row>
    <row r="191" spans="1:1" ht="12.75">
      <c r="A191" s="18">
        <v>-13044295.540000001</v>
      </c>
    </row>
    <row r="192" spans="1:1" ht="12.75">
      <c r="A192" s="18">
        <v>-15655322.779999999</v>
      </c>
    </row>
    <row r="193" spans="1:1" ht="12.75">
      <c r="A193" s="18">
        <v>-17671664.530000001</v>
      </c>
    </row>
    <row r="194" spans="1:1" ht="12.75">
      <c r="A194" s="18">
        <v>-9074849.4499999993</v>
      </c>
    </row>
    <row r="195" spans="1:1" ht="12.75">
      <c r="A195" s="18">
        <v>-11314401.319999998</v>
      </c>
    </row>
    <row r="196" spans="1:1" ht="12.75">
      <c r="A196" s="18">
        <v>-7433314.2800000003</v>
      </c>
    </row>
    <row r="197" spans="1:1" ht="12.75">
      <c r="A197" s="18">
        <v>-19842362.970000003</v>
      </c>
    </row>
    <row r="198" spans="1:1" ht="12.75">
      <c r="A198" s="18">
        <v>-10999156.18</v>
      </c>
    </row>
    <row r="199" spans="1:1" ht="12.75">
      <c r="A199" s="18">
        <v>-11323192.379999999</v>
      </c>
    </row>
    <row r="200" spans="1: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2"/>
  <dimension ref="A1:BJ200"/>
  <sheetViews>
    <sheetView showGridLines="0"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BB97" sqref="BB97"/>
    </sheetView>
  </sheetViews>
  <sheetFormatPr baseColWidth="10" defaultRowHeight="12" outlineLevelRow="1"/>
  <cols>
    <col min="1" max="1" width="39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4.57031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7.28515625" style="9" bestFit="1" customWidth="1"/>
    <col min="56" max="62" width="14.85546875" style="9" bestFit="1" customWidth="1"/>
    <col min="63" max="16384" width="11.42578125" style="9"/>
  </cols>
  <sheetData>
    <row r="1" spans="1:59" s="2" customFormat="1" ht="12.75">
      <c r="A1" s="124" t="s">
        <v>0</v>
      </c>
      <c r="B1" s="124" t="s">
        <v>204</v>
      </c>
      <c r="C1" s="17" t="s">
        <v>154</v>
      </c>
      <c r="D1" s="17" t="s">
        <v>155</v>
      </c>
      <c r="E1" s="30" t="s">
        <v>156</v>
      </c>
      <c r="F1" s="17" t="s">
        <v>157</v>
      </c>
      <c r="G1" s="17" t="s">
        <v>158</v>
      </c>
      <c r="H1" s="17" t="s">
        <v>159</v>
      </c>
      <c r="I1" s="30" t="s">
        <v>160</v>
      </c>
      <c r="J1" s="17" t="s">
        <v>161</v>
      </c>
      <c r="K1" s="17" t="s">
        <v>162</v>
      </c>
      <c r="L1" s="17" t="s">
        <v>163</v>
      </c>
      <c r="M1" s="30" t="s">
        <v>164</v>
      </c>
      <c r="N1" s="17" t="s">
        <v>165</v>
      </c>
      <c r="O1" s="17" t="s">
        <v>166</v>
      </c>
      <c r="P1" s="17" t="s">
        <v>167</v>
      </c>
      <c r="Q1" s="30" t="s">
        <v>168</v>
      </c>
      <c r="R1" s="17" t="s">
        <v>169</v>
      </c>
      <c r="S1" s="17" t="s">
        <v>170</v>
      </c>
      <c r="T1" s="17" t="s">
        <v>171</v>
      </c>
      <c r="U1" s="17" t="s">
        <v>172</v>
      </c>
      <c r="V1" s="30" t="s">
        <v>173</v>
      </c>
      <c r="W1" s="17" t="s">
        <v>174</v>
      </c>
      <c r="X1" s="17" t="s">
        <v>175</v>
      </c>
      <c r="Y1" s="17" t="s">
        <v>176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9" s="4" customFormat="1" ht="15">
      <c r="A2" s="3"/>
      <c r="B2" s="121"/>
      <c r="C2" s="121"/>
      <c r="D2" s="121"/>
      <c r="E2" s="123"/>
      <c r="F2" s="122"/>
      <c r="G2" s="122"/>
      <c r="H2" s="122"/>
      <c r="I2" s="123"/>
      <c r="J2" s="122"/>
      <c r="K2" s="122"/>
      <c r="L2" s="122"/>
      <c r="M2" s="123"/>
      <c r="N2" s="122"/>
      <c r="O2" s="122"/>
      <c r="P2" s="122"/>
      <c r="Q2" s="123"/>
      <c r="R2" s="122"/>
      <c r="S2" s="122"/>
      <c r="T2" s="122"/>
      <c r="U2" s="122"/>
      <c r="V2" s="123"/>
      <c r="W2" s="122"/>
      <c r="X2" s="122"/>
      <c r="Y2" s="122"/>
      <c r="Z2" s="123"/>
      <c r="AA2" s="122"/>
      <c r="AB2" s="122"/>
      <c r="AC2" s="122"/>
      <c r="AD2" s="122"/>
      <c r="AE2" s="123"/>
      <c r="AF2" s="122"/>
      <c r="AG2" s="122"/>
      <c r="AH2" s="122"/>
      <c r="AI2" s="123"/>
      <c r="AJ2" s="122"/>
      <c r="AK2" s="122"/>
      <c r="AL2" s="122"/>
      <c r="AM2" s="123"/>
      <c r="AN2" s="122"/>
      <c r="AO2" s="122"/>
      <c r="AP2" s="122"/>
      <c r="AQ2" s="122"/>
      <c r="AR2" s="123"/>
      <c r="AS2" s="122"/>
      <c r="AT2" s="122"/>
      <c r="AU2" s="122"/>
      <c r="AV2" s="123"/>
      <c r="AW2" s="125"/>
      <c r="AX2" s="13"/>
      <c r="AY2" s="13"/>
      <c r="AZ2" s="13"/>
      <c r="BA2" s="13"/>
    </row>
    <row r="3" spans="1:59" s="5" customFormat="1" ht="12.75">
      <c r="A3" s="3" t="s">
        <v>2</v>
      </c>
      <c r="B3" s="18"/>
      <c r="C3" s="18">
        <v>32102771.949999999</v>
      </c>
      <c r="D3" s="18">
        <v>29826956.369999994</v>
      </c>
      <c r="E3" s="32">
        <v>40356694.449999996</v>
      </c>
      <c r="F3" s="18">
        <v>47006914.93999999</v>
      </c>
      <c r="G3" s="18">
        <v>48938417.93999999</v>
      </c>
      <c r="H3" s="18">
        <v>55980399.809999987</v>
      </c>
      <c r="I3" s="32">
        <v>64854205.11999999</v>
      </c>
      <c r="J3" s="18">
        <v>76291067.720000014</v>
      </c>
      <c r="K3" s="18">
        <v>91428653.08100003</v>
      </c>
      <c r="L3" s="18">
        <v>78710811.532000035</v>
      </c>
      <c r="M3" s="32">
        <v>69136281.923000053</v>
      </c>
      <c r="N3" s="18">
        <v>71593624.214000061</v>
      </c>
      <c r="O3" s="18">
        <v>76021974.144000053</v>
      </c>
      <c r="P3" s="18">
        <v>66301271.124000058</v>
      </c>
      <c r="Q3" s="32">
        <v>64195903.274000049</v>
      </c>
      <c r="R3" s="18">
        <v>71388833.534000039</v>
      </c>
      <c r="S3" s="18">
        <v>52119993.499200046</v>
      </c>
      <c r="T3" s="18">
        <v>50231368.644400045</v>
      </c>
      <c r="U3" s="18">
        <v>30455531.859600045</v>
      </c>
      <c r="V3" s="32">
        <v>30518073.714800049</v>
      </c>
      <c r="W3" s="18">
        <v>29042680.640000045</v>
      </c>
      <c r="X3" s="18">
        <v>15846404.914000049</v>
      </c>
      <c r="Y3" s="18">
        <v>18471371.148000054</v>
      </c>
      <c r="Z3" s="32">
        <v>13594979.962000053</v>
      </c>
      <c r="AA3" s="18">
        <v>19702205.916000053</v>
      </c>
      <c r="AB3" s="18">
        <v>20026982.757200047</v>
      </c>
      <c r="AC3" s="18">
        <v>17524238.658400044</v>
      </c>
      <c r="AD3" s="18">
        <v>-1103522.8903999589</v>
      </c>
      <c r="AE3" s="32">
        <v>-131451.17919996381</v>
      </c>
      <c r="AF3" s="18">
        <v>-3659675.467999965</v>
      </c>
      <c r="AG3" s="18">
        <v>-11520268.524999969</v>
      </c>
      <c r="AH3" s="18">
        <v>-20055652.791999962</v>
      </c>
      <c r="AI3" s="32">
        <v>-19144266.068999961</v>
      </c>
      <c r="AJ3" s="18">
        <v>-19822801.405999962</v>
      </c>
      <c r="AK3" s="18">
        <v>-13422379.874999963</v>
      </c>
      <c r="AL3" s="18">
        <v>-26123380.983999964</v>
      </c>
      <c r="AM3" s="32">
        <v>-24324216.982999966</v>
      </c>
      <c r="AN3" s="18">
        <v>-32387697.721999966</v>
      </c>
      <c r="AO3" s="18">
        <v>-34897130.039199963</v>
      </c>
      <c r="AP3" s="18">
        <v>-30556426.176399965</v>
      </c>
      <c r="AQ3" s="18">
        <v>-33989973.683599964</v>
      </c>
      <c r="AR3" s="32">
        <v>-29316831.650799967</v>
      </c>
      <c r="AS3" s="18">
        <v>-30667490.567999974</v>
      </c>
      <c r="AT3" s="18">
        <v>-25756247.417999972</v>
      </c>
      <c r="AU3" s="18">
        <v>-40490383.10799998</v>
      </c>
      <c r="AV3" s="32">
        <v>-37437352.917999983</v>
      </c>
      <c r="AW3" s="18">
        <v>-33784287.14799998</v>
      </c>
      <c r="AX3" s="18">
        <v>-23097315.347999975</v>
      </c>
      <c r="AY3" s="18">
        <v>-24542091.867999971</v>
      </c>
      <c r="AZ3" s="18">
        <v>-16891655.22799997</v>
      </c>
      <c r="BA3" s="18">
        <v>-5116482.3679999709</v>
      </c>
      <c r="BB3" s="37"/>
      <c r="BG3" s="5" t="s">
        <v>286</v>
      </c>
    </row>
    <row r="4" spans="1:59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67" si="0">SUM(B4:BA4)/1000</f>
        <v>315329.92772999994</v>
      </c>
    </row>
    <row r="5" spans="1:59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9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9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9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9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9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9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9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9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9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9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9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62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62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62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62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62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62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62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62" s="4" customFormat="1" ht="15" hidden="1" outlineLevel="1">
      <c r="A24" s="3" t="s">
        <v>23</v>
      </c>
      <c r="B24" s="24"/>
      <c r="C24" s="24">
        <v>10194766.43</v>
      </c>
      <c r="D24" s="24">
        <v>7970288.7599999998</v>
      </c>
      <c r="E24" s="31">
        <v>7874904.5099999998</v>
      </c>
      <c r="F24" s="24">
        <v>6857550.1800000006</v>
      </c>
      <c r="G24" s="24">
        <v>4586419.92</v>
      </c>
      <c r="H24" s="24">
        <v>3512669.2399999998</v>
      </c>
      <c r="I24" s="31">
        <v>2627441.08</v>
      </c>
      <c r="J24" s="24">
        <v>2018661.281</v>
      </c>
      <c r="K24" s="24">
        <v>1131002.321</v>
      </c>
      <c r="L24" s="24">
        <v>326447.41100000002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299099.5552</v>
      </c>
      <c r="W24" s="24">
        <v>386553.37399999995</v>
      </c>
      <c r="X24" s="24">
        <v>380590.25399999996</v>
      </c>
      <c r="Y24" s="24">
        <v>380590.25399999996</v>
      </c>
      <c r="Z24" s="31">
        <v>380590.25399999996</v>
      </c>
      <c r="AA24" s="24">
        <v>334274.13119999995</v>
      </c>
      <c r="AB24" s="24">
        <v>334274.13119999995</v>
      </c>
      <c r="AC24" s="24">
        <v>334274.13119999995</v>
      </c>
      <c r="AD24" s="24">
        <v>334274.13119999995</v>
      </c>
      <c r="AE24" s="31">
        <v>334274.13119999995</v>
      </c>
      <c r="AF24" s="24">
        <v>373705.08300000004</v>
      </c>
      <c r="AG24" s="24">
        <v>373705.08300000004</v>
      </c>
      <c r="AH24" s="24">
        <v>373705.08300000004</v>
      </c>
      <c r="AI24" s="31">
        <v>373705.08300000004</v>
      </c>
      <c r="AJ24" s="24">
        <v>409108.28100000002</v>
      </c>
      <c r="AK24" s="24">
        <v>409108.28100000002</v>
      </c>
      <c r="AL24" s="24">
        <v>409108.28100000002</v>
      </c>
      <c r="AM24" s="31">
        <v>409108.28100000002</v>
      </c>
      <c r="AN24" s="24">
        <v>288166.7328</v>
      </c>
      <c r="AO24" s="24">
        <v>288166.7328</v>
      </c>
      <c r="AP24" s="24">
        <v>288166.7328</v>
      </c>
      <c r="AQ24" s="24">
        <v>288166.7328</v>
      </c>
      <c r="AR24" s="31">
        <v>288166.7328</v>
      </c>
      <c r="AS24" s="24">
        <v>411863.7</v>
      </c>
      <c r="AT24" s="24">
        <v>411863.7</v>
      </c>
      <c r="AU24" s="24">
        <v>411863.7</v>
      </c>
      <c r="AV24" s="31">
        <v>411863.7</v>
      </c>
      <c r="AW24" s="24">
        <v>342601.44</v>
      </c>
      <c r="AX24" s="19">
        <v>342601.44</v>
      </c>
      <c r="AY24" s="19">
        <v>342601.44</v>
      </c>
      <c r="AZ24" s="19">
        <v>342601.44</v>
      </c>
      <c r="BA24" s="19">
        <v>342601.44</v>
      </c>
      <c r="BB24" s="37">
        <f t="shared" si="0"/>
        <v>61696.912231999995</v>
      </c>
    </row>
    <row r="25" spans="1:62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62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62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62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62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>
        <v>372749.38</v>
      </c>
      <c r="S29" s="24">
        <v>534586.29</v>
      </c>
      <c r="T29" s="24">
        <v>534264.73</v>
      </c>
      <c r="U29" s="24">
        <v>535071.24</v>
      </c>
      <c r="V29" s="31">
        <v>476899.59</v>
      </c>
      <c r="W29" s="24">
        <v>340323.5</v>
      </c>
      <c r="X29" s="24">
        <v>345452.99</v>
      </c>
      <c r="Y29" s="24">
        <v>346437.21</v>
      </c>
      <c r="Z29" s="31">
        <v>374901.95</v>
      </c>
      <c r="AA29" s="24">
        <v>206780.88</v>
      </c>
      <c r="AB29" s="24">
        <v>207825.94</v>
      </c>
      <c r="AC29" s="24">
        <v>207316.83</v>
      </c>
      <c r="AD29" s="24">
        <v>210472.57</v>
      </c>
      <c r="AE29" s="31">
        <v>213144.87</v>
      </c>
      <c r="AF29" s="24">
        <v>199900.62</v>
      </c>
      <c r="AG29" s="24">
        <v>200711.1</v>
      </c>
      <c r="AH29" s="24">
        <v>201185.52</v>
      </c>
      <c r="AI29" s="31">
        <v>131690.34</v>
      </c>
      <c r="AJ29" s="24">
        <v>110496.45</v>
      </c>
      <c r="AK29" s="24">
        <v>110264.76</v>
      </c>
      <c r="AL29" s="24">
        <v>113668.19</v>
      </c>
      <c r="AM29" s="31">
        <v>116406.82</v>
      </c>
      <c r="AN29" s="24">
        <v>135024.22</v>
      </c>
      <c r="AO29" s="24">
        <v>132016.93</v>
      </c>
      <c r="AP29" s="24">
        <v>131122.72</v>
      </c>
      <c r="AQ29" s="24">
        <v>127249.2</v>
      </c>
      <c r="AR29" s="31">
        <v>113918.12</v>
      </c>
      <c r="AS29" s="24">
        <v>180202.42</v>
      </c>
      <c r="AT29" s="24">
        <v>179812.43</v>
      </c>
      <c r="AU29" s="24">
        <v>179734.98</v>
      </c>
      <c r="AV29" s="31">
        <v>168035.83</v>
      </c>
      <c r="AW29" s="24">
        <v>1227337.02</v>
      </c>
      <c r="AX29" s="19">
        <v>1228325.58</v>
      </c>
      <c r="AY29" s="19">
        <v>1228327.1000000001</v>
      </c>
      <c r="AZ29" s="19">
        <v>1024751.11</v>
      </c>
      <c r="BA29" s="19">
        <v>409288.63</v>
      </c>
      <c r="BB29" s="37">
        <f t="shared" si="0"/>
        <v>17688.605919999995</v>
      </c>
    </row>
    <row r="30" spans="1:62" s="5" customFormat="1" collapsed="1">
      <c r="A30" s="3" t="s">
        <v>29</v>
      </c>
      <c r="B30" s="20">
        <f>(Hoja1!G2+Hoja1!H2)*1000</f>
        <v>33678645.18</v>
      </c>
      <c r="C30" s="20">
        <v>19123278.350000001</v>
      </c>
      <c r="D30" s="20">
        <v>19233377.16</v>
      </c>
      <c r="E30" s="33">
        <v>19728248.219999995</v>
      </c>
      <c r="F30" s="20">
        <v>19000128.350000001</v>
      </c>
      <c r="G30" s="20">
        <v>18316789.139999997</v>
      </c>
      <c r="H30" s="20">
        <v>18224375.780000001</v>
      </c>
      <c r="I30" s="33">
        <v>17457042.380000003</v>
      </c>
      <c r="J30" s="20">
        <v>16829610.390999999</v>
      </c>
      <c r="K30" s="20">
        <v>15960973.170999998</v>
      </c>
      <c r="L30" s="20">
        <v>15755517.011000002</v>
      </c>
      <c r="M30" s="33">
        <v>15705226.950999999</v>
      </c>
      <c r="N30" s="20">
        <v>15902428.219999999</v>
      </c>
      <c r="O30" s="20">
        <v>16035338.080000002</v>
      </c>
      <c r="P30" s="20">
        <v>15599455.720000001</v>
      </c>
      <c r="Q30" s="33">
        <v>15561789.520000001</v>
      </c>
      <c r="R30" s="20">
        <v>15660273.255200004</v>
      </c>
      <c r="S30" s="20">
        <v>15220367.735199999</v>
      </c>
      <c r="T30" s="20">
        <v>16050949.595199998</v>
      </c>
      <c r="U30" s="20">
        <v>15592619.245200001</v>
      </c>
      <c r="V30" s="33">
        <v>15641077.785199996</v>
      </c>
      <c r="W30" s="20">
        <v>16194047.223999999</v>
      </c>
      <c r="X30" s="20">
        <v>15902283.544000002</v>
      </c>
      <c r="Y30" s="20">
        <v>16233528.684</v>
      </c>
      <c r="Z30" s="33">
        <v>16255254.613999998</v>
      </c>
      <c r="AA30" s="20">
        <v>15661769.1512</v>
      </c>
      <c r="AB30" s="20">
        <v>15753083.741200002</v>
      </c>
      <c r="AC30" s="20">
        <v>15684447.851200001</v>
      </c>
      <c r="AD30" s="20">
        <v>15811012.571199996</v>
      </c>
      <c r="AE30" s="33">
        <v>15766191.5112</v>
      </c>
      <c r="AF30" s="20">
        <v>15726129.612999998</v>
      </c>
      <c r="AG30" s="20">
        <v>15592249.053000001</v>
      </c>
      <c r="AH30" s="20">
        <v>15447040.382999999</v>
      </c>
      <c r="AI30" s="33">
        <v>15398505.833000001</v>
      </c>
      <c r="AJ30" s="20">
        <v>15589848.541000001</v>
      </c>
      <c r="AK30" s="20">
        <v>15750773.741</v>
      </c>
      <c r="AL30" s="20">
        <v>15953517.630999999</v>
      </c>
      <c r="AM30" s="33">
        <v>16052406.001</v>
      </c>
      <c r="AN30" s="20">
        <v>15842050.802800002</v>
      </c>
      <c r="AO30" s="20">
        <v>15871811.662799997</v>
      </c>
      <c r="AP30" s="20">
        <v>15766126.7728</v>
      </c>
      <c r="AQ30" s="20">
        <v>15748185.412799997</v>
      </c>
      <c r="AR30" s="33">
        <v>15302749.202799996</v>
      </c>
      <c r="AS30" s="20">
        <v>15499984.17</v>
      </c>
      <c r="AT30" s="20">
        <v>16163181.579999996</v>
      </c>
      <c r="AU30" s="20">
        <v>15798876.84</v>
      </c>
      <c r="AV30" s="33">
        <v>16213869.830000002</v>
      </c>
      <c r="AW30" s="20">
        <v>17462749.380000003</v>
      </c>
      <c r="AX30" s="20">
        <v>17488514.670000002</v>
      </c>
      <c r="AY30" s="20">
        <v>18800868.150000002</v>
      </c>
      <c r="AZ30" s="20">
        <v>18432881.48</v>
      </c>
      <c r="BA30" s="20">
        <v>5977422.5200000005</v>
      </c>
      <c r="BB30" s="37">
        <f>SUM(B30:BA30)/1000</f>
        <v>859418.87340200017</v>
      </c>
      <c r="BC30" s="137">
        <f>BB30+N106</f>
        <v>901543.84540200012</v>
      </c>
      <c r="BD30" s="137">
        <f>[11]Expandido!$Q$119</f>
        <v>871439.23000000021</v>
      </c>
      <c r="BE30" s="137">
        <f>BC30-BD30</f>
        <v>30104.615401999908</v>
      </c>
      <c r="BF30" s="137"/>
      <c r="BG30" s="137">
        <f>[11]Hoja2!$C$11</f>
        <v>829314.25800000015</v>
      </c>
      <c r="BH30" s="137">
        <f>BB30-BG30</f>
        <v>30104.615402000025</v>
      </c>
      <c r="BI30" s="137"/>
      <c r="BJ30" s="137"/>
    </row>
    <row r="31" spans="1:62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  <c r="BC31" s="137">
        <f t="shared" ref="BC31:BC92" si="1">BB31+N107</f>
        <v>-40012.090000000004</v>
      </c>
      <c r="BD31" s="138"/>
      <c r="BE31" s="138">
        <f t="shared" ref="BE31:BE93" si="2">BC31-BD31</f>
        <v>-40012.090000000004</v>
      </c>
      <c r="BF31" s="138"/>
      <c r="BG31" s="138"/>
      <c r="BH31" s="138"/>
      <c r="BI31" s="138"/>
      <c r="BJ31" s="138"/>
    </row>
    <row r="32" spans="1:62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  <c r="BC32" s="137">
        <f t="shared" si="1"/>
        <v>0</v>
      </c>
      <c r="BD32" s="138"/>
      <c r="BE32" s="138">
        <f t="shared" si="2"/>
        <v>0</v>
      </c>
      <c r="BF32" s="138"/>
      <c r="BG32" s="138"/>
      <c r="BH32" s="138"/>
      <c r="BI32" s="138"/>
      <c r="BJ32" s="138"/>
    </row>
    <row r="33" spans="1:62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  <c r="BC33" s="137">
        <f t="shared" si="1"/>
        <v>0</v>
      </c>
      <c r="BD33" s="138"/>
      <c r="BE33" s="138">
        <f t="shared" si="2"/>
        <v>0</v>
      </c>
      <c r="BF33" s="138"/>
      <c r="BG33" s="138"/>
      <c r="BH33" s="138"/>
      <c r="BI33" s="138"/>
      <c r="BJ33" s="138"/>
    </row>
    <row r="34" spans="1:62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  <c r="BC34" s="137">
        <f t="shared" si="1"/>
        <v>0</v>
      </c>
      <c r="BD34" s="138"/>
      <c r="BE34" s="138">
        <f t="shared" si="2"/>
        <v>0</v>
      </c>
      <c r="BF34" s="138"/>
      <c r="BG34" s="138"/>
      <c r="BH34" s="138"/>
      <c r="BI34" s="138"/>
      <c r="BJ34" s="138"/>
    </row>
    <row r="35" spans="1:62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  <c r="BC35" s="137">
        <f t="shared" si="1"/>
        <v>0</v>
      </c>
      <c r="BD35" s="138"/>
      <c r="BE35" s="138">
        <f t="shared" si="2"/>
        <v>0</v>
      </c>
      <c r="BF35" s="138"/>
      <c r="BG35" s="138"/>
      <c r="BH35" s="138"/>
      <c r="BI35" s="138"/>
      <c r="BJ35" s="138"/>
    </row>
    <row r="36" spans="1:62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si="0"/>
        <v>0</v>
      </c>
      <c r="BC36" s="137">
        <f t="shared" si="1"/>
        <v>0</v>
      </c>
      <c r="BD36" s="138"/>
      <c r="BE36" s="138">
        <f t="shared" si="2"/>
        <v>0</v>
      </c>
      <c r="BF36" s="138"/>
      <c r="BG36" s="138"/>
      <c r="BH36" s="138"/>
      <c r="BI36" s="138"/>
      <c r="BJ36" s="138"/>
    </row>
    <row r="37" spans="1:62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0"/>
        <v>0</v>
      </c>
      <c r="BC37" s="137">
        <f t="shared" si="1"/>
        <v>0</v>
      </c>
      <c r="BD37" s="138"/>
      <c r="BE37" s="138">
        <f t="shared" si="2"/>
        <v>0</v>
      </c>
      <c r="BF37" s="138"/>
      <c r="BG37" s="138"/>
      <c r="BH37" s="138"/>
      <c r="BI37" s="138"/>
      <c r="BJ37" s="138"/>
    </row>
    <row r="38" spans="1:62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0"/>
        <v>0</v>
      </c>
      <c r="BC38" s="137">
        <f t="shared" si="1"/>
        <v>0</v>
      </c>
      <c r="BD38" s="138"/>
      <c r="BE38" s="138">
        <f t="shared" si="2"/>
        <v>0</v>
      </c>
      <c r="BF38" s="138"/>
      <c r="BG38" s="138"/>
      <c r="BH38" s="138"/>
      <c r="BI38" s="138"/>
      <c r="BJ38" s="138"/>
    </row>
    <row r="39" spans="1:62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0"/>
        <v>0</v>
      </c>
      <c r="BC39" s="137">
        <f t="shared" si="1"/>
        <v>0</v>
      </c>
      <c r="BD39" s="138"/>
      <c r="BE39" s="138">
        <f t="shared" si="2"/>
        <v>0</v>
      </c>
      <c r="BF39" s="138"/>
      <c r="BG39" s="138"/>
      <c r="BH39" s="138"/>
      <c r="BI39" s="138"/>
      <c r="BJ39" s="138"/>
    </row>
    <row r="40" spans="1:62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0"/>
        <v>0</v>
      </c>
      <c r="BC40" s="137">
        <f t="shared" si="1"/>
        <v>0</v>
      </c>
      <c r="BD40" s="138"/>
      <c r="BE40" s="138">
        <f t="shared" si="2"/>
        <v>0</v>
      </c>
      <c r="BF40" s="138"/>
      <c r="BG40" s="138"/>
      <c r="BH40" s="138"/>
      <c r="BI40" s="138"/>
      <c r="BJ40" s="138"/>
    </row>
    <row r="41" spans="1:62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0"/>
        <v>0</v>
      </c>
      <c r="BC41" s="137">
        <f t="shared" si="1"/>
        <v>0</v>
      </c>
      <c r="BD41" s="138"/>
      <c r="BE41" s="138">
        <f t="shared" si="2"/>
        <v>0</v>
      </c>
      <c r="BF41" s="138"/>
      <c r="BG41" s="138"/>
      <c r="BH41" s="138"/>
      <c r="BI41" s="138"/>
      <c r="BJ41" s="138"/>
    </row>
    <row r="42" spans="1:62" s="4" customFormat="1" ht="15" hidden="1" outlineLevel="1">
      <c r="A42" s="3" t="s">
        <v>41</v>
      </c>
      <c r="B42" s="24"/>
      <c r="C42" s="24">
        <v>-428202.56</v>
      </c>
      <c r="D42" s="24">
        <v>0</v>
      </c>
      <c r="E42" s="31">
        <v>0</v>
      </c>
      <c r="F42" s="24">
        <v>0</v>
      </c>
      <c r="G42" s="24">
        <v>0</v>
      </c>
      <c r="H42" s="24">
        <v>0</v>
      </c>
      <c r="I42" s="31">
        <v>0</v>
      </c>
      <c r="J42" s="24">
        <v>0</v>
      </c>
      <c r="K42" s="24">
        <v>0</v>
      </c>
      <c r="L42" s="24">
        <v>0</v>
      </c>
      <c r="M42" s="31">
        <v>0</v>
      </c>
      <c r="N42" s="24">
        <v>0</v>
      </c>
      <c r="O42" s="24">
        <v>0</v>
      </c>
      <c r="P42" s="24">
        <v>0</v>
      </c>
      <c r="Q42" s="31">
        <v>0</v>
      </c>
      <c r="R42" s="24">
        <v>0</v>
      </c>
      <c r="S42" s="24">
        <v>0</v>
      </c>
      <c r="T42" s="24">
        <v>0</v>
      </c>
      <c r="U42" s="24">
        <v>0</v>
      </c>
      <c r="V42" s="31">
        <v>0</v>
      </c>
      <c r="W42" s="24">
        <v>0</v>
      </c>
      <c r="X42" s="24">
        <v>0</v>
      </c>
      <c r="Y42" s="24">
        <v>0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0"/>
        <v>-428.20256000000001</v>
      </c>
      <c r="BC42" s="137">
        <f t="shared" si="1"/>
        <v>993876.33084200008</v>
      </c>
      <c r="BD42" s="138"/>
      <c r="BE42" s="138">
        <f t="shared" si="2"/>
        <v>993876.33084200008</v>
      </c>
      <c r="BF42" s="138"/>
      <c r="BG42" s="138"/>
      <c r="BH42" s="138"/>
      <c r="BI42" s="138"/>
      <c r="BJ42" s="138"/>
    </row>
    <row r="43" spans="1:62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-3065521.03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0"/>
        <v>-86685.968030000018</v>
      </c>
      <c r="BC43" s="137">
        <f t="shared" si="1"/>
        <v>-998268.51247999992</v>
      </c>
      <c r="BD43" s="138"/>
      <c r="BE43" s="138">
        <f t="shared" si="2"/>
        <v>-998268.51247999992</v>
      </c>
      <c r="BF43" s="138"/>
      <c r="BG43" s="138"/>
      <c r="BH43" s="138"/>
      <c r="BI43" s="138"/>
      <c r="BJ43" s="138"/>
    </row>
    <row r="44" spans="1:62" s="4" customFormat="1" ht="15" hidden="1" outlineLevel="1">
      <c r="A44" s="3" t="s">
        <v>43</v>
      </c>
      <c r="B44" s="24"/>
      <c r="C44" s="24">
        <v>-257083.6</v>
      </c>
      <c r="D44" s="24">
        <v>0</v>
      </c>
      <c r="E44" s="31">
        <v>0</v>
      </c>
      <c r="F44" s="24">
        <v>0</v>
      </c>
      <c r="G44" s="24">
        <v>0</v>
      </c>
      <c r="H44" s="24">
        <v>0</v>
      </c>
      <c r="I44" s="31">
        <v>0</v>
      </c>
      <c r="J44" s="24">
        <v>0</v>
      </c>
      <c r="K44" s="24">
        <v>0</v>
      </c>
      <c r="L44" s="24">
        <v>0</v>
      </c>
      <c r="M44" s="31">
        <v>0</v>
      </c>
      <c r="N44" s="24">
        <v>0</v>
      </c>
      <c r="O44" s="24">
        <v>0</v>
      </c>
      <c r="P44" s="24">
        <v>0</v>
      </c>
      <c r="Q44" s="31">
        <v>0</v>
      </c>
      <c r="R44" s="24">
        <v>0</v>
      </c>
      <c r="S44" s="24">
        <v>0</v>
      </c>
      <c r="T44" s="24">
        <v>0</v>
      </c>
      <c r="U44" s="24">
        <v>0</v>
      </c>
      <c r="V44" s="31">
        <v>0</v>
      </c>
      <c r="W44" s="24">
        <v>0</v>
      </c>
      <c r="X44" s="24">
        <v>0</v>
      </c>
      <c r="Y44" s="24">
        <v>0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0"/>
        <v>-257.08359999999999</v>
      </c>
      <c r="BC44" s="137">
        <f t="shared" si="1"/>
        <v>82464.90535200006</v>
      </c>
      <c r="BD44" s="138"/>
      <c r="BE44" s="138">
        <f t="shared" si="2"/>
        <v>82464.90535200006</v>
      </c>
      <c r="BF44" s="138"/>
      <c r="BG44" s="138"/>
      <c r="BH44" s="138"/>
      <c r="BI44" s="138"/>
      <c r="BJ44" s="138"/>
    </row>
    <row r="45" spans="1:62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0</v>
      </c>
      <c r="Q45" s="31">
        <v>0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0"/>
        <v>-10959</v>
      </c>
      <c r="BC45" s="137">
        <f t="shared" si="1"/>
        <v>33789.253539999976</v>
      </c>
      <c r="BD45" s="138"/>
      <c r="BE45" s="138">
        <f t="shared" si="2"/>
        <v>33789.253539999976</v>
      </c>
      <c r="BF45" s="138"/>
      <c r="BG45" s="138"/>
      <c r="BH45" s="138"/>
      <c r="BI45" s="138"/>
      <c r="BJ45" s="138"/>
    </row>
    <row r="46" spans="1:62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0"/>
        <v>-14101.460000000006</v>
      </c>
      <c r="BC46" s="137">
        <f t="shared" si="1"/>
        <v>-14101.460000000006</v>
      </c>
      <c r="BD46" s="138"/>
      <c r="BE46" s="138">
        <f t="shared" si="2"/>
        <v>-14101.460000000006</v>
      </c>
      <c r="BF46" s="138"/>
      <c r="BG46" s="138"/>
      <c r="BH46" s="138"/>
      <c r="BI46" s="138"/>
      <c r="BJ46" s="138"/>
    </row>
    <row r="47" spans="1:62" s="4" customFormat="1" ht="15" hidden="1" outlineLevel="1">
      <c r="A47" s="3" t="s">
        <v>131</v>
      </c>
      <c r="B47" s="24"/>
      <c r="C47" s="24">
        <v>-3318273.46</v>
      </c>
      <c r="D47" s="24">
        <v>0</v>
      </c>
      <c r="E47" s="31">
        <v>0</v>
      </c>
      <c r="F47" s="24">
        <v>0</v>
      </c>
      <c r="G47" s="126">
        <v>-2605666.87</v>
      </c>
      <c r="H47" s="24">
        <v>0</v>
      </c>
      <c r="I47" s="31">
        <v>0</v>
      </c>
      <c r="J47" s="24">
        <v>0</v>
      </c>
      <c r="K47" s="24">
        <v>-2474971.7400000002</v>
      </c>
      <c r="L47" s="24">
        <v>0</v>
      </c>
      <c r="M47" s="31">
        <v>0</v>
      </c>
      <c r="N47" s="24">
        <v>0</v>
      </c>
      <c r="O47" s="24">
        <v>-5589068.2999999998</v>
      </c>
      <c r="P47" s="24">
        <v>0</v>
      </c>
      <c r="Q47" s="31">
        <v>0</v>
      </c>
      <c r="R47" s="24">
        <v>0</v>
      </c>
      <c r="S47" s="24">
        <v>-386000</v>
      </c>
      <c r="T47" s="24">
        <v>-2483380.9700000002</v>
      </c>
      <c r="U47" s="24">
        <v>0</v>
      </c>
      <c r="V47" s="31">
        <v>0</v>
      </c>
      <c r="W47" s="24">
        <v>0</v>
      </c>
      <c r="X47" s="24">
        <v>-2487864.46</v>
      </c>
      <c r="Y47" s="24">
        <v>0</v>
      </c>
      <c r="Z47" s="31">
        <v>0</v>
      </c>
      <c r="AA47" s="24">
        <v>0</v>
      </c>
      <c r="AB47" s="24">
        <v>-2505426.42</v>
      </c>
      <c r="AC47" s="24">
        <v>0</v>
      </c>
      <c r="AD47" s="24">
        <v>0</v>
      </c>
      <c r="AE47" s="31">
        <v>0</v>
      </c>
      <c r="AF47" s="24">
        <v>0</v>
      </c>
      <c r="AG47" s="24">
        <v>-2493070.92</v>
      </c>
      <c r="AH47" s="24">
        <v>0</v>
      </c>
      <c r="AI47" s="31">
        <v>0</v>
      </c>
      <c r="AJ47" s="24">
        <v>0</v>
      </c>
      <c r="AK47" s="24">
        <v>-2815939.95</v>
      </c>
      <c r="AL47" s="24">
        <v>0</v>
      </c>
      <c r="AM47" s="31">
        <v>0</v>
      </c>
      <c r="AN47" s="24">
        <v>0</v>
      </c>
      <c r="AO47" s="24">
        <v>0</v>
      </c>
      <c r="AP47" s="24">
        <v>-2492184.5</v>
      </c>
      <c r="AQ47" s="24">
        <v>0</v>
      </c>
      <c r="AR47" s="31">
        <v>0</v>
      </c>
      <c r="AS47" s="24">
        <v>0</v>
      </c>
      <c r="AT47" s="24">
        <v>-2498449.6</v>
      </c>
      <c r="AU47" s="24">
        <v>0</v>
      </c>
      <c r="AV47" s="31">
        <v>0</v>
      </c>
      <c r="AW47" s="24">
        <v>0</v>
      </c>
      <c r="AX47" s="19">
        <v>-2514747.71</v>
      </c>
      <c r="AY47" s="19">
        <v>0</v>
      </c>
      <c r="AZ47" s="19">
        <v>0</v>
      </c>
      <c r="BA47" s="19">
        <v>0</v>
      </c>
      <c r="BB47" s="37">
        <f t="shared" si="0"/>
        <v>-34665.044900000001</v>
      </c>
      <c r="BC47" s="137">
        <f t="shared" si="1"/>
        <v>-34665.044900000001</v>
      </c>
      <c r="BD47" s="138"/>
      <c r="BE47" s="138">
        <f t="shared" si="2"/>
        <v>-34665.044900000001</v>
      </c>
      <c r="BF47" s="138"/>
      <c r="BG47" s="138"/>
      <c r="BH47" s="138"/>
      <c r="BI47" s="138"/>
      <c r="BJ47" s="138"/>
    </row>
    <row r="48" spans="1:62" s="4" customFormat="1" ht="15" hidden="1" outlineLevel="1">
      <c r="A48" s="3" t="s">
        <v>47</v>
      </c>
      <c r="B48" s="24"/>
      <c r="C48" s="24">
        <v>0</v>
      </c>
      <c r="D48" s="24">
        <v>0</v>
      </c>
      <c r="E48" s="31">
        <v>0</v>
      </c>
      <c r="F48" s="24">
        <v>0</v>
      </c>
      <c r="G48" s="24">
        <v>0</v>
      </c>
      <c r="H48" s="24">
        <v>0</v>
      </c>
      <c r="I48" s="31">
        <v>0</v>
      </c>
      <c r="J48" s="24">
        <v>0</v>
      </c>
      <c r="K48" s="24">
        <v>0</v>
      </c>
      <c r="L48" s="24">
        <v>0</v>
      </c>
      <c r="M48" s="31">
        <v>0</v>
      </c>
      <c r="N48" s="24">
        <v>0</v>
      </c>
      <c r="O48" s="24">
        <v>0</v>
      </c>
      <c r="P48" s="24">
        <v>0</v>
      </c>
      <c r="Q48" s="31">
        <v>0</v>
      </c>
      <c r="R48" s="24">
        <v>0</v>
      </c>
      <c r="S48" s="24">
        <v>0</v>
      </c>
      <c r="T48" s="24">
        <v>0</v>
      </c>
      <c r="U48" s="24">
        <v>0</v>
      </c>
      <c r="V48" s="31">
        <v>0</v>
      </c>
      <c r="W48" s="24">
        <v>0</v>
      </c>
      <c r="X48" s="24">
        <v>0</v>
      </c>
      <c r="Y48" s="24">
        <v>0</v>
      </c>
      <c r="Z48" s="31">
        <v>0</v>
      </c>
      <c r="AA48" s="24">
        <v>0</v>
      </c>
      <c r="AB48" s="24">
        <v>0</v>
      </c>
      <c r="AC48" s="24">
        <v>0</v>
      </c>
      <c r="AD48" s="24">
        <v>0</v>
      </c>
      <c r="AE48" s="31">
        <v>0</v>
      </c>
      <c r="AF48" s="24">
        <v>0</v>
      </c>
      <c r="AG48" s="24">
        <v>0</v>
      </c>
      <c r="AH48" s="24">
        <v>0</v>
      </c>
      <c r="AI48" s="31">
        <v>0</v>
      </c>
      <c r="AJ48" s="24">
        <v>0</v>
      </c>
      <c r="AK48" s="24">
        <v>0</v>
      </c>
      <c r="AL48" s="24">
        <v>0</v>
      </c>
      <c r="AM48" s="31">
        <v>0</v>
      </c>
      <c r="AN48" s="24">
        <v>0</v>
      </c>
      <c r="AO48" s="24">
        <v>0</v>
      </c>
      <c r="AP48" s="24">
        <v>0</v>
      </c>
      <c r="AQ48" s="24">
        <v>0</v>
      </c>
      <c r="AR48" s="31">
        <v>0</v>
      </c>
      <c r="AS48" s="24">
        <v>0</v>
      </c>
      <c r="AT48" s="24">
        <v>0</v>
      </c>
      <c r="AU48" s="24">
        <v>0</v>
      </c>
      <c r="AV48" s="31">
        <v>0</v>
      </c>
      <c r="AW48" s="24">
        <v>0</v>
      </c>
      <c r="AX48" s="19">
        <v>0</v>
      </c>
      <c r="AY48" s="19">
        <v>0</v>
      </c>
      <c r="AZ48" s="19">
        <v>0</v>
      </c>
      <c r="BA48" s="19">
        <v>0</v>
      </c>
      <c r="BB48" s="37">
        <f t="shared" si="0"/>
        <v>0</v>
      </c>
      <c r="BC48" s="137">
        <f t="shared" si="1"/>
        <v>0</v>
      </c>
      <c r="BD48" s="138"/>
      <c r="BE48" s="138">
        <f t="shared" si="2"/>
        <v>0</v>
      </c>
      <c r="BF48" s="138"/>
      <c r="BG48" s="138"/>
      <c r="BH48" s="138"/>
      <c r="BI48" s="138"/>
      <c r="BJ48" s="138"/>
    </row>
    <row r="49" spans="1:62" s="4" customFormat="1" ht="15" hidden="1" outlineLevel="1">
      <c r="A49" s="3" t="s">
        <v>48</v>
      </c>
      <c r="B49" s="24"/>
      <c r="C49" s="24">
        <v>-2392546</v>
      </c>
      <c r="D49" s="24">
        <v>0</v>
      </c>
      <c r="E49" s="31">
        <v>0</v>
      </c>
      <c r="F49" s="24">
        <v>0</v>
      </c>
      <c r="G49" s="24">
        <v>0</v>
      </c>
      <c r="H49" s="24">
        <v>-2187689.96</v>
      </c>
      <c r="I49" s="31">
        <v>0</v>
      </c>
      <c r="J49" s="24">
        <v>0</v>
      </c>
      <c r="K49" s="24">
        <v>0</v>
      </c>
      <c r="L49" s="24">
        <v>-2858200.4</v>
      </c>
      <c r="M49" s="31">
        <v>0</v>
      </c>
      <c r="N49" s="24">
        <v>0</v>
      </c>
      <c r="O49" s="24">
        <v>0</v>
      </c>
      <c r="P49" s="24">
        <v>-7465671.54</v>
      </c>
      <c r="Q49" s="31">
        <v>0</v>
      </c>
      <c r="R49" s="24">
        <v>0</v>
      </c>
      <c r="S49" s="24">
        <v>0</v>
      </c>
      <c r="T49" s="24">
        <v>-2400717.56</v>
      </c>
      <c r="U49" s="24">
        <v>0</v>
      </c>
      <c r="V49" s="31">
        <v>0</v>
      </c>
      <c r="W49" s="24">
        <v>0</v>
      </c>
      <c r="X49" s="24">
        <v>0</v>
      </c>
      <c r="Y49" s="24">
        <v>-2653683.1</v>
      </c>
      <c r="Z49" s="31">
        <v>0</v>
      </c>
      <c r="AA49" s="24">
        <v>0</v>
      </c>
      <c r="AB49" s="24">
        <v>0</v>
      </c>
      <c r="AC49" s="24">
        <v>-2840421.23</v>
      </c>
      <c r="AD49" s="24">
        <v>0</v>
      </c>
      <c r="AE49" s="31">
        <v>0</v>
      </c>
      <c r="AF49" s="24">
        <v>0</v>
      </c>
      <c r="AG49" s="24">
        <v>-2635202.23</v>
      </c>
      <c r="AH49" s="24">
        <v>0</v>
      </c>
      <c r="AI49" s="31">
        <v>0</v>
      </c>
      <c r="AJ49" s="24">
        <v>0</v>
      </c>
      <c r="AK49" s="24">
        <v>0</v>
      </c>
      <c r="AL49" s="24">
        <v>-2686706.72</v>
      </c>
      <c r="AM49" s="31">
        <v>0</v>
      </c>
      <c r="AN49" s="24">
        <v>0</v>
      </c>
      <c r="AO49" s="24">
        <v>0</v>
      </c>
      <c r="AP49" s="24">
        <v>-2318451.08</v>
      </c>
      <c r="AQ49" s="24">
        <v>0</v>
      </c>
      <c r="AR49" s="31">
        <v>0</v>
      </c>
      <c r="AS49" s="24">
        <v>0</v>
      </c>
      <c r="AT49" s="24">
        <v>0</v>
      </c>
      <c r="AU49" s="24">
        <v>-2598867.6</v>
      </c>
      <c r="AV49" s="31">
        <v>0</v>
      </c>
      <c r="AW49" s="24">
        <v>0</v>
      </c>
      <c r="AX49" s="19">
        <v>0</v>
      </c>
      <c r="AY49" s="19">
        <v>-2728359.6</v>
      </c>
      <c r="AZ49" s="19">
        <v>0</v>
      </c>
      <c r="BA49" s="19">
        <v>0</v>
      </c>
      <c r="BB49" s="37">
        <f t="shared" si="0"/>
        <v>-35766.517020000007</v>
      </c>
      <c r="BC49" s="137">
        <f t="shared" si="1"/>
        <v>-35766.517020000007</v>
      </c>
      <c r="BD49" s="138"/>
      <c r="BE49" s="138">
        <f t="shared" si="2"/>
        <v>-35766.517020000007</v>
      </c>
      <c r="BF49" s="138"/>
      <c r="BG49" s="138"/>
      <c r="BH49" s="138"/>
      <c r="BI49" s="138"/>
      <c r="BJ49" s="138"/>
    </row>
    <row r="50" spans="1:62" s="4" customFormat="1" ht="15" hidden="1" outlineLevel="1">
      <c r="A50" s="3" t="s">
        <v>49</v>
      </c>
      <c r="B50" s="24"/>
      <c r="C50" s="24">
        <v>0</v>
      </c>
      <c r="D50" s="24">
        <v>0</v>
      </c>
      <c r="E50" s="31">
        <v>0</v>
      </c>
      <c r="F50" s="24">
        <v>0</v>
      </c>
      <c r="G50" s="24">
        <v>0</v>
      </c>
      <c r="H50" s="24">
        <v>0</v>
      </c>
      <c r="I50" s="31">
        <v>0</v>
      </c>
      <c r="J50" s="24">
        <v>0</v>
      </c>
      <c r="K50" s="24">
        <v>0</v>
      </c>
      <c r="L50" s="24">
        <v>0</v>
      </c>
      <c r="M50" s="31">
        <v>0</v>
      </c>
      <c r="N50" s="24">
        <v>0</v>
      </c>
      <c r="O50" s="24">
        <v>0</v>
      </c>
      <c r="P50" s="24">
        <v>0</v>
      </c>
      <c r="Q50" s="31">
        <v>0</v>
      </c>
      <c r="R50" s="24">
        <v>0</v>
      </c>
      <c r="S50" s="24">
        <v>0</v>
      </c>
      <c r="T50" s="24">
        <v>0</v>
      </c>
      <c r="U50" s="24">
        <v>0</v>
      </c>
      <c r="V50" s="31">
        <v>0</v>
      </c>
      <c r="W50" s="24">
        <v>0</v>
      </c>
      <c r="X50" s="24">
        <v>0</v>
      </c>
      <c r="Y50" s="24">
        <v>0</v>
      </c>
      <c r="Z50" s="31">
        <v>0</v>
      </c>
      <c r="AA50" s="24">
        <v>0</v>
      </c>
      <c r="AB50" s="24">
        <v>0</v>
      </c>
      <c r="AC50" s="24">
        <v>0</v>
      </c>
      <c r="AD50" s="24">
        <v>0</v>
      </c>
      <c r="AE50" s="31">
        <v>0</v>
      </c>
      <c r="AF50" s="24">
        <v>0</v>
      </c>
      <c r="AG50" s="24">
        <v>0</v>
      </c>
      <c r="AH50" s="24">
        <v>0</v>
      </c>
      <c r="AI50" s="31">
        <v>0</v>
      </c>
      <c r="AJ50" s="24">
        <v>0</v>
      </c>
      <c r="AK50" s="24">
        <v>0</v>
      </c>
      <c r="AL50" s="24">
        <v>0</v>
      </c>
      <c r="AM50" s="31">
        <v>0</v>
      </c>
      <c r="AN50" s="24">
        <v>0</v>
      </c>
      <c r="AO50" s="24">
        <v>0</v>
      </c>
      <c r="AP50" s="24">
        <v>0</v>
      </c>
      <c r="AQ50" s="24">
        <v>0</v>
      </c>
      <c r="AR50" s="31">
        <v>0</v>
      </c>
      <c r="AS50" s="24">
        <v>0</v>
      </c>
      <c r="AT50" s="24">
        <v>0</v>
      </c>
      <c r="AU50" s="24">
        <v>0</v>
      </c>
      <c r="AV50" s="31">
        <v>0</v>
      </c>
      <c r="AW50" s="24">
        <v>0</v>
      </c>
      <c r="AX50" s="19">
        <v>0</v>
      </c>
      <c r="AY50" s="19">
        <v>0</v>
      </c>
      <c r="AZ50" s="19">
        <v>0</v>
      </c>
      <c r="BA50" s="19">
        <v>0</v>
      </c>
      <c r="BB50" s="37">
        <f t="shared" si="0"/>
        <v>0</v>
      </c>
      <c r="BC50" s="137">
        <f t="shared" si="1"/>
        <v>0</v>
      </c>
      <c r="BD50" s="138"/>
      <c r="BE50" s="138">
        <f t="shared" si="2"/>
        <v>0</v>
      </c>
      <c r="BF50" s="138"/>
      <c r="BG50" s="138"/>
      <c r="BH50" s="138"/>
      <c r="BI50" s="138"/>
      <c r="BJ50" s="138"/>
    </row>
    <row r="51" spans="1:62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0"/>
        <v>0</v>
      </c>
      <c r="BC51" s="137">
        <f t="shared" si="1"/>
        <v>0</v>
      </c>
      <c r="BD51" s="138"/>
      <c r="BE51" s="138">
        <f t="shared" si="2"/>
        <v>0</v>
      </c>
      <c r="BF51" s="138"/>
      <c r="BG51" s="138"/>
      <c r="BH51" s="138"/>
      <c r="BI51" s="138"/>
      <c r="BJ51" s="138"/>
    </row>
    <row r="52" spans="1:62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0"/>
        <v>0</v>
      </c>
      <c r="BC52" s="137">
        <f t="shared" si="1"/>
        <v>0</v>
      </c>
      <c r="BD52" s="138"/>
      <c r="BE52" s="138">
        <f t="shared" si="2"/>
        <v>0</v>
      </c>
      <c r="BF52" s="138"/>
      <c r="BG52" s="138"/>
      <c r="BH52" s="138"/>
      <c r="BI52" s="138"/>
      <c r="BJ52" s="138"/>
    </row>
    <row r="53" spans="1:62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0"/>
        <v>0</v>
      </c>
      <c r="BC53" s="137">
        <f t="shared" si="1"/>
        <v>0</v>
      </c>
      <c r="BD53" s="138"/>
      <c r="BE53" s="138">
        <f t="shared" si="2"/>
        <v>0</v>
      </c>
      <c r="BF53" s="138"/>
      <c r="BG53" s="138"/>
      <c r="BH53" s="138"/>
      <c r="BI53" s="138"/>
      <c r="BJ53" s="138"/>
    </row>
    <row r="54" spans="1:62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0"/>
        <v>0</v>
      </c>
      <c r="BC54" s="137">
        <f t="shared" si="1"/>
        <v>0</v>
      </c>
      <c r="BD54" s="138"/>
      <c r="BE54" s="138">
        <f t="shared" si="2"/>
        <v>0</v>
      </c>
      <c r="BF54" s="138"/>
      <c r="BG54" s="138"/>
      <c r="BH54" s="138"/>
      <c r="BI54" s="138"/>
      <c r="BJ54" s="138"/>
    </row>
    <row r="55" spans="1:62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0"/>
        <v>0</v>
      </c>
      <c r="BC55" s="137">
        <f t="shared" si="1"/>
        <v>0</v>
      </c>
      <c r="BD55" s="138"/>
      <c r="BE55" s="138">
        <f t="shared" si="2"/>
        <v>0</v>
      </c>
      <c r="BF55" s="138"/>
      <c r="BG55" s="138"/>
      <c r="BH55" s="138"/>
      <c r="BI55" s="138"/>
      <c r="BJ55" s="138"/>
    </row>
    <row r="56" spans="1:62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0"/>
        <v>0</v>
      </c>
      <c r="BC56" s="137">
        <f t="shared" si="1"/>
        <v>0</v>
      </c>
      <c r="BD56" s="138"/>
      <c r="BE56" s="138">
        <f t="shared" si="2"/>
        <v>0</v>
      </c>
      <c r="BF56" s="138"/>
      <c r="BG56" s="138"/>
      <c r="BH56" s="138"/>
      <c r="BI56" s="138"/>
      <c r="BJ56" s="138"/>
    </row>
    <row r="57" spans="1:62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0"/>
        <v>0</v>
      </c>
      <c r="BC57" s="137">
        <f t="shared" si="1"/>
        <v>0</v>
      </c>
      <c r="BD57" s="138"/>
      <c r="BE57" s="138">
        <f t="shared" si="2"/>
        <v>0</v>
      </c>
      <c r="BF57" s="138"/>
      <c r="BG57" s="138"/>
      <c r="BH57" s="138"/>
      <c r="BI57" s="138"/>
      <c r="BJ57" s="138"/>
    </row>
    <row r="58" spans="1:62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0"/>
        <v>0</v>
      </c>
      <c r="BC58" s="137">
        <f t="shared" si="1"/>
        <v>0</v>
      </c>
      <c r="BD58" s="138"/>
      <c r="BE58" s="138">
        <f t="shared" si="2"/>
        <v>0</v>
      </c>
      <c r="BF58" s="138"/>
      <c r="BG58" s="138"/>
      <c r="BH58" s="138"/>
      <c r="BI58" s="138"/>
      <c r="BJ58" s="138"/>
    </row>
    <row r="59" spans="1:62" s="4" customFormat="1" ht="15" hidden="1" outlineLevel="1">
      <c r="A59" s="3" t="s">
        <v>58</v>
      </c>
      <c r="B59" s="24"/>
      <c r="C59" s="24">
        <v>-668322.94999999995</v>
      </c>
      <c r="D59" s="24">
        <v>-16938.8</v>
      </c>
      <c r="E59" s="31">
        <v>-36663.24</v>
      </c>
      <c r="F59" s="24">
        <v>-36663.24</v>
      </c>
      <c r="G59" s="24">
        <v>-36663.24</v>
      </c>
      <c r="H59" s="24">
        <v>-36663.24</v>
      </c>
      <c r="I59" s="31">
        <v>-74191.34</v>
      </c>
      <c r="J59" s="24">
        <v>-74191.34</v>
      </c>
      <c r="K59" s="24">
        <v>-74191.34</v>
      </c>
      <c r="L59" s="24">
        <v>-74191.34</v>
      </c>
      <c r="M59" s="31">
        <v>-74191.34</v>
      </c>
      <c r="N59" s="24">
        <v>-78983.8</v>
      </c>
      <c r="O59" s="24">
        <v>-78983.8</v>
      </c>
      <c r="P59" s="24">
        <v>-78983.8</v>
      </c>
      <c r="Q59" s="31">
        <v>-78983.8</v>
      </c>
      <c r="R59" s="24">
        <v>-61058.57</v>
      </c>
      <c r="S59" s="24">
        <v>-61058.57</v>
      </c>
      <c r="T59" s="24">
        <v>-61058.57</v>
      </c>
      <c r="U59" s="24">
        <v>-61058.57</v>
      </c>
      <c r="V59" s="31">
        <v>-60868.39</v>
      </c>
      <c r="W59" s="24">
        <v>-60868.39</v>
      </c>
      <c r="X59" s="24">
        <v>-60868.39</v>
      </c>
      <c r="Y59" s="24">
        <v>-60868.39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0"/>
        <v>-2921.1756000000005</v>
      </c>
      <c r="BC59" s="137">
        <f t="shared" si="1"/>
        <v>-2921.1756000000005</v>
      </c>
      <c r="BD59" s="138"/>
      <c r="BE59" s="138">
        <f t="shared" si="2"/>
        <v>-2921.1756000000005</v>
      </c>
      <c r="BF59" s="138"/>
      <c r="BG59" s="138"/>
      <c r="BH59" s="138"/>
      <c r="BI59" s="138"/>
      <c r="BJ59" s="138"/>
    </row>
    <row r="60" spans="1:62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-50005.94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0</v>
      </c>
      <c r="Y60" s="19">
        <v>-152929.17000000001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0"/>
        <v>-721.62625000000003</v>
      </c>
      <c r="BC60" s="137">
        <f t="shared" si="1"/>
        <v>-721.62625000000003</v>
      </c>
      <c r="BD60" s="139"/>
      <c r="BE60" s="139">
        <f t="shared" si="2"/>
        <v>-721.62625000000003</v>
      </c>
      <c r="BF60" s="139"/>
      <c r="BG60" s="139"/>
      <c r="BH60" s="139"/>
      <c r="BI60" s="139"/>
      <c r="BJ60" s="139"/>
    </row>
    <row r="61" spans="1:62" s="6" customFormat="1" hidden="1" outlineLevel="1">
      <c r="A61" s="3" t="s">
        <v>60</v>
      </c>
      <c r="B61" s="19"/>
      <c r="C61" s="19">
        <v>-116975.99</v>
      </c>
      <c r="D61" s="19">
        <v>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-180627.03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-253046.22</v>
      </c>
      <c r="T61" s="19">
        <v>0</v>
      </c>
      <c r="U61" s="19">
        <v>-161708.19</v>
      </c>
      <c r="V61" s="34">
        <v>0</v>
      </c>
      <c r="W61" s="19">
        <v>-228762.5</v>
      </c>
      <c r="X61" s="19">
        <v>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0"/>
        <v>-2991.8649799999994</v>
      </c>
      <c r="BC61" s="137">
        <f t="shared" si="1"/>
        <v>-2991.8649799999994</v>
      </c>
      <c r="BD61" s="139"/>
      <c r="BE61" s="139">
        <f t="shared" si="2"/>
        <v>-2991.8649799999994</v>
      </c>
      <c r="BF61" s="139"/>
      <c r="BG61" s="139"/>
      <c r="BH61" s="139"/>
      <c r="BI61" s="139"/>
      <c r="BJ61" s="139"/>
    </row>
    <row r="62" spans="1:62" s="4" customFormat="1" ht="15" hidden="1" outlineLevel="1">
      <c r="A62" s="3" t="s">
        <v>61</v>
      </c>
      <c r="B62" s="24"/>
      <c r="C62" s="24">
        <v>0</v>
      </c>
      <c r="D62" s="24">
        <v>-186588.04</v>
      </c>
      <c r="E62" s="31">
        <v>-464145.15</v>
      </c>
      <c r="F62" s="24">
        <v>-464145.15</v>
      </c>
      <c r="G62" s="24">
        <v>-464145.15</v>
      </c>
      <c r="H62" s="24">
        <v>-464145.15</v>
      </c>
      <c r="I62" s="31">
        <v>-252181.83</v>
      </c>
      <c r="J62" s="24">
        <v>-252181.83</v>
      </c>
      <c r="K62" s="24">
        <v>-252181.83</v>
      </c>
      <c r="L62" s="24">
        <v>-252181.83</v>
      </c>
      <c r="M62" s="31">
        <v>-252181.83</v>
      </c>
      <c r="N62" s="24">
        <v>-356360.74</v>
      </c>
      <c r="O62" s="24">
        <v>-356360.74</v>
      </c>
      <c r="P62" s="24">
        <v>-356360.74</v>
      </c>
      <c r="Q62" s="31">
        <v>-356360.74</v>
      </c>
      <c r="R62" s="24">
        <v>-263620.09999999998</v>
      </c>
      <c r="S62" s="24">
        <v>-263620.09999999998</v>
      </c>
      <c r="T62" s="24">
        <v>-263620.09999999998</v>
      </c>
      <c r="U62" s="24">
        <v>-263620.09999999998</v>
      </c>
      <c r="V62" s="31">
        <v>-238622.06</v>
      </c>
      <c r="W62" s="24">
        <v>-238622.06</v>
      </c>
      <c r="X62" s="24">
        <v>-238622.06</v>
      </c>
      <c r="Y62" s="24">
        <v>-238622.06</v>
      </c>
      <c r="Z62" s="31">
        <v>-238622.06</v>
      </c>
      <c r="AA62" s="24">
        <v>-352454.96</v>
      </c>
      <c r="AB62" s="24">
        <v>-352454.96</v>
      </c>
      <c r="AC62" s="24">
        <v>-352454.96</v>
      </c>
      <c r="AD62" s="24">
        <v>-352454.96</v>
      </c>
      <c r="AE62" s="31">
        <v>-328667.17</v>
      </c>
      <c r="AF62" s="24">
        <v>-328667.17</v>
      </c>
      <c r="AG62" s="24">
        <v>-328667.17</v>
      </c>
      <c r="AH62" s="24">
        <v>-328667.17</v>
      </c>
      <c r="AI62" s="31">
        <v>-238229.78</v>
      </c>
      <c r="AJ62" s="24">
        <v>-238229.78</v>
      </c>
      <c r="AK62" s="24">
        <v>-238229.78</v>
      </c>
      <c r="AL62" s="24">
        <v>-238229.78</v>
      </c>
      <c r="AM62" s="31">
        <v>-238229.78</v>
      </c>
      <c r="AN62" s="24">
        <v>-372011.68</v>
      </c>
      <c r="AO62" s="24">
        <v>-372011.68</v>
      </c>
      <c r="AP62" s="24">
        <v>-372011.68</v>
      </c>
      <c r="AQ62" s="24">
        <v>-372011.68</v>
      </c>
      <c r="AR62" s="31">
        <v>-191524.17</v>
      </c>
      <c r="AS62" s="24">
        <v>-191524.17</v>
      </c>
      <c r="AT62" s="24">
        <v>-191524.17</v>
      </c>
      <c r="AU62" s="24">
        <v>-191524.17</v>
      </c>
      <c r="AV62" s="31">
        <v>-274603.65999999997</v>
      </c>
      <c r="AW62" s="24">
        <v>-274603.65999999997</v>
      </c>
      <c r="AX62" s="19">
        <v>-274603.65999999997</v>
      </c>
      <c r="AY62" s="19">
        <v>-274603.65999999997</v>
      </c>
      <c r="AZ62" s="19">
        <v>-274603.65999999997</v>
      </c>
      <c r="BA62" s="19">
        <v>-274603.65999999997</v>
      </c>
      <c r="BB62" s="37">
        <f t="shared" si="0"/>
        <v>-14794.514229999993</v>
      </c>
      <c r="BC62" s="137">
        <f t="shared" si="1"/>
        <v>-14794.514229999993</v>
      </c>
      <c r="BD62" s="138"/>
      <c r="BE62" s="138">
        <f t="shared" si="2"/>
        <v>-14794.514229999993</v>
      </c>
      <c r="BF62" s="138"/>
      <c r="BG62" s="138"/>
      <c r="BH62" s="138"/>
      <c r="BI62" s="138"/>
      <c r="BJ62" s="138"/>
    </row>
    <row r="63" spans="1:62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>
        <v>0</v>
      </c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0"/>
        <v>0</v>
      </c>
      <c r="BC63" s="137">
        <f t="shared" si="1"/>
        <v>0</v>
      </c>
      <c r="BD63" s="138"/>
      <c r="BE63" s="138">
        <f t="shared" si="2"/>
        <v>0</v>
      </c>
      <c r="BF63" s="138"/>
      <c r="BG63" s="138"/>
      <c r="BH63" s="138"/>
      <c r="BI63" s="138"/>
      <c r="BJ63" s="138"/>
    </row>
    <row r="64" spans="1:62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0"/>
        <v>0</v>
      </c>
      <c r="BC64" s="137">
        <f t="shared" si="1"/>
        <v>0</v>
      </c>
      <c r="BD64" s="138"/>
      <c r="BE64" s="138">
        <f t="shared" si="2"/>
        <v>0</v>
      </c>
      <c r="BF64" s="138"/>
      <c r="BG64" s="138"/>
      <c r="BH64" s="138"/>
      <c r="BI64" s="138"/>
      <c r="BJ64" s="138"/>
    </row>
    <row r="65" spans="1:62" s="4" customFormat="1" ht="15" hidden="1" outlineLevel="1">
      <c r="A65" s="3" t="s">
        <v>64</v>
      </c>
      <c r="B65" s="24"/>
      <c r="C65" s="24">
        <v>0</v>
      </c>
      <c r="D65" s="24">
        <v>-167196.06</v>
      </c>
      <c r="E65" s="31">
        <v>-172514.95</v>
      </c>
      <c r="F65" s="24">
        <v>-172514.95</v>
      </c>
      <c r="G65" s="24">
        <v>-172514.95</v>
      </c>
      <c r="H65" s="24">
        <v>-172514.95</v>
      </c>
      <c r="I65" s="31">
        <v>-139333.47</v>
      </c>
      <c r="J65" s="24">
        <v>-139333.47</v>
      </c>
      <c r="K65" s="24">
        <v>-139333.47</v>
      </c>
      <c r="L65" s="24">
        <v>-139333.47</v>
      </c>
      <c r="M65" s="31">
        <v>-139333.47</v>
      </c>
      <c r="N65" s="24">
        <v>-177900.23</v>
      </c>
      <c r="O65" s="24">
        <v>-177900.23</v>
      </c>
      <c r="P65" s="24">
        <v>-177900.23</v>
      </c>
      <c r="Q65" s="31">
        <v>-177900.23</v>
      </c>
      <c r="R65" s="24">
        <v>-187687.27</v>
      </c>
      <c r="S65" s="24">
        <v>-187687.27</v>
      </c>
      <c r="T65" s="24">
        <v>-187687.27</v>
      </c>
      <c r="U65" s="24">
        <v>-187687.27</v>
      </c>
      <c r="V65" s="31">
        <v>-155251.23000000001</v>
      </c>
      <c r="W65" s="24">
        <v>-155251.23000000001</v>
      </c>
      <c r="X65" s="24">
        <v>-155251.23000000001</v>
      </c>
      <c r="Y65" s="24">
        <v>-155251.23000000001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0"/>
        <v>-8325.6011200000012</v>
      </c>
      <c r="BC65" s="137">
        <f t="shared" si="1"/>
        <v>-8325.6011200000012</v>
      </c>
      <c r="BD65" s="138"/>
      <c r="BE65" s="138">
        <f t="shared" si="2"/>
        <v>-8325.6011200000012</v>
      </c>
      <c r="BF65" s="138"/>
      <c r="BG65" s="138"/>
      <c r="BH65" s="138"/>
      <c r="BI65" s="138"/>
      <c r="BJ65" s="138"/>
    </row>
    <row r="66" spans="1:62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0"/>
        <v>0</v>
      </c>
      <c r="BC66" s="137">
        <f t="shared" si="1"/>
        <v>0</v>
      </c>
      <c r="BD66" s="138"/>
      <c r="BE66" s="138">
        <f t="shared" si="2"/>
        <v>0</v>
      </c>
      <c r="BF66" s="138"/>
      <c r="BG66" s="138"/>
      <c r="BH66" s="138"/>
      <c r="BI66" s="138"/>
      <c r="BJ66" s="138"/>
    </row>
    <row r="67" spans="1:62" s="4" customFormat="1" ht="15" hidden="1" outlineLevel="1">
      <c r="A67" s="3" t="s">
        <v>66</v>
      </c>
      <c r="B67" s="24"/>
      <c r="C67" s="24">
        <v>0</v>
      </c>
      <c r="D67" s="24">
        <v>-329877.82</v>
      </c>
      <c r="E67" s="31">
        <v>-296033.27</v>
      </c>
      <c r="F67" s="24">
        <v>-296033.27</v>
      </c>
      <c r="G67" s="24">
        <v>-296033.27</v>
      </c>
      <c r="H67" s="24">
        <v>-296033.27</v>
      </c>
      <c r="I67" s="31">
        <v>-251559.92</v>
      </c>
      <c r="J67" s="24">
        <v>-251559.92</v>
      </c>
      <c r="K67" s="24">
        <v>-251559.92</v>
      </c>
      <c r="L67" s="24">
        <v>-251559.92</v>
      </c>
      <c r="M67" s="31">
        <v>-251559.92</v>
      </c>
      <c r="N67" s="24">
        <v>-309797.71999999997</v>
      </c>
      <c r="O67" s="24">
        <v>-309797.71999999997</v>
      </c>
      <c r="P67" s="24">
        <v>-309797.71999999997</v>
      </c>
      <c r="Q67" s="31">
        <v>-309797.71999999997</v>
      </c>
      <c r="R67" s="24">
        <v>-325924.42</v>
      </c>
      <c r="S67" s="24">
        <v>-325924.42</v>
      </c>
      <c r="T67" s="24">
        <v>-325924.42</v>
      </c>
      <c r="U67" s="24">
        <v>-325924.42</v>
      </c>
      <c r="V67" s="31">
        <v>-235582.21</v>
      </c>
      <c r="W67" s="24">
        <v>-235582.21</v>
      </c>
      <c r="X67" s="24">
        <v>-235582.21</v>
      </c>
      <c r="Y67" s="24">
        <v>-235582.21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0"/>
        <v>-14171.643079999993</v>
      </c>
      <c r="BC67" s="137">
        <f t="shared" si="1"/>
        <v>-14171.643079999993</v>
      </c>
      <c r="BD67" s="138"/>
      <c r="BE67" s="138">
        <f t="shared" si="2"/>
        <v>-14171.643079999993</v>
      </c>
      <c r="BF67" s="138"/>
      <c r="BG67" s="138"/>
      <c r="BH67" s="138"/>
      <c r="BI67" s="138"/>
      <c r="BJ67" s="138"/>
    </row>
    <row r="68" spans="1:62" s="4" customFormat="1" ht="15" hidden="1" outlineLevel="1">
      <c r="A68" s="3" t="s">
        <v>67</v>
      </c>
      <c r="B68" s="24"/>
      <c r="C68" s="24">
        <v>0</v>
      </c>
      <c r="D68" s="24">
        <v>-2234879.33</v>
      </c>
      <c r="E68" s="31">
        <v>-2051026.3</v>
      </c>
      <c r="F68" s="24">
        <v>-2051026.3</v>
      </c>
      <c r="G68" s="24">
        <v>-2051026.3</v>
      </c>
      <c r="H68" s="24">
        <v>-2051026.3</v>
      </c>
      <c r="I68" s="31">
        <v>-1710225.35</v>
      </c>
      <c r="J68" s="24">
        <v>-1710225.35</v>
      </c>
      <c r="K68" s="24">
        <v>-1710225.35</v>
      </c>
      <c r="L68" s="24">
        <v>-1710225.35</v>
      </c>
      <c r="M68" s="31">
        <v>-1710225.35</v>
      </c>
      <c r="N68" s="24">
        <v>-951557.55</v>
      </c>
      <c r="O68" s="24">
        <v>-951557.55</v>
      </c>
      <c r="P68" s="24">
        <v>-951557.55</v>
      </c>
      <c r="Q68" s="31">
        <v>-951557.55</v>
      </c>
      <c r="R68" s="24">
        <v>-2294391.0299999998</v>
      </c>
      <c r="S68" s="24">
        <v>-2294391.0299999998</v>
      </c>
      <c r="T68" s="24">
        <v>-2294391.0299999998</v>
      </c>
      <c r="U68" s="24">
        <v>-2294391.0299999998</v>
      </c>
      <c r="V68" s="31">
        <v>-1562889.94</v>
      </c>
      <c r="W68" s="24">
        <v>-1562889.94</v>
      </c>
      <c r="X68" s="24">
        <v>-1562889.94</v>
      </c>
      <c r="Y68" s="24">
        <v>-1562889.94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ref="BB68:BB94" si="3">SUM(B68:BA68)/1000</f>
        <v>-91559.875200000024</v>
      </c>
      <c r="BC68" s="137">
        <f t="shared" si="1"/>
        <v>-91559.875200000024</v>
      </c>
      <c r="BD68" s="138"/>
      <c r="BE68" s="138">
        <f t="shared" si="2"/>
        <v>-91559.875200000024</v>
      </c>
      <c r="BF68" s="138"/>
      <c r="BG68" s="138"/>
      <c r="BH68" s="138"/>
      <c r="BI68" s="138"/>
      <c r="BJ68" s="138"/>
    </row>
    <row r="69" spans="1:62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3"/>
        <v>0</v>
      </c>
      <c r="BC69" s="137">
        <f t="shared" si="1"/>
        <v>0</v>
      </c>
      <c r="BD69" s="138"/>
      <c r="BE69" s="138">
        <f t="shared" si="2"/>
        <v>0</v>
      </c>
      <c r="BF69" s="138"/>
      <c r="BG69" s="138"/>
      <c r="BH69" s="138"/>
      <c r="BI69" s="138"/>
      <c r="BJ69" s="138"/>
    </row>
    <row r="70" spans="1:62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3"/>
        <v>0</v>
      </c>
      <c r="BC70" s="137">
        <f t="shared" si="1"/>
        <v>0</v>
      </c>
      <c r="BD70" s="138"/>
      <c r="BE70" s="138">
        <f t="shared" si="2"/>
        <v>0</v>
      </c>
      <c r="BF70" s="138"/>
      <c r="BG70" s="138"/>
      <c r="BH70" s="138"/>
      <c r="BI70" s="138"/>
      <c r="BJ70" s="138"/>
    </row>
    <row r="71" spans="1:62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3"/>
        <v>0</v>
      </c>
      <c r="BC71" s="137">
        <f t="shared" si="1"/>
        <v>0</v>
      </c>
      <c r="BD71" s="138"/>
      <c r="BE71" s="138">
        <f t="shared" si="2"/>
        <v>0</v>
      </c>
      <c r="BF71" s="138"/>
      <c r="BG71" s="138"/>
      <c r="BH71" s="138"/>
      <c r="BI71" s="138"/>
      <c r="BJ71" s="138"/>
    </row>
    <row r="72" spans="1:62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3"/>
        <v>0</v>
      </c>
      <c r="BC72" s="137">
        <f t="shared" si="1"/>
        <v>0</v>
      </c>
      <c r="BD72" s="138"/>
      <c r="BE72" s="138">
        <f t="shared" si="2"/>
        <v>0</v>
      </c>
      <c r="BF72" s="138"/>
      <c r="BG72" s="138"/>
      <c r="BH72" s="138"/>
      <c r="BI72" s="138"/>
      <c r="BJ72" s="138"/>
    </row>
    <row r="73" spans="1:62" s="5" customFormat="1" ht="12.75" hidden="1" outlineLevel="1">
      <c r="A73" s="3" t="s">
        <v>72</v>
      </c>
      <c r="B73" s="16"/>
      <c r="C73" s="16">
        <v>0</v>
      </c>
      <c r="D73" s="16">
        <v>-633865.4</v>
      </c>
      <c r="E73" s="35">
        <v>-644941.94999999995</v>
      </c>
      <c r="F73" s="16">
        <v>-644941.94999999995</v>
      </c>
      <c r="G73" s="16">
        <v>-644941.94999999995</v>
      </c>
      <c r="H73" s="16">
        <v>-644941.94999999995</v>
      </c>
      <c r="I73" s="35">
        <v>-540307.13</v>
      </c>
      <c r="J73" s="16">
        <v>-540307.13</v>
      </c>
      <c r="K73" s="16">
        <v>-540307.13</v>
      </c>
      <c r="L73" s="16">
        <v>-540307.13</v>
      </c>
      <c r="M73" s="35">
        <v>-540307.13</v>
      </c>
      <c r="N73" s="16">
        <v>-686566.34</v>
      </c>
      <c r="O73" s="16">
        <v>-686566.34</v>
      </c>
      <c r="P73" s="16">
        <v>-686566.34</v>
      </c>
      <c r="Q73" s="35">
        <v>-686566.34</v>
      </c>
      <c r="R73" s="16">
        <v>-699966.19</v>
      </c>
      <c r="S73" s="16">
        <v>-699966.19</v>
      </c>
      <c r="T73" s="16">
        <v>-699966.19</v>
      </c>
      <c r="U73" s="16">
        <v>-699966.19</v>
      </c>
      <c r="V73" s="35">
        <v>-535778.6</v>
      </c>
      <c r="W73" s="16">
        <v>-535778.6</v>
      </c>
      <c r="X73" s="16">
        <v>-535778.6</v>
      </c>
      <c r="Y73" s="16">
        <v>-535778.6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3"/>
        <v>-30285.217830000012</v>
      </c>
      <c r="BC73" s="137">
        <f t="shared" si="1"/>
        <v>-30285.217830000012</v>
      </c>
      <c r="BD73" s="140"/>
      <c r="BE73" s="140">
        <f t="shared" si="2"/>
        <v>-30285.217830000012</v>
      </c>
      <c r="BF73" s="140"/>
      <c r="BG73" s="140"/>
      <c r="BH73" s="140"/>
      <c r="BI73" s="140"/>
      <c r="BJ73" s="140"/>
    </row>
    <row r="74" spans="1:62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3"/>
        <v>0</v>
      </c>
      <c r="BC74" s="137">
        <f t="shared" si="1"/>
        <v>0</v>
      </c>
      <c r="BD74" s="138"/>
      <c r="BE74" s="138">
        <f t="shared" si="2"/>
        <v>0</v>
      </c>
      <c r="BF74" s="138"/>
      <c r="BG74" s="138"/>
      <c r="BH74" s="138"/>
      <c r="BI74" s="138"/>
      <c r="BJ74" s="138"/>
    </row>
    <row r="75" spans="1:62" s="4" customFormat="1" ht="15" hidden="1" outlineLevel="1">
      <c r="A75" s="3" t="s">
        <v>74</v>
      </c>
      <c r="B75" s="24"/>
      <c r="C75" s="24">
        <v>-199838.7</v>
      </c>
      <c r="D75" s="24">
        <v>-309420.7</v>
      </c>
      <c r="E75" s="31">
        <v>-320442.23999999999</v>
      </c>
      <c r="F75" s="24">
        <v>-320442.23999999999</v>
      </c>
      <c r="G75" s="24">
        <v>-320442.23999999999</v>
      </c>
      <c r="H75" s="24">
        <v>-320442.23999999999</v>
      </c>
      <c r="I75" s="31">
        <v>-254152.59</v>
      </c>
      <c r="J75" s="24">
        <v>-254152.59</v>
      </c>
      <c r="K75" s="24">
        <v>-254152.59</v>
      </c>
      <c r="L75" s="24">
        <v>-254152.59</v>
      </c>
      <c r="M75" s="31">
        <v>-254152.59</v>
      </c>
      <c r="N75" s="24">
        <v>-325128.7</v>
      </c>
      <c r="O75" s="24">
        <v>-325128.7</v>
      </c>
      <c r="P75" s="24">
        <v>-325128.7</v>
      </c>
      <c r="Q75" s="31">
        <v>-325128.7</v>
      </c>
      <c r="R75" s="24">
        <v>-334775.17</v>
      </c>
      <c r="S75" s="24">
        <v>-334775.17</v>
      </c>
      <c r="T75" s="24">
        <v>-334775.17</v>
      </c>
      <c r="U75" s="24">
        <v>-334775.17</v>
      </c>
      <c r="V75" s="31">
        <v>-239973.45</v>
      </c>
      <c r="W75" s="24">
        <v>-239973.45</v>
      </c>
      <c r="X75" s="24">
        <v>-239973.45</v>
      </c>
      <c r="Y75" s="24">
        <v>-239973.45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3"/>
        <v>-15227.911060000004</v>
      </c>
      <c r="BC75" s="137">
        <f t="shared" si="1"/>
        <v>-15227.911060000004</v>
      </c>
      <c r="BD75" s="138"/>
      <c r="BE75" s="138">
        <f t="shared" si="2"/>
        <v>-15227.911060000004</v>
      </c>
      <c r="BF75" s="138"/>
      <c r="BG75" s="138"/>
      <c r="BH75" s="138"/>
      <c r="BI75" s="138"/>
      <c r="BJ75" s="138"/>
    </row>
    <row r="76" spans="1:62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3"/>
        <v>0</v>
      </c>
      <c r="BC76" s="137">
        <f t="shared" si="1"/>
        <v>0</v>
      </c>
      <c r="BD76" s="138"/>
      <c r="BE76" s="138">
        <f t="shared" si="2"/>
        <v>0</v>
      </c>
      <c r="BF76" s="138"/>
      <c r="BG76" s="138"/>
      <c r="BH76" s="138"/>
      <c r="BI76" s="138"/>
      <c r="BJ76" s="138"/>
    </row>
    <row r="77" spans="1:62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3"/>
        <v>0</v>
      </c>
      <c r="BC77" s="137">
        <f t="shared" si="1"/>
        <v>0</v>
      </c>
      <c r="BD77" s="138"/>
      <c r="BE77" s="138">
        <f t="shared" si="2"/>
        <v>0</v>
      </c>
      <c r="BF77" s="138"/>
      <c r="BG77" s="138"/>
      <c r="BH77" s="138"/>
      <c r="BI77" s="138"/>
      <c r="BJ77" s="138"/>
    </row>
    <row r="78" spans="1:62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3"/>
        <v>0</v>
      </c>
      <c r="BC78" s="137">
        <f t="shared" si="1"/>
        <v>0</v>
      </c>
      <c r="BD78" s="138"/>
      <c r="BE78" s="138">
        <f t="shared" si="2"/>
        <v>0</v>
      </c>
      <c r="BF78" s="138"/>
      <c r="BG78" s="138"/>
      <c r="BH78" s="138"/>
      <c r="BI78" s="138"/>
      <c r="BJ78" s="138"/>
    </row>
    <row r="79" spans="1:62" s="4" customFormat="1" ht="15" hidden="1" outlineLevel="1">
      <c r="A79" s="3" t="s">
        <v>78</v>
      </c>
      <c r="B79" s="24"/>
      <c r="C79" s="24">
        <v>0</v>
      </c>
      <c r="D79" s="24">
        <v>-71812.289999999994</v>
      </c>
      <c r="E79" s="31">
        <v>-78875.179999999993</v>
      </c>
      <c r="F79" s="24">
        <v>-78875.179999999993</v>
      </c>
      <c r="G79" s="24">
        <v>-78875.179999999993</v>
      </c>
      <c r="H79" s="24">
        <v>-78875.179999999993</v>
      </c>
      <c r="I79" s="31">
        <v>-58337.37</v>
      </c>
      <c r="J79" s="24">
        <v>-58337.37</v>
      </c>
      <c r="K79" s="24">
        <v>-58337.37</v>
      </c>
      <c r="L79" s="24">
        <v>-58337.37</v>
      </c>
      <c r="M79" s="31">
        <v>-58337.37</v>
      </c>
      <c r="N79" s="24">
        <v>-68556.87</v>
      </c>
      <c r="O79" s="24">
        <v>-68556.87</v>
      </c>
      <c r="P79" s="24">
        <v>-68556.87</v>
      </c>
      <c r="Q79" s="31">
        <v>-68556.87</v>
      </c>
      <c r="R79" s="24">
        <v>-86162.17</v>
      </c>
      <c r="S79" s="24">
        <v>-86162.17</v>
      </c>
      <c r="T79" s="24">
        <v>-86162.17</v>
      </c>
      <c r="U79" s="24">
        <v>-86162.17</v>
      </c>
      <c r="V79" s="31">
        <v>-52833.82</v>
      </c>
      <c r="W79" s="24">
        <v>-52833.82</v>
      </c>
      <c r="X79" s="24">
        <v>-52833.82</v>
      </c>
      <c r="Y79" s="24">
        <v>-52833.82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3"/>
        <v>-3240.9211700000005</v>
      </c>
      <c r="BC79" s="137">
        <f t="shared" si="1"/>
        <v>-3240.9211700000005</v>
      </c>
      <c r="BD79" s="138"/>
      <c r="BE79" s="138">
        <f t="shared" si="2"/>
        <v>-3240.9211700000005</v>
      </c>
      <c r="BF79" s="138"/>
      <c r="BG79" s="138"/>
      <c r="BH79" s="138"/>
      <c r="BI79" s="138"/>
      <c r="BJ79" s="138"/>
    </row>
    <row r="80" spans="1:62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3"/>
        <v>0</v>
      </c>
      <c r="BC80" s="137">
        <f t="shared" si="1"/>
        <v>0</v>
      </c>
      <c r="BD80" s="138"/>
      <c r="BE80" s="138">
        <f t="shared" si="2"/>
        <v>0</v>
      </c>
      <c r="BF80" s="138"/>
      <c r="BG80" s="138"/>
      <c r="BH80" s="138"/>
      <c r="BI80" s="138"/>
      <c r="BJ80" s="138"/>
    </row>
    <row r="81" spans="1:62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3"/>
        <v>0</v>
      </c>
      <c r="BC81" s="137">
        <f t="shared" si="1"/>
        <v>0</v>
      </c>
      <c r="BD81" s="138"/>
      <c r="BE81" s="138">
        <f t="shared" si="2"/>
        <v>0</v>
      </c>
      <c r="BF81" s="138"/>
      <c r="BG81" s="138"/>
      <c r="BH81" s="138"/>
      <c r="BI81" s="138"/>
      <c r="BJ81" s="138"/>
    </row>
    <row r="82" spans="1:62" s="127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-2159390.0499999998</v>
      </c>
      <c r="F82" s="121">
        <v>-9290434.4499999993</v>
      </c>
      <c r="G82" s="121">
        <v>-5136826.93</v>
      </c>
      <c r="H82" s="121">
        <v>-1812826.93</v>
      </c>
      <c r="I82" s="120">
        <v>-2560535.35</v>
      </c>
      <c r="J82" s="121">
        <v>-1471182.6</v>
      </c>
      <c r="K82" s="121">
        <v>-14330728.48</v>
      </c>
      <c r="L82" s="121">
        <v>-14330728.48</v>
      </c>
      <c r="M82" s="120">
        <v>-1471182.6</v>
      </c>
      <c r="N82" s="121">
        <v>-2596317.16</v>
      </c>
      <c r="O82" s="121">
        <v>-2596317.16</v>
      </c>
      <c r="P82" s="121">
        <v>-2596317.16</v>
      </c>
      <c r="Q82" s="120">
        <v>-2596317.16</v>
      </c>
      <c r="R82" s="121">
        <v>-6326535.5700000003</v>
      </c>
      <c r="S82" s="121">
        <v>-6326535.5700000003</v>
      </c>
      <c r="T82" s="121">
        <v>-19038288.190000001</v>
      </c>
      <c r="U82" s="121">
        <v>-6326535.5700000003</v>
      </c>
      <c r="V82" s="120">
        <v>-6034739.6699999999</v>
      </c>
      <c r="W82" s="121">
        <v>-8021479.6699999999</v>
      </c>
      <c r="X82" s="121">
        <v>-8021479.6699999999</v>
      </c>
      <c r="Y82" s="121">
        <v>-8021479.6699999999</v>
      </c>
      <c r="Z82" s="120">
        <v>-8021479.6699999999</v>
      </c>
      <c r="AA82" s="121">
        <v>-6117760.4400000004</v>
      </c>
      <c r="AB82" s="121">
        <v>-6117760.4400000004</v>
      </c>
      <c r="AC82" s="121">
        <v>-19916888.940000001</v>
      </c>
      <c r="AD82" s="121">
        <v>-6117760.4400000004</v>
      </c>
      <c r="AE82" s="120">
        <v>-6127888.5099999998</v>
      </c>
      <c r="AF82" s="121">
        <v>-5965641.0099999998</v>
      </c>
      <c r="AG82" s="121">
        <v>-5965641.0099999998</v>
      </c>
      <c r="AH82" s="121">
        <v>-5965641.0099999998</v>
      </c>
      <c r="AI82" s="120">
        <v>-5545699.5300000003</v>
      </c>
      <c r="AJ82" s="121">
        <v>-3267637.03</v>
      </c>
      <c r="AK82" s="121">
        <v>-17132996.530000001</v>
      </c>
      <c r="AL82" s="121">
        <v>-3267637.03</v>
      </c>
      <c r="AM82" s="120">
        <v>-3267637.03</v>
      </c>
      <c r="AN82" s="121">
        <v>-3300386.8</v>
      </c>
      <c r="AO82" s="121">
        <v>-3300386.8</v>
      </c>
      <c r="AP82" s="121">
        <v>-3300386.8</v>
      </c>
      <c r="AQ82" s="121">
        <v>-3300386.8</v>
      </c>
      <c r="AR82" s="120">
        <v>-3283366.14</v>
      </c>
      <c r="AS82" s="121">
        <v>-3081941.14</v>
      </c>
      <c r="AT82" s="121">
        <v>-16907495.140000001</v>
      </c>
      <c r="AU82" s="121">
        <v>-3081941.14</v>
      </c>
      <c r="AV82" s="120">
        <v>-2449948.86</v>
      </c>
      <c r="AW82" s="121">
        <v>-1260893.8600000001</v>
      </c>
      <c r="AX82" s="19">
        <v>-1260893.8600000001</v>
      </c>
      <c r="AY82" s="19">
        <v>-1260893.8600000001</v>
      </c>
      <c r="AZ82" s="19">
        <v>-1260893.8600000001</v>
      </c>
      <c r="BA82" s="19">
        <v>-1260893.8600000001</v>
      </c>
      <c r="BB82" s="37">
        <f t="shared" si="3"/>
        <v>-286612.63867000001</v>
      </c>
      <c r="BC82" s="137">
        <f t="shared" si="1"/>
        <v>-286612.63867000001</v>
      </c>
      <c r="BD82" s="141"/>
      <c r="BE82" s="141">
        <f t="shared" si="2"/>
        <v>-286612.63867000001</v>
      </c>
      <c r="BF82" s="141"/>
      <c r="BG82" s="141"/>
      <c r="BH82" s="141"/>
      <c r="BI82" s="141"/>
      <c r="BJ82" s="141"/>
    </row>
    <row r="83" spans="1:62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3"/>
        <v>0</v>
      </c>
      <c r="BC83" s="137">
        <f t="shared" si="1"/>
        <v>0</v>
      </c>
      <c r="BD83" s="138"/>
      <c r="BE83" s="138">
        <f t="shared" si="2"/>
        <v>0</v>
      </c>
      <c r="BF83" s="138"/>
      <c r="BG83" s="138"/>
      <c r="BH83" s="138"/>
      <c r="BI83" s="138"/>
      <c r="BJ83" s="138"/>
    </row>
    <row r="84" spans="1:62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3"/>
        <v>0</v>
      </c>
      <c r="BC84" s="137">
        <f t="shared" si="1"/>
        <v>0</v>
      </c>
      <c r="BD84" s="138"/>
      <c r="BE84" s="138">
        <f t="shared" si="2"/>
        <v>0</v>
      </c>
      <c r="BF84" s="138"/>
      <c r="BG84" s="138"/>
      <c r="BH84" s="138"/>
      <c r="BI84" s="138"/>
      <c r="BJ84" s="138"/>
    </row>
    <row r="85" spans="1:62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3"/>
        <v>0</v>
      </c>
      <c r="BC85" s="137">
        <f t="shared" si="1"/>
        <v>0</v>
      </c>
      <c r="BD85" s="138"/>
      <c r="BE85" s="138">
        <f t="shared" si="2"/>
        <v>0</v>
      </c>
      <c r="BF85" s="138"/>
      <c r="BG85" s="138"/>
      <c r="BH85" s="138"/>
      <c r="BI85" s="138"/>
      <c r="BJ85" s="138"/>
    </row>
    <row r="86" spans="1:62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3"/>
        <v>0</v>
      </c>
      <c r="BC86" s="137">
        <f t="shared" si="1"/>
        <v>0</v>
      </c>
      <c r="BD86" s="138"/>
      <c r="BE86" s="138">
        <f t="shared" si="2"/>
        <v>0</v>
      </c>
      <c r="BF86" s="138"/>
      <c r="BG86" s="138"/>
      <c r="BH86" s="138"/>
      <c r="BI86" s="138"/>
      <c r="BJ86" s="138"/>
    </row>
    <row r="87" spans="1:62" s="4" customFormat="1" ht="15" hidden="1" outlineLevel="1">
      <c r="A87" s="3" t="s">
        <v>86</v>
      </c>
      <c r="B87" s="24"/>
      <c r="C87" s="24">
        <v>0</v>
      </c>
      <c r="D87" s="24">
        <v>-2944.11</v>
      </c>
      <c r="E87" s="31">
        <v>-41951.47</v>
      </c>
      <c r="F87" s="24">
        <v>-41951.47</v>
      </c>
      <c r="G87" s="24">
        <v>-41951.47</v>
      </c>
      <c r="H87" s="24">
        <v>-41951.47</v>
      </c>
      <c r="I87" s="31">
        <v>-37350.99</v>
      </c>
      <c r="J87" s="24">
        <v>-37350.99</v>
      </c>
      <c r="K87" s="24">
        <v>-37350.99</v>
      </c>
      <c r="L87" s="24">
        <v>-37350.99</v>
      </c>
      <c r="M87" s="31">
        <v>-37350.99</v>
      </c>
      <c r="N87" s="24">
        <v>-48071.56</v>
      </c>
      <c r="O87" s="24">
        <v>-48071.56</v>
      </c>
      <c r="P87" s="24">
        <v>-48071.56</v>
      </c>
      <c r="Q87" s="31">
        <v>-48071.56</v>
      </c>
      <c r="R87" s="24">
        <v>-47056.19</v>
      </c>
      <c r="S87" s="24">
        <v>-47056.19</v>
      </c>
      <c r="T87" s="24">
        <v>-47056.19</v>
      </c>
      <c r="U87" s="24">
        <v>-47056.19</v>
      </c>
      <c r="V87" s="31">
        <v>-36709.42</v>
      </c>
      <c r="W87" s="24">
        <v>-36709.42</v>
      </c>
      <c r="X87" s="24">
        <v>-36709.42</v>
      </c>
      <c r="Y87" s="24">
        <v>-36709.42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3"/>
        <v>-2094.325319999999</v>
      </c>
      <c r="BC87" s="137">
        <f t="shared" si="1"/>
        <v>-2094.325319999999</v>
      </c>
      <c r="BD87" s="138"/>
      <c r="BE87" s="138">
        <f t="shared" si="2"/>
        <v>-2094.325319999999</v>
      </c>
      <c r="BF87" s="138"/>
      <c r="BG87" s="138"/>
      <c r="BH87" s="138"/>
      <c r="BI87" s="138"/>
      <c r="BJ87" s="138"/>
    </row>
    <row r="88" spans="1:62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-428683.34</v>
      </c>
      <c r="F88" s="24">
        <v>0</v>
      </c>
      <c r="G88" s="24">
        <v>0</v>
      </c>
      <c r="H88" s="24">
        <v>0</v>
      </c>
      <c r="I88" s="31">
        <v>-449177.34</v>
      </c>
      <c r="J88" s="24">
        <v>0</v>
      </c>
      <c r="K88" s="24">
        <v>0</v>
      </c>
      <c r="L88" s="24">
        <v>0</v>
      </c>
      <c r="M88" s="31">
        <v>-562928.34</v>
      </c>
      <c r="N88" s="24">
        <v>0</v>
      </c>
      <c r="O88" s="24">
        <v>0</v>
      </c>
      <c r="P88" s="24">
        <v>0</v>
      </c>
      <c r="Q88" s="31">
        <v>0</v>
      </c>
      <c r="R88" s="24">
        <v>-460476.34</v>
      </c>
      <c r="S88" s="24">
        <v>0</v>
      </c>
      <c r="T88" s="24">
        <v>0</v>
      </c>
      <c r="U88" s="24">
        <v>0</v>
      </c>
      <c r="V88" s="31">
        <v>-423704.34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3"/>
        <v>-5214.3640799999994</v>
      </c>
      <c r="BC88" s="137">
        <f t="shared" si="1"/>
        <v>-5214.3640799999994</v>
      </c>
      <c r="BD88" s="138"/>
      <c r="BE88" s="138">
        <f t="shared" si="2"/>
        <v>-5214.3640799999994</v>
      </c>
      <c r="BF88" s="138"/>
      <c r="BG88" s="138"/>
      <c r="BH88" s="138"/>
      <c r="BI88" s="138"/>
      <c r="BJ88" s="138"/>
    </row>
    <row r="89" spans="1:62" s="4" customFormat="1" ht="15" hidden="1" outlineLevel="1">
      <c r="A89" s="3" t="s">
        <v>88</v>
      </c>
      <c r="B89" s="24"/>
      <c r="C89" s="24">
        <v>-6769584.4000000004</v>
      </c>
      <c r="D89" s="24">
        <v>-1013785.97</v>
      </c>
      <c r="E89" s="31">
        <v>-874547.43</v>
      </c>
      <c r="F89" s="24">
        <v>-874547.43</v>
      </c>
      <c r="G89" s="24">
        <v>-874547.43</v>
      </c>
      <c r="H89" s="24">
        <v>-874547.43</v>
      </c>
      <c r="I89" s="31">
        <v>-747255.85</v>
      </c>
      <c r="J89" s="24">
        <v>-747255.85</v>
      </c>
      <c r="K89" s="24">
        <v>-747255.85</v>
      </c>
      <c r="L89" s="24">
        <v>-747255.85</v>
      </c>
      <c r="M89" s="31">
        <v>-747255.85</v>
      </c>
      <c r="N89" s="24">
        <v>-923132.41</v>
      </c>
      <c r="O89" s="24">
        <v>-923132.41</v>
      </c>
      <c r="P89" s="24">
        <v>-923132.41</v>
      </c>
      <c r="Q89" s="31">
        <v>-923132.41</v>
      </c>
      <c r="R89" s="24">
        <v>-829667.21</v>
      </c>
      <c r="S89" s="24">
        <v>-829667.21</v>
      </c>
      <c r="T89" s="24">
        <v>-829667.21</v>
      </c>
      <c r="U89" s="24">
        <v>-829667.21</v>
      </c>
      <c r="V89" s="31">
        <v>-690847.03</v>
      </c>
      <c r="W89" s="24">
        <v>-690847.03</v>
      </c>
      <c r="X89" s="24">
        <v>-690847.03</v>
      </c>
      <c r="Y89" s="24">
        <v>-690847.03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3"/>
        <v>-45366.723519999992</v>
      </c>
      <c r="BC89" s="137">
        <f t="shared" si="1"/>
        <v>-45366.723519999992</v>
      </c>
      <c r="BD89" s="138"/>
      <c r="BE89" s="138">
        <f t="shared" si="2"/>
        <v>-45366.723519999992</v>
      </c>
      <c r="BF89" s="138"/>
      <c r="BG89" s="138"/>
      <c r="BH89" s="138"/>
      <c r="BI89" s="138"/>
      <c r="BJ89" s="138"/>
    </row>
    <row r="90" spans="1:62" s="4" customFormat="1" ht="15" hidden="1" outlineLevel="1">
      <c r="A90" s="3" t="s">
        <v>89</v>
      </c>
      <c r="B90" s="24"/>
      <c r="C90" s="24">
        <v>0</v>
      </c>
      <c r="D90" s="24">
        <v>-30838.06</v>
      </c>
      <c r="E90" s="31">
        <v>-18697.189999999999</v>
      </c>
      <c r="F90" s="24">
        <v>-18697.189999999999</v>
      </c>
      <c r="G90" s="24">
        <v>-18697.189999999999</v>
      </c>
      <c r="H90" s="24">
        <v>-18697.189999999999</v>
      </c>
      <c r="I90" s="31">
        <v>-14786.84</v>
      </c>
      <c r="J90" s="24">
        <v>-14786.84</v>
      </c>
      <c r="K90" s="24">
        <v>-14786.84</v>
      </c>
      <c r="L90" s="24">
        <v>-14786.84</v>
      </c>
      <c r="M90" s="31">
        <v>-14786.84</v>
      </c>
      <c r="N90" s="24">
        <v>-20286.41</v>
      </c>
      <c r="O90" s="24">
        <v>-20286.41</v>
      </c>
      <c r="P90" s="24">
        <v>-20286.41</v>
      </c>
      <c r="Q90" s="31">
        <v>-20286.41</v>
      </c>
      <c r="R90" s="24">
        <v>-20287.060000000001</v>
      </c>
      <c r="S90" s="24">
        <v>-20287.060000000001</v>
      </c>
      <c r="T90" s="24">
        <v>-20287.060000000001</v>
      </c>
      <c r="U90" s="24">
        <v>-20287.060000000001</v>
      </c>
      <c r="V90" s="31">
        <v>-16262.05</v>
      </c>
      <c r="W90" s="24">
        <v>-16262.05</v>
      </c>
      <c r="X90" s="24">
        <v>-16262.05</v>
      </c>
      <c r="Y90" s="24">
        <v>-16262.05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3"/>
        <v>-906.0531200000006</v>
      </c>
      <c r="BC90" s="137">
        <f t="shared" si="1"/>
        <v>-906.0531200000006</v>
      </c>
      <c r="BD90" s="138"/>
      <c r="BE90" s="138">
        <f t="shared" si="2"/>
        <v>-906.0531200000006</v>
      </c>
      <c r="BF90" s="138"/>
      <c r="BG90" s="138"/>
      <c r="BH90" s="138"/>
      <c r="BI90" s="138"/>
      <c r="BJ90" s="138"/>
    </row>
    <row r="91" spans="1:62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3"/>
        <v>0</v>
      </c>
      <c r="BC91" s="137">
        <f t="shared" si="1"/>
        <v>0</v>
      </c>
      <c r="BD91" s="138"/>
      <c r="BE91" s="138">
        <f t="shared" si="2"/>
        <v>0</v>
      </c>
      <c r="BF91" s="138"/>
      <c r="BG91" s="138"/>
      <c r="BH91" s="138"/>
      <c r="BI91" s="138"/>
      <c r="BJ91" s="138"/>
    </row>
    <row r="92" spans="1:62" s="4" customFormat="1" ht="15" hidden="1" outlineLevel="1">
      <c r="A92" s="3" t="s">
        <v>91</v>
      </c>
      <c r="B92" s="24"/>
      <c r="C92" s="24">
        <v>-120645.1</v>
      </c>
      <c r="D92" s="24">
        <v>-200639.7</v>
      </c>
      <c r="E92" s="31">
        <v>-1161901.83</v>
      </c>
      <c r="F92" s="24">
        <v>-1161901.83</v>
      </c>
      <c r="G92" s="24">
        <v>-1161901.83</v>
      </c>
      <c r="H92" s="24">
        <v>-1161901.83</v>
      </c>
      <c r="I92" s="31">
        <v>-1076648.08</v>
      </c>
      <c r="J92" s="24">
        <v>-1076648.08</v>
      </c>
      <c r="K92" s="24">
        <v>-1076648.08</v>
      </c>
      <c r="L92" s="24">
        <v>-1076648.08</v>
      </c>
      <c r="M92" s="31">
        <v>-1076648.08</v>
      </c>
      <c r="N92" s="24">
        <v>-1263676.1200000001</v>
      </c>
      <c r="O92" s="24">
        <v>-1263676.1200000001</v>
      </c>
      <c r="P92" s="24">
        <v>-1263676.1200000001</v>
      </c>
      <c r="Q92" s="31">
        <v>-1263676.1200000001</v>
      </c>
      <c r="R92" s="24">
        <v>-1309072.8899999999</v>
      </c>
      <c r="S92" s="24">
        <v>-1309072.8899999999</v>
      </c>
      <c r="T92" s="24">
        <v>-1309072.8899999999</v>
      </c>
      <c r="U92" s="24">
        <v>-1309072.8899999999</v>
      </c>
      <c r="V92" s="31">
        <v>-1034215.04</v>
      </c>
      <c r="W92" s="24">
        <v>-1034215.04</v>
      </c>
      <c r="X92" s="24">
        <v>-1034215.04</v>
      </c>
      <c r="Y92" s="24">
        <v>-1034215.04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3"/>
        <v>-57766.250160000003</v>
      </c>
      <c r="BC92" s="137">
        <f t="shared" si="1"/>
        <v>-57766.250160000003</v>
      </c>
      <c r="BD92" s="138"/>
      <c r="BE92" s="138">
        <f t="shared" si="2"/>
        <v>-57766.250160000003</v>
      </c>
      <c r="BF92" s="138"/>
      <c r="BG92" s="138"/>
      <c r="BH92" s="138"/>
      <c r="BI92" s="138"/>
      <c r="BJ92" s="138"/>
    </row>
    <row r="93" spans="1:62" s="4" customFormat="1" ht="12.75" collapsed="1">
      <c r="A93" s="3" t="s">
        <v>92</v>
      </c>
      <c r="B93" s="18">
        <f>(Hoja1!G3+Hoja1!H3)*1000</f>
        <v>-14847326.950000001</v>
      </c>
      <c r="C93" s="18">
        <v>-19235158.420000002</v>
      </c>
      <c r="D93" s="18">
        <v>-7541333.3300000001</v>
      </c>
      <c r="E93" s="32">
        <v>-12908221.979999999</v>
      </c>
      <c r="F93" s="18">
        <v>-15898819.6</v>
      </c>
      <c r="G93" s="18">
        <v>-16660173.970000001</v>
      </c>
      <c r="H93" s="18">
        <v>-10185764.719999999</v>
      </c>
      <c r="I93" s="32">
        <v>-13038612.179999998</v>
      </c>
      <c r="J93" s="18">
        <v>-6713457.4299999997</v>
      </c>
      <c r="K93" s="18">
        <v>-25655581.119999997</v>
      </c>
      <c r="L93" s="18">
        <v>-23075751.75</v>
      </c>
      <c r="M93" s="32">
        <v>-11266317.059999999</v>
      </c>
      <c r="N93" s="18">
        <v>-8071669.2800000003</v>
      </c>
      <c r="O93" s="18">
        <v>-25078054.909999996</v>
      </c>
      <c r="P93" s="18">
        <v>-18166501.820000004</v>
      </c>
      <c r="Q93" s="32">
        <v>-7830537.5099999998</v>
      </c>
      <c r="R93" s="18">
        <v>-17735786.039999995</v>
      </c>
      <c r="S93" s="18">
        <v>-13898593.340000002</v>
      </c>
      <c r="T93" s="18">
        <v>-33288059.580000002</v>
      </c>
      <c r="U93" s="18">
        <v>-12972824.83</v>
      </c>
      <c r="V93" s="32">
        <v>-15420033.259999998</v>
      </c>
      <c r="W93" s="18">
        <v>-13194052.02</v>
      </c>
      <c r="X93" s="18">
        <v>-18030879.709999997</v>
      </c>
      <c r="Y93" s="18">
        <v>-16399089</v>
      </c>
      <c r="Z93" s="32">
        <v>-17451591.059999999</v>
      </c>
      <c r="AA93" s="18">
        <v>-12737802.390000002</v>
      </c>
      <c r="AB93" s="18">
        <v>-15678613.150000002</v>
      </c>
      <c r="AC93" s="18">
        <v>-32104686.150000002</v>
      </c>
      <c r="AD93" s="18">
        <v>-12631417.610000001</v>
      </c>
      <c r="AE93" s="32">
        <v>-16980298.550000001</v>
      </c>
      <c r="AF93" s="18">
        <v>-14072605.420000002</v>
      </c>
      <c r="AG93" s="18">
        <v>-20668688.519999996</v>
      </c>
      <c r="AH93" s="18">
        <v>-12221536.41</v>
      </c>
      <c r="AI93" s="32">
        <v>-15256518.370000001</v>
      </c>
      <c r="AJ93" s="18">
        <v>-8368904.21</v>
      </c>
      <c r="AK93" s="18">
        <v>-27631252.050000001</v>
      </c>
      <c r="AL93" s="18">
        <v>-11819437.560000002</v>
      </c>
      <c r="AM93" s="32">
        <v>-8295364.9399999995</v>
      </c>
      <c r="AN93" s="18">
        <v>-14747751.09</v>
      </c>
      <c r="AO93" s="18">
        <v>-10385336.050000001</v>
      </c>
      <c r="AP93" s="18">
        <v>-17679846.09</v>
      </c>
      <c r="AQ93" s="18">
        <v>-9929271.6300000027</v>
      </c>
      <c r="AR93" s="32">
        <v>-14259612.620000001</v>
      </c>
      <c r="AS93" s="18">
        <v>-9611445.5199999977</v>
      </c>
      <c r="AT93" s="18">
        <v>-28598215.160000004</v>
      </c>
      <c r="AU93" s="18">
        <v>-11768551.149999999</v>
      </c>
      <c r="AV93" s="32">
        <v>-11385118.379999999</v>
      </c>
      <c r="AW93" s="18">
        <v>-5683258.5700000003</v>
      </c>
      <c r="AX93" s="18">
        <v>-18174105.509999998</v>
      </c>
      <c r="AY93" s="18">
        <v>-9076852.5600000024</v>
      </c>
      <c r="AZ93" s="18">
        <v>-5898522.9400000004</v>
      </c>
      <c r="BA93" s="18">
        <v>-9682104.9800000004</v>
      </c>
      <c r="BB93" s="37">
        <f>SUM(B93:BA93)/1000</f>
        <v>-779911.30844999978</v>
      </c>
      <c r="BC93" s="137">
        <f>BB93+N107</f>
        <v>-819923.39844999975</v>
      </c>
      <c r="BD93" s="142">
        <f>SUM([11]Expandido!$Q$120:$Q$124)+[11]Expandido!$R$127</f>
        <v>-813234.85800000012</v>
      </c>
      <c r="BE93" s="142">
        <f t="shared" si="2"/>
        <v>-6688.5404499996221</v>
      </c>
      <c r="BF93" s="142"/>
      <c r="BG93" s="142">
        <f>[11]Hoja2!$C$14+[11]Hoja2!$C$16+[11]Hoja2!$C$18+[11]Hoja2!$C$19+[11]Hoja2!$C$21+[11]Hoja2!$C$24+[11]Hoja2!$C$27+[11]Hoja2!$C$29</f>
        <v>-773222.76800000004</v>
      </c>
      <c r="BH93" s="137">
        <f>BB93-BG93</f>
        <v>-6688.5404499997385</v>
      </c>
      <c r="BI93" s="142">
        <f>-SUM([14]Flujo!$Q$44:$Q$52)-N107</f>
        <v>7944.5037903336197</v>
      </c>
      <c r="BJ93" s="142" t="s">
        <v>287</v>
      </c>
    </row>
    <row r="94" spans="1:62" s="8" customFormat="1" ht="12.75">
      <c r="A94" s="7" t="s">
        <v>1</v>
      </c>
      <c r="B94" s="21"/>
      <c r="C94" s="21">
        <v>-111880.0700000003</v>
      </c>
      <c r="D94" s="21">
        <v>11692043.83</v>
      </c>
      <c r="E94" s="36">
        <v>6820026.2399999965</v>
      </c>
      <c r="F94" s="21">
        <v>3101308.7500000019</v>
      </c>
      <c r="G94" s="21">
        <v>1656615.1699999962</v>
      </c>
      <c r="H94" s="21">
        <v>8038611.0600000024</v>
      </c>
      <c r="I94" s="36">
        <v>4418430.2000000048</v>
      </c>
      <c r="J94" s="21">
        <v>10116152.960999999</v>
      </c>
      <c r="K94" s="21">
        <v>-9694607.9489999991</v>
      </c>
      <c r="L94" s="21">
        <v>-7320234.7389999982</v>
      </c>
      <c r="M94" s="36">
        <v>4438909.8910000008</v>
      </c>
      <c r="N94" s="21">
        <v>7830758.9399999985</v>
      </c>
      <c r="O94" s="21">
        <v>-9042716.8299999945</v>
      </c>
      <c r="P94" s="21">
        <v>-2567046.1000000034</v>
      </c>
      <c r="Q94" s="36">
        <v>7731252.0100000016</v>
      </c>
      <c r="R94" s="21">
        <v>-2075512.7847999912</v>
      </c>
      <c r="S94" s="21">
        <v>1321774.3951999974</v>
      </c>
      <c r="T94" s="21">
        <v>-17237109.984800003</v>
      </c>
      <c r="U94" s="21">
        <v>2619794.4152000006</v>
      </c>
      <c r="V94" s="36">
        <v>221044.52519999817</v>
      </c>
      <c r="W94" s="21">
        <v>2999995.2039999999</v>
      </c>
      <c r="X94" s="21">
        <v>-2128596.1659999955</v>
      </c>
      <c r="Y94" s="21">
        <v>-165560.31599999964</v>
      </c>
      <c r="Z94" s="36">
        <v>-1196336.4460000005</v>
      </c>
      <c r="AA94" s="21">
        <v>2923966.7611999977</v>
      </c>
      <c r="AB94" s="21">
        <v>74470.591199999675</v>
      </c>
      <c r="AC94" s="21">
        <v>-16420238.298800001</v>
      </c>
      <c r="AD94" s="21">
        <v>3179594.9611999951</v>
      </c>
      <c r="AE94" s="36">
        <v>-1214107.0388000011</v>
      </c>
      <c r="AF94" s="21">
        <v>1653524.1929999962</v>
      </c>
      <c r="AG94" s="21">
        <v>-5076439.4669999946</v>
      </c>
      <c r="AH94" s="21">
        <v>3225503.9729999993</v>
      </c>
      <c r="AI94" s="36">
        <v>141987.46299999952</v>
      </c>
      <c r="AJ94" s="21">
        <v>7220944.3310000012</v>
      </c>
      <c r="AK94" s="21">
        <v>-11880478.309</v>
      </c>
      <c r="AL94" s="21">
        <v>4134080.0709999967</v>
      </c>
      <c r="AM94" s="36">
        <v>7757041.0610000007</v>
      </c>
      <c r="AN94" s="21">
        <v>1094299.7128000017</v>
      </c>
      <c r="AO94" s="21">
        <v>5486475.6127999965</v>
      </c>
      <c r="AP94" s="21">
        <v>-1913719.3171999995</v>
      </c>
      <c r="AQ94" s="21">
        <v>5818913.7827999946</v>
      </c>
      <c r="AR94" s="36">
        <v>1043136.5827999953</v>
      </c>
      <c r="AS94" s="21">
        <v>5888538.6500000022</v>
      </c>
      <c r="AT94" s="21">
        <v>-12435033.580000008</v>
      </c>
      <c r="AU94" s="21">
        <v>4030325.6900000013</v>
      </c>
      <c r="AV94" s="36">
        <v>4828751.450000003</v>
      </c>
      <c r="AW94" s="21">
        <v>11779490.810000002</v>
      </c>
      <c r="AX94" s="21">
        <v>-685590.83999999613</v>
      </c>
      <c r="AY94" s="21">
        <v>9724015.5899999999</v>
      </c>
      <c r="AZ94" s="21">
        <v>12534358.539999999</v>
      </c>
      <c r="BA94" s="21">
        <v>-3704682.46</v>
      </c>
      <c r="BB94" s="37">
        <f t="shared" si="3"/>
        <v>60676.246722000004</v>
      </c>
      <c r="BC94" s="140">
        <f>BC30+BC93</f>
        <v>81620.446952000377</v>
      </c>
      <c r="BD94" s="140">
        <f>BD30+BD93</f>
        <v>58204.37200000009</v>
      </c>
      <c r="BE94" s="140">
        <f>BC94-BD94</f>
        <v>23416.074952000286</v>
      </c>
      <c r="BF94" s="140">
        <f>BE94-10000</f>
        <v>13416.074952000286</v>
      </c>
      <c r="BG94" s="140"/>
      <c r="BH94" s="140">
        <f>SUM(BH30:BH93)</f>
        <v>23416.074952000286</v>
      </c>
      <c r="BI94" s="140"/>
      <c r="BJ94" s="140"/>
    </row>
    <row r="95" spans="1:62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62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2.7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43101</v>
      </c>
      <c r="C99" s="52">
        <v>43132</v>
      </c>
      <c r="D99" s="52">
        <v>43160</v>
      </c>
      <c r="E99" s="52">
        <v>43191</v>
      </c>
      <c r="F99" s="52">
        <v>43221</v>
      </c>
      <c r="G99" s="52">
        <v>43252</v>
      </c>
      <c r="H99" s="52">
        <v>43282</v>
      </c>
      <c r="I99" s="52">
        <v>43313</v>
      </c>
      <c r="J99" s="52">
        <v>43344</v>
      </c>
      <c r="K99" s="52">
        <v>43374</v>
      </c>
      <c r="L99" s="52">
        <v>43405</v>
      </c>
      <c r="M99" s="52">
        <v>43435</v>
      </c>
    </row>
    <row r="100" spans="1:54" s="23" customFormat="1">
      <c r="A100" s="3" t="s">
        <v>93</v>
      </c>
      <c r="B100" s="25">
        <f>SUM(B30:E30)/1000</f>
        <v>91763.548909999998</v>
      </c>
      <c r="C100" s="25">
        <f>SUM(F30:I30)/1000</f>
        <v>72998.335650000008</v>
      </c>
      <c r="D100" s="25">
        <f>SUM(J30:M30)/1000</f>
        <v>64251.327523999993</v>
      </c>
      <c r="E100" s="25">
        <f>SUM(N30:Q30)/1000</f>
        <v>63099.011540000007</v>
      </c>
      <c r="F100" s="38">
        <f>SUM(R30:V30)/1000</f>
        <v>78165.287616000001</v>
      </c>
      <c r="G100" s="38">
        <f>SUM(W30:Z30)/1000</f>
        <v>64585.114066000002</v>
      </c>
      <c r="H100" s="38">
        <f>SUM(AA30:AE30)/1000</f>
        <v>78676.504826000004</v>
      </c>
      <c r="I100" s="38">
        <f>SUM(AF30:AI30)/1000</f>
        <v>62163.924881999999</v>
      </c>
      <c r="J100" s="38">
        <f>SUM(AJ30:AM30)/1000</f>
        <v>63346.545914000002</v>
      </c>
      <c r="K100" s="38">
        <f>SUM(AN30:AR30)/1000</f>
        <v>78530.923853999993</v>
      </c>
      <c r="L100" s="38">
        <f>SUM(AS30:AV30)/1000</f>
        <v>63675.912420000001</v>
      </c>
      <c r="M100" s="38">
        <f>SUM(AW30:BA30)/1000</f>
        <v>78162.436199999996</v>
      </c>
      <c r="N100" s="60">
        <f>SUM(B100:M100)</f>
        <v>859418.87340199982</v>
      </c>
      <c r="O100" s="39"/>
    </row>
    <row r="101" spans="1:54" s="23" customFormat="1">
      <c r="A101" s="3" t="s">
        <v>94</v>
      </c>
      <c r="B101" s="25">
        <f>SUM(B93:E93)/1000</f>
        <v>-54532.040679999998</v>
      </c>
      <c r="C101" s="25">
        <f>SUM(F93:I93)/1000</f>
        <v>-55783.370470000002</v>
      </c>
      <c r="D101" s="25">
        <f>SUM(J93:M93)/1000</f>
        <v>-66711.107359999995</v>
      </c>
      <c r="E101" s="25">
        <f>SUM(N93:Q93)/1000</f>
        <v>-59146.76352</v>
      </c>
      <c r="F101" s="38">
        <f>SUM(R93:V93)/1000</f>
        <v>-93315.297049999979</v>
      </c>
      <c r="G101" s="38">
        <f>SUM(W93:Z93)/1000</f>
        <v>-65075.611789999988</v>
      </c>
      <c r="H101" s="38">
        <f>SUM(AA93:AE93)/1000</f>
        <v>-90132.817850000007</v>
      </c>
      <c r="I101" s="82">
        <f>SUM(AF93:AI93)/1000</f>
        <v>-62219.348720000002</v>
      </c>
      <c r="J101" s="82">
        <f>SUM(AJ93:AM93)/1000</f>
        <v>-56114.958760000001</v>
      </c>
      <c r="K101" s="82">
        <f>SUM(AN93:AR93)/1000</f>
        <v>-67001.817479999998</v>
      </c>
      <c r="L101" s="82">
        <f>SUM(AS93:AV93)/1000</f>
        <v>-61363.330209999993</v>
      </c>
      <c r="M101" s="82">
        <f>SUM(AW93:BA93)/1000</f>
        <v>-48514.844560000005</v>
      </c>
      <c r="N101" s="60">
        <f>SUM(B101:M101)</f>
        <v>-779911.30844999989</v>
      </c>
      <c r="O101" s="58"/>
      <c r="AB101" s="58"/>
      <c r="AG101" s="58"/>
    </row>
    <row r="102" spans="1:54" s="23" customFormat="1">
      <c r="A102" s="3" t="s">
        <v>95</v>
      </c>
      <c r="B102" s="22">
        <f>SUM(B100:B101)</f>
        <v>37231.508229999999</v>
      </c>
      <c r="C102" s="25">
        <f t="shared" ref="C102:L102" si="4">SUM(C100:C101)</f>
        <v>17214.965180000007</v>
      </c>
      <c r="D102" s="25">
        <f>SUM(D100:D101)</f>
        <v>-2459.7798360000015</v>
      </c>
      <c r="E102" s="25">
        <f>SUM(E100:E101)</f>
        <v>3952.2480200000064</v>
      </c>
      <c r="F102" s="38">
        <f>SUM(F100:F101)</f>
        <v>-15150.009433999978</v>
      </c>
      <c r="G102" s="38">
        <f t="shared" si="4"/>
        <v>-490.49772399998619</v>
      </c>
      <c r="H102" s="38">
        <f t="shared" si="4"/>
        <v>-11456.313024000003</v>
      </c>
      <c r="I102" s="38">
        <f t="shared" si="4"/>
        <v>-55.423838000002434</v>
      </c>
      <c r="J102" s="38">
        <f t="shared" si="4"/>
        <v>7231.5871540000007</v>
      </c>
      <c r="K102" s="38">
        <f t="shared" si="4"/>
        <v>11529.106373999995</v>
      </c>
      <c r="L102" s="38">
        <f t="shared" si="4"/>
        <v>2312.5822100000078</v>
      </c>
      <c r="M102" s="38">
        <f>SUM(M100:M101)</f>
        <v>29647.591639999991</v>
      </c>
      <c r="N102" s="60">
        <f>SUM(B102:M102)</f>
        <v>79507.564952000044</v>
      </c>
      <c r="O102" s="128">
        <f>BB94-N102</f>
        <v>-18831.318230000041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 t="e">
        <f>N100-#REF!</f>
        <v>#REF!</v>
      </c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 t="e">
        <f>N100-#REF!</f>
        <v>#REF!</v>
      </c>
      <c r="Q104" s="73" t="s">
        <v>125</v>
      </c>
    </row>
    <row r="105" spans="1:54" s="23" customFormat="1" ht="15">
      <c r="A105" s="51" t="s">
        <v>97</v>
      </c>
      <c r="B105" s="52">
        <v>43101</v>
      </c>
      <c r="C105" s="52">
        <v>43132</v>
      </c>
      <c r="D105" s="52">
        <v>43160</v>
      </c>
      <c r="E105" s="52">
        <v>43191</v>
      </c>
      <c r="F105" s="52">
        <v>43221</v>
      </c>
      <c r="G105" s="52">
        <v>43252</v>
      </c>
      <c r="H105" s="52">
        <v>43282</v>
      </c>
      <c r="I105" s="52">
        <v>43313</v>
      </c>
      <c r="J105" s="52">
        <v>43344</v>
      </c>
      <c r="K105" s="52">
        <v>43374</v>
      </c>
      <c r="L105" s="52">
        <v>43405</v>
      </c>
      <c r="M105" s="52">
        <v>43435</v>
      </c>
    </row>
    <row r="106" spans="1:54" s="23" customFormat="1">
      <c r="A106" s="3" t="s">
        <v>93</v>
      </c>
      <c r="B106" s="22">
        <f>'[13]Flujo 2018'!AS9</f>
        <v>3472.953</v>
      </c>
      <c r="C106" s="22">
        <f>'[13]Flujo 2018'!AT9-B106</f>
        <v>3006.0060000000008</v>
      </c>
      <c r="D106" s="22">
        <f>'[13]Flujo 2018'!AU9-SUM($B$106:C106)</f>
        <v>3116.0829999999987</v>
      </c>
      <c r="E106" s="22">
        <f>'[13]Flujo 2018'!AV9-SUM($B$106:D106)</f>
        <v>3219.9440000000013</v>
      </c>
      <c r="F106" s="22">
        <f>'[13]Flujo 2018'!AW9-SUM($B$106:E106)</f>
        <v>3548.2889999999989</v>
      </c>
      <c r="G106" s="22">
        <f>'[13]Flujo 2018'!AX9-SUM($B$106:F106)</f>
        <v>3579.6670000000031</v>
      </c>
      <c r="H106" s="39">
        <f>'[1]Proy. 2018'!C154</f>
        <v>3146.1870000000017</v>
      </c>
      <c r="I106" s="82">
        <f>'[1]Proy. 2018'!D154</f>
        <v>3125.4889999999978</v>
      </c>
      <c r="J106" s="82">
        <f>'[1]Proy. 2018'!E154</f>
        <v>3203.0630000000019</v>
      </c>
      <c r="K106" s="82">
        <f>'[1]Proy. 2018'!F154</f>
        <v>3132.7079999999987</v>
      </c>
      <c r="L106" s="82">
        <f>'[1]Proy. 2018'!G154</f>
        <v>3155.601999999999</v>
      </c>
      <c r="M106" s="82">
        <f>'[1]Proy. 2018'!H154</f>
        <v>3179.6690000000017</v>
      </c>
      <c r="N106" s="59">
        <f>SUM('FO 18 ene-19'!B106:M106)</f>
        <v>42124.972000000002</v>
      </c>
      <c r="O106" s="62"/>
      <c r="P106" s="39"/>
    </row>
    <row r="107" spans="1:54" s="23" customFormat="1">
      <c r="A107" s="3" t="s">
        <v>94</v>
      </c>
      <c r="B107" s="22">
        <f>SUM('[13]Flujo 2018'!AS10:AS14)</f>
        <v>-3118.9280000000003</v>
      </c>
      <c r="C107" s="22">
        <f>SUM('[13]Flujo 2018'!AT10:AT14)-SUM($B$107:B107)</f>
        <v>-2989.1089999999999</v>
      </c>
      <c r="D107" s="22">
        <f>SUM('[13]Flujo 2018'!AU10:AU14)-SUM($B$107:C107)</f>
        <v>-3168.8729999999996</v>
      </c>
      <c r="E107" s="22">
        <f>SUM('[13]Flujo 2018'!AV10:AV14)-SUM($B$107:D107)</f>
        <v>-3412.2210000000014</v>
      </c>
      <c r="F107" s="22">
        <f>SUM('[13]Flujo 2018'!AW10:AW14)-SUM($B$107:E107)</f>
        <v>-3371.8169999999991</v>
      </c>
      <c r="G107" s="22">
        <f>SUM('[13]Flujo 2018'!AX10:AX14)-SUM($B$107:F107)</f>
        <v>-3359.3429999999971</v>
      </c>
      <c r="H107" s="39">
        <f>'[1]Proy. 2018'!C155</f>
        <v>-2981.2239999999983</v>
      </c>
      <c r="I107" s="82">
        <f>'[1]Proy. 2018'!D155</f>
        <v>-2850.997000000003</v>
      </c>
      <c r="J107" s="82">
        <f>'[1]Proy. 2018'!E155</f>
        <v>-2650.0739999999969</v>
      </c>
      <c r="K107" s="82">
        <f>'[1]Proy. 2018'!F155</f>
        <v>-2594.2589999999982</v>
      </c>
      <c r="L107" s="82">
        <f>'[1]Proy. 2018'!G155</f>
        <v>-2457.8860000000022</v>
      </c>
      <c r="M107" s="82">
        <f>'[1]Proy. 2018'!H155</f>
        <v>-2716.505000000001</v>
      </c>
      <c r="N107" s="59">
        <f>SUM('FO 18 ene-19'!B107:M107)</f>
        <v>-40012.090000000004</v>
      </c>
      <c r="O107" s="58"/>
      <c r="P107" s="39">
        <f>SUM(Z2:BA2)/1000</f>
        <v>0</v>
      </c>
      <c r="Q107" s="23" t="s">
        <v>152</v>
      </c>
    </row>
    <row r="108" spans="1:54" s="23" customFormat="1">
      <c r="A108" s="3" t="s">
        <v>95</v>
      </c>
      <c r="B108" s="22">
        <f>SUM(B106:B107)</f>
        <v>354.02499999999964</v>
      </c>
      <c r="C108" s="22">
        <f t="shared" ref="C108:M108" si="5">SUM(C106:C107)</f>
        <v>16.897000000000844</v>
      </c>
      <c r="D108" s="22">
        <f t="shared" si="5"/>
        <v>-52.790000000000873</v>
      </c>
      <c r="E108" s="22">
        <f t="shared" si="5"/>
        <v>-192.27700000000004</v>
      </c>
      <c r="F108" s="22">
        <f t="shared" si="5"/>
        <v>176.47199999999975</v>
      </c>
      <c r="G108" s="22">
        <f t="shared" si="5"/>
        <v>220.32400000000598</v>
      </c>
      <c r="H108" s="22">
        <f t="shared" si="5"/>
        <v>164.96300000000338</v>
      </c>
      <c r="I108" s="22">
        <f t="shared" si="5"/>
        <v>274.49199999999473</v>
      </c>
      <c r="J108" s="22">
        <f t="shared" si="5"/>
        <v>552.98900000000503</v>
      </c>
      <c r="K108" s="22">
        <f t="shared" si="5"/>
        <v>538.44900000000052</v>
      </c>
      <c r="L108" s="22">
        <f t="shared" si="5"/>
        <v>697.71599999999671</v>
      </c>
      <c r="M108" s="22">
        <f t="shared" si="5"/>
        <v>463.16400000000067</v>
      </c>
      <c r="P108" s="78" t="e">
        <f>N101-#REF!</f>
        <v>#REF!</v>
      </c>
      <c r="Q108" s="61" t="s">
        <v>103</v>
      </c>
      <c r="R108" s="63"/>
      <c r="S108" s="23" t="s">
        <v>126</v>
      </c>
      <c r="T108" s="115" t="e">
        <f>SUM(AY47:BA50)/1000-SUM(#REF!)/1000</f>
        <v>#REF!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 t="e">
        <f>SUM(AY82:BA82)/1000-SUM(#REF!)/1000</f>
        <v>#REF!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 t="e">
        <f>SUM(AY31:BA92)/1000-SUM(#REF!)/1000-T108-T109</f>
        <v>#REF!</v>
      </c>
    </row>
    <row r="111" spans="1:54" s="14" customFormat="1" ht="15">
      <c r="A111" s="54" t="s">
        <v>100</v>
      </c>
      <c r="B111" s="52">
        <v>43101</v>
      </c>
      <c r="C111" s="52">
        <v>43132</v>
      </c>
      <c r="D111" s="52">
        <v>43160</v>
      </c>
      <c r="E111" s="52">
        <v>43191</v>
      </c>
      <c r="F111" s="52">
        <v>43221</v>
      </c>
      <c r="G111" s="52">
        <v>43252</v>
      </c>
      <c r="H111" s="52">
        <v>43282</v>
      </c>
      <c r="I111" s="52">
        <v>43313</v>
      </c>
      <c r="J111" s="52">
        <v>43344</v>
      </c>
      <c r="K111" s="52">
        <v>43374</v>
      </c>
      <c r="L111" s="52">
        <v>43405</v>
      </c>
      <c r="M111" s="52">
        <v>43435</v>
      </c>
      <c r="P111" s="39" t="e">
        <f>N102-#REF!</f>
        <v>#REF!</v>
      </c>
      <c r="Q111" s="119" t="s">
        <v>153</v>
      </c>
      <c r="S111" s="70" t="s">
        <v>129</v>
      </c>
      <c r="T111" s="77" t="e">
        <f>SUM(T108:T110)</f>
        <v>#REF!</v>
      </c>
      <c r="U111" s="71">
        <f>AZ2/1000+BA2/1000</f>
        <v>0</v>
      </c>
      <c r="V111" s="75" t="e">
        <f>SUM(T111:U111)</f>
        <v>#REF!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39" t="e">
        <f>P104+P108</f>
        <v>#REF!</v>
      </c>
      <c r="Q112" s="23" t="s">
        <v>130</v>
      </c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13">
        <v>-8000</v>
      </c>
      <c r="J113" s="113">
        <v>-8000</v>
      </c>
      <c r="K113" s="113">
        <v>-8000</v>
      </c>
      <c r="L113" s="113">
        <v>-8000</v>
      </c>
      <c r="M113" s="113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6">SUM(C112:C113)</f>
        <v>0</v>
      </c>
      <c r="D114" s="26">
        <f t="shared" si="6"/>
        <v>0</v>
      </c>
      <c r="E114" s="26">
        <f t="shared" si="6"/>
        <v>0</v>
      </c>
      <c r="F114" s="26">
        <f t="shared" si="6"/>
        <v>0</v>
      </c>
      <c r="G114" s="26">
        <f t="shared" si="6"/>
        <v>0</v>
      </c>
      <c r="H114" s="26">
        <f t="shared" si="6"/>
        <v>0</v>
      </c>
      <c r="I114" s="26">
        <f t="shared" si="6"/>
        <v>0</v>
      </c>
      <c r="J114" s="26">
        <f t="shared" si="6"/>
        <v>0</v>
      </c>
      <c r="K114" s="26">
        <f t="shared" si="6"/>
        <v>0</v>
      </c>
      <c r="L114" s="26">
        <f t="shared" si="6"/>
        <v>0</v>
      </c>
      <c r="M114" s="26">
        <f t="shared" si="6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2861.9756015948246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v>43101</v>
      </c>
      <c r="C117" s="1">
        <v>43132</v>
      </c>
      <c r="D117" s="1">
        <v>43160</v>
      </c>
      <c r="E117" s="1">
        <v>43191</v>
      </c>
      <c r="F117" s="1">
        <v>43221</v>
      </c>
      <c r="G117" s="1">
        <v>43252</v>
      </c>
      <c r="H117" s="1">
        <v>43282</v>
      </c>
      <c r="I117" s="1">
        <v>43313</v>
      </c>
      <c r="J117" s="1">
        <v>43344</v>
      </c>
      <c r="K117" s="1">
        <v>43374</v>
      </c>
      <c r="L117" s="1">
        <v>43405</v>
      </c>
      <c r="M117" s="1">
        <v>43435</v>
      </c>
      <c r="S117" s="40" t="s">
        <v>133</v>
      </c>
      <c r="T117" s="80">
        <f>I100</f>
        <v>62163.924881999999</v>
      </c>
      <c r="W117" s="80">
        <f>SUM(AK30:BA30)/1000</f>
        <v>268125.96984699997</v>
      </c>
    </row>
    <row r="118" spans="1:30" s="14" customFormat="1" ht="15">
      <c r="A118" t="s">
        <v>93</v>
      </c>
      <c r="B118" s="26">
        <f>B100+B106+B112</f>
        <v>103236.50190999999</v>
      </c>
      <c r="C118" s="26">
        <f t="shared" ref="C118:M119" si="7">C100+C106+C112</f>
        <v>84004.341650000002</v>
      </c>
      <c r="D118" s="26">
        <f t="shared" si="7"/>
        <v>75367.410523999992</v>
      </c>
      <c r="E118" s="26">
        <f>E100+E106+E112</f>
        <v>74318.95554000001</v>
      </c>
      <c r="F118" s="26">
        <f>F100+F106+F112</f>
        <v>89713.576616000006</v>
      </c>
      <c r="G118" s="26">
        <f t="shared" si="7"/>
        <v>76164.78106600001</v>
      </c>
      <c r="H118" s="26">
        <f t="shared" si="7"/>
        <v>89822.691826000009</v>
      </c>
      <c r="I118" s="26">
        <f t="shared" si="7"/>
        <v>73289.413881999993</v>
      </c>
      <c r="J118" s="26">
        <f t="shared" si="7"/>
        <v>74549.608914000011</v>
      </c>
      <c r="K118" s="26">
        <f t="shared" si="7"/>
        <v>89663.631853999992</v>
      </c>
      <c r="L118" s="26">
        <f t="shared" si="7"/>
        <v>74831.514419999992</v>
      </c>
      <c r="M118" s="26">
        <f t="shared" si="7"/>
        <v>89342.105199999991</v>
      </c>
      <c r="N118" s="64">
        <f>SUM(B118:M118)</f>
        <v>994304.53340200009</v>
      </c>
      <c r="O118" s="68"/>
      <c r="S118" s="40" t="s">
        <v>134</v>
      </c>
      <c r="T118" s="80">
        <f>I106</f>
        <v>3125.4889999999978</v>
      </c>
      <c r="W118" s="80">
        <f>SUM(J106:M106)</f>
        <v>12671.042000000001</v>
      </c>
    </row>
    <row r="119" spans="1:30" s="14" customFormat="1" ht="15">
      <c r="A119" t="s">
        <v>94</v>
      </c>
      <c r="B119" s="26">
        <f>B101+B107+B113</f>
        <v>-65650.968679999991</v>
      </c>
      <c r="C119" s="26">
        <f>C101+C107+C113</f>
        <v>-66772.479469999991</v>
      </c>
      <c r="D119" s="26">
        <f t="shared" si="7"/>
        <v>-77879.980359999987</v>
      </c>
      <c r="E119" s="26">
        <f>E101+E107+E113</f>
        <v>-70558.984519999998</v>
      </c>
      <c r="F119" s="26">
        <f>F101+F107+F113</f>
        <v>-104687.11404999997</v>
      </c>
      <c r="G119" s="26">
        <f t="shared" si="7"/>
        <v>-76434.954789999989</v>
      </c>
      <c r="H119" s="26">
        <f t="shared" si="7"/>
        <v>-101114.04185000001</v>
      </c>
      <c r="I119" s="26">
        <f t="shared" si="7"/>
        <v>-73070.345720000012</v>
      </c>
      <c r="J119" s="26">
        <f t="shared" si="7"/>
        <v>-66765.032760000002</v>
      </c>
      <c r="K119" s="26">
        <f t="shared" si="7"/>
        <v>-77596.076479999989</v>
      </c>
      <c r="L119" s="26">
        <f t="shared" si="7"/>
        <v>-71821.216209999999</v>
      </c>
      <c r="M119" s="26">
        <f>M101+M107+M113</f>
        <v>-59231.349560000002</v>
      </c>
      <c r="N119" s="64">
        <f>SUM(B119:M119)</f>
        <v>-911582.54444999993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37585.533230000001</v>
      </c>
      <c r="C120" s="56">
        <f t="shared" ref="C120:L120" si="8">SUM(C118:C119)</f>
        <v>17231.862180000011</v>
      </c>
      <c r="D120" s="56">
        <f>SUM(D118:D119)</f>
        <v>-2512.5698359999951</v>
      </c>
      <c r="E120" s="56">
        <f>SUM(E118:E119)</f>
        <v>3759.9710200000118</v>
      </c>
      <c r="F120" s="56">
        <f>SUM(F118:F119)</f>
        <v>-14973.537433999969</v>
      </c>
      <c r="G120" s="56">
        <f t="shared" si="8"/>
        <v>-270.17372399997839</v>
      </c>
      <c r="H120" s="56">
        <f t="shared" si="8"/>
        <v>-11291.350023999999</v>
      </c>
      <c r="I120" s="56">
        <f t="shared" si="8"/>
        <v>219.06816199998138</v>
      </c>
      <c r="J120" s="56">
        <f t="shared" si="8"/>
        <v>7784.5761540000094</v>
      </c>
      <c r="K120" s="56">
        <f t="shared" si="8"/>
        <v>12067.555374000003</v>
      </c>
      <c r="L120" s="56">
        <f t="shared" si="8"/>
        <v>3010.2982099999936</v>
      </c>
      <c r="M120" s="56">
        <f>SUM(M118:M119)</f>
        <v>30110.755639999988</v>
      </c>
      <c r="N120" s="65">
        <f>SUM(B120:M120)</f>
        <v>82721.988952000058</v>
      </c>
      <c r="O120" s="66"/>
      <c r="P120" s="65"/>
      <c r="R120" s="86">
        <f>[1]EEFF!$H$63</f>
        <v>574206</v>
      </c>
      <c r="S120" s="40" t="s">
        <v>135</v>
      </c>
      <c r="T120" s="80">
        <f>SUM(T117:T119)</f>
        <v>73289.413881999993</v>
      </c>
      <c r="U120" s="9"/>
      <c r="V120" s="9"/>
      <c r="W120" s="80">
        <f>SUM(W117:W119)</f>
        <v>312797.01184699999</v>
      </c>
      <c r="X120" s="9"/>
      <c r="Y120" s="9"/>
      <c r="Z120" s="76">
        <f>R120+T120+W120</f>
        <v>960292.42572900001</v>
      </c>
      <c r="AA120" s="89"/>
    </row>
    <row r="121" spans="1:30" ht="15">
      <c r="A121" s="40" t="s">
        <v>124</v>
      </c>
      <c r="B121" s="57">
        <f>'[12]Flujo 2018'!X3</f>
        <v>3169</v>
      </c>
      <c r="C121" s="57">
        <f>'[12]Flujo 2018'!Y3</f>
        <v>21187</v>
      </c>
      <c r="D121" s="57">
        <f>'[12]Flujo 2018'!Z3</f>
        <v>6482</v>
      </c>
      <c r="E121" s="57">
        <f>'[12]Flujo 2018'!AA3</f>
        <v>-8447</v>
      </c>
      <c r="F121" s="57">
        <f>'[4]Flujo 2018'!$AB$3</f>
        <v>-6555</v>
      </c>
      <c r="G121" s="57">
        <v>-17216</v>
      </c>
      <c r="H121" s="38">
        <f>'[4]Flujo 2018'!$AD$3</f>
        <v>-7064</v>
      </c>
      <c r="I121" s="38"/>
      <c r="J121" s="38"/>
      <c r="K121" s="38"/>
      <c r="L121" s="38"/>
      <c r="M121" s="38"/>
      <c r="N121" s="72">
        <f>SUM(B121:H121)+SUM(I120:M120)</f>
        <v>44748.253539999976</v>
      </c>
      <c r="O121" s="38"/>
      <c r="Z121" s="89"/>
      <c r="AA121" s="89"/>
    </row>
    <row r="122" spans="1:30" ht="15">
      <c r="B122" s="26">
        <f>B121-B120</f>
        <v>-34416.533230000001</v>
      </c>
      <c r="C122" s="26">
        <f t="shared" ref="C122" si="9">C121-C120</f>
        <v>3955.137819999989</v>
      </c>
      <c r="D122" s="26">
        <f>D121-D120</f>
        <v>8994.5698359999951</v>
      </c>
      <c r="E122" s="26">
        <f>E121-E120</f>
        <v>-12206.971020000012</v>
      </c>
      <c r="F122" s="26">
        <f>F121-F120</f>
        <v>8418.5374339999689</v>
      </c>
      <c r="G122" s="26">
        <f>G121-G120</f>
        <v>-16945.826276000022</v>
      </c>
      <c r="H122" s="56"/>
      <c r="I122" s="56"/>
      <c r="J122" s="56"/>
      <c r="K122" s="56"/>
      <c r="L122" s="56"/>
      <c r="M122" s="56"/>
      <c r="N122" s="65"/>
      <c r="S122" s="40" t="s">
        <v>137</v>
      </c>
      <c r="T122" s="80">
        <f>T117-T116</f>
        <v>59301.949280405177</v>
      </c>
      <c r="U122" s="80">
        <f>U124-U123</f>
        <v>71460.380999999878</v>
      </c>
      <c r="W122" s="80">
        <f>W117-W116</f>
        <v>257793.58484699996</v>
      </c>
      <c r="X122" s="80">
        <f>X124-X123</f>
        <v>279352.16300000006</v>
      </c>
      <c r="Z122" s="89"/>
      <c r="AA122" s="89"/>
    </row>
    <row r="123" spans="1:30" ht="15.75">
      <c r="A123" s="41" t="s">
        <v>111</v>
      </c>
      <c r="B123" s="41" t="s">
        <v>112</v>
      </c>
      <c r="C123" s="41" t="s">
        <v>110</v>
      </c>
      <c r="E123" s="26">
        <f>SUM($B$121:E121)-SUM($B$120:E120)</f>
        <v>-33673.796594000029</v>
      </c>
      <c r="F123" s="26">
        <f>SUM($B$121:F121)-SUM($B$120:F120)</f>
        <v>-25255.25916000006</v>
      </c>
      <c r="G123" s="26">
        <f>SUM($B$121:G121)-SUM($B$120:G120)</f>
        <v>-42201.085436000081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3125.4889999999978</v>
      </c>
      <c r="U123" s="80">
        <f>'[1]Proy. 2018'!$D$154</f>
        <v>3125.4889999999978</v>
      </c>
      <c r="W123" s="80">
        <f>W118</f>
        <v>12671.042000000001</v>
      </c>
      <c r="X123" s="80">
        <f>SUM('[1]Proy. 2018'!$E$154:$H$154)</f>
        <v>12671.042000000001</v>
      </c>
      <c r="Z123" s="89"/>
      <c r="AA123" s="89"/>
    </row>
    <row r="124" spans="1:30" ht="15">
      <c r="A124" s="42" t="s">
        <v>119</v>
      </c>
      <c r="B124" s="43">
        <f>-AVERAGE(B43:BA43)/1000000</f>
        <v>1.6997248633333337</v>
      </c>
      <c r="C124" s="43">
        <f>B124*4</f>
        <v>6.7988994533333349</v>
      </c>
      <c r="S124" s="40" t="s">
        <v>135</v>
      </c>
      <c r="T124" s="80">
        <f>SUM(T122:T123)</f>
        <v>62427.438280405171</v>
      </c>
      <c r="U124" s="80">
        <f>'[1]Proy. 2018'!$D$60</f>
        <v>74585.869999999879</v>
      </c>
      <c r="W124" s="80">
        <f>SUM(W122:W123)</f>
        <v>270464.62684699998</v>
      </c>
      <c r="X124" s="80">
        <f>SUM('[1]Proy. 2018'!$E$60:$H$60)</f>
        <v>292023.20500000007</v>
      </c>
      <c r="Z124" s="91">
        <f>R120+T124+W124</f>
        <v>907098.06512740511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>
      <c r="A125" s="42" t="s">
        <v>46</v>
      </c>
      <c r="B125" s="43">
        <f>-(AVERAGE(B47:BA47)+AVERAGE(B50:BA50))/1000000</f>
        <v>0.679706762745098</v>
      </c>
      <c r="C125" s="43">
        <f>B125*4</f>
        <v>2.718827050980392</v>
      </c>
      <c r="Z125" s="89"/>
      <c r="AA125" s="89"/>
    </row>
    <row r="126" spans="1:30" ht="15">
      <c r="A126" s="42" t="s">
        <v>120</v>
      </c>
      <c r="B126" s="43">
        <f>-AVERAGE(B82:BA82)/1000000</f>
        <v>5.6198556601960785</v>
      </c>
      <c r="C126" s="43">
        <f>B126*4</f>
        <v>22.479422640784314</v>
      </c>
      <c r="S126" s="92" t="s">
        <v>144</v>
      </c>
      <c r="U126" s="104">
        <f>T124-U124</f>
        <v>-12158.431719594708</v>
      </c>
      <c r="X126" s="104">
        <f>W124-X124</f>
        <v>-21558.578153000097</v>
      </c>
      <c r="Z126" s="89"/>
      <c r="AA126" s="89">
        <f>Z124-AA124</f>
        <v>-33717.009872594848</v>
      </c>
      <c r="AB126" s="112">
        <f>(X126+U126)/(T122+W122)</f>
        <v>-0.10633076232176679</v>
      </c>
      <c r="AC126" s="111">
        <f>AA126/Z124</f>
        <v>-3.7170192693398788E-2</v>
      </c>
    </row>
    <row r="127" spans="1:30" ht="15.75" thickBot="1">
      <c r="A127" s="42" t="s">
        <v>121</v>
      </c>
      <c r="B127" s="43">
        <f>-(AVERAGE(B89:BA89)+AVERAGE(B68:BA68))/1000000</f>
        <v>2.684835269019608</v>
      </c>
      <c r="C127" s="43">
        <f>B127*4</f>
        <v>10.739341076078432</v>
      </c>
      <c r="Z127" s="89"/>
      <c r="AA127" s="89"/>
    </row>
    <row r="128" spans="1:30" ht="15.75">
      <c r="A128" s="44" t="s">
        <v>104</v>
      </c>
      <c r="B128" s="45">
        <f>SUM(B124:B127)</f>
        <v>10.684122555294119</v>
      </c>
      <c r="C128" s="45">
        <f>SUM(C124:C127)</f>
        <v>42.736490221176474</v>
      </c>
      <c r="R128" s="23"/>
      <c r="S128" s="9" t="s">
        <v>141</v>
      </c>
      <c r="Z128" s="87">
        <f>Z120-'[4]Flujo 2018'!$AQ$4</f>
        <v>-22001.181730999961</v>
      </c>
      <c r="AA128" s="87">
        <f>AA124-'[1]Proy. 2018'!$H$57</f>
        <v>15788.686999999918</v>
      </c>
    </row>
    <row r="129" spans="1:31" ht="15">
      <c r="A129" s="42"/>
      <c r="B129" s="43"/>
      <c r="C129" s="43"/>
      <c r="R129" s="23"/>
    </row>
    <row r="130" spans="1:31" ht="16.5" thickBot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6.5" thickBot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-2861.9756015948246</v>
      </c>
      <c r="U134" s="14"/>
      <c r="V134" s="83">
        <f>W134/W138</f>
        <v>4.5998160708404547E-2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6.5" thickBot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>
      <c r="A136" s="44" t="s">
        <v>107</v>
      </c>
      <c r="B136" s="45">
        <f>B128+B131+B134</f>
        <v>12.41866096959181</v>
      </c>
      <c r="C136" s="45">
        <f>C128+C131+C134</f>
        <v>49.674643878367242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-28875.253230298418</v>
      </c>
      <c r="U137" s="101">
        <f>'[1]Proy. 2018'!$D$116-'[1]Proy. 2018'!$C$116-U136</f>
        <v>-38522.038500000075</v>
      </c>
      <c r="V137" s="103"/>
      <c r="W137" s="101">
        <f>SUM(AK31:BA92)/1000-SUM(W132:W136)</f>
        <v>-166633.11125086003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thickBot="1">
      <c r="A138" s="46" t="s">
        <v>108</v>
      </c>
      <c r="B138" s="47">
        <f>B136+B137</f>
        <v>26.205427789478662</v>
      </c>
      <c r="C138" s="47">
        <f>C136+C137</f>
        <v>63.461410698254099</v>
      </c>
      <c r="S138" s="40" t="s">
        <v>133</v>
      </c>
      <c r="T138" s="80">
        <f>I101</f>
        <v>-62219.348720000002</v>
      </c>
      <c r="W138" s="80">
        <f>SUM(AK93:BA93)/1000</f>
        <v>-224626.04679999998</v>
      </c>
      <c r="X138" s="24"/>
    </row>
    <row r="139" spans="1:31" ht="15">
      <c r="S139" s="40" t="s">
        <v>134</v>
      </c>
      <c r="T139" s="80">
        <f>I107</f>
        <v>-2850.997000000003</v>
      </c>
      <c r="W139" s="80">
        <f>SUM(J107:M107)</f>
        <v>-10418.723999999998</v>
      </c>
      <c r="X139" s="24"/>
    </row>
    <row r="140" spans="1:31" ht="15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>
      <c r="R141" s="22">
        <f>[1]EEFF!$H$64</f>
        <v>-582650</v>
      </c>
      <c r="S141" s="40" t="s">
        <v>135</v>
      </c>
      <c r="T141" s="80">
        <f>SUM(T138:T140)</f>
        <v>-73070.345720000012</v>
      </c>
      <c r="W141" s="80">
        <f>SUM(W138:W140)</f>
        <v>-267044.77079999994</v>
      </c>
      <c r="X141" s="24"/>
      <c r="Z141" s="80">
        <f>R141+T141+W141</f>
        <v>-922765.11651999992</v>
      </c>
    </row>
    <row r="142" spans="1:31" ht="15">
      <c r="S142" s="40"/>
      <c r="T142" s="24"/>
      <c r="W142" s="24"/>
      <c r="X142" s="24"/>
    </row>
    <row r="143" spans="1:31">
      <c r="S143" s="40" t="s">
        <v>137</v>
      </c>
      <c r="T143" s="80">
        <f>T138-T134</f>
        <v>-59357.373118405179</v>
      </c>
      <c r="U143" s="80">
        <f>U145-U144</f>
        <v>-54186.39900000018</v>
      </c>
      <c r="W143" s="80">
        <f>W138-W134</f>
        <v>-214293.66179999997</v>
      </c>
      <c r="X143" s="80">
        <f>X145-X144</f>
        <v>-250028.52100000001</v>
      </c>
    </row>
    <row r="144" spans="1:31">
      <c r="S144" s="40" t="s">
        <v>134</v>
      </c>
      <c r="T144" s="80">
        <f>T139</f>
        <v>-2850.997000000003</v>
      </c>
      <c r="U144" s="80">
        <f>'[1]Proy. 2018'!$D$155</f>
        <v>-2850.997000000003</v>
      </c>
      <c r="W144" s="80">
        <f>W139</f>
        <v>-10418.723999999998</v>
      </c>
      <c r="X144" s="80">
        <f>SUM('[1]Proy. 2018'!$E$155:$H$155)</f>
        <v>-10418.723999999998</v>
      </c>
    </row>
    <row r="145" spans="1:30" ht="12.75">
      <c r="S145" s="40" t="s">
        <v>135</v>
      </c>
      <c r="T145" s="85">
        <f>SUM(T143:T144)</f>
        <v>-62208.370118405182</v>
      </c>
      <c r="U145" s="85">
        <f>'[1]Proy. 2018'!$D$61</f>
        <v>-57037.396000000183</v>
      </c>
      <c r="W145" s="85">
        <f>SUM(W143:W144)</f>
        <v>-224712.38579999996</v>
      </c>
      <c r="X145" s="85">
        <f>SUM('[1]Proy. 2018'!$E$61:$H$61)</f>
        <v>-260447.245</v>
      </c>
      <c r="Z145" s="85">
        <f>R141+T145+W145</f>
        <v>-869570.75591840514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>
      <c r="B146" s="48" t="s">
        <v>113</v>
      </c>
      <c r="C146" s="25">
        <f>AVERAGE(A148:A200)/1000000</f>
        <v>-14.911536360188679</v>
      </c>
      <c r="Z146" s="90"/>
      <c r="AA146" s="90"/>
    </row>
    <row r="147" spans="1:30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-5170.9741184049999</v>
      </c>
      <c r="V147" s="40"/>
      <c r="W147" s="40"/>
      <c r="X147" s="104">
        <f>W145-X145</f>
        <v>35734.859200000035</v>
      </c>
      <c r="Z147" s="90"/>
      <c r="AA147" s="89">
        <f>Z145-AA145</f>
        <v>30563.885081595043</v>
      </c>
      <c r="AB147" s="112">
        <f>(X147+U147)/(W145+T145)</f>
        <v>-0.1065237855789242</v>
      </c>
    </row>
    <row r="148" spans="1:30" ht="12.75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-7366.092118405104</v>
      </c>
      <c r="V149" s="106"/>
      <c r="W149" s="106"/>
      <c r="X149" s="106">
        <f>W132-X132+W136-X136+W137-X137</f>
        <v>24716.607200000057</v>
      </c>
    </row>
    <row r="150" spans="1:30" ht="12.75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>
      <c r="A152" s="18">
        <v>-39269103.120000005</v>
      </c>
      <c r="S152" s="9" t="s">
        <v>141</v>
      </c>
      <c r="Z152" s="87">
        <f>Z141-'[4]Flujo 2018'!$AQ$5</f>
        <v>20025.272880000062</v>
      </c>
      <c r="AA152" s="87">
        <f>AA145-'[1]Proy. 2018'!$H$58</f>
        <v>-13303.273000000045</v>
      </c>
    </row>
    <row r="153" spans="1:30" ht="12.75">
      <c r="A153" s="18">
        <v>-9105093</v>
      </c>
    </row>
    <row r="154" spans="1:30" ht="12.75">
      <c r="A154" s="18">
        <v>-25312139.880000006</v>
      </c>
      <c r="S154" s="9" t="s">
        <v>95</v>
      </c>
      <c r="Z154" s="88">
        <f>Z120+Z141</f>
        <v>37527.309209000086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>
      <c r="A155" s="18">
        <v>-12578049.57</v>
      </c>
      <c r="Z155" s="87">
        <f>Z154-'[4]Flujo 2018'!$AQ$3</f>
        <v>-1975.9088509999128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>
      <c r="A156" s="18">
        <v>-12967963.389999997</v>
      </c>
      <c r="AA156" s="81">
        <f>AA126+AA147</f>
        <v>-3153.1247909998056</v>
      </c>
    </row>
    <row r="157" spans="1:30" ht="12.75">
      <c r="A157" s="18">
        <v>-8256517.8300000001</v>
      </c>
      <c r="AA157" s="10">
        <f>Z154-AA154</f>
        <v>-3153.1247909996891</v>
      </c>
    </row>
    <row r="158" spans="1:30" ht="12.75">
      <c r="A158" s="18">
        <v>-16715896.169999998</v>
      </c>
    </row>
    <row r="159" spans="1:30" ht="12.75">
      <c r="A159" s="18">
        <v>-7781264.6299999999</v>
      </c>
    </row>
    <row r="160" spans="1:30" ht="12.75">
      <c r="A160" s="18">
        <v>-11260163.460000001</v>
      </c>
    </row>
    <row r="161" spans="1:1" ht="12.75">
      <c r="A161" s="18">
        <v>-7148236.0399999991</v>
      </c>
    </row>
    <row r="162" spans="1:1" ht="12.75">
      <c r="A162" s="18">
        <v>-39931943</v>
      </c>
    </row>
    <row r="163" spans="1:1" ht="12.75">
      <c r="A163" s="18">
        <v>-17562299.390000001</v>
      </c>
    </row>
    <row r="164" spans="1:1" ht="12.75">
      <c r="A164" s="18">
        <v>-9393337.9000000004</v>
      </c>
    </row>
    <row r="165" spans="1:1" ht="12.75">
      <c r="A165" s="18">
        <v>-18670296.349999998</v>
      </c>
    </row>
    <row r="166" spans="1:1" ht="12.75">
      <c r="A166" s="18">
        <v>-17981320.5</v>
      </c>
    </row>
    <row r="167" spans="1:1" ht="12.75">
      <c r="A167" s="18">
        <v>-19779546.189999998</v>
      </c>
    </row>
    <row r="168" spans="1:1" ht="12.75">
      <c r="A168" s="18">
        <v>-14716797.210000001</v>
      </c>
    </row>
    <row r="169" spans="1:1" ht="12.75">
      <c r="A169" s="18">
        <v>-19137676.490000006</v>
      </c>
    </row>
    <row r="170" spans="1:1" ht="12.75">
      <c r="A170" s="18">
        <v>-15668641.6</v>
      </c>
    </row>
    <row r="171" spans="1:1" ht="12.75">
      <c r="A171" s="18">
        <v>-32996590.100000005</v>
      </c>
    </row>
    <row r="172" spans="1:1" ht="12.75">
      <c r="A172" s="18">
        <v>-14992755.369999999</v>
      </c>
    </row>
    <row r="173" spans="1:1" ht="12.75">
      <c r="A173" s="18">
        <v>-14485372.019999998</v>
      </c>
    </row>
    <row r="174" spans="1:1" ht="12.75">
      <c r="A174" s="18">
        <v>-10392831.639999999</v>
      </c>
    </row>
    <row r="175" spans="1:1" ht="12.75">
      <c r="A175" s="18">
        <v>-15708281.379999997</v>
      </c>
    </row>
    <row r="176" spans="1:1" ht="12.75">
      <c r="A176" s="18">
        <v>-14005617.209999999</v>
      </c>
    </row>
    <row r="177" spans="1:1" ht="12.75">
      <c r="A177" s="18">
        <v>-10310799.1</v>
      </c>
    </row>
    <row r="178" spans="1:1" ht="12.75">
      <c r="A178" s="18">
        <v>-14690932.689999999</v>
      </c>
    </row>
    <row r="179" spans="1:1" ht="12.75">
      <c r="A179" s="18">
        <v>-20986111.840000004</v>
      </c>
    </row>
    <row r="180" spans="1:1" ht="12.75">
      <c r="A180" s="18">
        <v>-20108286.910000004</v>
      </c>
    </row>
    <row r="181" spans="1:1" ht="12.75">
      <c r="A181" s="18">
        <v>-10539927.389999999</v>
      </c>
    </row>
    <row r="182" spans="1:1" ht="12.75">
      <c r="A182" s="18">
        <v>-11907511.999999996</v>
      </c>
    </row>
    <row r="183" spans="1:1" ht="12.75">
      <c r="A183" s="18">
        <v>-7817853.9199999999</v>
      </c>
    </row>
    <row r="184" spans="1:1" ht="12.75">
      <c r="A184" s="18">
        <v>-18903649.48</v>
      </c>
    </row>
    <row r="185" spans="1:1" ht="12.75">
      <c r="A185" s="18">
        <v>-11719224.569999997</v>
      </c>
    </row>
    <row r="186" spans="1:1" ht="12.75">
      <c r="A186" s="18">
        <v>-11809515.199999997</v>
      </c>
    </row>
    <row r="187" spans="1:1" ht="12.75">
      <c r="A187" s="18">
        <v>-18145407.98</v>
      </c>
    </row>
    <row r="188" spans="1:1" ht="12.75">
      <c r="A188" s="18">
        <v>-14712916.180000002</v>
      </c>
    </row>
    <row r="189" spans="1:1" ht="12.75">
      <c r="A189" s="18">
        <v>-15948915.860000003</v>
      </c>
    </row>
    <row r="190" spans="1:1" ht="12.75">
      <c r="A190" s="18">
        <v>-10619348.260000002</v>
      </c>
    </row>
    <row r="191" spans="1:1" ht="12.75">
      <c r="A191" s="18">
        <v>-13044295.540000001</v>
      </c>
    </row>
    <row r="192" spans="1:1" ht="12.75">
      <c r="A192" s="18">
        <v>-15655322.779999999</v>
      </c>
    </row>
    <row r="193" spans="1:1" ht="12.75">
      <c r="A193" s="18">
        <v>-17671664.530000001</v>
      </c>
    </row>
    <row r="194" spans="1:1" ht="12.75">
      <c r="A194" s="18">
        <v>-9074849.4499999993</v>
      </c>
    </row>
    <row r="195" spans="1:1" ht="12.75">
      <c r="A195" s="18">
        <v>-11314401.319999998</v>
      </c>
    </row>
    <row r="196" spans="1:1" ht="12.75">
      <c r="A196" s="18">
        <v>-7433314.2800000003</v>
      </c>
    </row>
    <row r="197" spans="1:1" ht="12.75">
      <c r="A197" s="18">
        <v>-19842362.970000003</v>
      </c>
    </row>
    <row r="198" spans="1:1" ht="12.75">
      <c r="A198" s="18">
        <v>-10999156.18</v>
      </c>
    </row>
    <row r="199" spans="1:1" ht="12.75">
      <c r="A199" s="18">
        <v>-11323192.379999999</v>
      </c>
    </row>
    <row r="200" spans="1:1">
      <c r="A200" s="5">
        <v>0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I162"/>
  <sheetViews>
    <sheetView workbookViewId="0">
      <selection activeCell="H1" sqref="H1"/>
    </sheetView>
  </sheetViews>
  <sheetFormatPr baseColWidth="10" defaultRowHeight="15"/>
  <cols>
    <col min="1" max="1" width="47.7109375" bestFit="1" customWidth="1"/>
    <col min="2" max="2" width="21.85546875" bestFit="1" customWidth="1"/>
    <col min="3" max="4" width="14.140625" style="134" bestFit="1" customWidth="1"/>
    <col min="9" max="9" width="12.28515625" bestFit="1" customWidth="1"/>
  </cols>
  <sheetData>
    <row r="1" spans="1:9">
      <c r="A1" t="s">
        <v>0</v>
      </c>
      <c r="B1" t="s">
        <v>285</v>
      </c>
      <c r="C1" s="134" t="s">
        <v>284</v>
      </c>
      <c r="D1" s="134" t="s">
        <v>283</v>
      </c>
      <c r="G1" s="134" t="s">
        <v>284</v>
      </c>
      <c r="H1" s="134" t="s">
        <v>283</v>
      </c>
      <c r="I1" s="136">
        <f>('FO 18 ene-19'!B30+'FO 18 ene-19'!B93)/1000-SUM(G4:H4)</f>
        <v>-2394.5001500000035</v>
      </c>
    </row>
    <row r="2" spans="1:9">
      <c r="C2" s="134">
        <f>SUBTOTAL(9,C4:C162)/1000</f>
        <v>16863.179460000007</v>
      </c>
      <c r="D2" s="134">
        <f>SUBTOTAL(9,D4:D162)/1000</f>
        <v>15366.900660000016</v>
      </c>
      <c r="F2" t="s">
        <v>98</v>
      </c>
      <c r="G2" s="135">
        <v>16799.647130000001</v>
      </c>
      <c r="H2" s="135">
        <v>16878.998049999998</v>
      </c>
    </row>
    <row r="3" spans="1:9">
      <c r="A3" t="s">
        <v>2</v>
      </c>
      <c r="F3" t="s">
        <v>282</v>
      </c>
      <c r="G3" s="135">
        <v>-7205.7516500000002</v>
      </c>
      <c r="H3" s="135">
        <v>-7641.5753000000004</v>
      </c>
    </row>
    <row r="4" spans="1:9">
      <c r="A4" t="s">
        <v>3</v>
      </c>
      <c r="B4" t="s">
        <v>281</v>
      </c>
      <c r="C4" s="134">
        <v>0</v>
      </c>
      <c r="D4" s="134">
        <v>1893736.45</v>
      </c>
      <c r="F4" t="s">
        <v>95</v>
      </c>
      <c r="G4" s="135">
        <f>SUBTOTAL(9,G2:G3)</f>
        <v>9593.895480000001</v>
      </c>
      <c r="H4" s="135">
        <f>SUBTOTAL(9,H2:H3)</f>
        <v>9237.4227499999979</v>
      </c>
    </row>
    <row r="5" spans="1:9">
      <c r="A5" t="s">
        <v>4</v>
      </c>
      <c r="B5" t="s">
        <v>281</v>
      </c>
      <c r="C5" s="134">
        <v>0</v>
      </c>
      <c r="D5" s="134">
        <v>402470.86</v>
      </c>
    </row>
    <row r="6" spans="1:9">
      <c r="A6" t="s">
        <v>5</v>
      </c>
      <c r="B6" t="s">
        <v>281</v>
      </c>
      <c r="C6" s="134">
        <v>0</v>
      </c>
      <c r="D6" s="134">
        <v>0</v>
      </c>
    </row>
    <row r="7" spans="1:9">
      <c r="A7" t="s">
        <v>6</v>
      </c>
      <c r="B7" t="s">
        <v>281</v>
      </c>
      <c r="C7" s="134">
        <v>0</v>
      </c>
      <c r="D7" s="134">
        <v>12097.42</v>
      </c>
    </row>
    <row r="8" spans="1:9">
      <c r="A8" t="s">
        <v>7</v>
      </c>
      <c r="B8" t="s">
        <v>281</v>
      </c>
      <c r="C8" s="134">
        <v>0.8</v>
      </c>
      <c r="D8" s="134">
        <v>27001.71</v>
      </c>
    </row>
    <row r="9" spans="1:9">
      <c r="A9" t="s">
        <v>8</v>
      </c>
      <c r="B9" t="s">
        <v>281</v>
      </c>
      <c r="C9" s="134">
        <v>0</v>
      </c>
      <c r="D9" s="134">
        <v>85067.91</v>
      </c>
    </row>
    <row r="10" spans="1:9">
      <c r="A10" t="s">
        <v>9</v>
      </c>
      <c r="B10" t="s">
        <v>281</v>
      </c>
      <c r="C10" s="134">
        <v>0</v>
      </c>
      <c r="D10" s="134">
        <v>11526.81</v>
      </c>
    </row>
    <row r="11" spans="1:9">
      <c r="A11" t="s">
        <v>10</v>
      </c>
      <c r="B11" t="s">
        <v>281</v>
      </c>
      <c r="C11" s="134">
        <v>0</v>
      </c>
      <c r="D11" s="134">
        <v>47079.03</v>
      </c>
    </row>
    <row r="12" spans="1:9">
      <c r="A12" t="s">
        <v>11</v>
      </c>
      <c r="B12" t="s">
        <v>281</v>
      </c>
      <c r="C12" s="134">
        <v>1336599.1599999999</v>
      </c>
      <c r="D12" s="134">
        <v>2004898.74</v>
      </c>
    </row>
    <row r="13" spans="1:9">
      <c r="A13" t="s">
        <v>12</v>
      </c>
      <c r="B13" t="s">
        <v>281</v>
      </c>
      <c r="C13" s="134">
        <v>773031.04</v>
      </c>
      <c r="D13" s="134">
        <v>1159546.56</v>
      </c>
    </row>
    <row r="14" spans="1:9">
      <c r="A14" t="s">
        <v>13</v>
      </c>
      <c r="B14" t="s">
        <v>281</v>
      </c>
      <c r="C14" s="134">
        <v>0</v>
      </c>
      <c r="D14" s="134">
        <v>182776.33</v>
      </c>
    </row>
    <row r="15" spans="1:9">
      <c r="A15" t="s">
        <v>14</v>
      </c>
      <c r="B15" t="s">
        <v>281</v>
      </c>
      <c r="C15" s="134">
        <v>0</v>
      </c>
      <c r="D15" s="134">
        <v>3712.81</v>
      </c>
    </row>
    <row r="16" spans="1:9">
      <c r="A16" t="s">
        <v>15</v>
      </c>
      <c r="B16" t="s">
        <v>281</v>
      </c>
      <c r="C16" s="134">
        <v>0</v>
      </c>
      <c r="D16" s="134">
        <v>0</v>
      </c>
    </row>
    <row r="17" spans="1:4">
      <c r="A17" t="s">
        <v>16</v>
      </c>
      <c r="B17" t="s">
        <v>281</v>
      </c>
      <c r="C17" s="134">
        <v>0</v>
      </c>
      <c r="D17" s="134">
        <v>0</v>
      </c>
    </row>
    <row r="18" spans="1:4">
      <c r="A18" t="s">
        <v>17</v>
      </c>
      <c r="B18" t="s">
        <v>281</v>
      </c>
      <c r="C18" s="134">
        <v>0</v>
      </c>
      <c r="D18" s="134">
        <v>0</v>
      </c>
    </row>
    <row r="19" spans="1:4">
      <c r="A19" t="s">
        <v>18</v>
      </c>
      <c r="B19" t="s">
        <v>281</v>
      </c>
      <c r="C19" s="134">
        <v>0</v>
      </c>
      <c r="D19" s="134">
        <v>0</v>
      </c>
    </row>
    <row r="20" spans="1:4">
      <c r="A20" t="s">
        <v>19</v>
      </c>
      <c r="B20" t="s">
        <v>281</v>
      </c>
      <c r="C20" s="134">
        <v>0</v>
      </c>
      <c r="D20" s="134">
        <v>0</v>
      </c>
    </row>
    <row r="21" spans="1:4">
      <c r="A21" t="s">
        <v>20</v>
      </c>
      <c r="B21" t="s">
        <v>281</v>
      </c>
      <c r="C21" s="134">
        <v>0</v>
      </c>
      <c r="D21" s="134">
        <v>0</v>
      </c>
    </row>
    <row r="22" spans="1:4">
      <c r="A22" t="s">
        <v>21</v>
      </c>
      <c r="B22" t="s">
        <v>281</v>
      </c>
      <c r="C22" s="134">
        <v>0</v>
      </c>
      <c r="D22" s="134">
        <v>0</v>
      </c>
    </row>
    <row r="23" spans="1:4">
      <c r="A23" t="s">
        <v>22</v>
      </c>
      <c r="B23" t="s">
        <v>281</v>
      </c>
      <c r="C23" s="134">
        <v>0</v>
      </c>
      <c r="D23" s="134">
        <v>0</v>
      </c>
    </row>
    <row r="24" spans="1:4">
      <c r="A24" t="s">
        <v>23</v>
      </c>
      <c r="B24" t="s">
        <v>281</v>
      </c>
      <c r="C24" s="134">
        <v>14309303.609999999</v>
      </c>
      <c r="D24" s="134">
        <v>10477990.439999999</v>
      </c>
    </row>
    <row r="25" spans="1:4">
      <c r="A25" t="s">
        <v>24</v>
      </c>
      <c r="B25" t="s">
        <v>281</v>
      </c>
      <c r="C25" s="134">
        <v>0</v>
      </c>
      <c r="D25" s="134">
        <v>0</v>
      </c>
    </row>
    <row r="26" spans="1:4">
      <c r="A26" t="s">
        <v>25</v>
      </c>
      <c r="B26" t="s">
        <v>281</v>
      </c>
      <c r="C26" s="134">
        <v>0</v>
      </c>
      <c r="D26" s="134">
        <v>0</v>
      </c>
    </row>
    <row r="27" spans="1:4">
      <c r="A27" t="s">
        <v>26</v>
      </c>
      <c r="B27" t="s">
        <v>281</v>
      </c>
      <c r="C27" s="134">
        <v>0</v>
      </c>
      <c r="D27" s="134">
        <v>0</v>
      </c>
    </row>
    <row r="28" spans="1:4">
      <c r="A28" t="s">
        <v>27</v>
      </c>
      <c r="B28" t="s">
        <v>281</v>
      </c>
      <c r="C28" s="134">
        <v>0</v>
      </c>
      <c r="D28" s="134">
        <v>0</v>
      </c>
    </row>
    <row r="29" spans="1:4">
      <c r="A29" t="s">
        <v>28</v>
      </c>
      <c r="B29" t="s">
        <v>281</v>
      </c>
      <c r="C29" s="134">
        <v>380712.52</v>
      </c>
      <c r="D29" s="134">
        <v>571092.98</v>
      </c>
    </row>
    <row r="30" spans="1:4">
      <c r="A30" t="s">
        <v>29</v>
      </c>
      <c r="B30" t="s">
        <v>281</v>
      </c>
      <c r="C30" s="134">
        <f>SUM(C4:C29)</f>
        <v>16799647.129999999</v>
      </c>
      <c r="D30" s="134">
        <f>SUM(D4:D29)</f>
        <v>16878998.050000001</v>
      </c>
    </row>
    <row r="31" spans="1:4">
      <c r="A31" t="s">
        <v>30</v>
      </c>
      <c r="B31" t="s">
        <v>280</v>
      </c>
      <c r="C31" s="134">
        <v>0</v>
      </c>
      <c r="D31" s="134">
        <v>0</v>
      </c>
    </row>
    <row r="32" spans="1:4">
      <c r="A32" t="s">
        <v>31</v>
      </c>
      <c r="B32" t="s">
        <v>280</v>
      </c>
      <c r="C32" s="134">
        <v>0</v>
      </c>
      <c r="D32" s="134">
        <v>0</v>
      </c>
    </row>
    <row r="33" spans="1:4">
      <c r="A33" t="s">
        <v>32</v>
      </c>
      <c r="B33" t="s">
        <v>280</v>
      </c>
      <c r="C33" s="134">
        <v>0</v>
      </c>
      <c r="D33" s="134">
        <v>0</v>
      </c>
    </row>
    <row r="34" spans="1:4">
      <c r="A34" t="s">
        <v>33</v>
      </c>
      <c r="B34" t="s">
        <v>280</v>
      </c>
      <c r="C34" s="134">
        <v>0</v>
      </c>
      <c r="D34" s="134">
        <v>0</v>
      </c>
    </row>
    <row r="35" spans="1:4">
      <c r="A35" t="s">
        <v>34</v>
      </c>
      <c r="B35" t="s">
        <v>280</v>
      </c>
      <c r="C35" s="134">
        <v>0</v>
      </c>
      <c r="D35" s="134">
        <v>0</v>
      </c>
    </row>
    <row r="36" spans="1:4">
      <c r="A36" t="s">
        <v>35</v>
      </c>
      <c r="B36" t="s">
        <v>280</v>
      </c>
      <c r="C36" s="134">
        <v>0</v>
      </c>
      <c r="D36" s="134">
        <v>0</v>
      </c>
    </row>
    <row r="37" spans="1:4">
      <c r="A37" t="s">
        <v>36</v>
      </c>
      <c r="B37" t="s">
        <v>280</v>
      </c>
      <c r="C37" s="134">
        <v>0</v>
      </c>
      <c r="D37" s="134">
        <v>0</v>
      </c>
    </row>
    <row r="38" spans="1:4">
      <c r="A38" t="s">
        <v>37</v>
      </c>
      <c r="B38" t="s">
        <v>280</v>
      </c>
      <c r="C38" s="134">
        <v>0</v>
      </c>
      <c r="D38" s="134">
        <v>0</v>
      </c>
    </row>
    <row r="39" spans="1:4">
      <c r="A39" t="s">
        <v>38</v>
      </c>
      <c r="B39" t="s">
        <v>280</v>
      </c>
      <c r="C39" s="134">
        <v>0</v>
      </c>
      <c r="D39" s="134">
        <v>0</v>
      </c>
    </row>
    <row r="40" spans="1:4">
      <c r="A40" t="s">
        <v>39</v>
      </c>
      <c r="B40" t="s">
        <v>280</v>
      </c>
      <c r="C40" s="134">
        <v>0</v>
      </c>
      <c r="D40" s="134">
        <v>0</v>
      </c>
    </row>
    <row r="41" spans="1:4">
      <c r="A41" t="s">
        <v>40</v>
      </c>
      <c r="B41" t="s">
        <v>280</v>
      </c>
      <c r="C41" s="134">
        <v>0</v>
      </c>
      <c r="D41" s="134">
        <v>0</v>
      </c>
    </row>
    <row r="42" spans="1:4">
      <c r="A42" t="s">
        <v>41</v>
      </c>
      <c r="B42" t="s">
        <v>280</v>
      </c>
      <c r="C42" s="134">
        <v>0</v>
      </c>
      <c r="D42" s="134">
        <v>0</v>
      </c>
    </row>
    <row r="43" spans="1:4">
      <c r="A43" t="s">
        <v>42</v>
      </c>
      <c r="B43" t="s">
        <v>280</v>
      </c>
      <c r="C43" s="134">
        <v>0</v>
      </c>
      <c r="D43" s="134">
        <v>0</v>
      </c>
    </row>
    <row r="44" spans="1:4">
      <c r="A44" t="s">
        <v>43</v>
      </c>
      <c r="B44" t="s">
        <v>280</v>
      </c>
      <c r="C44" s="134">
        <v>0</v>
      </c>
      <c r="D44" s="134">
        <v>0</v>
      </c>
    </row>
    <row r="45" spans="1:4">
      <c r="A45" t="s">
        <v>44</v>
      </c>
      <c r="B45" t="s">
        <v>280</v>
      </c>
      <c r="C45" s="134">
        <v>0</v>
      </c>
      <c r="D45" s="134">
        <v>0</v>
      </c>
    </row>
    <row r="46" spans="1:4">
      <c r="A46" t="s">
        <v>45</v>
      </c>
      <c r="B46" t="s">
        <v>280</v>
      </c>
      <c r="C46" s="134">
        <v>-85744.85</v>
      </c>
      <c r="D46" s="134">
        <v>-465472.04</v>
      </c>
    </row>
    <row r="47" spans="1:4">
      <c r="A47" t="s">
        <v>46</v>
      </c>
      <c r="B47" t="s">
        <v>280</v>
      </c>
      <c r="C47" s="134">
        <v>0</v>
      </c>
      <c r="D47" s="134">
        <v>0</v>
      </c>
    </row>
    <row r="48" spans="1:4">
      <c r="A48" t="s">
        <v>47</v>
      </c>
      <c r="B48" t="s">
        <v>280</v>
      </c>
      <c r="C48" s="134">
        <v>0</v>
      </c>
      <c r="D48" s="134">
        <v>0</v>
      </c>
    </row>
    <row r="49" spans="1:4">
      <c r="A49" t="s">
        <v>48</v>
      </c>
      <c r="B49" t="s">
        <v>280</v>
      </c>
      <c r="C49" s="134">
        <v>0</v>
      </c>
      <c r="D49" s="134">
        <v>0</v>
      </c>
    </row>
    <row r="50" spans="1:4">
      <c r="A50" t="s">
        <v>49</v>
      </c>
      <c r="B50" t="s">
        <v>280</v>
      </c>
      <c r="C50" s="134">
        <v>0</v>
      </c>
      <c r="D50" s="134">
        <v>0</v>
      </c>
    </row>
    <row r="51" spans="1:4">
      <c r="A51" t="s">
        <v>50</v>
      </c>
      <c r="B51" t="s">
        <v>280</v>
      </c>
      <c r="C51" s="134">
        <v>0</v>
      </c>
      <c r="D51" s="134">
        <v>0</v>
      </c>
    </row>
    <row r="52" spans="1:4">
      <c r="A52" t="s">
        <v>51</v>
      </c>
      <c r="B52" t="s">
        <v>280</v>
      </c>
      <c r="C52" s="134">
        <v>0</v>
      </c>
      <c r="D52" s="134">
        <v>0</v>
      </c>
    </row>
    <row r="53" spans="1:4">
      <c r="A53" t="s">
        <v>52</v>
      </c>
      <c r="B53" t="s">
        <v>280</v>
      </c>
      <c r="C53" s="134">
        <v>0</v>
      </c>
      <c r="D53" s="134">
        <v>0</v>
      </c>
    </row>
    <row r="54" spans="1:4">
      <c r="A54" t="s">
        <v>53</v>
      </c>
      <c r="B54" t="s">
        <v>280</v>
      </c>
      <c r="C54" s="134">
        <v>0</v>
      </c>
      <c r="D54" s="134">
        <v>0</v>
      </c>
    </row>
    <row r="55" spans="1:4">
      <c r="A55" t="s">
        <v>54</v>
      </c>
      <c r="B55" t="s">
        <v>280</v>
      </c>
      <c r="C55" s="134">
        <v>0</v>
      </c>
      <c r="D55" s="134">
        <v>0</v>
      </c>
    </row>
    <row r="56" spans="1:4">
      <c r="A56" t="s">
        <v>55</v>
      </c>
      <c r="B56" t="s">
        <v>280</v>
      </c>
      <c r="C56" s="134">
        <v>0</v>
      </c>
      <c r="D56" s="134">
        <v>0</v>
      </c>
    </row>
    <row r="57" spans="1:4">
      <c r="A57" t="s">
        <v>56</v>
      </c>
      <c r="B57" t="s">
        <v>280</v>
      </c>
      <c r="C57" s="134">
        <v>0</v>
      </c>
      <c r="D57" s="134">
        <v>0</v>
      </c>
    </row>
    <row r="58" spans="1:4">
      <c r="A58" t="s">
        <v>57</v>
      </c>
      <c r="B58" t="s">
        <v>280</v>
      </c>
      <c r="C58" s="134">
        <v>0</v>
      </c>
      <c r="D58" s="134">
        <v>0</v>
      </c>
    </row>
    <row r="59" spans="1:4">
      <c r="A59" t="s">
        <v>58</v>
      </c>
      <c r="B59" t="s">
        <v>280</v>
      </c>
      <c r="C59" s="134">
        <v>-16938.8</v>
      </c>
      <c r="D59" s="134">
        <v>-16938.8</v>
      </c>
    </row>
    <row r="60" spans="1:4">
      <c r="A60" t="s">
        <v>59</v>
      </c>
      <c r="B60" t="s">
        <v>280</v>
      </c>
      <c r="C60" s="134">
        <v>0</v>
      </c>
      <c r="D60" s="134">
        <v>0</v>
      </c>
    </row>
    <row r="61" spans="1:4">
      <c r="A61" t="s">
        <v>60</v>
      </c>
      <c r="B61" t="s">
        <v>280</v>
      </c>
      <c r="C61" s="134">
        <v>0</v>
      </c>
      <c r="D61" s="134">
        <v>-56096.46</v>
      </c>
    </row>
    <row r="62" spans="1:4">
      <c r="A62" t="s">
        <v>61</v>
      </c>
      <c r="B62" t="s">
        <v>280</v>
      </c>
      <c r="C62" s="134">
        <v>-186588.04</v>
      </c>
      <c r="D62" s="134">
        <v>-186588.04</v>
      </c>
    </row>
    <row r="63" spans="1:4">
      <c r="A63" t="s">
        <v>62</v>
      </c>
      <c r="B63" t="s">
        <v>280</v>
      </c>
      <c r="C63" s="134">
        <v>0</v>
      </c>
      <c r="D63" s="134">
        <v>0</v>
      </c>
    </row>
    <row r="64" spans="1:4">
      <c r="A64" t="s">
        <v>63</v>
      </c>
      <c r="B64" t="s">
        <v>280</v>
      </c>
      <c r="C64" s="134">
        <v>0</v>
      </c>
      <c r="D64" s="134">
        <v>0</v>
      </c>
    </row>
    <row r="65" spans="1:4">
      <c r="A65" t="s">
        <v>64</v>
      </c>
      <c r="B65" t="s">
        <v>280</v>
      </c>
      <c r="C65" s="134">
        <v>-167196.06</v>
      </c>
      <c r="D65" s="134">
        <v>-167196.06</v>
      </c>
    </row>
    <row r="66" spans="1:4">
      <c r="A66" t="s">
        <v>65</v>
      </c>
      <c r="B66" t="s">
        <v>280</v>
      </c>
      <c r="C66" s="134">
        <v>0</v>
      </c>
      <c r="D66" s="134">
        <v>0</v>
      </c>
    </row>
    <row r="67" spans="1:4">
      <c r="A67" t="s">
        <v>66</v>
      </c>
      <c r="B67" t="s">
        <v>280</v>
      </c>
      <c r="C67" s="134">
        <v>-329877.82</v>
      </c>
      <c r="D67" s="134">
        <v>-329877.82</v>
      </c>
    </row>
    <row r="68" spans="1:4">
      <c r="A68" t="s">
        <v>67</v>
      </c>
      <c r="B68" t="s">
        <v>280</v>
      </c>
      <c r="C68" s="134">
        <v>-2234879.33</v>
      </c>
      <c r="D68" s="134">
        <v>-2234879.33</v>
      </c>
    </row>
    <row r="69" spans="1:4">
      <c r="A69" t="s">
        <v>68</v>
      </c>
      <c r="B69" t="s">
        <v>280</v>
      </c>
      <c r="C69" s="134">
        <v>0</v>
      </c>
      <c r="D69" s="134">
        <v>0</v>
      </c>
    </row>
    <row r="70" spans="1:4">
      <c r="A70" t="s">
        <v>69</v>
      </c>
      <c r="B70" t="s">
        <v>280</v>
      </c>
      <c r="C70" s="134">
        <v>0</v>
      </c>
      <c r="D70" s="134">
        <v>0</v>
      </c>
    </row>
    <row r="71" spans="1:4">
      <c r="A71" t="s">
        <v>70</v>
      </c>
      <c r="B71" t="s">
        <v>280</v>
      </c>
      <c r="C71" s="134">
        <v>0</v>
      </c>
      <c r="D71" s="134">
        <v>0</v>
      </c>
    </row>
    <row r="72" spans="1:4">
      <c r="A72" t="s">
        <v>71</v>
      </c>
      <c r="B72" t="s">
        <v>280</v>
      </c>
      <c r="C72" s="134">
        <v>0</v>
      </c>
      <c r="D72" s="134">
        <v>0</v>
      </c>
    </row>
    <row r="73" spans="1:4">
      <c r="A73" t="s">
        <v>72</v>
      </c>
      <c r="B73" t="s">
        <v>280</v>
      </c>
      <c r="C73" s="134">
        <v>-633865.4</v>
      </c>
      <c r="D73" s="134">
        <v>-633865.4</v>
      </c>
    </row>
    <row r="74" spans="1:4">
      <c r="A74" t="s">
        <v>73</v>
      </c>
      <c r="B74" t="s">
        <v>280</v>
      </c>
      <c r="C74" s="134">
        <v>0</v>
      </c>
      <c r="D74" s="134">
        <v>0</v>
      </c>
    </row>
    <row r="75" spans="1:4">
      <c r="A75" t="s">
        <v>74</v>
      </c>
      <c r="B75" t="s">
        <v>280</v>
      </c>
      <c r="C75" s="134">
        <v>-309420.7</v>
      </c>
      <c r="D75" s="134">
        <v>-309420.7</v>
      </c>
    </row>
    <row r="76" spans="1:4">
      <c r="A76" t="s">
        <v>75</v>
      </c>
      <c r="B76" t="s">
        <v>280</v>
      </c>
      <c r="C76" s="134">
        <v>0</v>
      </c>
      <c r="D76" s="134">
        <v>0</v>
      </c>
    </row>
    <row r="77" spans="1:4">
      <c r="A77" t="s">
        <v>76</v>
      </c>
      <c r="B77" t="s">
        <v>280</v>
      </c>
      <c r="C77" s="134">
        <v>0</v>
      </c>
      <c r="D77" s="134">
        <v>0</v>
      </c>
    </row>
    <row r="78" spans="1:4">
      <c r="A78" t="s">
        <v>77</v>
      </c>
      <c r="B78" t="s">
        <v>280</v>
      </c>
      <c r="C78" s="134">
        <v>0</v>
      </c>
      <c r="D78" s="134">
        <v>0</v>
      </c>
    </row>
    <row r="79" spans="1:4">
      <c r="A79" t="s">
        <v>78</v>
      </c>
      <c r="B79" t="s">
        <v>280</v>
      </c>
      <c r="C79" s="134">
        <v>-71812.289999999994</v>
      </c>
      <c r="D79" s="134">
        <v>-71812.289999999994</v>
      </c>
    </row>
    <row r="80" spans="1:4">
      <c r="A80" t="s">
        <v>79</v>
      </c>
      <c r="B80" t="s">
        <v>280</v>
      </c>
      <c r="C80" s="134">
        <v>0</v>
      </c>
      <c r="D80" s="134">
        <v>0</v>
      </c>
    </row>
    <row r="81" spans="1:4">
      <c r="A81" t="s">
        <v>80</v>
      </c>
      <c r="B81" t="s">
        <v>280</v>
      </c>
      <c r="C81" s="134">
        <v>0</v>
      </c>
      <c r="D81" s="134">
        <v>0</v>
      </c>
    </row>
    <row r="82" spans="1:4">
      <c r="A82" t="s">
        <v>81</v>
      </c>
      <c r="B82" t="s">
        <v>280</v>
      </c>
      <c r="C82" s="134">
        <v>-1921220.52</v>
      </c>
      <c r="D82" s="134">
        <v>-1921220.52</v>
      </c>
    </row>
    <row r="83" spans="1:4">
      <c r="A83" t="s">
        <v>82</v>
      </c>
      <c r="B83" t="s">
        <v>280</v>
      </c>
      <c r="C83" s="134">
        <v>0</v>
      </c>
      <c r="D83" s="134">
        <v>0</v>
      </c>
    </row>
    <row r="84" spans="1:4">
      <c r="A84" t="s">
        <v>83</v>
      </c>
      <c r="B84" t="s">
        <v>280</v>
      </c>
      <c r="C84" s="134">
        <v>0</v>
      </c>
      <c r="D84" s="134">
        <v>0</v>
      </c>
    </row>
    <row r="85" spans="1:4">
      <c r="A85" t="s">
        <v>84</v>
      </c>
      <c r="B85" t="s">
        <v>280</v>
      </c>
      <c r="C85" s="134">
        <v>0</v>
      </c>
      <c r="D85" s="134">
        <v>0</v>
      </c>
    </row>
    <row r="86" spans="1:4">
      <c r="A86" t="s">
        <v>85</v>
      </c>
      <c r="B86" t="s">
        <v>280</v>
      </c>
      <c r="C86" s="134">
        <v>0</v>
      </c>
      <c r="D86" s="134">
        <v>0</v>
      </c>
    </row>
    <row r="87" spans="1:4">
      <c r="A87" t="s">
        <v>86</v>
      </c>
      <c r="B87" t="s">
        <v>280</v>
      </c>
      <c r="C87" s="134">
        <v>-2944.11</v>
      </c>
      <c r="D87" s="134">
        <v>-2944.11</v>
      </c>
    </row>
    <row r="88" spans="1:4">
      <c r="A88" t="s">
        <v>87</v>
      </c>
      <c r="B88" t="s">
        <v>280</v>
      </c>
      <c r="C88" s="134">
        <v>0</v>
      </c>
      <c r="D88" s="134">
        <v>0</v>
      </c>
    </row>
    <row r="89" spans="1:4">
      <c r="A89" t="s">
        <v>88</v>
      </c>
      <c r="B89" t="s">
        <v>280</v>
      </c>
      <c r="C89" s="134">
        <v>-1013785.97</v>
      </c>
      <c r="D89" s="134">
        <v>-1013785.97</v>
      </c>
    </row>
    <row r="90" spans="1:4">
      <c r="A90" t="s">
        <v>89</v>
      </c>
      <c r="B90" t="s">
        <v>280</v>
      </c>
      <c r="C90" s="134">
        <v>-30838.06</v>
      </c>
      <c r="D90" s="134">
        <v>-30838.06</v>
      </c>
    </row>
    <row r="91" spans="1:4">
      <c r="A91" t="s">
        <v>90</v>
      </c>
      <c r="B91" t="s">
        <v>280</v>
      </c>
      <c r="C91" s="134">
        <v>0</v>
      </c>
      <c r="D91" s="134">
        <v>0</v>
      </c>
    </row>
    <row r="92" spans="1:4">
      <c r="A92" t="s">
        <v>91</v>
      </c>
      <c r="B92" t="s">
        <v>280</v>
      </c>
      <c r="C92" s="134">
        <v>-200639.7</v>
      </c>
      <c r="D92" s="134">
        <v>-200639.7</v>
      </c>
    </row>
    <row r="93" spans="1:4">
      <c r="A93" t="s">
        <v>92</v>
      </c>
      <c r="B93" t="s">
        <v>280</v>
      </c>
      <c r="C93" s="134">
        <f>SUM(C31:C92)</f>
        <v>-7205751.6500000004</v>
      </c>
      <c r="D93" s="134">
        <f>SUM(D31:D92)</f>
        <v>-7641575.2999999989</v>
      </c>
    </row>
    <row r="94" spans="1:4">
      <c r="A94" t="s">
        <v>279</v>
      </c>
      <c r="B94" t="s">
        <v>273</v>
      </c>
      <c r="C94" s="134">
        <v>0</v>
      </c>
      <c r="D94" s="134">
        <v>0</v>
      </c>
    </row>
    <row r="95" spans="1:4">
      <c r="A95" t="s">
        <v>278</v>
      </c>
      <c r="B95" t="s">
        <v>273</v>
      </c>
      <c r="C95" s="134">
        <v>0</v>
      </c>
      <c r="D95" s="134">
        <v>0</v>
      </c>
    </row>
    <row r="96" spans="1:4">
      <c r="A96" t="s">
        <v>277</v>
      </c>
      <c r="B96" t="s">
        <v>273</v>
      </c>
      <c r="C96" s="134">
        <v>0</v>
      </c>
      <c r="D96" s="134">
        <v>0</v>
      </c>
    </row>
    <row r="97" spans="1:4">
      <c r="A97" t="s">
        <v>276</v>
      </c>
      <c r="B97" t="s">
        <v>273</v>
      </c>
      <c r="C97" s="134">
        <v>0</v>
      </c>
      <c r="D97" s="134">
        <v>0</v>
      </c>
    </row>
    <row r="98" spans="1:4">
      <c r="A98" t="s">
        <v>275</v>
      </c>
      <c r="B98" t="s">
        <v>273</v>
      </c>
      <c r="C98" s="134">
        <v>0</v>
      </c>
      <c r="D98" s="134">
        <v>0</v>
      </c>
    </row>
    <row r="99" spans="1:4">
      <c r="A99" t="s">
        <v>274</v>
      </c>
      <c r="B99" t="s">
        <v>273</v>
      </c>
      <c r="C99" s="134">
        <v>0</v>
      </c>
      <c r="D99" s="134">
        <v>0</v>
      </c>
    </row>
    <row r="100" spans="1:4">
      <c r="A100" t="s">
        <v>272</v>
      </c>
      <c r="B100" t="s">
        <v>231</v>
      </c>
      <c r="C100" s="134">
        <v>0</v>
      </c>
      <c r="D100" s="134">
        <v>0</v>
      </c>
    </row>
    <row r="101" spans="1:4">
      <c r="A101" t="s">
        <v>271</v>
      </c>
      <c r="B101" t="s">
        <v>231</v>
      </c>
      <c r="C101" s="134">
        <v>0</v>
      </c>
      <c r="D101" s="134">
        <v>0</v>
      </c>
    </row>
    <row r="102" spans="1:4">
      <c r="A102" t="s">
        <v>270</v>
      </c>
      <c r="B102" t="s">
        <v>231</v>
      </c>
      <c r="C102" s="134">
        <v>0</v>
      </c>
      <c r="D102" s="134">
        <v>0</v>
      </c>
    </row>
    <row r="103" spans="1:4">
      <c r="A103" t="s">
        <v>269</v>
      </c>
      <c r="B103" t="s">
        <v>231</v>
      </c>
      <c r="C103" s="134">
        <v>0</v>
      </c>
      <c r="D103" s="134">
        <v>0</v>
      </c>
    </row>
    <row r="104" spans="1:4">
      <c r="A104" t="s">
        <v>268</v>
      </c>
      <c r="B104" t="s">
        <v>231</v>
      </c>
      <c r="C104" s="134">
        <v>0</v>
      </c>
      <c r="D104" s="134">
        <v>0</v>
      </c>
    </row>
    <row r="105" spans="1:4">
      <c r="A105" t="s">
        <v>267</v>
      </c>
      <c r="B105" t="s">
        <v>231</v>
      </c>
      <c r="C105" s="134">
        <v>0</v>
      </c>
      <c r="D105" s="134">
        <v>0</v>
      </c>
    </row>
    <row r="106" spans="1:4">
      <c r="A106" t="s">
        <v>266</v>
      </c>
      <c r="B106" t="s">
        <v>231</v>
      </c>
      <c r="C106" s="134">
        <v>0</v>
      </c>
      <c r="D106" s="134">
        <v>0</v>
      </c>
    </row>
    <row r="107" spans="1:4">
      <c r="A107" t="s">
        <v>265</v>
      </c>
      <c r="B107" t="s">
        <v>231</v>
      </c>
      <c r="C107" s="134">
        <v>0</v>
      </c>
      <c r="D107" s="134">
        <v>0</v>
      </c>
    </row>
    <row r="108" spans="1:4">
      <c r="A108" t="s">
        <v>264</v>
      </c>
      <c r="B108" t="s">
        <v>231</v>
      </c>
      <c r="C108" s="134">
        <v>0</v>
      </c>
      <c r="D108" s="134">
        <v>0</v>
      </c>
    </row>
    <row r="109" spans="1:4">
      <c r="A109" t="s">
        <v>263</v>
      </c>
      <c r="B109" t="s">
        <v>231</v>
      </c>
      <c r="C109" s="134">
        <v>0</v>
      </c>
      <c r="D109" s="134">
        <v>0</v>
      </c>
    </row>
    <row r="110" spans="1:4">
      <c r="A110" t="s">
        <v>262</v>
      </c>
      <c r="B110" t="s">
        <v>231</v>
      </c>
      <c r="C110" s="134">
        <v>0</v>
      </c>
      <c r="D110" s="134">
        <v>0</v>
      </c>
    </row>
    <row r="111" spans="1:4">
      <c r="A111" t="s">
        <v>261</v>
      </c>
      <c r="B111" t="s">
        <v>231</v>
      </c>
      <c r="C111" s="134">
        <v>0</v>
      </c>
      <c r="D111" s="134">
        <v>0</v>
      </c>
    </row>
    <row r="112" spans="1:4">
      <c r="A112" t="s">
        <v>260</v>
      </c>
      <c r="B112" t="s">
        <v>231</v>
      </c>
      <c r="C112" s="134">
        <v>-16552.25</v>
      </c>
      <c r="D112" s="134">
        <v>-16552.25</v>
      </c>
    </row>
    <row r="113" spans="1:4">
      <c r="A113" t="s">
        <v>259</v>
      </c>
      <c r="B113" t="s">
        <v>231</v>
      </c>
      <c r="C113" s="134">
        <v>-456924.5</v>
      </c>
      <c r="D113" s="134">
        <v>-456924.5</v>
      </c>
    </row>
    <row r="114" spans="1:4">
      <c r="A114" t="s">
        <v>258</v>
      </c>
      <c r="B114" t="s">
        <v>231</v>
      </c>
      <c r="C114" s="134">
        <v>0</v>
      </c>
      <c r="D114" s="134">
        <v>0</v>
      </c>
    </row>
    <row r="115" spans="1:4">
      <c r="A115" t="s">
        <v>257</v>
      </c>
      <c r="B115" t="s">
        <v>231</v>
      </c>
      <c r="C115" s="134">
        <v>0</v>
      </c>
      <c r="D115" s="134">
        <v>0</v>
      </c>
    </row>
    <row r="116" spans="1:4">
      <c r="A116" t="s">
        <v>256</v>
      </c>
      <c r="B116" t="s">
        <v>231</v>
      </c>
      <c r="C116" s="134">
        <v>0</v>
      </c>
      <c r="D116" s="134">
        <v>0</v>
      </c>
    </row>
    <row r="117" spans="1:4">
      <c r="A117" t="s">
        <v>255</v>
      </c>
      <c r="B117" t="s">
        <v>231</v>
      </c>
      <c r="C117" s="134">
        <v>0</v>
      </c>
      <c r="D117" s="134">
        <v>0</v>
      </c>
    </row>
    <row r="118" spans="1:4">
      <c r="A118" t="s">
        <v>254</v>
      </c>
      <c r="B118" t="s">
        <v>231</v>
      </c>
      <c r="C118" s="134">
        <v>-615770.5</v>
      </c>
      <c r="D118" s="134">
        <v>-615770.5</v>
      </c>
    </row>
    <row r="119" spans="1:4">
      <c r="A119" t="s">
        <v>253</v>
      </c>
      <c r="B119" t="s">
        <v>231</v>
      </c>
      <c r="C119" s="134">
        <v>0</v>
      </c>
      <c r="D119" s="134">
        <v>0</v>
      </c>
    </row>
    <row r="120" spans="1:4">
      <c r="A120" t="s">
        <v>252</v>
      </c>
      <c r="B120" t="s">
        <v>231</v>
      </c>
      <c r="C120" s="134">
        <v>0</v>
      </c>
      <c r="D120" s="134">
        <v>0</v>
      </c>
    </row>
    <row r="121" spans="1:4">
      <c r="A121" t="s">
        <v>251</v>
      </c>
      <c r="B121" t="s">
        <v>231</v>
      </c>
      <c r="C121" s="134">
        <v>0</v>
      </c>
      <c r="D121" s="134">
        <v>0</v>
      </c>
    </row>
    <row r="122" spans="1:4">
      <c r="A122" t="s">
        <v>250</v>
      </c>
      <c r="B122" t="s">
        <v>231</v>
      </c>
      <c r="C122" s="134">
        <v>0</v>
      </c>
      <c r="D122" s="134">
        <v>0</v>
      </c>
    </row>
    <row r="123" spans="1:4">
      <c r="A123" t="s">
        <v>249</v>
      </c>
      <c r="B123" t="s">
        <v>231</v>
      </c>
      <c r="C123" s="134">
        <v>0</v>
      </c>
      <c r="D123" s="134">
        <v>0</v>
      </c>
    </row>
    <row r="124" spans="1:4">
      <c r="A124" t="s">
        <v>248</v>
      </c>
      <c r="B124" t="s">
        <v>231</v>
      </c>
      <c r="C124" s="134">
        <v>0</v>
      </c>
      <c r="D124" s="134">
        <v>0</v>
      </c>
    </row>
    <row r="125" spans="1:4">
      <c r="A125" t="s">
        <v>247</v>
      </c>
      <c r="B125" t="s">
        <v>231</v>
      </c>
      <c r="C125" s="134">
        <v>0</v>
      </c>
      <c r="D125" s="134">
        <v>0</v>
      </c>
    </row>
    <row r="126" spans="1:4">
      <c r="A126" t="s">
        <v>246</v>
      </c>
      <c r="B126" t="s">
        <v>231</v>
      </c>
      <c r="C126" s="134">
        <v>0</v>
      </c>
      <c r="D126" s="134">
        <v>0</v>
      </c>
    </row>
    <row r="127" spans="1:4">
      <c r="A127" t="s">
        <v>245</v>
      </c>
      <c r="B127" t="s">
        <v>231</v>
      </c>
      <c r="C127" s="134">
        <v>0</v>
      </c>
      <c r="D127" s="134">
        <v>0</v>
      </c>
    </row>
    <row r="128" spans="1:4">
      <c r="A128" t="s">
        <v>244</v>
      </c>
      <c r="B128" t="s">
        <v>231</v>
      </c>
      <c r="C128" s="134">
        <v>-1481</v>
      </c>
      <c r="D128" s="134">
        <v>-1481</v>
      </c>
    </row>
    <row r="129" spans="1:4">
      <c r="A129" t="s">
        <v>243</v>
      </c>
      <c r="B129" t="s">
        <v>231</v>
      </c>
      <c r="C129" s="134">
        <v>-2390</v>
      </c>
      <c r="D129" s="134">
        <v>-2390</v>
      </c>
    </row>
    <row r="130" spans="1:4">
      <c r="A130" t="s">
        <v>242</v>
      </c>
      <c r="B130" t="s">
        <v>231</v>
      </c>
      <c r="C130" s="134">
        <v>0</v>
      </c>
      <c r="D130" s="134">
        <v>0</v>
      </c>
    </row>
    <row r="131" spans="1:4">
      <c r="A131" t="s">
        <v>241</v>
      </c>
      <c r="B131" t="s">
        <v>231</v>
      </c>
      <c r="C131" s="134">
        <v>0</v>
      </c>
      <c r="D131" s="134">
        <v>0</v>
      </c>
    </row>
    <row r="132" spans="1:4">
      <c r="A132" t="s">
        <v>240</v>
      </c>
      <c r="B132" t="s">
        <v>231</v>
      </c>
      <c r="C132" s="134">
        <v>0</v>
      </c>
      <c r="D132" s="134">
        <v>0</v>
      </c>
    </row>
    <row r="133" spans="1:4">
      <c r="A133" t="s">
        <v>239</v>
      </c>
      <c r="B133" t="s">
        <v>231</v>
      </c>
      <c r="C133" s="134">
        <v>0</v>
      </c>
      <c r="D133" s="134">
        <v>0</v>
      </c>
    </row>
    <row r="134" spans="1:4">
      <c r="A134" t="s">
        <v>238</v>
      </c>
      <c r="B134" t="s">
        <v>231</v>
      </c>
      <c r="C134" s="134">
        <v>0</v>
      </c>
      <c r="D134" s="134">
        <v>0</v>
      </c>
    </row>
    <row r="135" spans="1:4">
      <c r="A135" t="s">
        <v>237</v>
      </c>
      <c r="B135" t="s">
        <v>231</v>
      </c>
      <c r="C135" s="134">
        <v>0</v>
      </c>
      <c r="D135" s="134">
        <v>0</v>
      </c>
    </row>
    <row r="136" spans="1:4">
      <c r="A136" t="s">
        <v>236</v>
      </c>
      <c r="B136" t="s">
        <v>231</v>
      </c>
      <c r="C136" s="134">
        <v>-14583.25</v>
      </c>
      <c r="D136" s="134">
        <v>-14583.25</v>
      </c>
    </row>
    <row r="137" spans="1:4">
      <c r="A137" t="s">
        <v>235</v>
      </c>
      <c r="B137" t="s">
        <v>231</v>
      </c>
      <c r="C137" s="134">
        <v>0</v>
      </c>
      <c r="D137" s="134">
        <v>0</v>
      </c>
    </row>
    <row r="138" spans="1:4">
      <c r="A138" t="s">
        <v>234</v>
      </c>
      <c r="B138" t="s">
        <v>231</v>
      </c>
      <c r="C138" s="134">
        <v>0</v>
      </c>
      <c r="D138" s="134">
        <v>0</v>
      </c>
    </row>
    <row r="139" spans="1:4">
      <c r="A139" t="s">
        <v>233</v>
      </c>
      <c r="B139" t="s">
        <v>231</v>
      </c>
      <c r="C139" s="134">
        <v>-54604.25</v>
      </c>
      <c r="D139" s="134">
        <v>-54604.25</v>
      </c>
    </row>
    <row r="140" spans="1:4">
      <c r="A140" t="s">
        <v>232</v>
      </c>
      <c r="B140" t="s">
        <v>231</v>
      </c>
      <c r="C140" s="134">
        <f>SUM(C94:C139)</f>
        <v>-1162305.75</v>
      </c>
      <c r="D140" s="134">
        <f>SUM(D94:D139)</f>
        <v>-1162305.75</v>
      </c>
    </row>
    <row r="141" spans="1:4">
      <c r="A141" t="s">
        <v>230</v>
      </c>
      <c r="B141" t="s">
        <v>208</v>
      </c>
      <c r="C141" s="134">
        <v>0</v>
      </c>
      <c r="D141" s="134">
        <v>0</v>
      </c>
    </row>
    <row r="142" spans="1:4">
      <c r="A142" t="s">
        <v>229</v>
      </c>
      <c r="B142" t="s">
        <v>208</v>
      </c>
      <c r="C142" s="134">
        <v>0</v>
      </c>
      <c r="D142" s="134">
        <v>0</v>
      </c>
    </row>
    <row r="143" spans="1:4">
      <c r="A143" t="s">
        <v>228</v>
      </c>
      <c r="B143" t="s">
        <v>208</v>
      </c>
      <c r="C143" s="134">
        <v>0</v>
      </c>
      <c r="D143" s="134">
        <v>0</v>
      </c>
    </row>
    <row r="144" spans="1:4">
      <c r="A144" t="s">
        <v>227</v>
      </c>
      <c r="B144" t="s">
        <v>208</v>
      </c>
      <c r="C144" s="134">
        <v>0</v>
      </c>
      <c r="D144" s="134">
        <v>0</v>
      </c>
    </row>
    <row r="145" spans="1:4">
      <c r="A145" t="s">
        <v>226</v>
      </c>
      <c r="B145" t="s">
        <v>208</v>
      </c>
      <c r="C145" s="134">
        <v>0</v>
      </c>
      <c r="D145" s="134">
        <v>0</v>
      </c>
    </row>
    <row r="146" spans="1:4">
      <c r="A146" t="s">
        <v>225</v>
      </c>
      <c r="B146" t="s">
        <v>208</v>
      </c>
      <c r="C146" s="134">
        <v>0</v>
      </c>
      <c r="D146" s="134">
        <v>0</v>
      </c>
    </row>
    <row r="147" spans="1:4">
      <c r="A147" t="s">
        <v>224</v>
      </c>
      <c r="B147" t="s">
        <v>208</v>
      </c>
      <c r="C147" s="134">
        <v>0</v>
      </c>
      <c r="D147" s="134">
        <v>0</v>
      </c>
    </row>
    <row r="148" spans="1:4">
      <c r="A148" t="s">
        <v>223</v>
      </c>
      <c r="B148" t="s">
        <v>208</v>
      </c>
      <c r="C148" s="134">
        <v>0</v>
      </c>
      <c r="D148" s="134">
        <v>0</v>
      </c>
    </row>
    <row r="149" spans="1:4">
      <c r="A149" t="s">
        <v>222</v>
      </c>
      <c r="B149" t="s">
        <v>208</v>
      </c>
      <c r="C149" s="134">
        <v>0</v>
      </c>
      <c r="D149" s="134">
        <v>0</v>
      </c>
    </row>
    <row r="150" spans="1:4">
      <c r="A150" t="s">
        <v>221</v>
      </c>
      <c r="B150" t="s">
        <v>208</v>
      </c>
      <c r="C150" s="134">
        <v>0</v>
      </c>
      <c r="D150" s="134">
        <v>0</v>
      </c>
    </row>
    <row r="151" spans="1:4">
      <c r="A151" t="s">
        <v>220</v>
      </c>
      <c r="B151" t="s">
        <v>208</v>
      </c>
      <c r="C151" s="134">
        <v>0</v>
      </c>
      <c r="D151" s="134">
        <v>0</v>
      </c>
    </row>
    <row r="152" spans="1:4">
      <c r="A152" t="s">
        <v>219</v>
      </c>
      <c r="B152" t="s">
        <v>208</v>
      </c>
      <c r="C152" s="134">
        <v>0</v>
      </c>
      <c r="D152" s="134">
        <v>0</v>
      </c>
    </row>
    <row r="153" spans="1:4">
      <c r="A153" t="s">
        <v>218</v>
      </c>
      <c r="B153" t="s">
        <v>208</v>
      </c>
      <c r="C153" s="134">
        <v>0</v>
      </c>
      <c r="D153" s="134">
        <v>0</v>
      </c>
    </row>
    <row r="154" spans="1:4">
      <c r="A154" t="s">
        <v>217</v>
      </c>
      <c r="B154" t="s">
        <v>208</v>
      </c>
      <c r="C154" s="134">
        <v>0</v>
      </c>
      <c r="D154" s="134">
        <v>0</v>
      </c>
    </row>
    <row r="155" spans="1:4">
      <c r="A155" t="s">
        <v>216</v>
      </c>
      <c r="B155" t="s">
        <v>208</v>
      </c>
      <c r="C155" s="134">
        <v>0</v>
      </c>
      <c r="D155" s="134">
        <v>0</v>
      </c>
    </row>
    <row r="156" spans="1:4">
      <c r="A156" t="s">
        <v>215</v>
      </c>
      <c r="B156" t="s">
        <v>208</v>
      </c>
      <c r="C156" s="134">
        <v>0</v>
      </c>
      <c r="D156" s="134">
        <v>0</v>
      </c>
    </row>
    <row r="157" spans="1:4">
      <c r="A157" t="s">
        <v>214</v>
      </c>
      <c r="B157" t="s">
        <v>208</v>
      </c>
      <c r="C157" s="134">
        <v>0</v>
      </c>
      <c r="D157" s="134">
        <v>-391666.67</v>
      </c>
    </row>
    <row r="158" spans="1:4">
      <c r="A158" t="s">
        <v>213</v>
      </c>
      <c r="B158" t="s">
        <v>208</v>
      </c>
      <c r="C158" s="134">
        <v>0</v>
      </c>
      <c r="D158" s="134">
        <v>0</v>
      </c>
    </row>
    <row r="159" spans="1:4">
      <c r="A159" t="s">
        <v>212</v>
      </c>
      <c r="B159" t="s">
        <v>208</v>
      </c>
      <c r="C159" s="134">
        <v>0</v>
      </c>
      <c r="D159" s="134">
        <v>0</v>
      </c>
    </row>
    <row r="160" spans="1:4">
      <c r="A160" t="s">
        <v>211</v>
      </c>
      <c r="B160" t="s">
        <v>208</v>
      </c>
      <c r="C160" s="134">
        <v>0</v>
      </c>
      <c r="D160" s="134">
        <v>0</v>
      </c>
    </row>
    <row r="161" spans="1:4">
      <c r="A161" t="s">
        <v>210</v>
      </c>
      <c r="B161" t="s">
        <v>208</v>
      </c>
      <c r="C161" s="134">
        <v>0</v>
      </c>
      <c r="D161" s="134">
        <v>0</v>
      </c>
    </row>
    <row r="162" spans="1:4">
      <c r="A162" t="s">
        <v>209</v>
      </c>
      <c r="B162" t="s">
        <v>208</v>
      </c>
      <c r="C162" s="134">
        <v>0</v>
      </c>
      <c r="D162" s="134">
        <f>SUM(D141:D161)</f>
        <v>-391666.67</v>
      </c>
    </row>
  </sheetData>
  <autoFilter ref="A3:D16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BB209"/>
  <sheetViews>
    <sheetView showGridLines="0" topLeftCell="A99" zoomScaleNormal="100" workbookViewId="0">
      <pane xSplit="1" topLeftCell="H1" activePane="topRight" state="frozen"/>
      <selection pane="topRight" activeCell="N98" sqref="N98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0" width="14.5703125" style="9" customWidth="1"/>
    <col min="31" max="32" width="16" style="9" bestFit="1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317</v>
      </c>
      <c r="AB1" s="17" t="s">
        <v>318</v>
      </c>
      <c r="AC1" s="17" t="s">
        <v>319</v>
      </c>
      <c r="AD1" s="17" t="s">
        <v>181</v>
      </c>
      <c r="AE1" s="30" t="s">
        <v>320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/>
      <c r="Z2" s="143"/>
      <c r="AA2" s="125"/>
      <c r="AB2" s="125"/>
      <c r="AC2" s="125">
        <f>AC93-'FO 12 jul-19'!AC93</f>
        <v>-797822.58999999985</v>
      </c>
      <c r="AD2" s="125">
        <f>AD93-'FO 12 jul-19'!AD93</f>
        <v>3331344.6899999995</v>
      </c>
      <c r="AE2" s="143">
        <f>AE93-'FO 12 jul-19'!AE93</f>
        <v>1117415.1600000001</v>
      </c>
      <c r="AF2" s="125">
        <f>AF93-'FO 12 jul-19'!AF93</f>
        <v>-1985737.0299999975</v>
      </c>
      <c r="AG2" s="125">
        <f>AG93-'FO 12 jul-19'!AG93</f>
        <v>0</v>
      </c>
      <c r="AH2" s="125">
        <f>AH93-'FO 12 jul-19'!AH93</f>
        <v>16810.25</v>
      </c>
      <c r="AI2" s="143">
        <f>AI93-'FO 12 jul-19'!AI93</f>
        <v>112800.35000000149</v>
      </c>
      <c r="AJ2" s="125">
        <f>AJ93-'FO 12 jul-19'!AJ93</f>
        <v>203067.73000000045</v>
      </c>
      <c r="AK2" s="125">
        <f>AK93-'FO 12 jul-19'!AK93</f>
        <v>6266063.4999999963</v>
      </c>
      <c r="AL2" s="125">
        <f>AL93-'FO 12 jul-19'!AL93</f>
        <v>0</v>
      </c>
      <c r="AM2" s="143">
        <f>AM93-'FO 12 jul-19'!AM93</f>
        <v>0</v>
      </c>
      <c r="AN2" s="125">
        <f>AN93-'FO 12 jul-19'!AN93</f>
        <v>0</v>
      </c>
      <c r="AO2" s="125">
        <f>AO93-'FO 12 jul-19'!AO93</f>
        <v>6217650</v>
      </c>
      <c r="AP2" s="125">
        <f>AP93-'FO 12 jul-19'!AP93</f>
        <v>0</v>
      </c>
      <c r="AQ2" s="125">
        <f>AQ93-'FO 12 jul-19'!AQ93</f>
        <v>0</v>
      </c>
      <c r="AR2" s="143">
        <f>AR93-'FO 12 jul-19'!AR93</f>
        <v>0</v>
      </c>
      <c r="AS2" s="125">
        <f>AS93-'FO 12 jul-19'!AS93</f>
        <v>0</v>
      </c>
      <c r="AT2" s="125">
        <f>AT93-'FO 12 jul-19'!AT93</f>
        <v>12399600.000000002</v>
      </c>
      <c r="AU2" s="125">
        <f>AU93-'FO 12 jul-19'!AU93</f>
        <v>0</v>
      </c>
      <c r="AV2" s="143">
        <f>AV93-'FO 12 jul-19'!AV93</f>
        <v>0</v>
      </c>
      <c r="AW2" s="125">
        <f>AW93-'FO 12 jul-19'!AW93</f>
        <v>0</v>
      </c>
      <c r="AX2" s="13">
        <f>AX93-'FO 12 jul-19'!AX93</f>
        <v>0</v>
      </c>
      <c r="AY2" s="13">
        <f>AY93-'FO 12 jul-19'!AY93</f>
        <v>0</v>
      </c>
      <c r="AZ2" s="13">
        <f>AZ93-'FO 12 jul-19'!AZ93</f>
        <v>-12435300.000000002</v>
      </c>
      <c r="BA2" s="13">
        <f>BA93-'FO 12 jul-19'!BA93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16444946.720000001</v>
      </c>
      <c r="AA30" s="20">
        <v>14353658.390000001</v>
      </c>
      <c r="AB30" s="20">
        <v>15009712.960000003</v>
      </c>
      <c r="AC30" s="20">
        <v>15639811.489999998</v>
      </c>
      <c r="AD30" s="20">
        <v>13960500.590000002</v>
      </c>
      <c r="AE30" s="33">
        <v>15890776.691200005</v>
      </c>
      <c r="AF30" s="20">
        <v>15027882.954849999</v>
      </c>
      <c r="AG30" s="20">
        <v>14839205.155350005</v>
      </c>
      <c r="AH30" s="20">
        <v>14459049.640350001</v>
      </c>
      <c r="AI30" s="33">
        <v>14606261.34585</v>
      </c>
      <c r="AJ30" s="20">
        <v>14656894.206450004</v>
      </c>
      <c r="AK30" s="20">
        <v>14737904.259449996</v>
      </c>
      <c r="AL30" s="20">
        <v>15043976.836450001</v>
      </c>
      <c r="AM30" s="33">
        <v>15083137.489450002</v>
      </c>
      <c r="AN30" s="20">
        <v>16046391.454159999</v>
      </c>
      <c r="AO30" s="20">
        <v>16079020.486659996</v>
      </c>
      <c r="AP30" s="20">
        <v>16142483.279660001</v>
      </c>
      <c r="AQ30" s="20">
        <v>16127555.473659994</v>
      </c>
      <c r="AR30" s="33">
        <v>15928384.477659995</v>
      </c>
      <c r="AS30" s="20">
        <v>14647436.594499998</v>
      </c>
      <c r="AT30" s="20">
        <v>14409157.888999995</v>
      </c>
      <c r="AU30" s="20">
        <v>15371297.131499996</v>
      </c>
      <c r="AV30" s="33">
        <v>14916495.927000003</v>
      </c>
      <c r="AW30" s="20">
        <v>14442906.743500005</v>
      </c>
      <c r="AX30" s="20">
        <v>14732566.037499998</v>
      </c>
      <c r="AY30" s="20">
        <v>17678423.317500003</v>
      </c>
      <c r="AZ30" s="20">
        <v>18445137.328500003</v>
      </c>
      <c r="BA30" s="20">
        <v>5104206.5690000001</v>
      </c>
      <c r="BB30" s="37">
        <f>SUM(B30:BA30)/1000</f>
        <v>812001.37540919986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-365967.86</v>
      </c>
      <c r="AB42" s="24">
        <v>-396148.4</v>
      </c>
      <c r="AC42" s="24">
        <v>-459482.45</v>
      </c>
      <c r="AD42" s="24">
        <v>0</v>
      </c>
      <c r="AE42" s="31">
        <v>-442755.96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-10941.90465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-106730.5</v>
      </c>
      <c r="AC44" s="24">
        <v>-250063.94</v>
      </c>
      <c r="AD44" s="24">
        <v>0</v>
      </c>
      <c r="AE44" s="31">
        <v>-66181.84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-4995.7193300000008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-2497574.42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-38065.305719999997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-2020121.78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-41735.5985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0</v>
      </c>
      <c r="AB59" s="24">
        <v>-38280.82</v>
      </c>
      <c r="AC59" s="24">
        <v>-64188.23</v>
      </c>
      <c r="AD59" s="24">
        <v>-63681.3</v>
      </c>
      <c r="AE59" s="31">
        <v>-143570.01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-9179.5775999999951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0</v>
      </c>
      <c r="AB61" s="19">
        <v>-143791.47999999998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0</v>
      </c>
      <c r="AB62" s="24">
        <v>0</v>
      </c>
      <c r="AC62" s="24">
        <v>0</v>
      </c>
      <c r="AD62" s="24">
        <v>-56250</v>
      </c>
      <c r="AE62" s="31">
        <v>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-945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0</v>
      </c>
      <c r="AB65" s="24">
        <v>0</v>
      </c>
      <c r="AC65" s="24">
        <v>0</v>
      </c>
      <c r="AD65" s="24">
        <v>-195793.28</v>
      </c>
      <c r="AE65" s="31">
        <v>0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-3747.9414800000009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0</v>
      </c>
      <c r="AB67" s="24">
        <v>0</v>
      </c>
      <c r="AC67" s="24">
        <v>0</v>
      </c>
      <c r="AD67" s="24">
        <v>-300266.90999999997</v>
      </c>
      <c r="AE67" s="31">
        <v>0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-6462.3881900000015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0</v>
      </c>
      <c r="AB68" s="24">
        <v>0</v>
      </c>
      <c r="AC68" s="24">
        <v>0</v>
      </c>
      <c r="AD68" s="24">
        <v>-2241151.54</v>
      </c>
      <c r="AE68" s="31">
        <v>0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-43000.269440000004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0</v>
      </c>
      <c r="AB73" s="16">
        <v>0</v>
      </c>
      <c r="AC73" s="16">
        <v>0</v>
      </c>
      <c r="AD73" s="16">
        <v>-661359.80000000005</v>
      </c>
      <c r="AE73" s="35">
        <v>0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-13489.728429999997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0</v>
      </c>
      <c r="AB75" s="24">
        <v>-312.22000000000003</v>
      </c>
      <c r="AC75" s="24">
        <v>-3187.02</v>
      </c>
      <c r="AD75" s="24">
        <v>-330339.07</v>
      </c>
      <c r="AE75" s="31">
        <v>-125405.72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-12348.524680000002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0</v>
      </c>
      <c r="AB79" s="24">
        <v>0</v>
      </c>
      <c r="AC79" s="24">
        <v>0</v>
      </c>
      <c r="AD79" s="24">
        <v>-71345.320000000007</v>
      </c>
      <c r="AE79" s="31">
        <v>0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-1387.5160500000004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-10033212.369999999</v>
      </c>
      <c r="AB82" s="121">
        <v>-7921188.5099999998</v>
      </c>
      <c r="AC82" s="121">
        <v>-7744481.71</v>
      </c>
      <c r="AD82" s="121">
        <v>-11395884.449999999</v>
      </c>
      <c r="AE82" s="120">
        <v>-6765726.7300000004</v>
      </c>
      <c r="AF82" s="121">
        <v>-17509442.329999998</v>
      </c>
      <c r="AG82" s="121">
        <v>-6143301.3799999999</v>
      </c>
      <c r="AH82" s="121">
        <v>-4840541.47</v>
      </c>
      <c r="AI82" s="120">
        <v>-3898174.07</v>
      </c>
      <c r="AJ82" s="121">
        <v>-2486816.92</v>
      </c>
      <c r="AK82" s="121">
        <v>-5492040.2300000004</v>
      </c>
      <c r="AL82" s="121">
        <v>-3176642.04</v>
      </c>
      <c r="AM82" s="120">
        <v>-14297604.369999999</v>
      </c>
      <c r="AN82" s="121">
        <v>-3372908.65</v>
      </c>
      <c r="AO82" s="121">
        <v>-4084938.4000000004</v>
      </c>
      <c r="AP82" s="121">
        <v>-6858833.4900000002</v>
      </c>
      <c r="AQ82" s="121">
        <v>-3477698.57</v>
      </c>
      <c r="AR82" s="120">
        <v>-3480851.08</v>
      </c>
      <c r="AS82" s="121">
        <v>-3568509.8</v>
      </c>
      <c r="AT82" s="121">
        <v>-5065593.8599999994</v>
      </c>
      <c r="AU82" s="121">
        <v>-3511375.4</v>
      </c>
      <c r="AV82" s="120">
        <v>-1918849.4</v>
      </c>
      <c r="AW82" s="121">
        <v>-1629179.61</v>
      </c>
      <c r="AX82" s="19">
        <v>-1631644.89</v>
      </c>
      <c r="AY82" s="19">
        <v>-1746013.84</v>
      </c>
      <c r="AZ82" s="19">
        <v>-14125709.75</v>
      </c>
      <c r="BA82" s="19">
        <v>-1340508.46</v>
      </c>
      <c r="BB82" s="37">
        <f t="shared" si="1"/>
        <v>-288459.44953999989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0</v>
      </c>
      <c r="AB87" s="24">
        <v>0</v>
      </c>
      <c r="AC87" s="24">
        <v>0</v>
      </c>
      <c r="AD87" s="24">
        <v>-48713.34</v>
      </c>
      <c r="AE87" s="31">
        <v>0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-975.85678999999982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0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-1989.9277000000002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-9044567.5799999982</v>
      </c>
      <c r="AB89" s="24">
        <v>-5813639.6799999997</v>
      </c>
      <c r="AC89" s="24">
        <v>-6655042.8600000003</v>
      </c>
      <c r="AD89" s="24">
        <v>-822439.8</v>
      </c>
      <c r="AE89" s="31">
        <v>-6268094.6399999997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-185513.74153999996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0</v>
      </c>
      <c r="AB90" s="24">
        <v>0</v>
      </c>
      <c r="AC90" s="24">
        <v>0</v>
      </c>
      <c r="AD90" s="24">
        <v>-20286.41</v>
      </c>
      <c r="AE90" s="31">
        <v>0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-401.74232999999998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0</v>
      </c>
      <c r="AB92" s="24">
        <v>0</v>
      </c>
      <c r="AC92" s="24">
        <v>-6643.36</v>
      </c>
      <c r="AD92" s="24">
        <v>-1381222.39</v>
      </c>
      <c r="AE92" s="31">
        <v>-52217.34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-27889.791630000011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-26318898.010000002</v>
      </c>
      <c r="AA93" s="18">
        <v>-13625629.18</v>
      </c>
      <c r="AB93" s="18">
        <v>-14520256.779999999</v>
      </c>
      <c r="AC93" s="18">
        <v>-20859355.800000001</v>
      </c>
      <c r="AD93" s="18">
        <v>-14281991.970000001</v>
      </c>
      <c r="AE93" s="32">
        <v>-18047260.969999999</v>
      </c>
      <c r="AF93" s="18">
        <v>-25343989.569999997</v>
      </c>
      <c r="AG93" s="18">
        <v>-17938729.489999998</v>
      </c>
      <c r="AH93" s="18">
        <v>-13459221.930000002</v>
      </c>
      <c r="AI93" s="32">
        <v>-13387763.129999999</v>
      </c>
      <c r="AJ93" s="18">
        <v>-7366854.3200000003</v>
      </c>
      <c r="AK93" s="18">
        <v>-15769065.970000003</v>
      </c>
      <c r="AL93" s="18">
        <v>-11507212.790000003</v>
      </c>
      <c r="AM93" s="32">
        <v>-19104102.5</v>
      </c>
      <c r="AN93" s="18">
        <v>-14469511.260000002</v>
      </c>
      <c r="AO93" s="18">
        <v>-10819125.970000003</v>
      </c>
      <c r="AP93" s="18">
        <v>-20887531.100000001</v>
      </c>
      <c r="AQ93" s="18">
        <v>-9755821.7200000025</v>
      </c>
      <c r="AR93" s="32">
        <v>-14403073.390000001</v>
      </c>
      <c r="AS93" s="18">
        <v>-10043990.009999998</v>
      </c>
      <c r="AT93" s="18">
        <v>-16702289.709999999</v>
      </c>
      <c r="AU93" s="18">
        <v>-12143961.239999998</v>
      </c>
      <c r="AV93" s="32">
        <v>-10579415.259999998</v>
      </c>
      <c r="AW93" s="18">
        <v>-5776940.6600000001</v>
      </c>
      <c r="AX93" s="18">
        <v>-18270252.879999999</v>
      </c>
      <c r="AY93" s="18">
        <v>-9287368.8800000008</v>
      </c>
      <c r="AZ93" s="18">
        <v>-18488735.170000002</v>
      </c>
      <c r="BA93" s="18">
        <v>-9487115.9199999999</v>
      </c>
      <c r="BB93" s="37">
        <f>SUM(B93:BA93)/1000</f>
        <v>-766677.68834999995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:AD94" si="3">S30+S93</f>
        <v>4053118.3300000038</v>
      </c>
      <c r="T94" s="21">
        <f t="shared" si="3"/>
        <v>-4858120.33</v>
      </c>
      <c r="U94" s="21">
        <f t="shared" si="3"/>
        <v>-1478016.3599999975</v>
      </c>
      <c r="V94" s="36">
        <f t="shared" si="3"/>
        <v>-14088.769999999553</v>
      </c>
      <c r="W94" s="21">
        <f t="shared" si="3"/>
        <v>-1644028.3200000003</v>
      </c>
      <c r="X94" s="21">
        <f t="shared" si="3"/>
        <v>-3791137.3500000015</v>
      </c>
      <c r="Y94" s="21">
        <f t="shared" si="3"/>
        <v>3737626.5499999989</v>
      </c>
      <c r="Z94" s="36">
        <f t="shared" si="3"/>
        <v>-9873951.290000001</v>
      </c>
      <c r="AA94" s="21">
        <f t="shared" si="3"/>
        <v>728029.21000000089</v>
      </c>
      <c r="AB94" s="21">
        <f t="shared" si="3"/>
        <v>489456.18000000343</v>
      </c>
      <c r="AC94" s="21">
        <f t="shared" si="3"/>
        <v>-5219544.3100000024</v>
      </c>
      <c r="AD94" s="21">
        <f t="shared" si="3"/>
        <v>-321491.37999999896</v>
      </c>
      <c r="AE94" s="36">
        <v>-2156484.2787999939</v>
      </c>
      <c r="AF94" s="21">
        <v>-10316106.615149997</v>
      </c>
      <c r="AG94" s="21">
        <v>-3099524.3346499931</v>
      </c>
      <c r="AH94" s="21">
        <v>999827.71034999937</v>
      </c>
      <c r="AI94" s="36">
        <v>1218498.2158500012</v>
      </c>
      <c r="AJ94" s="21">
        <v>7290039.8864500038</v>
      </c>
      <c r="AK94" s="21">
        <v>-1031161.7105500065</v>
      </c>
      <c r="AL94" s="21">
        <v>3536764.0464499984</v>
      </c>
      <c r="AM94" s="36">
        <v>-4020965.0105499979</v>
      </c>
      <c r="AN94" s="21">
        <v>1576880.1941599976</v>
      </c>
      <c r="AO94" s="21">
        <v>5259894.5166599937</v>
      </c>
      <c r="AP94" s="21">
        <v>-4745047.8203400001</v>
      </c>
      <c r="AQ94" s="21">
        <v>6371733.7536599915</v>
      </c>
      <c r="AR94" s="36">
        <v>1525311.0876599941</v>
      </c>
      <c r="AS94" s="21">
        <v>4603446.5844999999</v>
      </c>
      <c r="AT94" s="21">
        <v>-2293131.8210000042</v>
      </c>
      <c r="AU94" s="21">
        <v>3227335.891499998</v>
      </c>
      <c r="AV94" s="36">
        <v>4337080.667000005</v>
      </c>
      <c r="AW94" s="21">
        <v>8665966.0835000053</v>
      </c>
      <c r="AX94" s="21">
        <v>-3537686.8425000012</v>
      </c>
      <c r="AY94" s="21">
        <v>8391054.4375000019</v>
      </c>
      <c r="AZ94" s="21">
        <v>-43597.841499999166</v>
      </c>
      <c r="BA94" s="21">
        <v>-4382909.3509999998</v>
      </c>
      <c r="BB94" s="37">
        <f>SUM(B94:BA94)/1000</f>
        <v>45323.687059199976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AA97" s="15"/>
      <c r="AB97" s="15"/>
      <c r="AC97" s="15"/>
      <c r="AD97" s="15"/>
      <c r="AE97" s="15">
        <v>11460426</v>
      </c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E98" s="15">
        <v>-15068146</v>
      </c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60674.244009999995</v>
      </c>
      <c r="H100" s="60">
        <f>SUM(AA30:AD30,AE97)/1000+H97</f>
        <v>70424.109430000011</v>
      </c>
      <c r="I100" s="60">
        <f>(SUM(AF30:AI30)+(AE30-AE97))/1000+I97</f>
        <v>63362.749787600005</v>
      </c>
      <c r="J100" s="60">
        <f>SUM(AJ30:AM30)/1000+J97</f>
        <v>59521.912791800001</v>
      </c>
      <c r="K100" s="60">
        <f>SUM(AN30:AR30)/1000+K97</f>
        <v>80323.83517179999</v>
      </c>
      <c r="L100" s="60">
        <f>SUM(AS30:AV30)/1000+L97</f>
        <v>59344.387541999989</v>
      </c>
      <c r="M100" s="60">
        <f>SUM(AW30:BA30)/1000+M97</f>
        <v>70403.239996000004</v>
      </c>
      <c r="N100" s="60">
        <f>SUM(B100:M100)</f>
        <v>812001.37540919986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-72245.734420000008</v>
      </c>
      <c r="H101" s="60">
        <f>SUM(AA93:AD93,AE98)/1000+H98</f>
        <v>-78355.379730000001</v>
      </c>
      <c r="I101" s="39">
        <f>(SUM(AF93:AI93)+(AE93-AE98))/1000+I98</f>
        <v>-73108.81908999999</v>
      </c>
      <c r="J101" s="39">
        <f>SUM(AJ93:AM93)/1000+J98</f>
        <v>-53747.235580000008</v>
      </c>
      <c r="K101" s="39">
        <f>SUM(AN93:AR93)/1000+K98</f>
        <v>-70335.063440000013</v>
      </c>
      <c r="L101" s="39">
        <f>SUM(AS93:AV93)/1000+L98</f>
        <v>-49469.65621999999</v>
      </c>
      <c r="M101" s="39">
        <f>SUM(AW93:BA93)/1000+M98</f>
        <v>-61310.413510000006</v>
      </c>
      <c r="N101" s="60">
        <f>SUM(B101:M101)</f>
        <v>-766677.68834999995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-11571.490410000013</v>
      </c>
      <c r="H102" s="60">
        <f t="shared" si="4"/>
        <v>-7931.2702999999892</v>
      </c>
      <c r="I102" s="60">
        <f t="shared" si="4"/>
        <v>-9746.0693023999847</v>
      </c>
      <c r="J102" s="60">
        <f t="shared" si="4"/>
        <v>5774.6772117999935</v>
      </c>
      <c r="K102" s="60">
        <f t="shared" si="4"/>
        <v>9988.7717317999777</v>
      </c>
      <c r="L102" s="60">
        <f t="shared" si="4"/>
        <v>9874.7313219999996</v>
      </c>
      <c r="M102" s="60">
        <f>SUM(M100:M101)</f>
        <v>9092.8264859999981</v>
      </c>
      <c r="N102" s="60">
        <f>SUM(B102:M102)</f>
        <v>45323.687059199969</v>
      </c>
      <c r="O102" s="133">
        <f>BB94-N102+SUM(F97:M98)</f>
        <v>7.2759576141834259E-12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12 jul-19'!N100</f>
        <v>-19488.049034400145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12 jul-19'!N100</f>
        <v>-19488.049034400145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14445.89206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14 jun-19'!B108:M108)</f>
        <v>0</v>
      </c>
      <c r="P108" s="133">
        <f>N101-'FO 12 jul-19'!N101</f>
        <v>14445.892059999984</v>
      </c>
      <c r="Q108" s="61" t="s">
        <v>103</v>
      </c>
      <c r="R108" s="63"/>
      <c r="S108" s="23" t="s">
        <v>126</v>
      </c>
      <c r="T108" s="115">
        <f>SUM(AE47:BA50)/1000-SUM('FO 12 jul-19'!AE47:BA50)/1000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SUM(AE82:BA82)/1000-SUM('FO 12 jul-19'!AE82:BA82)/1000</f>
        <v>12613.911330000003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SUM(AE31:BA92)/1000-SUM('FO 12 jul-19'!AE31:BA92)/1000-T108-T109</f>
        <v>-701.54137000002083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12 jul-19'!N102</f>
        <v>-5042.1569744000008</v>
      </c>
      <c r="Q111" s="119"/>
      <c r="S111" s="70" t="s">
        <v>129</v>
      </c>
      <c r="T111" s="77">
        <f>SUM(T108:T110)</f>
        <v>11912.369959999982</v>
      </c>
      <c r="U111" s="71">
        <f>(AC2+AD2)/1000</f>
        <v>2533.5220999999997</v>
      </c>
      <c r="V111" s="133">
        <f>SUM(T111:U111)</f>
        <v>14445.892059999982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-5042.1569744001608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3320.4543290705687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63362.749787600005</v>
      </c>
      <c r="W117" s="80">
        <f>SUM(AK30:BA30)/1000</f>
        <v>254936.48129514998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72347.11400999999</v>
      </c>
      <c r="H118" s="26">
        <f t="shared" si="10"/>
        <v>81962.549430000014</v>
      </c>
      <c r="I118" s="26">
        <f t="shared" si="10"/>
        <v>75049.212787600001</v>
      </c>
      <c r="J118" s="26">
        <f t="shared" si="10"/>
        <v>71395.125791800005</v>
      </c>
      <c r="K118" s="26">
        <f t="shared" si="10"/>
        <v>92165.682171799985</v>
      </c>
      <c r="L118" s="26">
        <f t="shared" si="10"/>
        <v>71307.538541999995</v>
      </c>
      <c r="M118" s="26">
        <f t="shared" si="10"/>
        <v>81566.493996000005</v>
      </c>
      <c r="N118" s="64">
        <f>SUM(B118:M118)</f>
        <v>950126.34740919992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-83694.381420000005</v>
      </c>
      <c r="H119" s="26">
        <f>H101+H107+H113</f>
        <v>-89986.958729999998</v>
      </c>
      <c r="I119" s="26">
        <f>I101+I107+I113</f>
        <v>-84590.668089999992</v>
      </c>
      <c r="J119" s="26">
        <f>J101+J107+J113+J202/1000</f>
        <v>-65214.398580000008</v>
      </c>
      <c r="K119" s="26">
        <f>K101+K107+K113+K202/1000</f>
        <v>-81658.093440000011</v>
      </c>
      <c r="L119" s="26">
        <f>L101+L107+L113+L202/1000</f>
        <v>-60598.200219999999</v>
      </c>
      <c r="M119" s="26">
        <f>M101+M107+M113-J202/1000</f>
        <v>-72431.963510000001</v>
      </c>
      <c r="N119" s="64">
        <f>SUM(B119:M119)</f>
        <v>-902689.77834999992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-11347.267410000015</v>
      </c>
      <c r="H120" s="56">
        <f t="shared" si="11"/>
        <v>-8024.4092999999848</v>
      </c>
      <c r="I120" s="56">
        <f t="shared" si="11"/>
        <v>-9541.4553023999906</v>
      </c>
      <c r="J120" s="56">
        <f t="shared" si="11"/>
        <v>6180.7272117999964</v>
      </c>
      <c r="K120" s="56">
        <f t="shared" si="11"/>
        <v>10507.588731799973</v>
      </c>
      <c r="L120" s="56">
        <f t="shared" si="11"/>
        <v>10709.338321999996</v>
      </c>
      <c r="M120" s="56">
        <f>SUM(M118:M119)</f>
        <v>9134.5304860000033</v>
      </c>
      <c r="N120" s="65">
        <f>SUM(B120:M120)</f>
        <v>47436.569059199974</v>
      </c>
      <c r="O120" s="65">
        <f>'FO 12 jul-19'!N120+P112+O108</f>
        <v>66053.819059199799</v>
      </c>
      <c r="P120" s="158"/>
      <c r="R120" s="86">
        <f>[1]EEFF!$H$63</f>
        <v>574206</v>
      </c>
      <c r="S120" s="40" t="s">
        <v>135</v>
      </c>
      <c r="T120" s="80">
        <f>SUM(T117:T119)</f>
        <v>75049.212787600001</v>
      </c>
      <c r="U120" s="9"/>
      <c r="V120" s="9"/>
      <c r="W120" s="80">
        <f>SUM(W117:W119)</f>
        <v>301777.94629514997</v>
      </c>
      <c r="X120" s="9"/>
      <c r="Y120" s="9"/>
      <c r="Z120" s="76">
        <f>R120+T120+W120</f>
        <v>951033.15908274997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60041.052739199979</v>
      </c>
      <c r="O121" s="38"/>
      <c r="P121" s="159"/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60042.295458529436</v>
      </c>
      <c r="U122" s="80">
        <f>U124-U123</f>
        <v>71460.380999999878</v>
      </c>
      <c r="W122" s="80">
        <f>W117-W116</f>
        <v>244604.09629514997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21955.75109000002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63728.758458529439</v>
      </c>
      <c r="U124" s="80">
        <f>'[1]Proy. 2018'!$D$60</f>
        <v>74585.869999999879</v>
      </c>
      <c r="W124" s="80">
        <f>SUM(W122:W123)</f>
        <v>259445.56129514996</v>
      </c>
      <c r="X124" s="80">
        <f>SUM('[1]Proy. 2018'!$E$60:$H$60)</f>
        <v>292023.20500000007</v>
      </c>
      <c r="Z124" s="91">
        <f>R120+T124+W124</f>
        <v>897380.31975367945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0.7463785435294118</v>
      </c>
      <c r="C125" s="43">
        <f>B125*4</f>
        <v>2.9855141741176472</v>
      </c>
      <c r="Z125" s="89"/>
      <c r="AA125" s="89"/>
    </row>
    <row r="126" spans="1:30" ht="15" hidden="1">
      <c r="A126" s="42" t="s">
        <v>120</v>
      </c>
      <c r="B126" s="43">
        <f>-AVERAGE(B82:BA82)/1000000</f>
        <v>5.6560676380392136</v>
      </c>
      <c r="C126" s="43">
        <f>B126*4</f>
        <v>22.624270552156855</v>
      </c>
      <c r="S126" s="92" t="s">
        <v>144</v>
      </c>
      <c r="U126" s="104">
        <f>T124-U124</f>
        <v>-10857.11154147044</v>
      </c>
      <c r="X126" s="104">
        <f>W124-X124</f>
        <v>-32577.64370485011</v>
      </c>
      <c r="Z126" s="89"/>
      <c r="AA126" s="89">
        <f>Z124-AA124</f>
        <v>-43434.755246320507</v>
      </c>
      <c r="AB126" s="112">
        <f>(X126+U126)/(T122+W122)</f>
        <v>-0.14257433018093826</v>
      </c>
      <c r="AC126" s="111">
        <f>AA126/Z124</f>
        <v>-4.8401724765083823E-2</v>
      </c>
    </row>
    <row r="127" spans="1:30" ht="15" hidden="1">
      <c r="A127" s="42" t="s">
        <v>121</v>
      </c>
      <c r="B127" s="43">
        <f>-(AVERAGE(B89:BA89)+AVERAGE(B68:BA68))/1000000</f>
        <v>4.4806668819607829</v>
      </c>
      <c r="C127" s="43">
        <f>B127*4</f>
        <v>17.922667527843132</v>
      </c>
      <c r="Z127" s="89"/>
      <c r="AA127" s="89"/>
    </row>
    <row r="128" spans="1:30" ht="15.75" hidden="1">
      <c r="A128" s="44" t="s">
        <v>104</v>
      </c>
      <c r="B128" s="45">
        <f>SUM(B124:B127)</f>
        <v>12.59264184843137</v>
      </c>
      <c r="C128" s="45">
        <f>SUM(C124:C127)</f>
        <v>50.37056739372548</v>
      </c>
      <c r="R128" s="23"/>
      <c r="S128" s="9" t="s">
        <v>141</v>
      </c>
      <c r="Z128" s="87">
        <f>Z120-'[4]Flujo 2018'!$AQ$4</f>
        <v>-31260.448377249995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-3320.4543290705687</v>
      </c>
      <c r="U134" s="14"/>
      <c r="V134" s="83">
        <f>W134/W138</f>
        <v>4.5417972419756251E-2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14.327180262729062</v>
      </c>
      <c r="C136" s="45">
        <f>C128+C131+C134</f>
        <v>57.308721050916247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-39306.244872822666</v>
      </c>
      <c r="U137" s="101">
        <f>'[1]Proy. 2018'!$D$116-'[1]Proy. 2018'!$C$116-U136</f>
        <v>-38522.038500000075</v>
      </c>
      <c r="V137" s="103"/>
      <c r="W137" s="101">
        <f>SUM(AK31:BA92)/1000-SUM(W132:W136)</f>
        <v>-169502.57888086009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28.113947082615915</v>
      </c>
      <c r="C138" s="47">
        <f>C136+C137</f>
        <v>71.095487870803098</v>
      </c>
      <c r="S138" s="40" t="s">
        <v>133</v>
      </c>
      <c r="T138" s="80">
        <f>I101</f>
        <v>-73108.81908999999</v>
      </c>
      <c r="W138" s="80">
        <f>SUM(AK93:BA93)/1000</f>
        <v>-227495.51442999998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-84590.668089999992</v>
      </c>
      <c r="W141" s="80">
        <f>SUM(W138:W140)</f>
        <v>-272535.80142999999</v>
      </c>
      <c r="X141" s="24"/>
      <c r="Z141" s="80">
        <f>R141+T141+W141</f>
        <v>-939776.46952000004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-69788.364760929428</v>
      </c>
      <c r="U143" s="80">
        <f>U145-U144</f>
        <v>-54186.39900000018</v>
      </c>
      <c r="W143" s="80">
        <f>W138-W134</f>
        <v>-217163.12942999997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-73270.21376092943</v>
      </c>
      <c r="U145" s="85">
        <f>'[1]Proy. 2018'!$D$61</f>
        <v>-57037.396000000183</v>
      </c>
      <c r="W145" s="85">
        <f>SUM(W143:W144)</f>
        <v>-230203.41642999998</v>
      </c>
      <c r="X145" s="85">
        <f>SUM('[1]Proy. 2018'!$E$61:$H$61)</f>
        <v>-260447.245</v>
      </c>
      <c r="Z145" s="85">
        <f>R141+T145+W145</f>
        <v>-886123.6301909294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-16232.817760929247</v>
      </c>
      <c r="V147" s="40"/>
      <c r="W147" s="40"/>
      <c r="X147" s="104">
        <f>W145-X145</f>
        <v>30243.828570000012</v>
      </c>
      <c r="Z147" s="90"/>
      <c r="AA147" s="89">
        <f>Z145-AA145</f>
        <v>14011.01080907078</v>
      </c>
      <c r="AB147" s="112">
        <f>(X147+U147)/(W145+T145)</f>
        <v>-4.6168791668178173E-2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-17797.083760929352</v>
      </c>
      <c r="V149" s="106"/>
      <c r="W149" s="106"/>
      <c r="X149" s="106">
        <f>W132-X132+W136-X136+W137-X137</f>
        <v>21847.139569999999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3013.9198799999431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11256.689562749933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-28246.528497250067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-29423.744437249727</v>
      </c>
    </row>
    <row r="157" spans="1:30" ht="12.75" hidden="1">
      <c r="A157" s="18">
        <v>-8256517.8300000001</v>
      </c>
      <c r="AA157" s="10">
        <f>Z154-AA154</f>
        <v>-29423.744437249843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/>
      <c r="J202" s="154"/>
      <c r="K202" s="154"/>
      <c r="L202" s="154"/>
    </row>
    <row r="203" spans="1:12" ht="12.75">
      <c r="A203" s="9" t="s">
        <v>314</v>
      </c>
      <c r="H203" s="157"/>
      <c r="J203" s="155"/>
      <c r="K203" s="155"/>
      <c r="L203" s="155"/>
    </row>
    <row r="204" spans="1:12" ht="12.75">
      <c r="H204" s="157"/>
      <c r="J204" s="155"/>
      <c r="K204" s="155"/>
      <c r="L204" s="155"/>
    </row>
    <row r="207" spans="1:12" ht="12.75">
      <c r="H207" s="154">
        <v>12375900</v>
      </c>
      <c r="J207" s="154">
        <v>6217650</v>
      </c>
      <c r="K207" s="154">
        <v>6217650</v>
      </c>
      <c r="L207" s="154">
        <v>12399600</v>
      </c>
    </row>
    <row r="208" spans="1:12" ht="12.75">
      <c r="H208" s="157">
        <v>43650</v>
      </c>
      <c r="J208" s="155">
        <v>43718</v>
      </c>
      <c r="K208" s="155">
        <v>43748</v>
      </c>
      <c r="L208" s="155">
        <v>43779</v>
      </c>
    </row>
    <row r="209" spans="8:12" ht="12.75">
      <c r="H209" s="157">
        <v>43735</v>
      </c>
      <c r="J209" s="155">
        <v>43826</v>
      </c>
      <c r="K209" s="155">
        <v>43826</v>
      </c>
      <c r="L209" s="155">
        <f t="shared" ref="L209" si="12">L208+90</f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BB204"/>
  <sheetViews>
    <sheetView showGridLines="0" zoomScaleNormal="100" workbookViewId="0">
      <pane xSplit="1" topLeftCell="U1" activePane="topRight" state="frozen"/>
      <selection pane="topRight" activeCell="U112" sqref="U112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317</v>
      </c>
      <c r="AB1" s="17" t="s">
        <v>318</v>
      </c>
      <c r="AC1" s="17" t="s">
        <v>319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/>
      <c r="Z2" s="143"/>
      <c r="AA2" s="125"/>
      <c r="AB2" s="125">
        <f>AB93-'FO 5 jul-19'!AB93</f>
        <v>2864867.1100000013</v>
      </c>
      <c r="AC2" s="125">
        <f>AC93-'FO 5 jul-19'!AC93</f>
        <v>-1636954.4299999997</v>
      </c>
      <c r="AD2" s="125">
        <f>AD93-'FO 5 jul-19'!AD93</f>
        <v>-1610598.2199999988</v>
      </c>
      <c r="AE2" s="143">
        <f>AE93-'FO 5 jul-19'!AE93</f>
        <v>-1481627.6799999997</v>
      </c>
      <c r="AF2" s="125">
        <f>AF93-'FO 5 jul-19'!AF93</f>
        <v>1190493.3499999978</v>
      </c>
      <c r="AG2" s="125">
        <f>AG93-'FO 5 jul-19'!AG93</f>
        <v>346291</v>
      </c>
      <c r="AH2" s="125">
        <f>AH93-'FO 5 jul-19'!AH93</f>
        <v>13448.189999999478</v>
      </c>
      <c r="AI2" s="143">
        <f>AI93-'FO 5 jul-19'!AI93</f>
        <v>195738.34999999776</v>
      </c>
      <c r="AJ2" s="125">
        <f>AJ93-'FO 5 jul-19'!AJ93</f>
        <v>738537.83999999985</v>
      </c>
      <c r="AK2" s="125">
        <f>AK93-'FO 5 jul-19'!AK93</f>
        <v>210070.88000000268</v>
      </c>
      <c r="AL2" s="125">
        <f>AL93-'FO 5 jul-19'!AL93</f>
        <v>-13448.20000000298</v>
      </c>
      <c r="AM2" s="143">
        <f>AM93-'FO 5 jul-19'!AM93</f>
        <v>-5043.0800000019372</v>
      </c>
      <c r="AN2" s="125">
        <f>AN93-'FO 5 jul-19'!AN93</f>
        <v>0</v>
      </c>
      <c r="AO2" s="125">
        <f>AO93-'FO 5 jul-19'!AO93</f>
        <v>0</v>
      </c>
      <c r="AP2" s="125">
        <f>AP93-'FO 5 jul-19'!AP93</f>
        <v>-3362.0399999991059</v>
      </c>
      <c r="AQ2" s="125">
        <f>AQ93-'FO 5 jul-19'!AQ93</f>
        <v>-5043.070000000298</v>
      </c>
      <c r="AR2" s="143">
        <f>AR93-'FO 5 jul-19'!AR93</f>
        <v>-6724.089999999851</v>
      </c>
      <c r="AS2" s="125">
        <f>AS93-'FO 5 jul-19'!AS93</f>
        <v>-3362.0499999988824</v>
      </c>
      <c r="AT2" s="125">
        <f>AT93-'FO 5 jul-19'!AT93</f>
        <v>10086.15000000596</v>
      </c>
      <c r="AU2" s="125">
        <f>AU93-'FO 5 jul-19'!AU93</f>
        <v>-26896.390000000596</v>
      </c>
      <c r="AV2" s="143">
        <f>AV93-'FO 5 jul-19'!AV93</f>
        <v>-40344.589999999851</v>
      </c>
      <c r="AW2" s="125">
        <f>AW93-'FO 5 jul-19'!AW93</f>
        <v>0</v>
      </c>
      <c r="AX2" s="13">
        <f>AX93-'FO 5 jul-19'!AX93</f>
        <v>0</v>
      </c>
      <c r="AY2" s="13">
        <f>AY93-'FO 5 jul-19'!AY93</f>
        <v>0</v>
      </c>
      <c r="AZ2" s="13">
        <f>AZ93-'FO 5 jul-19'!AZ93</f>
        <v>0</v>
      </c>
      <c r="BA2" s="13">
        <f>BA93-'FO 5 jul-19'!BA93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16444946.720000001</v>
      </c>
      <c r="AA30" s="20">
        <v>14353658.390000001</v>
      </c>
      <c r="AB30" s="20">
        <v>15009712.960000003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831489.42444359977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-365967.86</v>
      </c>
      <c r="AB42" s="24">
        <v>-396148.4</v>
      </c>
      <c r="AC42" s="24">
        <v>-459482.45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-10499.14869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-106730.5</v>
      </c>
      <c r="AC44" s="24">
        <v>-250063.94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-4929.5374900000015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-2497574.42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-38065.305719999997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-2020121.78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-41735.5985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0</v>
      </c>
      <c r="AB59" s="24">
        <v>-38280.82</v>
      </c>
      <c r="AC59" s="24">
        <v>-64188.23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-9086.4573299999956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0</v>
      </c>
      <c r="AB61" s="19">
        <v>-143791.47999999998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0</v>
      </c>
      <c r="AB62" s="24">
        <v>0</v>
      </c>
      <c r="AC62" s="24">
        <v>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-1001.25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0</v>
      </c>
      <c r="AB65" s="24">
        <v>0</v>
      </c>
      <c r="AC65" s="24">
        <v>0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-3945.6919200000007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0</v>
      </c>
      <c r="AB67" s="24">
        <v>0</v>
      </c>
      <c r="AC67" s="24">
        <v>0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-6778.2322400000012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0</v>
      </c>
      <c r="AB68" s="24">
        <v>0</v>
      </c>
      <c r="AC68" s="24">
        <v>0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-45048.065280000003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0</v>
      </c>
      <c r="AB73" s="16">
        <v>0</v>
      </c>
      <c r="AC73" s="16">
        <v>0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-14160.946459999997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0</v>
      </c>
      <c r="AB75" s="24">
        <v>-312.22000000000003</v>
      </c>
      <c r="AC75" s="24">
        <v>-3187.02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-12548.183730000002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0</v>
      </c>
      <c r="AB79" s="24">
        <v>0</v>
      </c>
      <c r="AC79" s="24">
        <v>0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-1464.8400900000006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-10033212.369999999</v>
      </c>
      <c r="AB82" s="121">
        <v>-7921188.5099999998</v>
      </c>
      <c r="AC82" s="121">
        <v>-7744481.71</v>
      </c>
      <c r="AD82" s="121">
        <v>-11395884.449999999</v>
      </c>
      <c r="AE82" s="120">
        <v>-8584683.2599999998</v>
      </c>
      <c r="AF82" s="121">
        <v>-15523705.300000001</v>
      </c>
      <c r="AG82" s="121">
        <v>-6143301.3799999999</v>
      </c>
      <c r="AH82" s="121">
        <v>-4857351.72</v>
      </c>
      <c r="AI82" s="120">
        <v>-4010974.42</v>
      </c>
      <c r="AJ82" s="121">
        <v>-2689884.65</v>
      </c>
      <c r="AK82" s="121">
        <v>-11758103.73</v>
      </c>
      <c r="AL82" s="121">
        <v>-3176642.04</v>
      </c>
      <c r="AM82" s="120">
        <v>-14297604.369999999</v>
      </c>
      <c r="AN82" s="121">
        <v>-3372908.65</v>
      </c>
      <c r="AO82" s="121">
        <v>-10302588.4</v>
      </c>
      <c r="AP82" s="121">
        <v>-6858833.4900000002</v>
      </c>
      <c r="AQ82" s="121">
        <v>-3477698.57</v>
      </c>
      <c r="AR82" s="120">
        <v>-3480851.08</v>
      </c>
      <c r="AS82" s="121">
        <v>-3568509.8</v>
      </c>
      <c r="AT82" s="121">
        <v>-17465193.859999999</v>
      </c>
      <c r="AU82" s="121">
        <v>-3511375.4</v>
      </c>
      <c r="AV82" s="120">
        <v>-1918849.4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-301073.36086999986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0</v>
      </c>
      <c r="AB87" s="24">
        <v>0</v>
      </c>
      <c r="AC87" s="24">
        <v>0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-1026.6222599999999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-2427.6530400000001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-9044567.5799999982</v>
      </c>
      <c r="AB89" s="24">
        <v>-5813639.6799999997</v>
      </c>
      <c r="AC89" s="24">
        <v>-6655042.8600000003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-180041.38204999999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0</v>
      </c>
      <c r="AB90" s="24">
        <v>0</v>
      </c>
      <c r="AC90" s="24">
        <v>0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-422.02873999999991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0</v>
      </c>
      <c r="AB92" s="24">
        <v>0</v>
      </c>
      <c r="AC92" s="24">
        <v>-6643.36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-29188.049150000013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-26318898.010000002</v>
      </c>
      <c r="AA93" s="18">
        <v>-13625629.18</v>
      </c>
      <c r="AB93" s="18">
        <v>-14520256.779999999</v>
      </c>
      <c r="AC93" s="18">
        <v>-20061533.210000001</v>
      </c>
      <c r="AD93" s="18">
        <v>-17613336.66</v>
      </c>
      <c r="AE93" s="32">
        <v>-19164676.129999999</v>
      </c>
      <c r="AF93" s="18">
        <v>-23358252.539999999</v>
      </c>
      <c r="AG93" s="18">
        <v>-17938729.489999998</v>
      </c>
      <c r="AH93" s="18">
        <v>-13476032.180000002</v>
      </c>
      <c r="AI93" s="32">
        <v>-13500563.48</v>
      </c>
      <c r="AJ93" s="18">
        <v>-7569922.0500000007</v>
      </c>
      <c r="AK93" s="18">
        <v>-22035129.469999999</v>
      </c>
      <c r="AL93" s="18">
        <v>-11507212.790000003</v>
      </c>
      <c r="AM93" s="32">
        <v>-19104102.5</v>
      </c>
      <c r="AN93" s="18">
        <v>-14469511.260000002</v>
      </c>
      <c r="AO93" s="18">
        <v>-17036775.970000003</v>
      </c>
      <c r="AP93" s="18">
        <v>-20887531.100000001</v>
      </c>
      <c r="AQ93" s="18">
        <v>-9755821.7200000025</v>
      </c>
      <c r="AR93" s="32">
        <v>-14403073.390000001</v>
      </c>
      <c r="AS93" s="18">
        <v>-10043990.009999998</v>
      </c>
      <c r="AT93" s="18">
        <v>-29101889.710000001</v>
      </c>
      <c r="AU93" s="18">
        <v>-12143961.239999998</v>
      </c>
      <c r="AV93" s="32">
        <v>-10579415.259999998</v>
      </c>
      <c r="AW93" s="18">
        <v>-5776940.6600000001</v>
      </c>
      <c r="AX93" s="18">
        <v>-18270252.879999999</v>
      </c>
      <c r="AY93" s="18">
        <v>-9287368.8800000008</v>
      </c>
      <c r="AZ93" s="18">
        <v>-6053435.1699999999</v>
      </c>
      <c r="BA93" s="18">
        <v>-9487115.9199999999</v>
      </c>
      <c r="BB93" s="37">
        <f>SUM(B93:BA93)/1000</f>
        <v>-781123.58040999982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:AB94" si="3">S30+S93</f>
        <v>4053118.3300000038</v>
      </c>
      <c r="T94" s="21">
        <f t="shared" si="3"/>
        <v>-4858120.33</v>
      </c>
      <c r="U94" s="21">
        <f t="shared" si="3"/>
        <v>-1478016.3599999975</v>
      </c>
      <c r="V94" s="36">
        <f t="shared" si="3"/>
        <v>-14088.769999999553</v>
      </c>
      <c r="W94" s="21">
        <f t="shared" si="3"/>
        <v>-1644028.3200000003</v>
      </c>
      <c r="X94" s="21">
        <f t="shared" si="3"/>
        <v>-3791137.3500000015</v>
      </c>
      <c r="Y94" s="21">
        <f t="shared" si="3"/>
        <v>3737626.5499999989</v>
      </c>
      <c r="Z94" s="36">
        <f t="shared" si="3"/>
        <v>-9873951.290000001</v>
      </c>
      <c r="AA94" s="21">
        <f t="shared" si="3"/>
        <v>728029.21000000089</v>
      </c>
      <c r="AB94" s="21">
        <f t="shared" si="3"/>
        <v>489456.18000000343</v>
      </c>
      <c r="AC94" s="21">
        <v>-4255347.5288000014</v>
      </c>
      <c r="AD94" s="21">
        <v>-1621991.4688000027</v>
      </c>
      <c r="AE94" s="36">
        <v>-3273899.4387999941</v>
      </c>
      <c r="AF94" s="21">
        <v>-7539428.3769999985</v>
      </c>
      <c r="AG94" s="21">
        <v>-2318513.536999993</v>
      </c>
      <c r="AH94" s="21">
        <v>1744020.0730000008</v>
      </c>
      <c r="AI94" s="36">
        <v>1874448.4629999995</v>
      </c>
      <c r="AJ94" s="21">
        <v>7858387.6410000045</v>
      </c>
      <c r="AK94" s="21">
        <v>-6521546.0390000027</v>
      </c>
      <c r="AL94" s="21">
        <v>4328552.300999999</v>
      </c>
      <c r="AM94" s="36">
        <v>-3227115.6689999979</v>
      </c>
      <c r="AN94" s="21">
        <v>2421427.1127999984</v>
      </c>
      <c r="AO94" s="21">
        <v>-111491.24720000476</v>
      </c>
      <c r="AP94" s="21">
        <v>-3895443.4371999986</v>
      </c>
      <c r="AQ94" s="21">
        <v>7220552.4627999924</v>
      </c>
      <c r="AR94" s="36">
        <v>2363647.1127999946</v>
      </c>
      <c r="AS94" s="21">
        <v>5374364.3000000007</v>
      </c>
      <c r="AT94" s="21">
        <v>-13934355.090000005</v>
      </c>
      <c r="AU94" s="21">
        <v>4036351.5299999993</v>
      </c>
      <c r="AV94" s="36">
        <v>5122159.400000006</v>
      </c>
      <c r="AW94" s="21">
        <v>9426119.0700000059</v>
      </c>
      <c r="AX94" s="21">
        <v>-2762288.6300000008</v>
      </c>
      <c r="AY94" s="21">
        <v>9321497.7700000014</v>
      </c>
      <c r="AZ94" s="21">
        <v>13362498.860000005</v>
      </c>
      <c r="BA94" s="21">
        <v>-4114266.8999999994</v>
      </c>
      <c r="BB94" s="37">
        <f>SUM(B94:BA94)/1000</f>
        <v>50365.844033600013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60674.244009999995</v>
      </c>
      <c r="H100" s="60">
        <f>SUM(AA30:AE30)/1000+H97</f>
        <v>77051.678913600001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831489.4244436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-72245.734420000008</v>
      </c>
      <c r="H101" s="60">
        <f>SUM(AA93:AE93)/1000+H98</f>
        <v>-84985.431959999987</v>
      </c>
      <c r="I101" s="39">
        <f>SUM(AF93:AI93)/1000+I98</f>
        <v>-68273.577689999991</v>
      </c>
      <c r="J101" s="39">
        <f>SUM(AJ93:AM93)/1000+J98</f>
        <v>-60216.36681</v>
      </c>
      <c r="K101" s="39">
        <f>SUM(AN93:AR93)/1000+K98</f>
        <v>-76552.713440000007</v>
      </c>
      <c r="L101" s="39">
        <f>SUM(AS93:AV93)/1000+L98</f>
        <v>-61869.256219999988</v>
      </c>
      <c r="M101" s="39">
        <f>SUM(AW93:BA93)/1000+M98</f>
        <v>-48875.113510000003</v>
      </c>
      <c r="N101" s="60">
        <f>SUM(B101:M101)</f>
        <v>-781123.58040999994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-11571.490410000013</v>
      </c>
      <c r="H102" s="60">
        <f t="shared" si="4"/>
        <v>-7933.7530463999865</v>
      </c>
      <c r="I102" s="60">
        <f t="shared" si="4"/>
        <v>-6239.4733779999879</v>
      </c>
      <c r="J102" s="60">
        <f t="shared" si="4"/>
        <v>2438.2782339999976</v>
      </c>
      <c r="K102" s="60">
        <f t="shared" si="4"/>
        <v>7998.6920039999677</v>
      </c>
      <c r="L102" s="60">
        <f t="shared" si="4"/>
        <v>598.52014000000054</v>
      </c>
      <c r="M102" s="60">
        <f>SUM(M100:M101)</f>
        <v>25233.560170000004</v>
      </c>
      <c r="N102" s="60">
        <f>SUM(B102:M102)</f>
        <v>50365.844033599969</v>
      </c>
      <c r="O102" s="133">
        <f>BB94-N102+SUM(F97:M98)</f>
        <v>4.3655745685100555E-11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5 jul-19'!N100</f>
        <v>-1015.9013912000228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5 jul-19'!N100</f>
        <v>-1015.9013912000228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736.12903000000301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14 jun-19'!B108:M108)</f>
        <v>0</v>
      </c>
      <c r="P108" s="133">
        <f>N101-'FO 5 jul-19'!N101</f>
        <v>736.12903000006918</v>
      </c>
      <c r="Q108" s="61" t="s">
        <v>103</v>
      </c>
      <c r="R108" s="63"/>
      <c r="S108" s="23" t="s">
        <v>126</v>
      </c>
      <c r="T108" s="115">
        <f>SUM(AC47:BA50)/1000-SUM('FO 5 jul-19'!AC47:BA50)/1000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SUM(AC82:BA82)/1000-SUM('FO 5 jul-19'!AC82:BA82)/1000</f>
        <v>-882.97938000000431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SUM(AC31:BA92)/1000-SUM('FO 5 jul-19'!AC31:BA92)/1000-T108-T109</f>
        <v>-1245.7586999999767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5 jul-19'!N102</f>
        <v>-279.77236119996087</v>
      </c>
      <c r="Q111" s="119"/>
      <c r="S111" s="70" t="s">
        <v>129</v>
      </c>
      <c r="T111" s="77">
        <f>SUM(T108:T110)</f>
        <v>-2128.738079999981</v>
      </c>
      <c r="U111" s="71">
        <f>AB2/1000</f>
        <v>2864.867110000001</v>
      </c>
      <c r="V111" s="133">
        <f>SUM(T111:U111)</f>
        <v>736.12903000002007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-279.77236119995359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2939.9788196257959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72347.11400999999</v>
      </c>
      <c r="H118" s="26">
        <f t="shared" si="10"/>
        <v>88590.118913600003</v>
      </c>
      <c r="I118" s="26">
        <f t="shared" si="10"/>
        <v>73720.567311999999</v>
      </c>
      <c r="J118" s="26">
        <f t="shared" si="10"/>
        <v>74527.858043999993</v>
      </c>
      <c r="K118" s="26">
        <f t="shared" si="10"/>
        <v>96393.252443999969</v>
      </c>
      <c r="L118" s="26">
        <f t="shared" si="10"/>
        <v>74430.927360000001</v>
      </c>
      <c r="M118" s="26">
        <f t="shared" si="10"/>
        <v>85271.927680000008</v>
      </c>
      <c r="N118" s="64">
        <f>SUM(B118:M118)</f>
        <v>969614.39644359984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-83694.381420000005</v>
      </c>
      <c r="H119" s="26">
        <f>H101+H107+H113</f>
        <v>-96617.010959999985</v>
      </c>
      <c r="I119" s="26">
        <f>I101+I107+I113</f>
        <v>-79755.426689999993</v>
      </c>
      <c r="J119" s="26">
        <f>J101+J107+J113+J202/1000</f>
        <v>-65465.879810000006</v>
      </c>
      <c r="K119" s="26">
        <f>K101+K107+K113+K202/1000</f>
        <v>-81658.093440000011</v>
      </c>
      <c r="L119" s="26">
        <f>L101+L107+L113+L202/1000</f>
        <v>-60598.200220000006</v>
      </c>
      <c r="M119" s="26">
        <f>M101+M107+M113-J202/1000</f>
        <v>-66214.313509999993</v>
      </c>
      <c r="N119" s="64">
        <f>SUM(B119:M119)</f>
        <v>-898518.4204099999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-11347.267410000015</v>
      </c>
      <c r="H120" s="56">
        <f t="shared" si="11"/>
        <v>-8026.8920463999821</v>
      </c>
      <c r="I120" s="56">
        <f t="shared" si="11"/>
        <v>-6034.8593779999937</v>
      </c>
      <c r="J120" s="56">
        <f t="shared" si="11"/>
        <v>9061.9782339999874</v>
      </c>
      <c r="K120" s="56">
        <f t="shared" si="11"/>
        <v>14735.159003999957</v>
      </c>
      <c r="L120" s="56">
        <f t="shared" si="11"/>
        <v>13832.727139999995</v>
      </c>
      <c r="M120" s="56">
        <f>SUM(M118:M119)</f>
        <v>19057.614170000015</v>
      </c>
      <c r="N120" s="65">
        <f>SUM(B120:M120)</f>
        <v>71095.97603359996</v>
      </c>
      <c r="O120" s="65">
        <f>'FO 5 jul-19'!N120+P112+O108</f>
        <v>71095.97603359996</v>
      </c>
      <c r="P120" s="133">
        <f>O120-N120</f>
        <v>0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83700.459713599965</v>
      </c>
      <c r="O121" s="38"/>
      <c r="P121" s="156">
        <f>-P112+K202/1000+L202/1000</f>
        <v>18897.022361199954</v>
      </c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59094.125492374209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21955.75109000002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62780.588492374212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909849.85932937427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0.7463785435294118</v>
      </c>
      <c r="C125" s="43">
        <f>B125*4</f>
        <v>2.9855141741176472</v>
      </c>
      <c r="Z125" s="89"/>
      <c r="AA125" s="89"/>
    </row>
    <row r="126" spans="1:30" ht="15" hidden="1">
      <c r="A126" s="42" t="s">
        <v>120</v>
      </c>
      <c r="B126" s="43">
        <f>-AVERAGE(B82:BA82)/1000000</f>
        <v>5.9033992327450964</v>
      </c>
      <c r="C126" s="43">
        <f>B126*4</f>
        <v>23.613596930980385</v>
      </c>
      <c r="S126" s="92" t="s">
        <v>144</v>
      </c>
      <c r="U126" s="104">
        <f>T124-U124</f>
        <v>-11805.281507625667</v>
      </c>
      <c r="X126" s="104">
        <f>W124-X124</f>
        <v>-19159.934163000027</v>
      </c>
      <c r="Z126" s="89"/>
      <c r="AA126" s="89">
        <f>Z124-AA124</f>
        <v>-30965.215670625679</v>
      </c>
      <c r="AB126" s="112">
        <f>(X126+U126)/(T122+W122)</f>
        <v>-9.7646357724183536E-2</v>
      </c>
      <c r="AC126" s="111">
        <f>AA126/Z124</f>
        <v>-3.4033324677820255E-2</v>
      </c>
    </row>
    <row r="127" spans="1:30" ht="15" hidden="1">
      <c r="A127" s="42" t="s">
        <v>121</v>
      </c>
      <c r="B127" s="43">
        <f>-(AVERAGE(B89:BA89)+AVERAGE(B68:BA68))/1000000</f>
        <v>4.4135185750980384</v>
      </c>
      <c r="C127" s="43">
        <f>B127*4</f>
        <v>17.654074300392153</v>
      </c>
      <c r="Z127" s="89"/>
      <c r="AA127" s="89"/>
    </row>
    <row r="128" spans="1:30" ht="15.75" hidden="1">
      <c r="A128" s="44" t="s">
        <v>104</v>
      </c>
      <c r="B128" s="45">
        <f>SUM(B124:B127)</f>
        <v>12.772825136274507</v>
      </c>
      <c r="C128" s="45">
        <f>SUM(C124:C127)</f>
        <v>51.091300545098029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-2939.9788196257959</v>
      </c>
      <c r="U134" s="14"/>
      <c r="V134" s="83">
        <f>W134/W138</f>
        <v>4.30617366058497E-2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14.507363550572199</v>
      </c>
      <c r="C136" s="45">
        <f>C128+C131+C134</f>
        <v>58.029454202288797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-34851.478982267436</v>
      </c>
      <c r="U137" s="101">
        <f>'[1]Proy. 2018'!$D$116-'[1]Proy. 2018'!$C$116-U136</f>
        <v>-38522.038500000075</v>
      </c>
      <c r="V137" s="103"/>
      <c r="W137" s="101">
        <f>SUM(AK31:BA92)/1000-SUM(W132:W136)</f>
        <v>-181950.59238086009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28.294130370459051</v>
      </c>
      <c r="C138" s="47">
        <f>C136+C137</f>
        <v>71.816221022175654</v>
      </c>
      <c r="S138" s="40" t="s">
        <v>133</v>
      </c>
      <c r="T138" s="80">
        <f>I101</f>
        <v>-68273.577689999991</v>
      </c>
      <c r="W138" s="80">
        <f>SUM(AK93:BA93)/1000</f>
        <v>-239943.52792999998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-79755.426689999993</v>
      </c>
      <c r="W141" s="80">
        <f>SUM(W138:W140)</f>
        <v>-284983.81492999999</v>
      </c>
      <c r="X141" s="24"/>
      <c r="Z141" s="80">
        <f>R141+T141+W141</f>
        <v>-947389.24161999999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-65333.598870374197</v>
      </c>
      <c r="U143" s="80">
        <f>U145-U144</f>
        <v>-54186.39900000018</v>
      </c>
      <c r="W143" s="80">
        <f>W138-W134</f>
        <v>-229611.14292999997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-68815.447870374192</v>
      </c>
      <c r="U145" s="85">
        <f>'[1]Proy. 2018'!$D$61</f>
        <v>-57037.396000000183</v>
      </c>
      <c r="W145" s="85">
        <f>SUM(W143:W144)</f>
        <v>-242651.42992999998</v>
      </c>
      <c r="X145" s="85">
        <f>SUM('[1]Proy. 2018'!$E$61:$H$61)</f>
        <v>-260447.245</v>
      </c>
      <c r="Z145" s="85">
        <f>R141+T145+W145</f>
        <v>-894116.87780037418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-11778.051870374009</v>
      </c>
      <c r="V147" s="40"/>
      <c r="W147" s="40"/>
      <c r="X147" s="104">
        <f>W145-X145</f>
        <v>17795.815070000011</v>
      </c>
      <c r="Z147" s="90"/>
      <c r="AA147" s="89">
        <f>Z145-AA145</f>
        <v>6017.7631996260025</v>
      </c>
      <c r="AB147" s="112">
        <f>(X147+U147)/(W145+T145)</f>
        <v>-1.9320716353932555E-2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-13342.317870374121</v>
      </c>
      <c r="V149" s="106"/>
      <c r="W149" s="106"/>
      <c r="X149" s="106">
        <f>W132-X132+W136-X136+W137-X137</f>
        <v>9399.1260699999984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-4598.8522200000007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15732.981528999982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-23770.236531000017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-24947.452470999677</v>
      </c>
    </row>
    <row r="157" spans="1:30" ht="12.75" hidden="1">
      <c r="A157" s="18">
        <v>-8256517.8300000001</v>
      </c>
      <c r="AA157" s="10">
        <f>Z154-AA154</f>
        <v>-24947.452470999793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>
        <v>12375900</v>
      </c>
      <c r="J202" s="154">
        <v>6217650</v>
      </c>
      <c r="K202" s="154">
        <v>6217650</v>
      </c>
      <c r="L202" s="154">
        <v>12399600</v>
      </c>
    </row>
    <row r="203" spans="1:12" ht="12.75">
      <c r="A203" s="9" t="s">
        <v>314</v>
      </c>
      <c r="H203" s="157">
        <v>43650</v>
      </c>
      <c r="J203" s="155">
        <v>43718</v>
      </c>
      <c r="K203" s="155">
        <v>43748</v>
      </c>
      <c r="L203" s="155">
        <v>43779</v>
      </c>
    </row>
    <row r="204" spans="1:12" ht="12.75">
      <c r="H204" s="157">
        <v>43735</v>
      </c>
      <c r="J204" s="155">
        <f>J203+90</f>
        <v>43808</v>
      </c>
      <c r="K204" s="155">
        <f t="shared" ref="K204:L204" si="12">K203+90</f>
        <v>43838</v>
      </c>
      <c r="L204" s="155">
        <f t="shared" si="12"/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BB204"/>
  <sheetViews>
    <sheetView showGridLines="0" topLeftCell="A99" zoomScale="80" zoomScaleNormal="80" workbookViewId="0">
      <pane xSplit="1" topLeftCell="H1" activePane="topRight" state="frozen"/>
      <selection pane="topRight" activeCell="H119" sqref="H119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317</v>
      </c>
      <c r="AB1" s="17" t="s">
        <v>318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/>
      <c r="Z2" s="143"/>
      <c r="AA2" s="125">
        <f>AA93-'FO 28 jun-19'!AA93</f>
        <v>5904229.2899999991</v>
      </c>
      <c r="AB2" s="125">
        <f>AB93-'FO 28 jun-19'!AB93</f>
        <v>-1816345.42</v>
      </c>
      <c r="AC2" s="125">
        <f>AC93-'FO 28 jun-19'!AC93</f>
        <v>2423183.5600000024</v>
      </c>
      <c r="AD2" s="125">
        <f>AD93-'FO 28 jun-19'!AD93</f>
        <v>-3964942.4299999997</v>
      </c>
      <c r="AE2" s="143">
        <f>AE93-'FO 28 jun-19'!AE93</f>
        <v>1119816.9699999988</v>
      </c>
      <c r="AF2" s="125">
        <f>AF93-'FO 28 jun-19'!AF93</f>
        <v>246425.63000000268</v>
      </c>
      <c r="AG2" s="125">
        <f>AG93-'FO 28 jun-19'!AG93</f>
        <v>99329.589999999851</v>
      </c>
      <c r="AH2" s="125">
        <f>AH93-'FO 28 jun-19'!AH93</f>
        <v>388481.95000000112</v>
      </c>
      <c r="AI2" s="143">
        <f>AI93-'FO 28 jun-19'!AI93</f>
        <v>-47620.569999996573</v>
      </c>
      <c r="AJ2" s="125">
        <f>AJ93-'FO 28 jun-19'!AJ93</f>
        <v>21620.61999999918</v>
      </c>
      <c r="AK2" s="125">
        <f>AK93-'FO 28 jun-19'!AK93</f>
        <v>-199244.74000000209</v>
      </c>
      <c r="AL2" s="125">
        <f>AL93-'FO 28 jun-19'!AL93</f>
        <v>71953.35000000149</v>
      </c>
      <c r="AM2" s="143">
        <f>AM93-'FO 28 jun-19'!AM93</f>
        <v>1744569.3800000027</v>
      </c>
      <c r="AN2" s="125">
        <f>AN93-'FO 28 jun-19'!AN93</f>
        <v>49603.990000002086</v>
      </c>
      <c r="AO2" s="125">
        <f>AO93-'FO 28 jun-19'!AO93</f>
        <v>49603.989999998361</v>
      </c>
      <c r="AP2" s="125">
        <f>AP93-'FO 28 jun-19'!AP93</f>
        <v>-2158008.9800000004</v>
      </c>
      <c r="AQ2" s="125">
        <f>AQ93-'FO 28 jun-19'!AQ93</f>
        <v>50237.820000000298</v>
      </c>
      <c r="AR2" s="143">
        <f>AR93-'FO 28 jun-19'!AR93</f>
        <v>53186.5</v>
      </c>
      <c r="AS2" s="125">
        <f>AS93-'FO 28 jun-19'!AS93</f>
        <v>36266.039999999106</v>
      </c>
      <c r="AT2" s="125">
        <f>AT93-'FO 28 jun-19'!AT93</f>
        <v>31801.669999994338</v>
      </c>
      <c r="AU2" s="125">
        <f>AU93-'FO 28 jun-19'!AU93</f>
        <v>1179858.7000000011</v>
      </c>
      <c r="AV2" s="143">
        <f>AV93-'FO 28 jun-19'!AV93</f>
        <v>49163.080000000075</v>
      </c>
      <c r="AW2" s="125">
        <f>AW93-'FO 28 jun-19'!AW93</f>
        <v>0</v>
      </c>
      <c r="AX2" s="13">
        <f>AX93-'FO 28 jun-19'!AX93</f>
        <v>0</v>
      </c>
      <c r="AY2" s="13">
        <f>AY93-'FO 28 jun-19'!AY93</f>
        <v>1099390</v>
      </c>
      <c r="AZ2" s="13">
        <f>AZ93-'FO 28 jun-19'!AZ93</f>
        <v>0</v>
      </c>
      <c r="BA2" s="13">
        <f>BA93-'FO 28 jun-19'!BA93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16444946.720000001</v>
      </c>
      <c r="AA30" s="20">
        <v>14353658.390000001</v>
      </c>
      <c r="AB30" s="20">
        <v>16025614.351200005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832505.32583479967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-365967.86</v>
      </c>
      <c r="AB42" s="24">
        <v>-396148.4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-10039.66624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-106730.5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-4679.4735500000006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-2497574.42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-38065.305719999997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-2020121.78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-41735.5985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0</v>
      </c>
      <c r="AB59" s="24">
        <v>-38280.82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-9085.9503999999961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0</v>
      </c>
      <c r="AB61" s="19">
        <v>-143791.47999999998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0</v>
      </c>
      <c r="AB62" s="24">
        <v>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-1057.5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0</v>
      </c>
      <c r="AB65" s="24">
        <v>0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-4141.485200000001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0</v>
      </c>
      <c r="AB67" s="24">
        <v>0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-7078.4991500000006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0</v>
      </c>
      <c r="AB68" s="24">
        <v>0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-47289.216820000001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0</v>
      </c>
      <c r="AB73" s="16">
        <v>0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-14822.306259999999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0</v>
      </c>
      <c r="AB75" s="24">
        <v>-312.22000000000003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-12875.335780000003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0</v>
      </c>
      <c r="AB79" s="24">
        <v>0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-1536.1854100000003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-10033212.369999999</v>
      </c>
      <c r="AB82" s="121">
        <v>-7921188.5099999998</v>
      </c>
      <c r="AC82" s="121">
        <v>-7353285.9800000004</v>
      </c>
      <c r="AD82" s="121">
        <v>-9785286.2300000004</v>
      </c>
      <c r="AE82" s="120">
        <v>-7103055.5800000001</v>
      </c>
      <c r="AF82" s="121">
        <v>-16714198.65</v>
      </c>
      <c r="AG82" s="121">
        <v>-6489592.3799999999</v>
      </c>
      <c r="AH82" s="121">
        <v>-4870799.91</v>
      </c>
      <c r="AI82" s="120">
        <v>-4206712.7699999996</v>
      </c>
      <c r="AJ82" s="121">
        <v>-3428422.49</v>
      </c>
      <c r="AK82" s="121">
        <v>-11968174.609999999</v>
      </c>
      <c r="AL82" s="121">
        <v>-3163193.84</v>
      </c>
      <c r="AM82" s="120">
        <v>-14292561.289999999</v>
      </c>
      <c r="AN82" s="121">
        <v>-3372908.65</v>
      </c>
      <c r="AO82" s="121">
        <v>-10302588.4</v>
      </c>
      <c r="AP82" s="121">
        <v>-6855471.4500000002</v>
      </c>
      <c r="AQ82" s="121">
        <v>-3472655.5</v>
      </c>
      <c r="AR82" s="120">
        <v>-3474126.99</v>
      </c>
      <c r="AS82" s="121">
        <v>-3565147.75</v>
      </c>
      <c r="AT82" s="121">
        <v>-17475280.010000002</v>
      </c>
      <c r="AU82" s="121">
        <v>-3484479.01</v>
      </c>
      <c r="AV82" s="120">
        <v>-1878504.81</v>
      </c>
      <c r="AW82" s="121">
        <v>-1629179.61</v>
      </c>
      <c r="AX82" s="19">
        <v>-1631644.89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-300190.38148999994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0</v>
      </c>
      <c r="AB87" s="24">
        <v>0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-1075.3355999999999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-2427.6530400000001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-9044567.5799999982</v>
      </c>
      <c r="AB89" s="24">
        <v>-5813639.6799999997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-174208.77898999999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0</v>
      </c>
      <c r="AB90" s="24">
        <v>0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-442.3151499999999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0</v>
      </c>
      <c r="AB92" s="24">
        <v>0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-30562.628180000014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-26318898.010000002</v>
      </c>
      <c r="AA93" s="18">
        <v>-13625629.18</v>
      </c>
      <c r="AB93" s="18">
        <v>-17385123.890000001</v>
      </c>
      <c r="AC93" s="18">
        <v>-18424578.780000001</v>
      </c>
      <c r="AD93" s="18">
        <v>-16002738.440000001</v>
      </c>
      <c r="AE93" s="32">
        <v>-17683048.449999999</v>
      </c>
      <c r="AF93" s="18">
        <v>-24548745.889999997</v>
      </c>
      <c r="AG93" s="18">
        <v>-18285020.489999998</v>
      </c>
      <c r="AH93" s="18">
        <v>-13489480.370000001</v>
      </c>
      <c r="AI93" s="32">
        <v>-13696301.829999998</v>
      </c>
      <c r="AJ93" s="18">
        <v>-8308459.8900000006</v>
      </c>
      <c r="AK93" s="18">
        <v>-22245200.350000001</v>
      </c>
      <c r="AL93" s="18">
        <v>-11493764.59</v>
      </c>
      <c r="AM93" s="32">
        <v>-19099059.419999998</v>
      </c>
      <c r="AN93" s="18">
        <v>-14469511.260000002</v>
      </c>
      <c r="AO93" s="18">
        <v>-17036775.970000003</v>
      </c>
      <c r="AP93" s="18">
        <v>-20884169.060000002</v>
      </c>
      <c r="AQ93" s="18">
        <v>-9750778.6500000022</v>
      </c>
      <c r="AR93" s="32">
        <v>-14396349.300000001</v>
      </c>
      <c r="AS93" s="18">
        <v>-10040627.959999999</v>
      </c>
      <c r="AT93" s="18">
        <v>-29111975.860000007</v>
      </c>
      <c r="AU93" s="18">
        <v>-12117064.849999998</v>
      </c>
      <c r="AV93" s="32">
        <v>-10539070.669999998</v>
      </c>
      <c r="AW93" s="18">
        <v>-5776940.6600000001</v>
      </c>
      <c r="AX93" s="18">
        <v>-18270252.879999999</v>
      </c>
      <c r="AY93" s="18">
        <v>-9287368.8800000008</v>
      </c>
      <c r="AZ93" s="18">
        <v>-6053435.1699999999</v>
      </c>
      <c r="BA93" s="18">
        <v>-9487115.9199999999</v>
      </c>
      <c r="BB93" s="37">
        <f>SUM(B93:BA93)/1000</f>
        <v>-781859.70943999966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:AA94" si="3">S30+S93</f>
        <v>4053118.3300000038</v>
      </c>
      <c r="T94" s="21">
        <f t="shared" si="3"/>
        <v>-4858120.33</v>
      </c>
      <c r="U94" s="21">
        <f t="shared" si="3"/>
        <v>-1478016.3599999975</v>
      </c>
      <c r="V94" s="36">
        <f t="shared" si="3"/>
        <v>-14088.769999999553</v>
      </c>
      <c r="W94" s="21">
        <f t="shared" si="3"/>
        <v>-1644028.3200000003</v>
      </c>
      <c r="X94" s="21">
        <f t="shared" si="3"/>
        <v>-3791137.3500000015</v>
      </c>
      <c r="Y94" s="21">
        <f t="shared" si="3"/>
        <v>3737626.5499999989</v>
      </c>
      <c r="Z94" s="36">
        <f t="shared" si="3"/>
        <v>-9873951.290000001</v>
      </c>
      <c r="AA94" s="21">
        <f t="shared" si="3"/>
        <v>728029.21000000089</v>
      </c>
      <c r="AB94" s="21">
        <v>-1359509.5387999956</v>
      </c>
      <c r="AC94" s="21">
        <v>-2618393.0988000017</v>
      </c>
      <c r="AD94" s="21">
        <v>-11393.248800003901</v>
      </c>
      <c r="AE94" s="36">
        <v>-1792271.7587999944</v>
      </c>
      <c r="AF94" s="21">
        <v>-8729921.7269999962</v>
      </c>
      <c r="AG94" s="21">
        <v>-2664804.536999993</v>
      </c>
      <c r="AH94" s="21">
        <v>1730571.8830000013</v>
      </c>
      <c r="AI94" s="36">
        <v>1678710.1130000018</v>
      </c>
      <c r="AJ94" s="21">
        <v>7119849.8010000046</v>
      </c>
      <c r="AK94" s="21">
        <v>-6731616.9190000053</v>
      </c>
      <c r="AL94" s="21">
        <v>4342000.501000002</v>
      </c>
      <c r="AM94" s="36">
        <v>-3222072.588999996</v>
      </c>
      <c r="AN94" s="21">
        <v>2421427.1127999984</v>
      </c>
      <c r="AO94" s="21">
        <v>-111491.24720000476</v>
      </c>
      <c r="AP94" s="21">
        <v>-3892081.3971999995</v>
      </c>
      <c r="AQ94" s="21">
        <v>7225595.5327999927</v>
      </c>
      <c r="AR94" s="36">
        <v>2370371.2027999945</v>
      </c>
      <c r="AS94" s="21">
        <v>5377726.3499999996</v>
      </c>
      <c r="AT94" s="21">
        <v>-13944441.240000011</v>
      </c>
      <c r="AU94" s="21">
        <v>4063247.92</v>
      </c>
      <c r="AV94" s="36">
        <v>5162503.9900000058</v>
      </c>
      <c r="AW94" s="21">
        <v>9426119.0700000059</v>
      </c>
      <c r="AX94" s="21">
        <v>-2762288.6300000008</v>
      </c>
      <c r="AY94" s="21">
        <v>9321497.7700000014</v>
      </c>
      <c r="AZ94" s="21">
        <v>13362498.860000005</v>
      </c>
      <c r="BA94" s="21">
        <v>-4114266.8999999994</v>
      </c>
      <c r="BB94" s="37">
        <f>SUM(B94:BA94)/1000</f>
        <v>50645.61639480001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60674.244009999995</v>
      </c>
      <c r="H100" s="60">
        <f>SUM(AA30:AE30)/1000+H97</f>
        <v>78067.580304800009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832505.32583480002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-72245.734420000008</v>
      </c>
      <c r="H101" s="60">
        <f>SUM(AA93:AE93)/1000+H98</f>
        <v>-83121.118740000005</v>
      </c>
      <c r="I101" s="39">
        <f>SUM(AF93:AI93)/1000+I98</f>
        <v>-70019.548580000002</v>
      </c>
      <c r="J101" s="39">
        <f>SUM(AJ93:AM93)/1000+J98</f>
        <v>-61146.484250000001</v>
      </c>
      <c r="K101" s="39">
        <f>SUM(AN93:AR93)/1000+K98</f>
        <v>-76537.584240000011</v>
      </c>
      <c r="L101" s="39">
        <f>SUM(AS93:AV93)/1000+L98</f>
        <v>-61808.73934</v>
      </c>
      <c r="M101" s="39">
        <f>SUM(AW93:BA93)/1000+M98</f>
        <v>-48875.113510000003</v>
      </c>
      <c r="N101" s="60">
        <f>SUM(B101:M101)</f>
        <v>-781859.70944000001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-11571.490410000013</v>
      </c>
      <c r="H102" s="60">
        <f t="shared" si="4"/>
        <v>-5053.5384351999965</v>
      </c>
      <c r="I102" s="60">
        <f t="shared" si="4"/>
        <v>-7985.4442679999993</v>
      </c>
      <c r="J102" s="60">
        <f t="shared" si="4"/>
        <v>1508.1607939999958</v>
      </c>
      <c r="K102" s="60">
        <f t="shared" si="4"/>
        <v>8013.8212039999635</v>
      </c>
      <c r="L102" s="60">
        <f t="shared" si="4"/>
        <v>659.03701999998884</v>
      </c>
      <c r="M102" s="60">
        <f>SUM(M100:M101)</f>
        <v>25233.560170000004</v>
      </c>
      <c r="N102" s="60">
        <f>SUM(B102:M102)</f>
        <v>50645.61639479993</v>
      </c>
      <c r="O102" s="133">
        <f>BB94-N102+SUM(F97:M98)</f>
        <v>8.0035533756017685E-11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28 jun-19'!N100</f>
        <v>-1759.3661711998284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28 jun-19'!N100</f>
        <v>-1759.3661711998284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6432.5599900000043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14 jun-19'!B108:M108)</f>
        <v>0</v>
      </c>
      <c r="P108" s="133">
        <f>N101-'FO 28 jun-19'!N101</f>
        <v>6432.5599899999797</v>
      </c>
      <c r="Q108" s="61" t="s">
        <v>103</v>
      </c>
      <c r="R108" s="63"/>
      <c r="S108" s="23" t="s">
        <v>126</v>
      </c>
      <c r="T108" s="115">
        <f>SUM(AB47:BA50)/1000-SUM('FO 28 jun-19'!AB47:BA50)/1000</f>
        <v>828.1514500000012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SUM(AB82:BA82)/1000-SUM('FO 28 jun-19'!AB82:BA82)/1000</f>
        <v>-137.5582899999863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SUM(AB31:BA92)/1000-SUM('FO 28 jun-19'!AB31:BA92)/1000-T108-T109</f>
        <v>-162.26245999990715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28 jun-19'!N102</f>
        <v>4673.1938187999694</v>
      </c>
      <c r="Q111" s="119"/>
      <c r="S111" s="70" t="s">
        <v>129</v>
      </c>
      <c r="T111" s="77">
        <f>SUM(T108:T110)</f>
        <v>528.33070000010775</v>
      </c>
      <c r="U111" s="71">
        <f>AA2/1000</f>
        <v>5904.2292899999993</v>
      </c>
      <c r="V111" s="133">
        <f>SUM(T111:U111)</f>
        <v>6432.5599900001071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4673.1938188001513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3013.7072252219846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72347.11400999999</v>
      </c>
      <c r="H118" s="26">
        <f>H100+H106+H112</f>
        <v>89606.020304800011</v>
      </c>
      <c r="I118" s="26">
        <f t="shared" si="10"/>
        <v>73720.567311999999</v>
      </c>
      <c r="J118" s="26">
        <f t="shared" si="10"/>
        <v>74527.858043999993</v>
      </c>
      <c r="K118" s="26">
        <f t="shared" si="10"/>
        <v>96393.252443999969</v>
      </c>
      <c r="L118" s="26">
        <f t="shared" si="10"/>
        <v>74430.927360000001</v>
      </c>
      <c r="M118" s="26">
        <f t="shared" si="10"/>
        <v>85271.927680000008</v>
      </c>
      <c r="N118" s="64">
        <f>SUM(B118:M118)</f>
        <v>970630.29783479986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-83694.381420000005</v>
      </c>
      <c r="H119" s="26">
        <f>H101+H107+H113+H202/1000</f>
        <v>-82376.797740000009</v>
      </c>
      <c r="I119" s="26">
        <f>I101+I107+I113</f>
        <v>-81501.397580000004</v>
      </c>
      <c r="J119" s="26">
        <f>J101+J107+J113+J202/1000-H202/1000</f>
        <v>-78771.897250000009</v>
      </c>
      <c r="K119" s="26">
        <f>K101+K107+K113+K202/1000</f>
        <v>-81642.964240000016</v>
      </c>
      <c r="L119" s="26">
        <f>L101+L107+L113+L202/1000</f>
        <v>-60537.683340000011</v>
      </c>
      <c r="M119" s="26">
        <f>M101+M107+M113-J202/1000</f>
        <v>-66214.313509999993</v>
      </c>
      <c r="N119" s="64">
        <f>SUM(B119:M119)</f>
        <v>-899254.54944000009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-11347.267410000015</v>
      </c>
      <c r="H120" s="56">
        <f t="shared" si="11"/>
        <v>7229.2225648000021</v>
      </c>
      <c r="I120" s="56">
        <f t="shared" si="11"/>
        <v>-7780.8302680000052</v>
      </c>
      <c r="J120" s="56">
        <f t="shared" si="11"/>
        <v>-4244.0392060000158</v>
      </c>
      <c r="K120" s="56">
        <f t="shared" si="11"/>
        <v>14750.288203999953</v>
      </c>
      <c r="L120" s="56">
        <f t="shared" si="11"/>
        <v>13893.244019999991</v>
      </c>
      <c r="M120" s="56">
        <f>SUM(M118:M119)</f>
        <v>19057.614170000015</v>
      </c>
      <c r="N120" s="65">
        <f>SUM(B120:M120)</f>
        <v>71375.748394799914</v>
      </c>
      <c r="O120" s="65">
        <f>'FO 28 jun-19'!N120+P112+O108</f>
        <v>71375.748394800117</v>
      </c>
      <c r="P120" s="133">
        <f>O120-N120</f>
        <v>2.0372681319713593E-10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83980.232074799918</v>
      </c>
      <c r="O121" s="38"/>
      <c r="P121" s="156">
        <f>-P112+K202/1000+L202/1000</f>
        <v>13944.056181199849</v>
      </c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59020.397086778015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21955.75109000002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62706.860086778019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909776.13092377805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0.7463785435294118</v>
      </c>
      <c r="C125" s="43">
        <f>B125*4</f>
        <v>2.9855141741176472</v>
      </c>
      <c r="Z125" s="89"/>
      <c r="AA125" s="89"/>
    </row>
    <row r="126" spans="1:30" ht="15" hidden="1">
      <c r="A126" s="42" t="s">
        <v>120</v>
      </c>
      <c r="B126" s="43">
        <f>-AVERAGE(B82:BA82)/1000000</f>
        <v>5.8860859115686264</v>
      </c>
      <c r="C126" s="43">
        <f>B126*4</f>
        <v>23.544343646274505</v>
      </c>
      <c r="S126" s="92" t="s">
        <v>144</v>
      </c>
      <c r="U126" s="104">
        <f>T124-U124</f>
        <v>-11879.00991322186</v>
      </c>
      <c r="X126" s="104">
        <f>W124-X124</f>
        <v>-19159.934163000027</v>
      </c>
      <c r="Z126" s="89"/>
      <c r="AA126" s="89">
        <f>Z124-AA124</f>
        <v>-31038.944076221902</v>
      </c>
      <c r="AB126" s="112">
        <f>(X126+U126)/(T122+W122)</f>
        <v>-9.7901616220109788E-2</v>
      </c>
      <c r="AC126" s="111">
        <f>AA126/Z124</f>
        <v>-3.4117122906604784E-2</v>
      </c>
    </row>
    <row r="127" spans="1:30" ht="15" hidden="1">
      <c r="A127" s="42" t="s">
        <v>121</v>
      </c>
      <c r="B127" s="43">
        <f>-(AVERAGE(B89:BA89)+AVERAGE(B68:BA68))/1000000</f>
        <v>4.3430979570588235</v>
      </c>
      <c r="C127" s="43">
        <f>B127*4</f>
        <v>17.372391828235294</v>
      </c>
      <c r="Z127" s="89"/>
      <c r="AA127" s="89"/>
    </row>
    <row r="128" spans="1:30" ht="15.75" hidden="1">
      <c r="A128" s="44" t="s">
        <v>104</v>
      </c>
      <c r="B128" s="45">
        <f>SUM(B124:B127)</f>
        <v>12.685091197058822</v>
      </c>
      <c r="C128" s="45">
        <f>SUM(C124:C127)</f>
        <v>50.74036478823529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-3013.7072252219846</v>
      </c>
      <c r="U134" s="14"/>
      <c r="V134" s="83">
        <f>W134/W138</f>
        <v>4.3040940513615414E-2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14.419629611356514</v>
      </c>
      <c r="C136" s="45">
        <f>C128+C131+C134</f>
        <v>57.678518445426057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-36523.721466671253</v>
      </c>
      <c r="U137" s="101">
        <f>'[1]Proy. 2018'!$D$116-'[1]Proy. 2018'!$C$116-U136</f>
        <v>-38522.038500000075</v>
      </c>
      <c r="V137" s="103"/>
      <c r="W137" s="101">
        <f>SUM(AK31:BA92)/1000-SUM(W132:W136)</f>
        <v>-182066.52590086003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28.20639643124337</v>
      </c>
      <c r="C138" s="47">
        <f>C136+C137</f>
        <v>71.465285265312914</v>
      </c>
      <c r="S138" s="40" t="s">
        <v>133</v>
      </c>
      <c r="T138" s="80">
        <f>I101</f>
        <v>-70019.548580000002</v>
      </c>
      <c r="W138" s="80">
        <f>SUM(AK93:BA93)/1000</f>
        <v>-240059.46144999994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-81501.397580000004</v>
      </c>
      <c r="W141" s="80">
        <f>SUM(W138:W140)</f>
        <v>-285099.74844999996</v>
      </c>
      <c r="X141" s="24"/>
      <c r="Z141" s="80">
        <f>R141+T141+W141</f>
        <v>-949251.14602999995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-67005.841354778022</v>
      </c>
      <c r="U143" s="80">
        <f>U145-U144</f>
        <v>-54186.39900000018</v>
      </c>
      <c r="W143" s="80">
        <f>W138-W134</f>
        <v>-229727.07644999993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-70487.690354778024</v>
      </c>
      <c r="U145" s="85">
        <f>'[1]Proy. 2018'!$D$61</f>
        <v>-57037.396000000183</v>
      </c>
      <c r="W145" s="85">
        <f>SUM(W143:W144)</f>
        <v>-242767.36344999995</v>
      </c>
      <c r="X145" s="85">
        <f>SUM('[1]Proy. 2018'!$E$61:$H$61)</f>
        <v>-260447.245</v>
      </c>
      <c r="Z145" s="85">
        <f>R141+T145+W145</f>
        <v>-895905.05380477791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-13450.294354777841</v>
      </c>
      <c r="V147" s="40"/>
      <c r="W147" s="40"/>
      <c r="X147" s="104">
        <f>W145-X145</f>
        <v>17679.881550000049</v>
      </c>
      <c r="Z147" s="90"/>
      <c r="AA147" s="89">
        <f>Z145-AA145</f>
        <v>4229.587195222266</v>
      </c>
      <c r="AB147" s="112">
        <f>(X147+U147)/(W145+T145)</f>
        <v>-1.3502055733338963E-2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-15014.560354777939</v>
      </c>
      <c r="V149" s="106"/>
      <c r="W149" s="106"/>
      <c r="X149" s="106">
        <f>W132-X132+W136-X136+W137-X137</f>
        <v>9283.1925500000652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-6460.7566299999598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13871.077119000023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-25632.140940999976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-26809.356880999636</v>
      </c>
    </row>
    <row r="157" spans="1:30" ht="12.75" hidden="1">
      <c r="A157" s="18">
        <v>-8256517.8300000001</v>
      </c>
      <c r="AA157" s="10">
        <f>Z154-AA154</f>
        <v>-26809.356880999752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>
        <v>12375900</v>
      </c>
      <c r="J202" s="154">
        <v>6217650</v>
      </c>
      <c r="K202" s="154">
        <v>6217650</v>
      </c>
      <c r="L202" s="154">
        <v>12399600</v>
      </c>
    </row>
    <row r="203" spans="1:12" ht="12.75">
      <c r="A203" s="9" t="s">
        <v>314</v>
      </c>
      <c r="H203" s="155">
        <v>43650</v>
      </c>
      <c r="J203" s="155">
        <v>43721</v>
      </c>
      <c r="K203" s="155">
        <v>43751</v>
      </c>
      <c r="L203" s="155">
        <v>43782</v>
      </c>
    </row>
    <row r="204" spans="1:12" ht="12.75">
      <c r="H204" s="155">
        <v>43735</v>
      </c>
      <c r="J204" s="155">
        <v>43808</v>
      </c>
      <c r="K204" s="155">
        <v>43838</v>
      </c>
      <c r="L204" s="155"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BB204"/>
  <sheetViews>
    <sheetView showGridLines="0" topLeftCell="A96" zoomScale="80" zoomScaleNormal="80" workbookViewId="0">
      <pane xSplit="1" topLeftCell="H1" activePane="topRight" state="frozen"/>
      <selection pane="topRight" activeCell="H119" sqref="H119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317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/>
      <c r="Z2" s="143">
        <f>Z93-'FO 21 jun-19'!Z93</f>
        <v>6477144.6400000006</v>
      </c>
      <c r="AA2" s="125">
        <f>AA93-'FO 21 jun-19'!AA93</f>
        <v>-7933121.8299999982</v>
      </c>
      <c r="AB2" s="125">
        <f>AB93-'FO 21 jun-19'!AB93</f>
        <v>-538212.84999999963</v>
      </c>
      <c r="AC2" s="125">
        <f>AC93-'FO 21 jun-19'!AC93</f>
        <v>2720414.7699999996</v>
      </c>
      <c r="AD2" s="125">
        <f>AD93-'FO 21 jun-19'!AD93</f>
        <v>270837.8200000003</v>
      </c>
      <c r="AE2" s="143">
        <f>AE93-'FO 21 jun-19'!AE93</f>
        <v>378478.48000000045</v>
      </c>
      <c r="AF2" s="125">
        <f>AF93-'FO 21 jun-19'!AF93</f>
        <v>7244.5599999986589</v>
      </c>
      <c r="AG2" s="125">
        <f>AG93-'FO 21 jun-19'!AG93</f>
        <v>0</v>
      </c>
      <c r="AH2" s="125">
        <f>AH93-'FO 21 jun-19'!AH93</f>
        <v>-26042.090000001714</v>
      </c>
      <c r="AI2" s="143">
        <f>AI93-'FO 21 jun-19'!AI93</f>
        <v>-118470.99000000209</v>
      </c>
      <c r="AJ2" s="125">
        <f>AJ93-'FO 21 jun-19'!AJ93</f>
        <v>43927.810000000522</v>
      </c>
      <c r="AK2" s="125">
        <f>AK93-'FO 21 jun-19'!AK93</f>
        <v>18264.190000001341</v>
      </c>
      <c r="AL2" s="125">
        <f>AL93-'FO 21 jun-19'!AL93</f>
        <v>-1736.140000000596</v>
      </c>
      <c r="AM2" s="143">
        <f>AM93-'FO 21 jun-19'!AM93</f>
        <v>0</v>
      </c>
      <c r="AN2" s="125">
        <f>AN93-'FO 21 jun-19'!AN93</f>
        <v>0</v>
      </c>
      <c r="AO2" s="125">
        <f>AO93-'FO 21 jun-19'!AO93</f>
        <v>0</v>
      </c>
      <c r="AP2" s="125">
        <f>AP93-'FO 21 jun-19'!AP93</f>
        <v>-1736.140000000596</v>
      </c>
      <c r="AQ2" s="125">
        <f>AQ93-'FO 21 jun-19'!AQ93</f>
        <v>0</v>
      </c>
      <c r="AR2" s="143">
        <f>AR93-'FO 21 jun-19'!AR93</f>
        <v>-3472.2800000011921</v>
      </c>
      <c r="AS2" s="125">
        <f>AS93-'FO 21 jun-19'!AS93</f>
        <v>3472.2799999993294</v>
      </c>
      <c r="AT2" s="125">
        <f>AT93-'FO 21 jun-19'!AT93</f>
        <v>1099390</v>
      </c>
      <c r="AU2" s="125">
        <f>AU93-'FO 21 jun-19'!AU93</f>
        <v>-1113279.1199999992</v>
      </c>
      <c r="AV2" s="143">
        <f>AV93-'FO 21 jun-19'!AV93</f>
        <v>0</v>
      </c>
      <c r="AW2" s="125">
        <f>AW93-'FO 21 jun-19'!AW93</f>
        <v>0</v>
      </c>
      <c r="AX2" s="13">
        <f>AX93-'FO 21 jun-19'!AX93</f>
        <v>1099390</v>
      </c>
      <c r="AY2" s="13">
        <f>AY93-'FO 21 jun-19'!AY93</f>
        <v>-1099390</v>
      </c>
      <c r="AZ2" s="13">
        <f>AZ93-'FO 21 jun-19'!AZ93</f>
        <v>0</v>
      </c>
      <c r="BA2" s="13">
        <f>BA93-'FO 21 jun-19'!BA93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>
        <v>12620136.800000001</v>
      </c>
      <c r="AB3" s="18">
        <v>8976302.891200006</v>
      </c>
      <c r="AC3" s="18">
        <v>7582530.6624000119</v>
      </c>
      <c r="AD3" s="18">
        <v>9451704.0036000088</v>
      </c>
      <c r="AE3" s="32">
        <v>12316003.184800003</v>
      </c>
      <c r="AF3" s="18">
        <v>7865664.4560000114</v>
      </c>
      <c r="AG3" s="18">
        <v>17351067.099000011</v>
      </c>
      <c r="AH3" s="18">
        <v>12703855.422000017</v>
      </c>
      <c r="AI3" s="32">
        <v>12507695.355000017</v>
      </c>
      <c r="AJ3" s="18">
        <v>13158026.038000014</v>
      </c>
      <c r="AK3" s="18">
        <v>19180255.219000019</v>
      </c>
      <c r="AL3" s="18">
        <v>11571883.040000014</v>
      </c>
      <c r="AM3" s="32">
        <v>28051536.921000015</v>
      </c>
      <c r="AN3" s="18">
        <v>11649655.742000017</v>
      </c>
      <c r="AO3" s="18">
        <v>8811502.7448000126</v>
      </c>
      <c r="AP3" s="18">
        <v>6386907.5076000094</v>
      </c>
      <c r="AQ3" s="18">
        <v>2015278.6504000104</v>
      </c>
      <c r="AR3" s="32">
        <v>6927136.3632000014</v>
      </c>
      <c r="AS3" s="18">
        <v>5676321.0659999959</v>
      </c>
      <c r="AT3" s="18">
        <v>8866281.3759999964</v>
      </c>
      <c r="AU3" s="18">
        <v>-8583268.1440000087</v>
      </c>
      <c r="AV3" s="32">
        <v>-7851378.9240000099</v>
      </c>
      <c r="AW3" s="18">
        <v>-5834436.6340000033</v>
      </c>
      <c r="AX3" s="18">
        <v>662903.42600000277</v>
      </c>
      <c r="AY3" s="18">
        <v>-3875051.8839999977</v>
      </c>
      <c r="AZ3" s="18">
        <v>1256995.9360000039</v>
      </c>
      <c r="BA3" s="18">
        <v>12843828.11600001</v>
      </c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16444946.720000001</v>
      </c>
      <c r="AA30" s="20">
        <v>16113024.561200002</v>
      </c>
      <c r="AB30" s="20">
        <v>16025614.351200005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834264.69200599974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-365967.86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-9643.5178400000004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-4572.7430500000009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-2840421.23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-42555.897950000006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0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-9111.3508799999945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0</v>
      </c>
      <c r="AB61" s="19">
        <v>-143791.47999999998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0</v>
      </c>
      <c r="AB62" s="24">
        <v>-56250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-1113.75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0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-4337.2784800000009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0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-7378.7660600000008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0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-49530.368360000008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0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-15483.66606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0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-13205.362630000005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0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-1607.5307300000004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-10033212.369999999</v>
      </c>
      <c r="AB82" s="121">
        <v>-6259253.5499999998</v>
      </c>
      <c r="AC82" s="121">
        <v>-8956170.0899999999</v>
      </c>
      <c r="AD82" s="121">
        <v>-5820343.7999999998</v>
      </c>
      <c r="AE82" s="120">
        <v>-8222872.5499999998</v>
      </c>
      <c r="AF82" s="121">
        <v>-16960624.280000001</v>
      </c>
      <c r="AG82" s="121">
        <v>-6588921.9699999997</v>
      </c>
      <c r="AH82" s="121">
        <v>-5259281.8600000003</v>
      </c>
      <c r="AI82" s="120">
        <v>-4159092.2</v>
      </c>
      <c r="AJ82" s="121">
        <v>-3450043.11</v>
      </c>
      <c r="AK82" s="121">
        <v>-11768929.869999999</v>
      </c>
      <c r="AL82" s="121">
        <v>-3235147.19</v>
      </c>
      <c r="AM82" s="120">
        <v>-16037130.67</v>
      </c>
      <c r="AN82" s="121">
        <v>-3422512.64</v>
      </c>
      <c r="AO82" s="121">
        <v>-10352192.390000001</v>
      </c>
      <c r="AP82" s="121">
        <v>-4697462.47</v>
      </c>
      <c r="AQ82" s="121">
        <v>-3522893.32</v>
      </c>
      <c r="AR82" s="120">
        <v>-3527313.49</v>
      </c>
      <c r="AS82" s="121">
        <v>-3601413.79</v>
      </c>
      <c r="AT82" s="121">
        <v>-17507081.68</v>
      </c>
      <c r="AU82" s="121">
        <v>-4664337.71</v>
      </c>
      <c r="AV82" s="120">
        <v>-1927667.89</v>
      </c>
      <c r="AW82" s="121">
        <v>-1629179.61</v>
      </c>
      <c r="AX82" s="19">
        <v>-1631644.89</v>
      </c>
      <c r="AY82" s="19">
        <v>-2845403.84</v>
      </c>
      <c r="AZ82" s="19">
        <v>-1690409.75</v>
      </c>
      <c r="BA82" s="19">
        <v>-1340508.46</v>
      </c>
      <c r="BB82" s="37">
        <f t="shared" si="1"/>
        <v>-300052.82319999993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0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-1124.0489399999997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-2427.6530400000001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-9044567.5799999982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-169217.57910999999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0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-462.60155999999989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0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-31943.850570000013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-26318898.010000002</v>
      </c>
      <c r="AA93" s="18">
        <v>-19529858.469999999</v>
      </c>
      <c r="AB93" s="18">
        <v>-15568778.470000001</v>
      </c>
      <c r="AC93" s="18">
        <v>-20847762.340000004</v>
      </c>
      <c r="AD93" s="18">
        <v>-12037796.010000002</v>
      </c>
      <c r="AE93" s="32">
        <v>-18802865.419999998</v>
      </c>
      <c r="AF93" s="18">
        <v>-24795171.52</v>
      </c>
      <c r="AG93" s="18">
        <v>-18384350.079999998</v>
      </c>
      <c r="AH93" s="18">
        <v>-13877962.320000002</v>
      </c>
      <c r="AI93" s="32">
        <v>-13648681.260000002</v>
      </c>
      <c r="AJ93" s="18">
        <v>-8330080.5099999998</v>
      </c>
      <c r="AK93" s="18">
        <v>-22045955.609999999</v>
      </c>
      <c r="AL93" s="18">
        <v>-11565717.940000001</v>
      </c>
      <c r="AM93" s="32">
        <v>-20843628.800000001</v>
      </c>
      <c r="AN93" s="18">
        <v>-14519115.250000004</v>
      </c>
      <c r="AO93" s="18">
        <v>-17086379.960000001</v>
      </c>
      <c r="AP93" s="18">
        <v>-18726160.080000002</v>
      </c>
      <c r="AQ93" s="18">
        <v>-9801016.4700000025</v>
      </c>
      <c r="AR93" s="32">
        <v>-14449535.800000001</v>
      </c>
      <c r="AS93" s="18">
        <v>-10076893.999999998</v>
      </c>
      <c r="AT93" s="18">
        <v>-29143777.530000001</v>
      </c>
      <c r="AU93" s="18">
        <v>-13296923.549999999</v>
      </c>
      <c r="AV93" s="32">
        <v>-10588233.749999998</v>
      </c>
      <c r="AW93" s="18">
        <v>-5776940.6600000001</v>
      </c>
      <c r="AX93" s="18">
        <v>-18270252.879999999</v>
      </c>
      <c r="AY93" s="18">
        <v>-10386758.880000001</v>
      </c>
      <c r="AZ93" s="18">
        <v>-6053435.1699999999</v>
      </c>
      <c r="BA93" s="18">
        <v>-9487115.9199999999</v>
      </c>
      <c r="BB93" s="37">
        <f>SUM(B93:BA93)/1000</f>
        <v>-788292.26942999987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:Z94" si="3">S30+S93</f>
        <v>4053118.3300000038</v>
      </c>
      <c r="T94" s="21">
        <f t="shared" si="3"/>
        <v>-4858120.33</v>
      </c>
      <c r="U94" s="21">
        <f t="shared" si="3"/>
        <v>-1478016.3599999975</v>
      </c>
      <c r="V94" s="36">
        <f t="shared" si="3"/>
        <v>-14088.769999999553</v>
      </c>
      <c r="W94" s="21">
        <f t="shared" si="3"/>
        <v>-1644028.3200000003</v>
      </c>
      <c r="X94" s="21">
        <f t="shared" si="3"/>
        <v>-3791137.3500000015</v>
      </c>
      <c r="Y94" s="21">
        <f t="shared" si="3"/>
        <v>3737626.5499999989</v>
      </c>
      <c r="Z94" s="36">
        <f t="shared" si="3"/>
        <v>-9873951.290000001</v>
      </c>
      <c r="AA94" s="21">
        <v>-3416833.9087999966</v>
      </c>
      <c r="AB94" s="21">
        <v>456835.88120000437</v>
      </c>
      <c r="AC94" s="21">
        <v>-5041576.6588000041</v>
      </c>
      <c r="AD94" s="21">
        <v>3953549.1811999958</v>
      </c>
      <c r="AE94" s="36">
        <v>-2912088.7287999932</v>
      </c>
      <c r="AF94" s="21">
        <v>-8976347.3569999989</v>
      </c>
      <c r="AG94" s="21">
        <v>-2764134.1269999929</v>
      </c>
      <c r="AH94" s="21">
        <v>1342089.9330000002</v>
      </c>
      <c r="AI94" s="36">
        <v>1726330.6829999983</v>
      </c>
      <c r="AJ94" s="21">
        <v>7098229.1810000055</v>
      </c>
      <c r="AK94" s="21">
        <v>-6532372.1790000033</v>
      </c>
      <c r="AL94" s="21">
        <v>4270047.1510000005</v>
      </c>
      <c r="AM94" s="36">
        <v>-4966641.9689999986</v>
      </c>
      <c r="AN94" s="21">
        <v>2371823.1227999963</v>
      </c>
      <c r="AO94" s="21">
        <v>-161095.23720000312</v>
      </c>
      <c r="AP94" s="21">
        <v>-1734072.4171999991</v>
      </c>
      <c r="AQ94" s="21">
        <v>7175357.7127999924</v>
      </c>
      <c r="AR94" s="36">
        <v>2317184.7027999945</v>
      </c>
      <c r="AS94" s="21">
        <v>5341460.3100000005</v>
      </c>
      <c r="AT94" s="21">
        <v>-13976242.910000006</v>
      </c>
      <c r="AU94" s="21">
        <v>2883389.2199999988</v>
      </c>
      <c r="AV94" s="36">
        <v>5113340.9100000057</v>
      </c>
      <c r="AW94" s="21">
        <v>9426119.0700000059</v>
      </c>
      <c r="AX94" s="21">
        <v>-2762288.6300000008</v>
      </c>
      <c r="AY94" s="21">
        <v>8222107.7700000014</v>
      </c>
      <c r="AZ94" s="21">
        <v>13362498.860000005</v>
      </c>
      <c r="BA94" s="21">
        <v>-4114266.8999999994</v>
      </c>
      <c r="BB94" s="37">
        <f>SUM(B94:BA94)/1000</f>
        <v>45972.422576000004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60674.244009999995</v>
      </c>
      <c r="H100" s="60">
        <f>SUM(AA30:AE30)/1000+H97</f>
        <v>79826.946476000012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834264.69200599985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-72245.734420000008</v>
      </c>
      <c r="H101" s="60">
        <f>SUM(AA93:AE93)/1000+H98</f>
        <v>-86787.060710000005</v>
      </c>
      <c r="I101" s="39">
        <f>SUM(AF93:AI93)/1000+I98</f>
        <v>-70706.165179999996</v>
      </c>
      <c r="J101" s="39">
        <f>SUM(AJ93:AM93)/1000+J98</f>
        <v>-62785.382859999998</v>
      </c>
      <c r="K101" s="39">
        <f>SUM(AN93:AR93)/1000+K98</f>
        <v>-74582.207559999995</v>
      </c>
      <c r="L101" s="39">
        <f>SUM(AS93:AV93)/1000+L98</f>
        <v>-63105.828829999999</v>
      </c>
      <c r="M101" s="39">
        <f>SUM(AW93:BA93)/1000+M98</f>
        <v>-49974.503510000002</v>
      </c>
      <c r="N101" s="60">
        <f>SUM(B101:M101)</f>
        <v>-788292.26942999999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-11571.490410000013</v>
      </c>
      <c r="H102" s="60">
        <f t="shared" si="4"/>
        <v>-6960.1142339999933</v>
      </c>
      <c r="I102" s="60">
        <f t="shared" si="4"/>
        <v>-8672.0608679999932</v>
      </c>
      <c r="J102" s="60">
        <f t="shared" si="4"/>
        <v>-130.73781600000075</v>
      </c>
      <c r="K102" s="60">
        <f t="shared" si="4"/>
        <v>9969.1978839999792</v>
      </c>
      <c r="L102" s="60">
        <f t="shared" si="4"/>
        <v>-638.05247000000963</v>
      </c>
      <c r="M102" s="60">
        <f>SUM(M100:M101)</f>
        <v>24134.170170000005</v>
      </c>
      <c r="N102" s="60">
        <f>SUM(B102:M102)</f>
        <v>45972.422575999961</v>
      </c>
      <c r="O102" s="133">
        <f>BB94-N102+SUM(F97:M98)</f>
        <v>4.3655745685100555E-11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21 jun-19'!N100</f>
        <v>292.29168599983677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21 jun-19'!N100</f>
        <v>292.29168599983677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1283.1031099999975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14 jun-19'!B108:M108)</f>
        <v>0</v>
      </c>
      <c r="P108" s="133">
        <f>N101-'FO 21 jun-19'!N101</f>
        <v>1283.1031100000255</v>
      </c>
      <c r="Q108" s="61" t="s">
        <v>103</v>
      </c>
      <c r="R108" s="63"/>
      <c r="S108" s="23" t="s">
        <v>126</v>
      </c>
      <c r="T108" s="115">
        <f>SUM(AA47:BA50)/1000-SUM('FO 21 jun-19'!AA47:BA50)/1000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SUM(AA82:BA82)/1000-SUM('FO 21 jun-19'!AA82:BA82)/1000</f>
        <v>-1976.3552500000224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SUM(AA31:BA92)/1000-SUM('FO 21 jun-19'!AA31:BA92)/1000-T108-T109</f>
        <v>-3217.6862800000818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21 jun-19'!N102</f>
        <v>1575.3947960000005</v>
      </c>
      <c r="Q111" s="119"/>
      <c r="S111" s="70" t="s">
        <v>129</v>
      </c>
      <c r="T111" s="77">
        <f>SUM(T108:T110)</f>
        <v>-5194.0415300001041</v>
      </c>
      <c r="U111" s="71">
        <f>Z2/1000</f>
        <v>6477.1446400000004</v>
      </c>
      <c r="V111" s="133">
        <f>SUM(T111:U111)</f>
        <v>1283.1031099998963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1575.3947959998623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3017.3873751898363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72347.11400999999</v>
      </c>
      <c r="H118" s="26">
        <f t="shared" si="10"/>
        <v>91365.386476000014</v>
      </c>
      <c r="I118" s="26">
        <f t="shared" si="10"/>
        <v>73720.567311999999</v>
      </c>
      <c r="J118" s="26">
        <f t="shared" si="10"/>
        <v>74527.858043999993</v>
      </c>
      <c r="K118" s="26">
        <f t="shared" si="10"/>
        <v>96393.252443999969</v>
      </c>
      <c r="L118" s="26">
        <f t="shared" si="10"/>
        <v>74430.927360000001</v>
      </c>
      <c r="M118" s="26">
        <f t="shared" si="10"/>
        <v>85271.927680000008</v>
      </c>
      <c r="N118" s="64">
        <f>SUM(B118:M118)</f>
        <v>972389.6640059998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-83694.381420000005</v>
      </c>
      <c r="H119" s="26">
        <f>H101+H107+H113+H202/1000</f>
        <v>-86042.739710000009</v>
      </c>
      <c r="I119" s="26">
        <f t="shared" si="10"/>
        <v>-82188.014179999998</v>
      </c>
      <c r="J119" s="26">
        <f>J101+J107+J113+J202/1000</f>
        <v>-68034.895860000004</v>
      </c>
      <c r="K119" s="26">
        <f>K101+K107+K113-H202/1000+K202/1000</f>
        <v>-92063.487559999994</v>
      </c>
      <c r="L119" s="26">
        <f>L101+L107+L113+L202/1000</f>
        <v>-61834.772830000009</v>
      </c>
      <c r="M119" s="26">
        <f>M101+M107+M113-J202/1000</f>
        <v>-67313.703509999992</v>
      </c>
      <c r="N119" s="64">
        <f>SUM(B119:M119)</f>
        <v>-905687.10943000019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-11347.267410000015</v>
      </c>
      <c r="H120" s="56">
        <f t="shared" si="11"/>
        <v>5322.6467660000053</v>
      </c>
      <c r="I120" s="56">
        <f t="shared" si="11"/>
        <v>-8467.4468679999991</v>
      </c>
      <c r="J120" s="56">
        <f t="shared" si="11"/>
        <v>6492.9621839999891</v>
      </c>
      <c r="K120" s="56">
        <f t="shared" si="11"/>
        <v>4329.7648839999747</v>
      </c>
      <c r="L120" s="56">
        <f t="shared" si="11"/>
        <v>12596.154529999993</v>
      </c>
      <c r="M120" s="56">
        <f>SUM(M118:M119)</f>
        <v>17958.224170000016</v>
      </c>
      <c r="N120" s="65">
        <f>SUM(B120:M120)</f>
        <v>66702.554575999966</v>
      </c>
      <c r="O120" s="65">
        <f>'FO 21 jun-19'!N120+P112+O108</f>
        <v>66702.55457599982</v>
      </c>
      <c r="P120" s="133">
        <f>O120-N120</f>
        <v>-1.4551915228366852E-10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79307.038255999971</v>
      </c>
      <c r="O121" s="38"/>
      <c r="P121" s="156">
        <f>-P112+K202/1000+L202/1000</f>
        <v>17041.855204000138</v>
      </c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59016.716936810168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21955.75109000002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62703.179936810164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909772.45077381027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5.8833886901960772</v>
      </c>
      <c r="C126" s="43">
        <f>B126*4</f>
        <v>23.533554760784309</v>
      </c>
      <c r="S126" s="92" t="s">
        <v>144</v>
      </c>
      <c r="U126" s="104">
        <f>T124-U124</f>
        <v>-11882.690063189715</v>
      </c>
      <c r="X126" s="104">
        <f>W124-X124</f>
        <v>-19159.934163000027</v>
      </c>
      <c r="Z126" s="89"/>
      <c r="AA126" s="89">
        <f>Z124-AA124</f>
        <v>-31042.624226189684</v>
      </c>
      <c r="AB126" s="112">
        <f>(X126+U126)/(T122+W122)</f>
        <v>-9.7914360547083967E-2</v>
      </c>
      <c r="AC126" s="111">
        <f>AA126/Z124</f>
        <v>-3.4121306047227816E-2</v>
      </c>
    </row>
    <row r="127" spans="1:30" ht="15" hidden="1">
      <c r="A127" s="42" t="s">
        <v>121</v>
      </c>
      <c r="B127" s="43">
        <f>-(AVERAGE(B89:BA89)+AVERAGE(B68:BA68))/1000000</f>
        <v>4.2891754405882345</v>
      </c>
      <c r="C127" s="43">
        <f>B127*4</f>
        <v>17.156701762352938</v>
      </c>
      <c r="Z127" s="89"/>
      <c r="AA127" s="89"/>
    </row>
    <row r="128" spans="1:30" ht="15.75" hidden="1">
      <c r="A128" s="44" t="s">
        <v>104</v>
      </c>
      <c r="B128" s="45">
        <f>SUM(B124:B127)</f>
        <v>12.628625419999999</v>
      </c>
      <c r="C128" s="45">
        <f>SUM(C124:C127)</f>
        <v>50.514501679999995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-3017.3873751898363</v>
      </c>
      <c r="U134" s="14"/>
      <c r="V134" s="83">
        <f>W134/W138</f>
        <v>4.2675025119921751E-2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14.363163834297691</v>
      </c>
      <c r="C136" s="45">
        <f>C128+C131+C134</f>
        <v>57.452655337190762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-37206.6579167034</v>
      </c>
      <c r="U137" s="101">
        <f>'[1]Proy. 2018'!$D$116-'[1]Proy. 2018'!$C$116-U136</f>
        <v>-38522.038500000075</v>
      </c>
      <c r="V137" s="103"/>
      <c r="W137" s="101">
        <f>SUM(AK31:BA92)/1000-SUM(W132:W136)</f>
        <v>-184124.90670085998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28.149930654184544</v>
      </c>
      <c r="C138" s="47">
        <f>C136+C137</f>
        <v>71.239422157077612</v>
      </c>
      <c r="S138" s="40" t="s">
        <v>133</v>
      </c>
      <c r="T138" s="80">
        <f>I101</f>
        <v>-70706.165179999996</v>
      </c>
      <c r="W138" s="80">
        <f>SUM(AK93:BA93)/1000</f>
        <v>-242117.84224999996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-82188.014179999998</v>
      </c>
      <c r="W141" s="80">
        <f>SUM(W138:W140)</f>
        <v>-287158.12925</v>
      </c>
      <c r="X141" s="24"/>
      <c r="Z141" s="80">
        <f>R141+T141+W141</f>
        <v>-951996.14342999994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-67688.777804810161</v>
      </c>
      <c r="U143" s="80">
        <f>U145-U144</f>
        <v>-54186.39900000018</v>
      </c>
      <c r="W143" s="80">
        <f>W138-W134</f>
        <v>-231785.45724999995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-71170.626804810163</v>
      </c>
      <c r="U145" s="85">
        <f>'[1]Proy. 2018'!$D$61</f>
        <v>-57037.396000000183</v>
      </c>
      <c r="W145" s="85">
        <f>SUM(W143:W144)</f>
        <v>-244825.74424999996</v>
      </c>
      <c r="X145" s="85">
        <f>SUM('[1]Proy. 2018'!$E$61:$H$61)</f>
        <v>-260447.245</v>
      </c>
      <c r="Z145" s="85">
        <f>R141+T145+W145</f>
        <v>-898646.37105481012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-14133.23080480998</v>
      </c>
      <c r="V147" s="40"/>
      <c r="W147" s="40"/>
      <c r="X147" s="104">
        <f>W145-X145</f>
        <v>15621.500750000036</v>
      </c>
      <c r="Z147" s="90"/>
      <c r="AA147" s="89">
        <f>Z145-AA145</f>
        <v>1488.2699451900553</v>
      </c>
      <c r="AB147" s="112">
        <f>(X147+U147)/(W145+T145)</f>
        <v>-4.7097691034303441E-3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-15697.496804810085</v>
      </c>
      <c r="V149" s="106"/>
      <c r="W149" s="106"/>
      <c r="X149" s="106">
        <f>W132-X132+W136-X136+W137-X137</f>
        <v>7224.8117500001099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-9205.7540299999528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11126.07971900003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-28377.138340999969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-29554.354280999629</v>
      </c>
    </row>
    <row r="157" spans="1:30" ht="12.75" hidden="1">
      <c r="A157" s="18">
        <v>-8256517.8300000001</v>
      </c>
      <c r="AA157" s="10">
        <f>Z154-AA154</f>
        <v>-29554.354280999745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>
        <v>12375900</v>
      </c>
      <c r="J202" s="154">
        <v>6217650</v>
      </c>
      <c r="K202" s="154">
        <v>6217650</v>
      </c>
      <c r="L202" s="154">
        <v>12399600</v>
      </c>
    </row>
    <row r="203" spans="1:12" ht="12.75">
      <c r="A203" s="9" t="s">
        <v>314</v>
      </c>
      <c r="H203" s="155">
        <v>43661</v>
      </c>
      <c r="J203" s="155">
        <v>43721</v>
      </c>
      <c r="K203" s="155">
        <v>43751</v>
      </c>
      <c r="L203" s="155">
        <v>43782</v>
      </c>
    </row>
    <row r="204" spans="1:12" ht="12.75">
      <c r="H204" s="155">
        <f>[10]PlanImpBuques!$L$46</f>
        <v>43746</v>
      </c>
      <c r="J204" s="155">
        <v>43808</v>
      </c>
      <c r="K204" s="155">
        <v>43838</v>
      </c>
      <c r="L204" s="155"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B204"/>
  <sheetViews>
    <sheetView showGridLines="0" topLeftCell="A99" zoomScale="80" zoomScaleNormal="80" workbookViewId="0">
      <pane xSplit="1" topLeftCell="H1" activePane="topRight" state="frozen"/>
      <selection pane="topRight" activeCell="H119" sqref="H119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316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/>
      <c r="Y2" s="125">
        <f>Y93-'FO 14 jun-19'!Y93</f>
        <v>1714796.2400000021</v>
      </c>
      <c r="Z2" s="143">
        <f>Z93-'FO 14 jun-19'!Z93</f>
        <v>-2700227.6499999985</v>
      </c>
      <c r="AA2" s="125">
        <f>AA93-'FO 14 jun-19'!AA93</f>
        <v>825002.69000000134</v>
      </c>
      <c r="AB2" s="125">
        <f>AB93-'FO 14 jun-19'!AB93</f>
        <v>234777.25</v>
      </c>
      <c r="AC2" s="125">
        <f>AC93-'FO 14 jun-19'!AC93</f>
        <v>12369684.659999993</v>
      </c>
      <c r="AD2" s="125">
        <f>AD93-'FO 14 jun-19'!AD93</f>
        <v>-69445.60000000149</v>
      </c>
      <c r="AE2" s="143">
        <f>AE93-'FO 14 jun-19'!AE93</f>
        <v>69445.589999999851</v>
      </c>
      <c r="AF2" s="125">
        <f>AF93-'FO 14 jun-19'!AF93</f>
        <v>-345275.97000000253</v>
      </c>
      <c r="AG2" s="125">
        <f>AG93-'FO 14 jun-19'!AG93</f>
        <v>-902792.70999999717</v>
      </c>
      <c r="AH2" s="125">
        <f>AH93-'FO 14 jun-19'!AH93</f>
        <v>-937515.50999999791</v>
      </c>
      <c r="AI2" s="143">
        <f>AI93-'FO 14 jun-19'!AI93</f>
        <v>-277784.6799999997</v>
      </c>
      <c r="AJ2" s="125">
        <f>AJ93-'FO 14 jun-19'!AJ93</f>
        <v>213406.31000000052</v>
      </c>
      <c r="AK2" s="125">
        <f>AK93-'FO 14 jun-19'!AK93</f>
        <v>99168.309999998659</v>
      </c>
      <c r="AL2" s="125">
        <f>AL93-'FO 14 jun-19'!AL93</f>
        <v>17361.400000002235</v>
      </c>
      <c r="AM2" s="143">
        <f>AM93-'FO 14 jun-19'!AM93</f>
        <v>-12994695</v>
      </c>
      <c r="AN2" s="125">
        <f>AN93-'FO 14 jun-19'!AN93</f>
        <v>216.29999999701977</v>
      </c>
      <c r="AO2" s="125">
        <f>AO93-'FO 14 jun-19'!AO93</f>
        <v>0</v>
      </c>
      <c r="AP2" s="125">
        <f>AP93-'FO 14 jun-19'!AP93</f>
        <v>17361.39999999851</v>
      </c>
      <c r="AQ2" s="125">
        <f>AQ93-'FO 14 jun-19'!AQ93</f>
        <v>0</v>
      </c>
      <c r="AR2" s="143">
        <f>AR93-'FO 14 jun-19'!AR93</f>
        <v>34722.800000000745</v>
      </c>
      <c r="AS2" s="125">
        <f>AS93-'FO 14 jun-19'!AS93</f>
        <v>-34722.799999998882</v>
      </c>
      <c r="AT2" s="125">
        <f>AT93-'FO 14 jun-19'!AT93</f>
        <v>0</v>
      </c>
      <c r="AU2" s="125">
        <f>AU93-'FO 14 jun-19'!AU93</f>
        <v>138891.18999999948</v>
      </c>
      <c r="AV2" s="143">
        <f>AV93-'FO 14 jun-19'!AV93</f>
        <v>112</v>
      </c>
      <c r="AW2" s="125">
        <f>AW93-'FO 14 jun-19'!AW93</f>
        <v>0</v>
      </c>
      <c r="AX2" s="13">
        <f>AX93-'FO 14 jun-19'!AX93</f>
        <v>0</v>
      </c>
      <c r="AY2" s="13">
        <f>AY93-'FO 14 jun-19'!AY93</f>
        <v>0</v>
      </c>
      <c r="AZ2" s="13">
        <f>AZ93-'FO 14 jun-19'!AZ93</f>
        <v>0</v>
      </c>
      <c r="BA2" s="13">
        <f>BA93-'FO 14 jun-19'!BA93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15120080.819999998</v>
      </c>
      <c r="Z30" s="33">
        <v>16152655.034</v>
      </c>
      <c r="AA30" s="20">
        <v>16113024.561200002</v>
      </c>
      <c r="AB30" s="20">
        <v>16025614.351200005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833972.40031999978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-263001.01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-9277.5499799999998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-125309.49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-4572.7430500000009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-2840421.23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-42555.897950000006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-754683.83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-9175.0321799999965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0</v>
      </c>
      <c r="AA62" s="24">
        <v>-56250</v>
      </c>
      <c r="AB62" s="24">
        <v>-56250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-1170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0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-4533.0717599999998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0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-7679.0329700000011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0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-51771.519900000007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0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-16145.02586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-197133.9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-13535.701700000005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0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-1678.8760500000005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-22020623.48</v>
      </c>
      <c r="AA82" s="121">
        <v>-5272899.6500000004</v>
      </c>
      <c r="AB82" s="121">
        <v>-5765917.8700000001</v>
      </c>
      <c r="AC82" s="121">
        <v>-11676584.859999999</v>
      </c>
      <c r="AD82" s="121">
        <v>-6091181.6200000001</v>
      </c>
      <c r="AE82" s="120">
        <v>-8601351.0299999993</v>
      </c>
      <c r="AF82" s="121">
        <v>-16967868.84</v>
      </c>
      <c r="AG82" s="121">
        <v>-6588921.9699999997</v>
      </c>
      <c r="AH82" s="121">
        <v>-5233239.7699999996</v>
      </c>
      <c r="AI82" s="120">
        <v>-4040621.21</v>
      </c>
      <c r="AJ82" s="121">
        <v>-3493970.92</v>
      </c>
      <c r="AK82" s="121">
        <v>-11787194.060000001</v>
      </c>
      <c r="AL82" s="121">
        <v>-3233411.05</v>
      </c>
      <c r="AM82" s="120">
        <v>-16037130.67</v>
      </c>
      <c r="AN82" s="121">
        <v>-3422512.64</v>
      </c>
      <c r="AO82" s="121">
        <v>-10352192.390000001</v>
      </c>
      <c r="AP82" s="121">
        <v>-4695726.33</v>
      </c>
      <c r="AQ82" s="121">
        <v>-3522893.32</v>
      </c>
      <c r="AR82" s="120">
        <v>-3523841.21</v>
      </c>
      <c r="AS82" s="121">
        <v>-3604886.07</v>
      </c>
      <c r="AT82" s="121">
        <v>-18606471.68</v>
      </c>
      <c r="AU82" s="121">
        <v>-3551058.59</v>
      </c>
      <c r="AV82" s="120">
        <v>-1927667.89</v>
      </c>
      <c r="AW82" s="121">
        <v>-1629179.61</v>
      </c>
      <c r="AX82" s="19">
        <v>-2731034.89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-298076.4679499999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0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-1172.7622799999997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0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-2427.6530400000001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-5312329.43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-160995.45133000001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0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-482.88796999999994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-14424.7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-33325.072960000012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-11382454.27</v>
      </c>
      <c r="Z93" s="32">
        <v>-32796042.650000002</v>
      </c>
      <c r="AA93" s="18">
        <v>-11596736.640000001</v>
      </c>
      <c r="AB93" s="18">
        <v>-15030565.620000001</v>
      </c>
      <c r="AC93" s="18">
        <v>-23568177.110000003</v>
      </c>
      <c r="AD93" s="18">
        <v>-12308633.830000002</v>
      </c>
      <c r="AE93" s="32">
        <v>-19181343.899999999</v>
      </c>
      <c r="AF93" s="18">
        <v>-24802416.079999998</v>
      </c>
      <c r="AG93" s="18">
        <v>-18384350.079999998</v>
      </c>
      <c r="AH93" s="18">
        <v>-13851920.23</v>
      </c>
      <c r="AI93" s="32">
        <v>-13530210.27</v>
      </c>
      <c r="AJ93" s="18">
        <v>-8374008.3200000003</v>
      </c>
      <c r="AK93" s="18">
        <v>-22064219.800000001</v>
      </c>
      <c r="AL93" s="18">
        <v>-11563981.800000001</v>
      </c>
      <c r="AM93" s="32">
        <v>-20843628.800000001</v>
      </c>
      <c r="AN93" s="18">
        <v>-14519115.250000004</v>
      </c>
      <c r="AO93" s="18">
        <v>-17086379.960000001</v>
      </c>
      <c r="AP93" s="18">
        <v>-18724423.940000001</v>
      </c>
      <c r="AQ93" s="18">
        <v>-9801016.4700000025</v>
      </c>
      <c r="AR93" s="32">
        <v>-14446063.52</v>
      </c>
      <c r="AS93" s="18">
        <v>-10080366.279999997</v>
      </c>
      <c r="AT93" s="18">
        <v>-30243167.530000001</v>
      </c>
      <c r="AU93" s="18">
        <v>-12183644.43</v>
      </c>
      <c r="AV93" s="32">
        <v>-10588233.749999998</v>
      </c>
      <c r="AW93" s="18">
        <v>-5776940.6600000001</v>
      </c>
      <c r="AX93" s="18">
        <v>-19369642.879999999</v>
      </c>
      <c r="AY93" s="18">
        <v>-9287368.8800000008</v>
      </c>
      <c r="AZ93" s="18">
        <v>-6053435.1699999999</v>
      </c>
      <c r="BA93" s="18">
        <v>-9487115.9199999999</v>
      </c>
      <c r="BB93" s="37">
        <f>SUM(B93:BA93)/1000</f>
        <v>-789575.37253999966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" si="3">S30+S93</f>
        <v>4053118.3300000038</v>
      </c>
      <c r="T94" s="21">
        <f t="shared" ref="T94:Y94" si="4">T30+T93</f>
        <v>-4858120.33</v>
      </c>
      <c r="U94" s="21">
        <f t="shared" si="4"/>
        <v>-1478016.3599999975</v>
      </c>
      <c r="V94" s="36">
        <f t="shared" si="4"/>
        <v>-14088.769999999553</v>
      </c>
      <c r="W94" s="21">
        <f t="shared" si="4"/>
        <v>-1644028.3200000003</v>
      </c>
      <c r="X94" s="21">
        <f t="shared" si="4"/>
        <v>-3791137.3500000015</v>
      </c>
      <c r="Y94" s="21">
        <f t="shared" si="4"/>
        <v>3737626.5499999989</v>
      </c>
      <c r="Z94" s="36">
        <v>-16643387.616000002</v>
      </c>
      <c r="AA94" s="21">
        <v>4516287.9212000016</v>
      </c>
      <c r="AB94" s="21">
        <v>995048.731200004</v>
      </c>
      <c r="AC94" s="21">
        <v>-7761991.4288000036</v>
      </c>
      <c r="AD94" s="21">
        <v>3682711.3611999955</v>
      </c>
      <c r="AE94" s="36">
        <v>-3290567.2087999936</v>
      </c>
      <c r="AF94" s="21">
        <v>-8983591.9169999976</v>
      </c>
      <c r="AG94" s="21">
        <v>-2764134.1269999929</v>
      </c>
      <c r="AH94" s="21">
        <v>1368132.0230000019</v>
      </c>
      <c r="AI94" s="36">
        <v>1844801.6730000004</v>
      </c>
      <c r="AJ94" s="21">
        <v>7054301.3710000049</v>
      </c>
      <c r="AK94" s="21">
        <v>-6550636.3690000046</v>
      </c>
      <c r="AL94" s="21">
        <v>4271783.2910000011</v>
      </c>
      <c r="AM94" s="36">
        <v>-4966641.9689999986</v>
      </c>
      <c r="AN94" s="21">
        <v>2371823.1227999963</v>
      </c>
      <c r="AO94" s="21">
        <v>-161095.23720000312</v>
      </c>
      <c r="AP94" s="21">
        <v>-1732336.2771999985</v>
      </c>
      <c r="AQ94" s="21">
        <v>7175357.7127999924</v>
      </c>
      <c r="AR94" s="36">
        <v>2320656.9827999957</v>
      </c>
      <c r="AS94" s="21">
        <v>5337988.0300000012</v>
      </c>
      <c r="AT94" s="21">
        <v>-15075632.910000006</v>
      </c>
      <c r="AU94" s="21">
        <v>3996668.339999998</v>
      </c>
      <c r="AV94" s="36">
        <v>5113340.9100000057</v>
      </c>
      <c r="AW94" s="21">
        <v>9426119.0700000059</v>
      </c>
      <c r="AX94" s="21">
        <v>-3861678.6300000008</v>
      </c>
      <c r="AY94" s="21">
        <v>9321497.7700000014</v>
      </c>
      <c r="AZ94" s="21">
        <v>13362498.860000005</v>
      </c>
      <c r="BA94" s="21">
        <v>-4114266.8999999994</v>
      </c>
      <c r="BB94" s="37">
        <f>SUM(B94:BA94)/1000</f>
        <v>44397.027780000004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60381.952323999998</v>
      </c>
      <c r="H100" s="60">
        <f>SUM(AA30:AE30)/1000+H97</f>
        <v>79826.946476000012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833972.40032000002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-78722.879060000007</v>
      </c>
      <c r="H101" s="60">
        <f>SUM(AA93:AE93)/1000+H98</f>
        <v>-81685.4571</v>
      </c>
      <c r="I101" s="39">
        <f>SUM(AF93:AI93)/1000+I98</f>
        <v>-70568.896659999999</v>
      </c>
      <c r="J101" s="39">
        <f>SUM(AJ93:AM93)/1000+J98</f>
        <v>-62845.83872</v>
      </c>
      <c r="K101" s="39">
        <f>SUM(AN93:AR93)/1000+K98</f>
        <v>-74576.99914</v>
      </c>
      <c r="L101" s="39">
        <f>SUM(AS93:AV93)/1000+L98</f>
        <v>-63095.411990000001</v>
      </c>
      <c r="M101" s="39">
        <f>SUM(AW93:BA93)/1000+M98</f>
        <v>-49974.503510000002</v>
      </c>
      <c r="N101" s="60">
        <f>SUM(B101:M101)</f>
        <v>-789575.37254000001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5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5"/>
        <v>-18340.926736000009</v>
      </c>
      <c r="H102" s="60">
        <f t="shared" si="5"/>
        <v>-1858.5106239999877</v>
      </c>
      <c r="I102" s="60">
        <f t="shared" si="5"/>
        <v>-8534.7923479999954</v>
      </c>
      <c r="J102" s="60">
        <f t="shared" si="5"/>
        <v>-191.1936760000026</v>
      </c>
      <c r="K102" s="60">
        <f t="shared" si="5"/>
        <v>9974.4063039999746</v>
      </c>
      <c r="L102" s="60">
        <f t="shared" si="5"/>
        <v>-627.63563000001159</v>
      </c>
      <c r="M102" s="60">
        <f>SUM(M100:M101)</f>
        <v>24134.170170000005</v>
      </c>
      <c r="N102" s="60">
        <f>SUM(B102:M102)</f>
        <v>44397.02777999996</v>
      </c>
      <c r="O102" s="133">
        <f>BB94-N102+SUM(F97:M98)</f>
        <v>4.3655745685100555E-11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14 jun-19'!N100</f>
        <v>-3319.2616739999503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14 jun-19'!N100</f>
        <v>-3319.2616739999503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6">C99</f>
        <v>43497</v>
      </c>
      <c r="D105" s="52">
        <f t="shared" si="6"/>
        <v>43525</v>
      </c>
      <c r="E105" s="52">
        <f t="shared" si="6"/>
        <v>43556</v>
      </c>
      <c r="F105" s="52">
        <f t="shared" si="6"/>
        <v>43586</v>
      </c>
      <c r="G105" s="52">
        <f t="shared" si="6"/>
        <v>43617</v>
      </c>
      <c r="H105" s="52">
        <f t="shared" si="6"/>
        <v>43647</v>
      </c>
      <c r="I105" s="52">
        <f t="shared" si="6"/>
        <v>43678</v>
      </c>
      <c r="J105" s="52">
        <f t="shared" si="6"/>
        <v>43709</v>
      </c>
      <c r="K105" s="52">
        <f t="shared" si="6"/>
        <v>43739</v>
      </c>
      <c r="L105" s="52">
        <f t="shared" si="6"/>
        <v>43770</v>
      </c>
      <c r="M105" s="52">
        <f t="shared" si="6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-2527.513780000003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7">SUM(C106:C107)</f>
        <v>7.3460000000004584</v>
      </c>
      <c r="D108" s="22">
        <f t="shared" si="7"/>
        <v>-250.65999999999985</v>
      </c>
      <c r="E108" s="22">
        <f t="shared" si="7"/>
        <v>-1124.4709999999995</v>
      </c>
      <c r="F108" s="22">
        <f t="shared" si="7"/>
        <v>288.63700000000063</v>
      </c>
      <c r="G108" s="22">
        <f t="shared" si="7"/>
        <v>224.22299999999814</v>
      </c>
      <c r="H108" s="22">
        <f t="shared" si="7"/>
        <v>-93.138999999995576</v>
      </c>
      <c r="I108" s="39">
        <f t="shared" si="7"/>
        <v>204.61399999999776</v>
      </c>
      <c r="J108" s="39">
        <f t="shared" si="7"/>
        <v>406.04999999999563</v>
      </c>
      <c r="K108" s="39">
        <f t="shared" si="7"/>
        <v>518.8169999999991</v>
      </c>
      <c r="L108" s="39">
        <f t="shared" si="7"/>
        <v>834.60699999999633</v>
      </c>
      <c r="M108" s="39">
        <f t="shared" si="7"/>
        <v>41.70400000000518</v>
      </c>
      <c r="N108" s="59">
        <f>SUM(B108:M108)</f>
        <v>2112.8819999999978</v>
      </c>
      <c r="O108" s="133">
        <f>N108-SUM('FO 14 jun-19'!B108:M108)</f>
        <v>0</v>
      </c>
      <c r="P108" s="133">
        <f>N101-'FO 14 jun-19'!N101</f>
        <v>-2527.5137800001539</v>
      </c>
      <c r="Q108" s="61" t="s">
        <v>103</v>
      </c>
      <c r="R108" s="63"/>
      <c r="S108" s="23" t="s">
        <v>126</v>
      </c>
      <c r="T108" s="115">
        <f>SUM(Z47:BA50)/1000-SUM('FO 14 jun-19'!Z47:BA50)/1000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SUM(Z82:BA82)/1000-SUM('FO 14 jun-19'!Z82:BA82)/1000</f>
        <v>-2723.3801799999492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SUM(Z31:BA92)/1000-SUM('FO 14 jun-19'!Z31:BA92)/1000-T108-T109</f>
        <v>-1518.9298400000844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8">C99</f>
        <v>43497</v>
      </c>
      <c r="D111" s="52">
        <f t="shared" si="8"/>
        <v>43525</v>
      </c>
      <c r="E111" s="52">
        <f t="shared" si="8"/>
        <v>43556</v>
      </c>
      <c r="F111" s="52">
        <f t="shared" si="8"/>
        <v>43586</v>
      </c>
      <c r="G111" s="52">
        <f t="shared" si="8"/>
        <v>43617</v>
      </c>
      <c r="H111" s="52">
        <f t="shared" si="8"/>
        <v>43647</v>
      </c>
      <c r="I111" s="52">
        <f t="shared" si="8"/>
        <v>43678</v>
      </c>
      <c r="J111" s="52">
        <f t="shared" si="8"/>
        <v>43709</v>
      </c>
      <c r="K111" s="52">
        <f t="shared" si="8"/>
        <v>43739</v>
      </c>
      <c r="L111" s="52">
        <f t="shared" si="8"/>
        <v>43770</v>
      </c>
      <c r="M111" s="52">
        <f t="shared" si="8"/>
        <v>43800</v>
      </c>
      <c r="P111" s="133">
        <f>N102-'FO 14 jun-19'!N102</f>
        <v>-5846.7754539999805</v>
      </c>
      <c r="Q111" s="119"/>
      <c r="S111" s="70" t="s">
        <v>129</v>
      </c>
      <c r="T111" s="77">
        <f>SUM(T108:T110)</f>
        <v>-4242.3100200000335</v>
      </c>
      <c r="U111" s="71">
        <f>Y2/1000</f>
        <v>1714.7962400000022</v>
      </c>
      <c r="V111" s="133">
        <f>SUM(T111:U111)</f>
        <v>-2527.5137800000311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-5846.7754540001042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9">SUM(C112:C113)</f>
        <v>0</v>
      </c>
      <c r="D114" s="26">
        <f t="shared" si="9"/>
        <v>0</v>
      </c>
      <c r="E114" s="26">
        <f t="shared" si="9"/>
        <v>0</v>
      </c>
      <c r="F114" s="26">
        <f t="shared" si="9"/>
        <v>0</v>
      </c>
      <c r="G114" s="26">
        <f t="shared" si="9"/>
        <v>0</v>
      </c>
      <c r="H114" s="26">
        <f t="shared" si="9"/>
        <v>0</v>
      </c>
      <c r="I114" s="26">
        <f t="shared" si="9"/>
        <v>0</v>
      </c>
      <c r="J114" s="26">
        <f t="shared" si="9"/>
        <v>0</v>
      </c>
      <c r="K114" s="26">
        <f t="shared" si="9"/>
        <v>0</v>
      </c>
      <c r="L114" s="26">
        <f t="shared" si="9"/>
        <v>0</v>
      </c>
      <c r="M114" s="26">
        <f t="shared" si="9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3011.5182085380193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10">C99</f>
        <v>43497</v>
      </c>
      <c r="D117" s="1">
        <f t="shared" si="10"/>
        <v>43525</v>
      </c>
      <c r="E117" s="1">
        <f t="shared" si="10"/>
        <v>43556</v>
      </c>
      <c r="F117" s="1">
        <f t="shared" si="10"/>
        <v>43586</v>
      </c>
      <c r="G117" s="1">
        <f t="shared" si="10"/>
        <v>43617</v>
      </c>
      <c r="H117" s="1">
        <f t="shared" si="10"/>
        <v>43647</v>
      </c>
      <c r="I117" s="1">
        <f t="shared" si="10"/>
        <v>43678</v>
      </c>
      <c r="J117" s="1">
        <f t="shared" si="10"/>
        <v>43709</v>
      </c>
      <c r="K117" s="1">
        <f t="shared" si="10"/>
        <v>43739</v>
      </c>
      <c r="L117" s="1">
        <f t="shared" si="10"/>
        <v>43770</v>
      </c>
      <c r="M117" s="1">
        <f t="shared" si="10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1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1"/>
        <v>72054.822323999993</v>
      </c>
      <c r="H118" s="26">
        <f t="shared" si="11"/>
        <v>91365.386476000014</v>
      </c>
      <c r="I118" s="26">
        <f t="shared" si="11"/>
        <v>73720.567311999999</v>
      </c>
      <c r="J118" s="26">
        <f t="shared" si="11"/>
        <v>74527.858043999993</v>
      </c>
      <c r="K118" s="26">
        <f t="shared" si="11"/>
        <v>96393.252443999969</v>
      </c>
      <c r="L118" s="26">
        <f t="shared" si="11"/>
        <v>74430.927360000001</v>
      </c>
      <c r="M118" s="26">
        <f t="shared" si="11"/>
        <v>85271.927680000008</v>
      </c>
      <c r="N118" s="64">
        <f>SUM(B118:M118)</f>
        <v>972097.37231999997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1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1"/>
        <v>-90171.526060000004</v>
      </c>
      <c r="H119" s="26">
        <f>H101+H107+H113+H202/1000</f>
        <v>-80941.136100000003</v>
      </c>
      <c r="I119" s="26">
        <f t="shared" si="11"/>
        <v>-82050.74566</v>
      </c>
      <c r="J119" s="26">
        <f>J101+J107+J113+J202/1000</f>
        <v>-68095.351720000006</v>
      </c>
      <c r="K119" s="26">
        <f>K101+K107+K113-H202/1000+K202/1000</f>
        <v>-92058.279139999999</v>
      </c>
      <c r="L119" s="26">
        <f>L101+L107+L113+L202/1000</f>
        <v>-61824.355990000018</v>
      </c>
      <c r="M119" s="26">
        <f>M101+M107+M113-J202/1000</f>
        <v>-67313.703509999992</v>
      </c>
      <c r="N119" s="64">
        <f>SUM(B119:M119)</f>
        <v>-906970.21254000021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2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2"/>
        <v>-18116.70373600001</v>
      </c>
      <c r="H120" s="56">
        <f t="shared" si="12"/>
        <v>10424.250376000011</v>
      </c>
      <c r="I120" s="56">
        <f t="shared" si="12"/>
        <v>-8330.1783480000013</v>
      </c>
      <c r="J120" s="56">
        <f t="shared" si="12"/>
        <v>6432.5063239999872</v>
      </c>
      <c r="K120" s="56">
        <f t="shared" si="12"/>
        <v>4334.9733039999701</v>
      </c>
      <c r="L120" s="56">
        <f t="shared" si="12"/>
        <v>12606.571369999983</v>
      </c>
      <c r="M120" s="56">
        <f>SUM(M118:M119)</f>
        <v>17958.224170000016</v>
      </c>
      <c r="N120" s="65">
        <f>SUM(B120:M120)</f>
        <v>65127.159779999951</v>
      </c>
      <c r="O120" s="65">
        <f>'FO 14 jun-19'!N120+P112+O108</f>
        <v>65127.159779999842</v>
      </c>
      <c r="P120" s="133">
        <f>O120-N120</f>
        <v>-1.0913936421275139E-10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77731.643459999963</v>
      </c>
      <c r="O121" s="38"/>
      <c r="P121" s="156">
        <f>-P112+K202/1000+L202/1000</f>
        <v>24464.025454000104</v>
      </c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59022.586103461981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28725.187416000015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62709.049103461977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909778.31994046201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5.8446366264705869</v>
      </c>
      <c r="C126" s="43">
        <f>B126*4</f>
        <v>23.378546505882348</v>
      </c>
      <c r="S126" s="92" t="s">
        <v>144</v>
      </c>
      <c r="U126" s="104">
        <f>T124-U124</f>
        <v>-11876.820896537902</v>
      </c>
      <c r="X126" s="104">
        <f>W124-X124</f>
        <v>-19159.934163000027</v>
      </c>
      <c r="Z126" s="89"/>
      <c r="AA126" s="89">
        <f>Z124-AA124</f>
        <v>-31036.755059537943</v>
      </c>
      <c r="AB126" s="112">
        <f>(X126+U126)/(T122+W122)</f>
        <v>-9.7894035814916236E-2</v>
      </c>
      <c r="AC126" s="111">
        <f>AA126/Z124</f>
        <v>-3.4114634718454336E-2</v>
      </c>
    </row>
    <row r="127" spans="1:30" ht="15" hidden="1">
      <c r="A127" s="42" t="s">
        <v>121</v>
      </c>
      <c r="B127" s="43">
        <f>-(AVERAGE(B89:BA89)+AVERAGE(B68:BA68))/1000000</f>
        <v>4.1719013966666667</v>
      </c>
      <c r="C127" s="43">
        <f>B127*4</f>
        <v>16.687605586666667</v>
      </c>
      <c r="Z127" s="89"/>
      <c r="AA127" s="89"/>
    </row>
    <row r="128" spans="1:30" ht="15.75" hidden="1">
      <c r="A128" s="44" t="s">
        <v>104</v>
      </c>
      <c r="B128" s="45">
        <f>SUM(B124:B127)</f>
        <v>12.472599312352941</v>
      </c>
      <c r="C128" s="45">
        <f>SUM(C124:C127)</f>
        <v>49.890397249411762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-3011.5182085380193</v>
      </c>
      <c r="U134" s="14"/>
      <c r="V134" s="83">
        <f>W134/W138</f>
        <v>4.2674865997232095E-2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14.207137726650632</v>
      </c>
      <c r="C136" s="45">
        <f>C128+C131+C134</f>
        <v>56.82855090660253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-37075.258563355215</v>
      </c>
      <c r="U137" s="101">
        <f>'[1]Proy. 2018'!$D$116-'[1]Proy. 2018'!$C$116-U136</f>
        <v>-38522.038500000075</v>
      </c>
      <c r="V137" s="103"/>
      <c r="W137" s="101">
        <f>SUM(AK31:BA92)/1000-SUM(W132:W136)</f>
        <v>-184125.80949086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27.993904546537486</v>
      </c>
      <c r="C138" s="47">
        <f>C136+C137</f>
        <v>70.61531772648938</v>
      </c>
      <c r="S138" s="40" t="s">
        <v>133</v>
      </c>
      <c r="T138" s="80">
        <f>I101</f>
        <v>-70568.896659999999</v>
      </c>
      <c r="W138" s="80">
        <f>SUM(AK93:BA93)/1000</f>
        <v>-242118.74503999995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-82050.74566</v>
      </c>
      <c r="W141" s="80">
        <f>SUM(W138:W140)</f>
        <v>-287159.03203999996</v>
      </c>
      <c r="X141" s="24"/>
      <c r="Z141" s="80">
        <f>R141+T141+W141</f>
        <v>-951859.77769999998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-67557.378451461977</v>
      </c>
      <c r="U143" s="80">
        <f>U145-U144</f>
        <v>-54186.39900000018</v>
      </c>
      <c r="W143" s="80">
        <f>W138-W134</f>
        <v>-231786.36003999994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-71039.227451461978</v>
      </c>
      <c r="U145" s="85">
        <f>'[1]Proy. 2018'!$D$61</f>
        <v>-57037.396000000183</v>
      </c>
      <c r="W145" s="85">
        <f>SUM(W143:W144)</f>
        <v>-244826.64703999995</v>
      </c>
      <c r="X145" s="85">
        <f>SUM('[1]Proy. 2018'!$E$61:$H$61)</f>
        <v>-260447.245</v>
      </c>
      <c r="Z145" s="85">
        <f>R141+T145+W145</f>
        <v>-898515.8744914619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-14001.831451461796</v>
      </c>
      <c r="V147" s="40"/>
      <c r="W147" s="40"/>
      <c r="X147" s="104">
        <f>W145-X145</f>
        <v>15620.597960000043</v>
      </c>
      <c r="Z147" s="90"/>
      <c r="AA147" s="89">
        <f>Z145-AA145</f>
        <v>1618.766508538276</v>
      </c>
      <c r="AB147" s="112">
        <f>(X147+U147)/(W145+T145)</f>
        <v>-5.124854057578807E-3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-15566.097451461901</v>
      </c>
      <c r="V149" s="106"/>
      <c r="W149" s="106"/>
      <c r="X149" s="106">
        <f>W132-X132+W136-X136+W137-X137</f>
        <v>7223.908960000088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-9069.3882999999914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11262.445448999992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-28240.772611000008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-29417.988550999667</v>
      </c>
    </row>
    <row r="157" spans="1:30" ht="12.75" hidden="1">
      <c r="A157" s="18">
        <v>-8256517.8300000001</v>
      </c>
      <c r="AA157" s="10">
        <f>Z154-AA154</f>
        <v>-29417.988550999784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>
        <v>12375900</v>
      </c>
      <c r="J202" s="154">
        <v>6217650</v>
      </c>
      <c r="K202" s="154">
        <v>6217650</v>
      </c>
      <c r="L202" s="154">
        <v>12399600</v>
      </c>
    </row>
    <row r="203" spans="1:12" ht="12.75">
      <c r="A203" s="9" t="s">
        <v>314</v>
      </c>
      <c r="H203" s="155">
        <v>43661</v>
      </c>
      <c r="J203" s="155">
        <v>43721</v>
      </c>
      <c r="K203" s="155">
        <v>43751</v>
      </c>
      <c r="L203" s="155">
        <v>43782</v>
      </c>
    </row>
    <row r="204" spans="1:12" ht="12.75">
      <c r="H204" s="155">
        <f>[10]PlanImpBuques!$L$46</f>
        <v>43746</v>
      </c>
      <c r="J204" s="155">
        <v>43808</v>
      </c>
      <c r="K204" s="155">
        <v>43838</v>
      </c>
      <c r="L204" s="155"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BB204"/>
  <sheetViews>
    <sheetView showGridLines="0" topLeftCell="A99" zoomScale="80" zoomScaleNormal="80" workbookViewId="0">
      <pane xSplit="1" topLeftCell="H1" activePane="topRight" state="frozen"/>
      <selection pane="topRight" activeCell="H120" sqref="H120"/>
    </sheetView>
  </sheetViews>
  <sheetFormatPr baseColWidth="10" defaultRowHeight="12" outlineLevelRow="1"/>
  <cols>
    <col min="1" max="1" width="46.28515625" style="9" customWidth="1"/>
    <col min="2" max="13" width="16.140625" style="9" customWidth="1"/>
    <col min="14" max="14" width="14.140625" style="9" bestFit="1" customWidth="1"/>
    <col min="15" max="15" width="14.5703125" style="9" customWidth="1"/>
    <col min="16" max="16" width="15.85546875" style="9" customWidth="1"/>
    <col min="17" max="17" width="14.5703125" style="9" customWidth="1"/>
    <col min="18" max="18" width="20" style="9" customWidth="1"/>
    <col min="19" max="19" width="17.85546875" style="9" bestFit="1" customWidth="1"/>
    <col min="20" max="20" width="14.7109375" style="9" customWidth="1"/>
    <col min="21" max="21" width="14.5703125" style="9" customWidth="1"/>
    <col min="22" max="22" width="14.7109375" style="9" bestFit="1" customWidth="1"/>
    <col min="23" max="23" width="14.7109375" style="9" customWidth="1"/>
    <col min="24" max="24" width="16" style="9" bestFit="1" customWidth="1"/>
    <col min="25" max="25" width="14.28515625" style="9" bestFit="1" customWidth="1"/>
    <col min="26" max="26" width="16.140625" style="9" customWidth="1"/>
    <col min="27" max="27" width="15.28515625" style="9" bestFit="1" customWidth="1"/>
    <col min="28" max="28" width="14.5703125" style="9" customWidth="1"/>
    <col min="29" max="29" width="16" style="9" bestFit="1" customWidth="1"/>
    <col min="30" max="32" width="14.5703125" style="9" customWidth="1"/>
    <col min="33" max="33" width="15.28515625" style="9" customWidth="1"/>
    <col min="34" max="34" width="14.7109375" style="9" customWidth="1"/>
    <col min="35" max="35" width="14.5703125" style="9" customWidth="1"/>
    <col min="36" max="36" width="14.7109375" style="9" customWidth="1"/>
    <col min="37" max="37" width="14.5703125" style="9" customWidth="1"/>
    <col min="38" max="38" width="14.7109375" style="9" customWidth="1"/>
    <col min="39" max="40" width="14.5703125" style="9" customWidth="1"/>
    <col min="41" max="41" width="15.28515625" style="9" customWidth="1"/>
    <col min="42" max="42" width="14.7109375" style="9" customWidth="1"/>
    <col min="43" max="45" width="14.5703125" style="9" customWidth="1"/>
    <col min="46" max="47" width="14.7109375" style="9" customWidth="1"/>
    <col min="48" max="50" width="14.5703125" style="9" customWidth="1"/>
    <col min="51" max="51" width="15.28515625" style="9" customWidth="1"/>
    <col min="52" max="53" width="14.5703125" style="9" customWidth="1"/>
    <col min="54" max="54" width="18.28515625" style="9" bestFit="1" customWidth="1"/>
    <col min="55" max="55" width="13.42578125" style="9" bestFit="1" customWidth="1"/>
    <col min="56" max="16384" width="11.42578125" style="9"/>
  </cols>
  <sheetData>
    <row r="1" spans="1:54" s="2" customFormat="1" ht="12.75">
      <c r="A1" s="124" t="s">
        <v>0</v>
      </c>
      <c r="B1" s="124" t="s">
        <v>204</v>
      </c>
      <c r="C1" s="17" t="s">
        <v>154</v>
      </c>
      <c r="D1" s="17" t="s">
        <v>205</v>
      </c>
      <c r="E1" s="30" t="s">
        <v>288</v>
      </c>
      <c r="F1" s="17" t="s">
        <v>289</v>
      </c>
      <c r="G1" s="17" t="s">
        <v>290</v>
      </c>
      <c r="H1" s="17" t="s">
        <v>293</v>
      </c>
      <c r="I1" s="30" t="s">
        <v>294</v>
      </c>
      <c r="J1" s="17" t="s">
        <v>295</v>
      </c>
      <c r="K1" s="17" t="s">
        <v>296</v>
      </c>
      <c r="L1" s="17" t="s">
        <v>300</v>
      </c>
      <c r="M1" s="30" t="s">
        <v>301</v>
      </c>
      <c r="N1" s="17" t="s">
        <v>302</v>
      </c>
      <c r="O1" s="17" t="s">
        <v>303</v>
      </c>
      <c r="P1" s="17" t="s">
        <v>304</v>
      </c>
      <c r="Q1" s="30" t="s">
        <v>305</v>
      </c>
      <c r="R1" s="152" t="s">
        <v>306</v>
      </c>
      <c r="S1" s="17" t="s">
        <v>307</v>
      </c>
      <c r="T1" s="17" t="s">
        <v>308</v>
      </c>
      <c r="U1" s="17" t="s">
        <v>309</v>
      </c>
      <c r="V1" s="30" t="s">
        <v>310</v>
      </c>
      <c r="W1" s="17" t="s">
        <v>311</v>
      </c>
      <c r="X1" s="17" t="s">
        <v>312</v>
      </c>
      <c r="Y1" s="17" t="s">
        <v>315</v>
      </c>
      <c r="Z1" s="30" t="s">
        <v>177</v>
      </c>
      <c r="AA1" s="17" t="s">
        <v>178</v>
      </c>
      <c r="AB1" s="17" t="s">
        <v>179</v>
      </c>
      <c r="AC1" s="17" t="s">
        <v>180</v>
      </c>
      <c r="AD1" s="17" t="s">
        <v>181</v>
      </c>
      <c r="AE1" s="30" t="s">
        <v>182</v>
      </c>
      <c r="AF1" s="17" t="s">
        <v>183</v>
      </c>
      <c r="AG1" s="17" t="s">
        <v>184</v>
      </c>
      <c r="AH1" s="17" t="s">
        <v>185</v>
      </c>
      <c r="AI1" s="30" t="s">
        <v>186</v>
      </c>
      <c r="AJ1" s="17" t="s">
        <v>187</v>
      </c>
      <c r="AK1" s="17" t="s">
        <v>188</v>
      </c>
      <c r="AL1" s="17" t="s">
        <v>189</v>
      </c>
      <c r="AM1" s="30" t="s">
        <v>190</v>
      </c>
      <c r="AN1" s="17" t="s">
        <v>191</v>
      </c>
      <c r="AO1" s="17" t="s">
        <v>192</v>
      </c>
      <c r="AP1" s="17" t="s">
        <v>193</v>
      </c>
      <c r="AQ1" s="17" t="s">
        <v>194</v>
      </c>
      <c r="AR1" s="30" t="s">
        <v>195</v>
      </c>
      <c r="AS1" s="17" t="s">
        <v>196</v>
      </c>
      <c r="AT1" s="17" t="s">
        <v>197</v>
      </c>
      <c r="AU1" s="17" t="s">
        <v>198</v>
      </c>
      <c r="AV1" s="30" t="s">
        <v>199</v>
      </c>
      <c r="AW1" s="17" t="s">
        <v>200</v>
      </c>
      <c r="AX1" s="17" t="s">
        <v>201</v>
      </c>
      <c r="AY1" s="17" t="s">
        <v>202</v>
      </c>
      <c r="AZ1" s="17" t="s">
        <v>203</v>
      </c>
      <c r="BA1" s="17" t="s">
        <v>102</v>
      </c>
      <c r="BB1" s="17" t="s">
        <v>109</v>
      </c>
    </row>
    <row r="2" spans="1:54" s="4" customFormat="1" ht="15">
      <c r="A2" s="3"/>
      <c r="B2" s="129"/>
      <c r="C2" s="129"/>
      <c r="D2" s="125"/>
      <c r="E2" s="143"/>
      <c r="F2" s="125"/>
      <c r="G2" s="129"/>
      <c r="H2" s="129"/>
      <c r="I2" s="130"/>
      <c r="J2" s="129"/>
      <c r="K2" s="129"/>
      <c r="L2" s="129"/>
      <c r="M2" s="130"/>
      <c r="N2" s="129"/>
      <c r="O2" s="129"/>
      <c r="P2" s="129"/>
      <c r="Q2" s="130"/>
      <c r="R2" s="129"/>
      <c r="S2" s="125"/>
      <c r="T2" s="125"/>
      <c r="U2" s="125"/>
      <c r="V2" s="143"/>
      <c r="W2" s="125"/>
      <c r="X2" s="125">
        <f>X93-'FO 7 jun-19'!X93</f>
        <v>-174667</v>
      </c>
      <c r="Y2" s="125">
        <f>Y93-'FO 7 jun-19'!Y93</f>
        <v>2887647.4899999984</v>
      </c>
      <c r="Z2" s="143">
        <f>Z93-'FO 7 jun-19'!Z93</f>
        <v>-3438568.4300000034</v>
      </c>
      <c r="AA2" s="125">
        <f>AA93-'FO 7 jun-19'!AA93</f>
        <v>-47312.690000001341</v>
      </c>
      <c r="AB2" s="125">
        <f>AB93-'FO 7 jun-19'!AB93</f>
        <v>21040.89999999851</v>
      </c>
      <c r="AC2" s="125">
        <f>AC93-'FO 7 jun-19'!AC93</f>
        <v>3943500</v>
      </c>
      <c r="AD2" s="125">
        <f>AD93-'FO 7 jun-19'!AD93</f>
        <v>-541675.61999999918</v>
      </c>
      <c r="AE2" s="143">
        <f>AE93-'FO 7 jun-19'!AE93</f>
        <v>-1020850.2199999988</v>
      </c>
      <c r="AF2" s="125">
        <f>AF93-'FO 7 jun-19'!AF93</f>
        <v>-139343.1799999997</v>
      </c>
      <c r="AG2" s="125">
        <f>AG93-'FO 7 jun-19'!AG93</f>
        <v>0</v>
      </c>
      <c r="AH2" s="125">
        <f>AH93-'FO 7 jun-19'!AH93</f>
        <v>-115106.0700000003</v>
      </c>
      <c r="AI2" s="143">
        <f>AI93-'FO 7 jun-19'!AI93</f>
        <v>-49827.210000000894</v>
      </c>
      <c r="AJ2" s="125">
        <f>AJ93-'FO 7 jun-19'!AJ93</f>
        <v>-140627.33000000007</v>
      </c>
      <c r="AK2" s="125">
        <f>AK93-'FO 7 jun-19'!AK93</f>
        <v>-305560.6099999994</v>
      </c>
      <c r="AL2" s="125">
        <f>AL93-'FO 7 jun-19'!AL93</f>
        <v>-204864.5</v>
      </c>
      <c r="AM2" s="143">
        <f>AM93-'FO 7 jun-19'!AM93</f>
        <v>-34722.790000000969</v>
      </c>
      <c r="AN2" s="125">
        <f>AN93-'FO 7 jun-19'!AN93</f>
        <v>-216.29999999701977</v>
      </c>
      <c r="AO2" s="125">
        <f>AO93-'FO 7 jun-19'!AO93</f>
        <v>0</v>
      </c>
      <c r="AP2" s="125">
        <f>AP93-'FO 7 jun-19'!AP93</f>
        <v>-135418.89999999851</v>
      </c>
      <c r="AQ2" s="125">
        <f>AQ93-'FO 7 jun-19'!AQ93</f>
        <v>-34722.800000000745</v>
      </c>
      <c r="AR2" s="143">
        <f>AR93-'FO 7 jun-19'!AR93</f>
        <v>-270837.81000000052</v>
      </c>
      <c r="AS2" s="125">
        <f>AS93-'FO 7 jun-19'!AS93</f>
        <v>201392.22000000067</v>
      </c>
      <c r="AT2" s="125">
        <f>AT93-'FO 7 jun-19'!AT93</f>
        <v>69445.60000000149</v>
      </c>
      <c r="AU2" s="125">
        <f>AU93-'FO 7 jun-19'!AU93</f>
        <v>-1083351.25</v>
      </c>
      <c r="AV2" s="143">
        <f>AV93-'FO 7 jun-19'!AV93</f>
        <v>-277894.37999999896</v>
      </c>
      <c r="AW2" s="125">
        <f>AW93-'FO 7 jun-19'!AW93</f>
        <v>0</v>
      </c>
      <c r="AX2" s="13">
        <f>AX93-'FO 7 jun-19'!AX93</f>
        <v>0</v>
      </c>
      <c r="AY2" s="13">
        <f>AY93-'FO 7 jun-19'!AY93</f>
        <v>0</v>
      </c>
      <c r="AZ2" s="13">
        <f>AZ93-'FO 7 jun-19'!AZ93</f>
        <v>0</v>
      </c>
      <c r="BA2" s="13">
        <f>BA93-'FO 7 jun-19'!BA93</f>
        <v>0</v>
      </c>
      <c r="BB2" s="4" t="s">
        <v>291</v>
      </c>
    </row>
    <row r="3" spans="1:54" s="5" customFormat="1" ht="12.75">
      <c r="A3" s="3"/>
      <c r="B3" s="18"/>
      <c r="C3" s="18"/>
      <c r="D3" s="18"/>
      <c r="E3" s="32"/>
      <c r="F3" s="18"/>
      <c r="G3" s="18"/>
      <c r="H3" s="18"/>
      <c r="I3" s="32"/>
      <c r="J3" s="18"/>
      <c r="K3" s="18"/>
      <c r="L3" s="18"/>
      <c r="M3" s="32"/>
      <c r="N3" s="18"/>
      <c r="O3" s="18"/>
      <c r="P3" s="18"/>
      <c r="Q3" s="32"/>
      <c r="R3" s="18"/>
      <c r="S3" s="18"/>
      <c r="T3" s="18"/>
      <c r="U3" s="18"/>
      <c r="V3" s="32"/>
      <c r="W3" s="18"/>
      <c r="X3" s="18"/>
      <c r="Y3" s="18"/>
      <c r="Z3" s="32"/>
      <c r="AA3" s="18"/>
      <c r="AB3" s="18"/>
      <c r="AC3" s="18"/>
      <c r="AD3" s="18"/>
      <c r="AE3" s="32"/>
      <c r="AF3" s="18"/>
      <c r="AG3" s="18"/>
      <c r="AH3" s="18"/>
      <c r="AI3" s="32"/>
      <c r="AJ3" s="18"/>
      <c r="AK3" s="18"/>
      <c r="AL3" s="18"/>
      <c r="AM3" s="32"/>
      <c r="AN3" s="18"/>
      <c r="AO3" s="18"/>
      <c r="AP3" s="18"/>
      <c r="AQ3" s="18"/>
      <c r="AR3" s="32"/>
      <c r="AS3" s="18"/>
      <c r="AT3" s="18"/>
      <c r="AU3" s="18"/>
      <c r="AV3" s="32"/>
      <c r="AW3" s="18"/>
      <c r="AX3" s="18"/>
      <c r="AY3" s="18"/>
      <c r="AZ3" s="18"/>
      <c r="BA3" s="18"/>
      <c r="BB3" s="37"/>
    </row>
    <row r="4" spans="1:54" s="4" customFormat="1" ht="15" hidden="1" outlineLevel="1">
      <c r="A4" s="3" t="s">
        <v>3</v>
      </c>
      <c r="B4" s="24"/>
      <c r="C4" s="24">
        <v>3434617.96</v>
      </c>
      <c r="D4" s="24">
        <v>4493120.16</v>
      </c>
      <c r="E4" s="31">
        <v>4938547.01</v>
      </c>
      <c r="F4" s="24">
        <v>5199376.3099999996</v>
      </c>
      <c r="G4" s="24">
        <v>5779018.3600000003</v>
      </c>
      <c r="H4" s="24">
        <v>6226529.8799999999</v>
      </c>
      <c r="I4" s="31">
        <v>6255641.6699999999</v>
      </c>
      <c r="J4" s="24">
        <v>6326393.3099999996</v>
      </c>
      <c r="K4" s="24">
        <v>6343331.2199999997</v>
      </c>
      <c r="L4" s="24">
        <v>6232392.2999999998</v>
      </c>
      <c r="M4" s="31">
        <v>6252891.3399999999</v>
      </c>
      <c r="N4" s="24">
        <v>6283827.2199999997</v>
      </c>
      <c r="O4" s="24">
        <v>6411724.2300000004</v>
      </c>
      <c r="P4" s="24">
        <v>6427587.5199999996</v>
      </c>
      <c r="Q4" s="31">
        <v>5926844.2800000003</v>
      </c>
      <c r="R4" s="24">
        <v>6443293.0700000003</v>
      </c>
      <c r="S4" s="24">
        <v>5791032.3099999996</v>
      </c>
      <c r="T4" s="24">
        <v>6275905.29</v>
      </c>
      <c r="U4" s="24">
        <v>6161236.9299999997</v>
      </c>
      <c r="V4" s="31">
        <v>6230669.0300000003</v>
      </c>
      <c r="W4" s="24">
        <v>6451212.0300000003</v>
      </c>
      <c r="X4" s="24">
        <v>6418423.0800000001</v>
      </c>
      <c r="Y4" s="24">
        <v>6520836.7999999998</v>
      </c>
      <c r="Z4" s="31">
        <v>6514064.2699999996</v>
      </c>
      <c r="AA4" s="24">
        <v>6506489.6200000001</v>
      </c>
      <c r="AB4" s="24">
        <v>6443257.2400000002</v>
      </c>
      <c r="AC4" s="24">
        <v>6452578.79</v>
      </c>
      <c r="AD4" s="24">
        <v>6469656.3499999996</v>
      </c>
      <c r="AE4" s="31">
        <v>6424713.7999999998</v>
      </c>
      <c r="AF4" s="24">
        <v>6357940.9400000004</v>
      </c>
      <c r="AG4" s="24">
        <v>6303076.6799999997</v>
      </c>
      <c r="AH4" s="24">
        <v>6159211.5599999996</v>
      </c>
      <c r="AI4" s="31">
        <v>6179799.5700000003</v>
      </c>
      <c r="AJ4" s="24">
        <v>6183021.9500000002</v>
      </c>
      <c r="AK4" s="24">
        <v>6262108.54</v>
      </c>
      <c r="AL4" s="24">
        <v>6374887.6200000001</v>
      </c>
      <c r="AM4" s="31">
        <v>6438163.5300000003</v>
      </c>
      <c r="AN4" s="24">
        <v>6463803.4500000002</v>
      </c>
      <c r="AO4" s="24">
        <v>6524065.1200000001</v>
      </c>
      <c r="AP4" s="24">
        <v>6480904.6100000003</v>
      </c>
      <c r="AQ4" s="24">
        <v>6474170.0999999996</v>
      </c>
      <c r="AR4" s="31">
        <v>6455940.8499999996</v>
      </c>
      <c r="AS4" s="24">
        <v>5987077.1500000004</v>
      </c>
      <c r="AT4" s="24">
        <v>6436204.6399999997</v>
      </c>
      <c r="AU4" s="24">
        <v>6275855.9000000004</v>
      </c>
      <c r="AV4" s="31">
        <v>6436953.3300000001</v>
      </c>
      <c r="AW4" s="24">
        <v>6587395.0300000003</v>
      </c>
      <c r="AX4" s="19">
        <v>6800079.46</v>
      </c>
      <c r="AY4" s="19">
        <v>7832520.4699999997</v>
      </c>
      <c r="AZ4" s="19">
        <v>8178993.6100000003</v>
      </c>
      <c r="BA4" s="19">
        <v>2502542.2400000002</v>
      </c>
      <c r="BB4" s="37">
        <f t="shared" ref="BB4:BB35" si="0">SUM(B4:BA4)/1000</f>
        <v>315329.92772999994</v>
      </c>
    </row>
    <row r="5" spans="1:54" s="4" customFormat="1" ht="15" hidden="1" outlineLevel="1">
      <c r="A5" s="3" t="s">
        <v>4</v>
      </c>
      <c r="B5" s="24"/>
      <c r="C5" s="24">
        <v>891488.64</v>
      </c>
      <c r="D5" s="24">
        <v>1399921.8</v>
      </c>
      <c r="E5" s="31">
        <v>1545724.37</v>
      </c>
      <c r="F5" s="24">
        <v>1674792.25</v>
      </c>
      <c r="G5" s="24">
        <v>1779800.93</v>
      </c>
      <c r="H5" s="24">
        <v>1820283.6</v>
      </c>
      <c r="I5" s="31">
        <v>1820533.5</v>
      </c>
      <c r="J5" s="24">
        <v>1823305.79</v>
      </c>
      <c r="K5" s="24">
        <v>1834921.56</v>
      </c>
      <c r="L5" s="24">
        <v>1818427.14</v>
      </c>
      <c r="M5" s="31">
        <v>1823733.44</v>
      </c>
      <c r="N5" s="24">
        <v>1834684.09</v>
      </c>
      <c r="O5" s="24">
        <v>1823939.65</v>
      </c>
      <c r="P5" s="24">
        <v>1845723.98</v>
      </c>
      <c r="Q5" s="31">
        <v>1765561.39</v>
      </c>
      <c r="R5" s="24">
        <v>1830112.95</v>
      </c>
      <c r="S5" s="24">
        <v>1644502.15</v>
      </c>
      <c r="T5" s="24">
        <v>1782590.66</v>
      </c>
      <c r="U5" s="24">
        <v>1706051.31</v>
      </c>
      <c r="V5" s="31">
        <v>1782929.93</v>
      </c>
      <c r="W5" s="24">
        <v>1851605.52</v>
      </c>
      <c r="X5" s="24">
        <v>1850372.77</v>
      </c>
      <c r="Y5" s="24">
        <v>1868814.2</v>
      </c>
      <c r="Z5" s="31">
        <v>1869624.77</v>
      </c>
      <c r="AA5" s="24">
        <v>1883272.73</v>
      </c>
      <c r="AB5" s="24">
        <v>1892454.53</v>
      </c>
      <c r="AC5" s="24">
        <v>1895094.02</v>
      </c>
      <c r="AD5" s="24">
        <v>1894852.19</v>
      </c>
      <c r="AE5" s="31">
        <v>1879113.97</v>
      </c>
      <c r="AF5" s="24">
        <v>1873732.64</v>
      </c>
      <c r="AG5" s="24">
        <v>1856927.23</v>
      </c>
      <c r="AH5" s="24">
        <v>1884804.36</v>
      </c>
      <c r="AI5" s="31">
        <v>1876872.3</v>
      </c>
      <c r="AJ5" s="24">
        <v>1870891.02</v>
      </c>
      <c r="AK5" s="24">
        <v>1886058.11</v>
      </c>
      <c r="AL5" s="24">
        <v>1891474.46</v>
      </c>
      <c r="AM5" s="31">
        <v>1892663.33</v>
      </c>
      <c r="AN5" s="24">
        <v>1892806.4</v>
      </c>
      <c r="AO5" s="24">
        <v>1880888.58</v>
      </c>
      <c r="AP5" s="24">
        <v>1878044.37</v>
      </c>
      <c r="AQ5" s="24">
        <v>1878348.96</v>
      </c>
      <c r="AR5" s="31">
        <v>1907073.41</v>
      </c>
      <c r="AS5" s="24">
        <v>1836532.98</v>
      </c>
      <c r="AT5" s="24">
        <v>1941170.16</v>
      </c>
      <c r="AU5" s="24">
        <v>1842449.16</v>
      </c>
      <c r="AV5" s="31">
        <v>1929489.03</v>
      </c>
      <c r="AW5" s="24">
        <v>1951735.69</v>
      </c>
      <c r="AX5" s="19">
        <v>1958269.32</v>
      </c>
      <c r="AY5" s="19">
        <v>2022354.52</v>
      </c>
      <c r="AZ5" s="19">
        <v>2035628.25</v>
      </c>
      <c r="BA5" s="19">
        <v>570196.05000000005</v>
      </c>
      <c r="BB5" s="37">
        <f t="shared" si="0"/>
        <v>91692.644159999982</v>
      </c>
    </row>
    <row r="6" spans="1:54" s="4" customFormat="1" ht="15" hidden="1" outlineLevel="1">
      <c r="A6" s="3" t="s">
        <v>5</v>
      </c>
      <c r="B6" s="24"/>
      <c r="C6" s="24">
        <v>0</v>
      </c>
      <c r="D6" s="24">
        <v>0</v>
      </c>
      <c r="E6" s="31">
        <v>0</v>
      </c>
      <c r="F6" s="24">
        <v>0</v>
      </c>
      <c r="G6" s="24">
        <v>0</v>
      </c>
      <c r="H6" s="24">
        <v>0</v>
      </c>
      <c r="I6" s="31">
        <v>0</v>
      </c>
      <c r="J6" s="24">
        <v>0</v>
      </c>
      <c r="K6" s="24">
        <v>0</v>
      </c>
      <c r="L6" s="24">
        <v>0</v>
      </c>
      <c r="M6" s="31">
        <v>0</v>
      </c>
      <c r="N6" s="24">
        <v>0</v>
      </c>
      <c r="O6" s="24">
        <v>0</v>
      </c>
      <c r="P6" s="24">
        <v>0</v>
      </c>
      <c r="Q6" s="31">
        <v>0</v>
      </c>
      <c r="R6" s="24">
        <v>0</v>
      </c>
      <c r="S6" s="24">
        <v>0</v>
      </c>
      <c r="T6" s="24">
        <v>0</v>
      </c>
      <c r="U6" s="24">
        <v>0</v>
      </c>
      <c r="V6" s="31">
        <v>0</v>
      </c>
      <c r="W6" s="24">
        <v>0</v>
      </c>
      <c r="X6" s="24">
        <v>0</v>
      </c>
      <c r="Y6" s="24">
        <v>0</v>
      </c>
      <c r="Z6" s="31">
        <v>0</v>
      </c>
      <c r="AA6" s="24">
        <v>0</v>
      </c>
      <c r="AB6" s="24">
        <v>0</v>
      </c>
      <c r="AC6" s="24">
        <v>0</v>
      </c>
      <c r="AD6" s="24">
        <v>0</v>
      </c>
      <c r="AE6" s="31">
        <v>0</v>
      </c>
      <c r="AF6" s="24">
        <v>0</v>
      </c>
      <c r="AG6" s="24">
        <v>0</v>
      </c>
      <c r="AH6" s="24">
        <v>0</v>
      </c>
      <c r="AI6" s="31">
        <v>0</v>
      </c>
      <c r="AJ6" s="24">
        <v>0</v>
      </c>
      <c r="AK6" s="24">
        <v>0</v>
      </c>
      <c r="AL6" s="24">
        <v>0</v>
      </c>
      <c r="AM6" s="31">
        <v>0</v>
      </c>
      <c r="AN6" s="24">
        <v>0</v>
      </c>
      <c r="AO6" s="24">
        <v>0</v>
      </c>
      <c r="AP6" s="24">
        <v>0</v>
      </c>
      <c r="AQ6" s="24">
        <v>0</v>
      </c>
      <c r="AR6" s="31">
        <v>0</v>
      </c>
      <c r="AS6" s="24">
        <v>0</v>
      </c>
      <c r="AT6" s="24">
        <v>0</v>
      </c>
      <c r="AU6" s="24">
        <v>0</v>
      </c>
      <c r="AV6" s="31">
        <v>0</v>
      </c>
      <c r="AW6" s="24">
        <v>0</v>
      </c>
      <c r="AX6" s="19">
        <v>0</v>
      </c>
      <c r="AY6" s="19">
        <v>0</v>
      </c>
      <c r="AZ6" s="19">
        <v>0</v>
      </c>
      <c r="BA6" s="19">
        <v>0</v>
      </c>
      <c r="BB6" s="37">
        <f t="shared" si="0"/>
        <v>0</v>
      </c>
    </row>
    <row r="7" spans="1:54" s="4" customFormat="1" ht="15" hidden="1" outlineLevel="1">
      <c r="A7" s="3" t="s">
        <v>6</v>
      </c>
      <c r="B7" s="24"/>
      <c r="C7" s="24">
        <v>36476.74</v>
      </c>
      <c r="D7" s="24">
        <v>76874.34</v>
      </c>
      <c r="E7" s="31">
        <v>80853.38</v>
      </c>
      <c r="F7" s="24">
        <v>89782.49</v>
      </c>
      <c r="G7" s="24">
        <v>140031.29999999999</v>
      </c>
      <c r="H7" s="24">
        <v>163744.26</v>
      </c>
      <c r="I7" s="31">
        <v>163704.82</v>
      </c>
      <c r="J7" s="24">
        <v>162682.62</v>
      </c>
      <c r="K7" s="24">
        <v>166894.76</v>
      </c>
      <c r="L7" s="24">
        <v>166302.66</v>
      </c>
      <c r="M7" s="31">
        <v>166747.16</v>
      </c>
      <c r="N7" s="24">
        <v>168283.83</v>
      </c>
      <c r="O7" s="24">
        <v>176806.27</v>
      </c>
      <c r="P7" s="24">
        <v>180130.32</v>
      </c>
      <c r="Q7" s="31">
        <v>179972.61</v>
      </c>
      <c r="R7" s="24">
        <v>183841.68</v>
      </c>
      <c r="S7" s="24">
        <v>166616.63</v>
      </c>
      <c r="T7" s="24">
        <v>175142.99</v>
      </c>
      <c r="U7" s="24">
        <v>160412.44</v>
      </c>
      <c r="V7" s="31">
        <v>160739.20000000001</v>
      </c>
      <c r="W7" s="24">
        <v>171252.17</v>
      </c>
      <c r="X7" s="24">
        <v>158486.99</v>
      </c>
      <c r="Y7" s="24">
        <v>181124.52</v>
      </c>
      <c r="Z7" s="31">
        <v>182478.34</v>
      </c>
      <c r="AA7" s="24">
        <v>179006.73</v>
      </c>
      <c r="AB7" s="24">
        <v>184824.37</v>
      </c>
      <c r="AC7" s="24">
        <v>181543.82</v>
      </c>
      <c r="AD7" s="24">
        <v>179152.75</v>
      </c>
      <c r="AE7" s="31">
        <v>177966.47</v>
      </c>
      <c r="AF7" s="24">
        <v>177108.34</v>
      </c>
      <c r="AG7" s="24">
        <v>174205.1</v>
      </c>
      <c r="AH7" s="24">
        <v>173445.78</v>
      </c>
      <c r="AI7" s="31">
        <v>173887.43</v>
      </c>
      <c r="AJ7" s="24">
        <v>176291.36</v>
      </c>
      <c r="AK7" s="24">
        <v>181062.16</v>
      </c>
      <c r="AL7" s="24">
        <v>185224.76</v>
      </c>
      <c r="AM7" s="31">
        <v>186803.51</v>
      </c>
      <c r="AN7" s="24">
        <v>185186.2</v>
      </c>
      <c r="AO7" s="24">
        <v>187305.61</v>
      </c>
      <c r="AP7" s="24">
        <v>192157.83</v>
      </c>
      <c r="AQ7" s="24">
        <v>189192.3</v>
      </c>
      <c r="AR7" s="31">
        <v>189875.43</v>
      </c>
      <c r="AS7" s="24">
        <v>184328.21</v>
      </c>
      <c r="AT7" s="24">
        <v>189951.22</v>
      </c>
      <c r="AU7" s="24">
        <v>192516.26</v>
      </c>
      <c r="AV7" s="31">
        <v>202797.92</v>
      </c>
      <c r="AW7" s="24">
        <v>200714.98</v>
      </c>
      <c r="AX7" s="19">
        <v>188569.02</v>
      </c>
      <c r="AY7" s="19">
        <v>197293.42</v>
      </c>
      <c r="AZ7" s="19">
        <v>193987.29</v>
      </c>
      <c r="BA7" s="19">
        <v>44581.99</v>
      </c>
      <c r="BB7" s="37">
        <f t="shared" si="0"/>
        <v>8528.3627799999995</v>
      </c>
    </row>
    <row r="8" spans="1:54" s="4" customFormat="1" ht="15" hidden="1" outlineLevel="1">
      <c r="A8" s="3" t="s">
        <v>7</v>
      </c>
      <c r="B8" s="24"/>
      <c r="C8" s="24">
        <v>98128.2</v>
      </c>
      <c r="D8" s="24">
        <v>207090.72</v>
      </c>
      <c r="E8" s="31">
        <v>229496.8</v>
      </c>
      <c r="F8" s="24">
        <v>262783.28999999998</v>
      </c>
      <c r="G8" s="24">
        <v>346397.24</v>
      </c>
      <c r="H8" s="24">
        <v>372488.88</v>
      </c>
      <c r="I8" s="31">
        <v>379087.27</v>
      </c>
      <c r="J8" s="24">
        <v>386497.22</v>
      </c>
      <c r="K8" s="24">
        <v>386549.77</v>
      </c>
      <c r="L8" s="24">
        <v>404431.5</v>
      </c>
      <c r="M8" s="31">
        <v>402098.13</v>
      </c>
      <c r="N8" s="24">
        <v>403540.33</v>
      </c>
      <c r="O8" s="24">
        <v>427367.21</v>
      </c>
      <c r="P8" s="24">
        <v>473566.26</v>
      </c>
      <c r="Q8" s="31">
        <v>473820.54</v>
      </c>
      <c r="R8" s="24">
        <v>491047.16</v>
      </c>
      <c r="S8" s="24">
        <v>452610.04</v>
      </c>
      <c r="T8" s="24">
        <v>439849.48</v>
      </c>
      <c r="U8" s="24">
        <v>399147.61</v>
      </c>
      <c r="V8" s="31">
        <v>396136.5</v>
      </c>
      <c r="W8" s="24">
        <v>414800.66</v>
      </c>
      <c r="X8" s="24">
        <v>403582.55</v>
      </c>
      <c r="Y8" s="24">
        <v>442033.28</v>
      </c>
      <c r="Z8" s="31">
        <v>443314</v>
      </c>
      <c r="AA8" s="24">
        <v>447059.93</v>
      </c>
      <c r="AB8" s="24">
        <v>454371.35</v>
      </c>
      <c r="AC8" s="24">
        <v>453704.71</v>
      </c>
      <c r="AD8" s="24">
        <v>456037.54</v>
      </c>
      <c r="AE8" s="31">
        <v>449041.41</v>
      </c>
      <c r="AF8" s="24">
        <v>444460.7</v>
      </c>
      <c r="AG8" s="24">
        <v>440616.26</v>
      </c>
      <c r="AH8" s="24">
        <v>428131.38</v>
      </c>
      <c r="AI8" s="31">
        <v>428093.32</v>
      </c>
      <c r="AJ8" s="24">
        <v>425994.93</v>
      </c>
      <c r="AK8" s="24">
        <v>444533.71</v>
      </c>
      <c r="AL8" s="24">
        <v>473323.34</v>
      </c>
      <c r="AM8" s="31">
        <v>482935.12</v>
      </c>
      <c r="AN8" s="24">
        <v>487388.31</v>
      </c>
      <c r="AO8" s="24">
        <v>482827.55</v>
      </c>
      <c r="AP8" s="24">
        <v>434146.15</v>
      </c>
      <c r="AQ8" s="24">
        <v>414166.2</v>
      </c>
      <c r="AR8" s="31">
        <v>413550.84</v>
      </c>
      <c r="AS8" s="24">
        <v>402132.84</v>
      </c>
      <c r="AT8" s="24">
        <v>471559.4</v>
      </c>
      <c r="AU8" s="24">
        <v>492742.56</v>
      </c>
      <c r="AV8" s="31">
        <v>515505.99</v>
      </c>
      <c r="AW8" s="24">
        <v>519997.46</v>
      </c>
      <c r="AX8" s="19">
        <v>539955.55000000005</v>
      </c>
      <c r="AY8" s="19">
        <v>579456.4</v>
      </c>
      <c r="AZ8" s="19">
        <v>587840.26</v>
      </c>
      <c r="BA8" s="19">
        <v>152972.26</v>
      </c>
      <c r="BB8" s="37">
        <f t="shared" si="0"/>
        <v>21458.410110000001</v>
      </c>
    </row>
    <row r="9" spans="1:54" s="4" customFormat="1" ht="15" hidden="1" outlineLevel="1">
      <c r="A9" s="3" t="s">
        <v>8</v>
      </c>
      <c r="B9" s="24"/>
      <c r="C9" s="24">
        <v>118594.86</v>
      </c>
      <c r="D9" s="24">
        <v>143468.46</v>
      </c>
      <c r="E9" s="31">
        <v>170333.2</v>
      </c>
      <c r="F9" s="24">
        <v>200774.76</v>
      </c>
      <c r="G9" s="24">
        <v>343350.86</v>
      </c>
      <c r="H9" s="24">
        <v>410880.72</v>
      </c>
      <c r="I9" s="31">
        <v>411752.85</v>
      </c>
      <c r="J9" s="24">
        <v>414456.73</v>
      </c>
      <c r="K9" s="24">
        <v>416133.16</v>
      </c>
      <c r="L9" s="24">
        <v>426323.64</v>
      </c>
      <c r="M9" s="31">
        <v>428045.32</v>
      </c>
      <c r="N9" s="24">
        <v>425815.69</v>
      </c>
      <c r="O9" s="24">
        <v>424564.1</v>
      </c>
      <c r="P9" s="24">
        <v>437985.16</v>
      </c>
      <c r="Q9" s="31">
        <v>425250.82</v>
      </c>
      <c r="R9" s="24">
        <v>441973.38</v>
      </c>
      <c r="S9" s="24">
        <v>421454.81</v>
      </c>
      <c r="T9" s="24">
        <v>419574.7</v>
      </c>
      <c r="U9" s="24">
        <v>409697.15</v>
      </c>
      <c r="V9" s="31">
        <v>376258.68</v>
      </c>
      <c r="W9" s="24">
        <v>414930.1</v>
      </c>
      <c r="X9" s="24">
        <v>390782.22</v>
      </c>
      <c r="Y9" s="24">
        <v>421419.13</v>
      </c>
      <c r="Z9" s="31">
        <v>418540.02</v>
      </c>
      <c r="AA9" s="24">
        <v>417438.44</v>
      </c>
      <c r="AB9" s="24">
        <v>422156.35</v>
      </c>
      <c r="AC9" s="24">
        <v>428679.66</v>
      </c>
      <c r="AD9" s="24">
        <v>428945.79</v>
      </c>
      <c r="AE9" s="31">
        <v>430371.07</v>
      </c>
      <c r="AF9" s="24">
        <v>423714.83</v>
      </c>
      <c r="AG9" s="24">
        <v>413895.66</v>
      </c>
      <c r="AH9" s="24">
        <v>411861.48</v>
      </c>
      <c r="AI9" s="31">
        <v>413937.22</v>
      </c>
      <c r="AJ9" s="24">
        <v>420069.54</v>
      </c>
      <c r="AK9" s="24">
        <v>433767.13</v>
      </c>
      <c r="AL9" s="24">
        <v>439298.74</v>
      </c>
      <c r="AM9" s="31">
        <v>436887.47</v>
      </c>
      <c r="AN9" s="24">
        <v>435379.21</v>
      </c>
      <c r="AO9" s="24">
        <v>431882.18</v>
      </c>
      <c r="AP9" s="24">
        <v>437937.03</v>
      </c>
      <c r="AQ9" s="24">
        <v>437360.28</v>
      </c>
      <c r="AR9" s="31">
        <v>439422.29</v>
      </c>
      <c r="AS9" s="24">
        <v>424792.8</v>
      </c>
      <c r="AT9" s="24">
        <v>447156.79</v>
      </c>
      <c r="AU9" s="24">
        <v>444997.49</v>
      </c>
      <c r="AV9" s="31">
        <v>437443.71</v>
      </c>
      <c r="AW9" s="24">
        <v>438107.21</v>
      </c>
      <c r="AX9" s="19">
        <v>396186.75</v>
      </c>
      <c r="AY9" s="19">
        <v>439674.3</v>
      </c>
      <c r="AZ9" s="19">
        <v>440314.12</v>
      </c>
      <c r="BA9" s="19">
        <v>86673.21</v>
      </c>
      <c r="BB9" s="37">
        <f t="shared" si="0"/>
        <v>20170.71127</v>
      </c>
    </row>
    <row r="10" spans="1:54" s="4" customFormat="1" ht="15" hidden="1" outlineLevel="1">
      <c r="A10" s="3" t="s">
        <v>9</v>
      </c>
      <c r="B10" s="24"/>
      <c r="C10" s="24">
        <v>24854.720000000001</v>
      </c>
      <c r="D10" s="24">
        <v>44830.8</v>
      </c>
      <c r="E10" s="31">
        <v>45550.09</v>
      </c>
      <c r="F10" s="24">
        <v>45450.22</v>
      </c>
      <c r="G10" s="24">
        <v>78856.210000000006</v>
      </c>
      <c r="H10" s="24">
        <v>90337.2</v>
      </c>
      <c r="I10" s="31">
        <v>90359.26</v>
      </c>
      <c r="J10" s="24">
        <v>91384.59</v>
      </c>
      <c r="K10" s="24">
        <v>98918.59</v>
      </c>
      <c r="L10" s="24">
        <v>112785.48</v>
      </c>
      <c r="M10" s="31">
        <v>112853.78</v>
      </c>
      <c r="N10" s="24">
        <v>112867.92</v>
      </c>
      <c r="O10" s="24">
        <v>108323.44</v>
      </c>
      <c r="P10" s="24">
        <v>100434.12</v>
      </c>
      <c r="Q10" s="31">
        <v>98471.56</v>
      </c>
      <c r="R10" s="24">
        <v>100047.98</v>
      </c>
      <c r="S10" s="24">
        <v>96269.54</v>
      </c>
      <c r="T10" s="24">
        <v>113379.53</v>
      </c>
      <c r="U10" s="24">
        <v>114325.42</v>
      </c>
      <c r="V10" s="31">
        <v>109803.2</v>
      </c>
      <c r="W10" s="24">
        <v>120717.98</v>
      </c>
      <c r="X10" s="24">
        <v>100560.43</v>
      </c>
      <c r="Y10" s="24">
        <v>95138.65</v>
      </c>
      <c r="Z10" s="31">
        <v>93893.48</v>
      </c>
      <c r="AA10" s="24">
        <v>95094.83</v>
      </c>
      <c r="AB10" s="24">
        <v>98488.82</v>
      </c>
      <c r="AC10" s="24">
        <v>107365.94</v>
      </c>
      <c r="AD10" s="24">
        <v>106834.98</v>
      </c>
      <c r="AE10" s="31">
        <v>106709.95</v>
      </c>
      <c r="AF10" s="24">
        <v>105435</v>
      </c>
      <c r="AG10" s="24">
        <v>99192.38</v>
      </c>
      <c r="AH10" s="24">
        <v>102292.74</v>
      </c>
      <c r="AI10" s="31">
        <v>101924.08</v>
      </c>
      <c r="AJ10" s="24">
        <v>101325.41</v>
      </c>
      <c r="AK10" s="24">
        <v>103859.97</v>
      </c>
      <c r="AL10" s="24">
        <v>103997.54</v>
      </c>
      <c r="AM10" s="31">
        <v>104080.42</v>
      </c>
      <c r="AN10" s="24">
        <v>104403.96</v>
      </c>
      <c r="AO10" s="24">
        <v>103374.86</v>
      </c>
      <c r="AP10" s="24">
        <v>108027.96</v>
      </c>
      <c r="AQ10" s="24">
        <v>108161.58</v>
      </c>
      <c r="AR10" s="31">
        <v>108245.26</v>
      </c>
      <c r="AS10" s="24">
        <v>106280.19</v>
      </c>
      <c r="AT10" s="24">
        <v>106472.32000000001</v>
      </c>
      <c r="AU10" s="24">
        <v>104821.77</v>
      </c>
      <c r="AV10" s="31">
        <v>110627.13</v>
      </c>
      <c r="AW10" s="24">
        <v>110428.28</v>
      </c>
      <c r="AX10" s="19">
        <v>99746.5</v>
      </c>
      <c r="AY10" s="19">
        <v>107963.52</v>
      </c>
      <c r="AZ10" s="19">
        <v>105286.32</v>
      </c>
      <c r="BA10" s="19">
        <v>23353.57</v>
      </c>
      <c r="BB10" s="37">
        <f t="shared" si="0"/>
        <v>4944.2094699999998</v>
      </c>
    </row>
    <row r="11" spans="1:54" s="4" customFormat="1" ht="15" hidden="1" outlineLevel="1">
      <c r="A11" s="3" t="s">
        <v>10</v>
      </c>
      <c r="B11" s="24"/>
      <c r="C11" s="24">
        <v>56547.839999999997</v>
      </c>
      <c r="D11" s="24">
        <v>56558.28</v>
      </c>
      <c r="E11" s="31">
        <v>56893.13</v>
      </c>
      <c r="F11" s="24">
        <v>34334.550000000003</v>
      </c>
      <c r="G11" s="24">
        <v>9001.8700000000008</v>
      </c>
      <c r="H11" s="24">
        <v>9219.9</v>
      </c>
      <c r="I11" s="31">
        <v>9286.4699999999993</v>
      </c>
      <c r="J11" s="24">
        <v>13067.68</v>
      </c>
      <c r="K11" s="24">
        <v>47640.18</v>
      </c>
      <c r="L11" s="24">
        <v>82191.960000000006</v>
      </c>
      <c r="M11" s="31">
        <v>82287.75</v>
      </c>
      <c r="N11" s="24">
        <v>103383.42</v>
      </c>
      <c r="O11" s="24">
        <v>78612.740000000005</v>
      </c>
      <c r="P11" s="24">
        <v>42630.3</v>
      </c>
      <c r="Q11" s="31">
        <v>42037.01</v>
      </c>
      <c r="R11" s="24">
        <v>31590.59</v>
      </c>
      <c r="S11" s="24">
        <v>43235.199999999997</v>
      </c>
      <c r="T11" s="24">
        <v>107909.23</v>
      </c>
      <c r="U11" s="24">
        <v>107181.43</v>
      </c>
      <c r="V11" s="31">
        <v>99096.37</v>
      </c>
      <c r="W11" s="24">
        <v>101578.77</v>
      </c>
      <c r="X11" s="24">
        <v>69318.929999999993</v>
      </c>
      <c r="Y11" s="24">
        <v>58755.9</v>
      </c>
      <c r="Z11" s="31">
        <v>58773.52</v>
      </c>
      <c r="AA11" s="24">
        <v>51569.03</v>
      </c>
      <c r="AB11" s="24">
        <v>37472.42</v>
      </c>
      <c r="AC11" s="24">
        <v>44710.52</v>
      </c>
      <c r="AD11" s="24">
        <v>45043.62</v>
      </c>
      <c r="AE11" s="31">
        <v>57887.85</v>
      </c>
      <c r="AF11" s="24">
        <v>84295.66</v>
      </c>
      <c r="AG11" s="24">
        <v>68471.8</v>
      </c>
      <c r="AH11" s="24">
        <v>67852.38</v>
      </c>
      <c r="AI11" s="31">
        <v>67304.899999999994</v>
      </c>
      <c r="AJ11" s="24">
        <v>61934.41</v>
      </c>
      <c r="AK11" s="24">
        <v>61813.86</v>
      </c>
      <c r="AL11" s="24">
        <v>63271.82</v>
      </c>
      <c r="AM11" s="31">
        <v>63405</v>
      </c>
      <c r="AN11" s="24">
        <v>59588.7</v>
      </c>
      <c r="AO11" s="24">
        <v>66284.570000000007</v>
      </c>
      <c r="AP11" s="24">
        <v>71124.210000000006</v>
      </c>
      <c r="AQ11" s="24">
        <v>71088.06</v>
      </c>
      <c r="AR11" s="31">
        <v>69980.86</v>
      </c>
      <c r="AS11" s="24">
        <v>56531.360000000001</v>
      </c>
      <c r="AT11" s="24">
        <v>56966.86</v>
      </c>
      <c r="AU11" s="24">
        <v>58573.39</v>
      </c>
      <c r="AV11" s="31">
        <v>57843.62</v>
      </c>
      <c r="AW11" s="24">
        <v>58396.75</v>
      </c>
      <c r="AX11" s="19">
        <v>60908.49</v>
      </c>
      <c r="AY11" s="19">
        <v>63694.84</v>
      </c>
      <c r="AZ11" s="19">
        <v>63931.33</v>
      </c>
      <c r="BA11" s="19">
        <v>19688.5</v>
      </c>
      <c r="BB11" s="37">
        <f t="shared" si="0"/>
        <v>3010.7678299999998</v>
      </c>
    </row>
    <row r="12" spans="1:54" s="4" customFormat="1" ht="15" hidden="1" outlineLevel="1">
      <c r="A12" s="3" t="s">
        <v>11</v>
      </c>
      <c r="B12" s="24"/>
      <c r="C12" s="24">
        <v>2004898.74</v>
      </c>
      <c r="D12" s="24">
        <v>2004898.74</v>
      </c>
      <c r="E12" s="31">
        <v>2021341.08</v>
      </c>
      <c r="F12" s="24">
        <v>2054901.9</v>
      </c>
      <c r="G12" s="24">
        <v>2055578.04</v>
      </c>
      <c r="H12" s="24">
        <v>2055578.04</v>
      </c>
      <c r="I12" s="31">
        <v>1990122.14</v>
      </c>
      <c r="J12" s="24">
        <v>1858647.61</v>
      </c>
      <c r="K12" s="24">
        <v>1859549.16</v>
      </c>
      <c r="L12" s="24">
        <v>2592283.86</v>
      </c>
      <c r="M12" s="31">
        <v>2592342.02</v>
      </c>
      <c r="N12" s="24">
        <v>2710178.58</v>
      </c>
      <c r="O12" s="24">
        <v>2709921.48</v>
      </c>
      <c r="P12" s="24">
        <v>2385465.34</v>
      </c>
      <c r="Q12" s="31">
        <v>2716717.3</v>
      </c>
      <c r="R12" s="24">
        <v>2299462.66</v>
      </c>
      <c r="S12" s="24">
        <v>2539955.5099999998</v>
      </c>
      <c r="T12" s="24">
        <v>2497867.04</v>
      </c>
      <c r="U12" s="24">
        <v>2476592.1800000002</v>
      </c>
      <c r="V12" s="31">
        <v>2492651.77</v>
      </c>
      <c r="W12" s="24">
        <v>2570040.62</v>
      </c>
      <c r="X12" s="24">
        <v>2559426.9900000002</v>
      </c>
      <c r="Y12" s="24">
        <v>2537872.38</v>
      </c>
      <c r="Z12" s="31">
        <v>2537907.31</v>
      </c>
      <c r="AA12" s="24">
        <v>2237963.09</v>
      </c>
      <c r="AB12" s="24">
        <v>2345438.58</v>
      </c>
      <c r="AC12" s="24">
        <v>2245295.65</v>
      </c>
      <c r="AD12" s="24">
        <v>2354029.08</v>
      </c>
      <c r="AE12" s="31">
        <v>2361899.85</v>
      </c>
      <c r="AF12" s="24">
        <v>2369615.7200000002</v>
      </c>
      <c r="AG12" s="24">
        <v>2374566.81</v>
      </c>
      <c r="AH12" s="24">
        <v>2379584.94</v>
      </c>
      <c r="AI12" s="31">
        <v>2379165.7799999998</v>
      </c>
      <c r="AJ12" s="24">
        <v>2517548.62</v>
      </c>
      <c r="AK12" s="24">
        <v>2510914.94</v>
      </c>
      <c r="AL12" s="24">
        <v>2496636.06</v>
      </c>
      <c r="AM12" s="31">
        <v>2496860.2200000002</v>
      </c>
      <c r="AN12" s="24">
        <v>2402148.23</v>
      </c>
      <c r="AO12" s="24">
        <v>2382803.2000000002</v>
      </c>
      <c r="AP12" s="24">
        <v>2355503.4900000002</v>
      </c>
      <c r="AQ12" s="24">
        <v>2350057.86</v>
      </c>
      <c r="AR12" s="31">
        <v>2081990.86</v>
      </c>
      <c r="AS12" s="24">
        <v>2479936.54</v>
      </c>
      <c r="AT12" s="24">
        <v>2503133.58</v>
      </c>
      <c r="AU12" s="24">
        <v>2549523.1800000002</v>
      </c>
      <c r="AV12" s="31">
        <v>2549523.83</v>
      </c>
      <c r="AW12" s="24">
        <v>2633185.08</v>
      </c>
      <c r="AX12" s="19">
        <v>2626269.2999999998</v>
      </c>
      <c r="AY12" s="19">
        <v>2586499.7999999998</v>
      </c>
      <c r="AZ12" s="19">
        <v>2260911.83</v>
      </c>
      <c r="BA12" s="19">
        <v>861693.8</v>
      </c>
      <c r="BB12" s="37">
        <f t="shared" si="0"/>
        <v>119816.90041</v>
      </c>
    </row>
    <row r="13" spans="1:54" s="4" customFormat="1" ht="15" hidden="1" outlineLevel="1">
      <c r="A13" s="3" t="s">
        <v>12</v>
      </c>
      <c r="B13" s="24"/>
      <c r="C13" s="24">
        <v>1159546.56</v>
      </c>
      <c r="D13" s="24">
        <v>1159546.56</v>
      </c>
      <c r="E13" s="31">
        <v>1144474.7</v>
      </c>
      <c r="F13" s="24">
        <v>1114563.03</v>
      </c>
      <c r="G13" s="24">
        <v>1114795.08</v>
      </c>
      <c r="H13" s="24">
        <v>1114795.08</v>
      </c>
      <c r="I13" s="31">
        <v>1129032.1200000001</v>
      </c>
      <c r="J13" s="24">
        <v>1158544.31</v>
      </c>
      <c r="K13" s="24">
        <v>1163734.8600000001</v>
      </c>
      <c r="L13" s="24">
        <v>1163734.8600000001</v>
      </c>
      <c r="M13" s="31">
        <v>1163734.8600000001</v>
      </c>
      <c r="N13" s="24">
        <v>1141371.06</v>
      </c>
      <c r="O13" s="24">
        <v>1135793.76</v>
      </c>
      <c r="P13" s="24">
        <v>946494.8</v>
      </c>
      <c r="Q13" s="31">
        <v>1135793.76</v>
      </c>
      <c r="R13" s="24">
        <v>972306.98</v>
      </c>
      <c r="S13" s="24">
        <v>1213856.77</v>
      </c>
      <c r="T13" s="24">
        <v>1219144.5</v>
      </c>
      <c r="U13" s="24">
        <v>1213856.77</v>
      </c>
      <c r="V13" s="31">
        <v>1221901.3400000001</v>
      </c>
      <c r="W13" s="24">
        <v>1219936.69</v>
      </c>
      <c r="X13" s="24">
        <v>1204302.18</v>
      </c>
      <c r="Y13" s="24">
        <v>1204302.18</v>
      </c>
      <c r="Z13" s="31">
        <v>1204302.18</v>
      </c>
      <c r="AA13" s="24">
        <v>1122913.68</v>
      </c>
      <c r="AB13" s="24">
        <v>1140642.6000000001</v>
      </c>
      <c r="AC13" s="24">
        <v>1140642.6000000001</v>
      </c>
      <c r="AD13" s="24">
        <v>1140642.6000000001</v>
      </c>
      <c r="AE13" s="31">
        <v>1152191.04</v>
      </c>
      <c r="AF13" s="24">
        <v>1148679.53</v>
      </c>
      <c r="AG13" s="24">
        <v>1145667.54</v>
      </c>
      <c r="AH13" s="24">
        <v>1145667.54</v>
      </c>
      <c r="AI13" s="31">
        <v>1145667.54</v>
      </c>
      <c r="AJ13" s="24">
        <v>1175982.6599999999</v>
      </c>
      <c r="AK13" s="24">
        <v>1176877.02</v>
      </c>
      <c r="AL13" s="24">
        <v>1176877.02</v>
      </c>
      <c r="AM13" s="31">
        <v>1176877.02</v>
      </c>
      <c r="AN13" s="24">
        <v>1135464.42</v>
      </c>
      <c r="AO13" s="24">
        <v>1140457.8500000001</v>
      </c>
      <c r="AP13" s="24">
        <v>1143113.04</v>
      </c>
      <c r="AQ13" s="24">
        <v>1143113.04</v>
      </c>
      <c r="AR13" s="31">
        <v>966569.59</v>
      </c>
      <c r="AS13" s="24">
        <v>1201628.46</v>
      </c>
      <c r="AT13" s="24">
        <v>1197596.3400000001</v>
      </c>
      <c r="AU13" s="24">
        <v>1197596.3400000001</v>
      </c>
      <c r="AV13" s="31">
        <v>1197596.3400000001</v>
      </c>
      <c r="AW13" s="24">
        <v>1185453.68</v>
      </c>
      <c r="AX13" s="19">
        <v>1181140.08</v>
      </c>
      <c r="AY13" s="19">
        <v>1181140.08</v>
      </c>
      <c r="AZ13" s="19">
        <v>984283.4</v>
      </c>
      <c r="BA13" s="19">
        <v>393713.36</v>
      </c>
      <c r="BB13" s="37">
        <f t="shared" si="0"/>
        <v>57858.05940000002</v>
      </c>
    </row>
    <row r="14" spans="1:54" s="4" customFormat="1" ht="15" hidden="1" outlineLevel="1">
      <c r="A14" s="3" t="s">
        <v>13</v>
      </c>
      <c r="B14" s="24"/>
      <c r="C14" s="24">
        <v>523304.14</v>
      </c>
      <c r="D14" s="24">
        <v>1088237.22</v>
      </c>
      <c r="E14" s="31">
        <v>1145694.53</v>
      </c>
      <c r="F14" s="24">
        <v>1216247.54</v>
      </c>
      <c r="G14" s="24">
        <v>1830761.25</v>
      </c>
      <c r="H14" s="24">
        <v>2190933</v>
      </c>
      <c r="I14" s="31">
        <v>2197249.75</v>
      </c>
      <c r="J14" s="24">
        <v>2186088.21</v>
      </c>
      <c r="K14" s="24">
        <v>2129321.5</v>
      </c>
      <c r="L14" s="24">
        <v>2047606.8</v>
      </c>
      <c r="M14" s="31">
        <v>2047798.85</v>
      </c>
      <c r="N14" s="24">
        <v>2049537.51</v>
      </c>
      <c r="O14" s="24">
        <v>2076880.79</v>
      </c>
      <c r="P14" s="24">
        <v>2126398.94</v>
      </c>
      <c r="Q14" s="31">
        <v>2085506.73</v>
      </c>
      <c r="R14" s="24">
        <v>2138639.66</v>
      </c>
      <c r="S14" s="24">
        <v>1958608.37</v>
      </c>
      <c r="T14" s="24">
        <v>2129127.2799999998</v>
      </c>
      <c r="U14" s="24">
        <v>1992286.03</v>
      </c>
      <c r="V14" s="31">
        <v>1975913.59</v>
      </c>
      <c r="W14" s="24">
        <v>2131827.2799999998</v>
      </c>
      <c r="X14" s="24">
        <v>2001184.73</v>
      </c>
      <c r="Y14" s="24">
        <v>2157219.58</v>
      </c>
      <c r="Z14" s="31">
        <v>2158021.0299999998</v>
      </c>
      <c r="AA14" s="24">
        <v>2160410.39</v>
      </c>
      <c r="AB14" s="24">
        <v>2170592.4500000002</v>
      </c>
      <c r="AC14" s="24">
        <v>2173153.84</v>
      </c>
      <c r="AD14" s="24">
        <v>2171597.36</v>
      </c>
      <c r="AE14" s="31">
        <v>2159834.25</v>
      </c>
      <c r="AF14" s="24">
        <v>2151146.85</v>
      </c>
      <c r="AG14" s="24">
        <v>2125116.16</v>
      </c>
      <c r="AH14" s="24">
        <v>2100362.94</v>
      </c>
      <c r="AI14" s="31">
        <v>2107514.17</v>
      </c>
      <c r="AJ14" s="24">
        <v>2118112.9300000002</v>
      </c>
      <c r="AK14" s="24">
        <v>2150858.8199999998</v>
      </c>
      <c r="AL14" s="24">
        <v>2206460.14</v>
      </c>
      <c r="AM14" s="31">
        <v>2229069.17</v>
      </c>
      <c r="AN14" s="24">
        <v>2233495.3199999998</v>
      </c>
      <c r="AO14" s="24">
        <v>2232941.7599999998</v>
      </c>
      <c r="AP14" s="24">
        <v>2227284.0299999998</v>
      </c>
      <c r="AQ14" s="24">
        <v>2248685.58</v>
      </c>
      <c r="AR14" s="31">
        <v>2249600.2999999998</v>
      </c>
      <c r="AS14" s="24">
        <v>2210487.17</v>
      </c>
      <c r="AT14" s="24">
        <v>2202541.61</v>
      </c>
      <c r="AU14" s="24">
        <v>2031930.02</v>
      </c>
      <c r="AV14" s="31">
        <v>2177157.9300000002</v>
      </c>
      <c r="AW14" s="24">
        <v>2188157.65</v>
      </c>
      <c r="AX14" s="19">
        <v>2046673.54</v>
      </c>
      <c r="AY14" s="19">
        <v>2200593.2599999998</v>
      </c>
      <c r="AZ14" s="19">
        <v>2196124.54</v>
      </c>
      <c r="BA14" s="19">
        <v>564413.52</v>
      </c>
      <c r="BB14" s="37">
        <f t="shared" si="0"/>
        <v>102618.71001000004</v>
      </c>
    </row>
    <row r="15" spans="1:54" s="4" customFormat="1" ht="15" hidden="1" outlineLevel="1">
      <c r="A15" s="3" t="s">
        <v>14</v>
      </c>
      <c r="B15" s="24"/>
      <c r="C15" s="24">
        <v>8816.56</v>
      </c>
      <c r="D15" s="24">
        <v>17304.36</v>
      </c>
      <c r="E15" s="31">
        <v>17304.36</v>
      </c>
      <c r="F15" s="24">
        <v>15771.31</v>
      </c>
      <c r="G15" s="24">
        <v>14159.84</v>
      </c>
      <c r="H15" s="24">
        <v>18323.46</v>
      </c>
      <c r="I15" s="31">
        <v>18329.45</v>
      </c>
      <c r="J15" s="24">
        <v>18807.57</v>
      </c>
      <c r="K15" s="24">
        <v>19466.669999999998</v>
      </c>
      <c r="L15" s="24">
        <v>19075.38</v>
      </c>
      <c r="M15" s="31">
        <v>19094.150000000001</v>
      </c>
      <c r="N15" s="24">
        <v>19114.419999999998</v>
      </c>
      <c r="O15" s="24">
        <v>18877.849999999999</v>
      </c>
      <c r="P15" s="24">
        <v>19550.22</v>
      </c>
      <c r="Q15" s="31">
        <v>19526.5</v>
      </c>
      <c r="R15" s="24">
        <v>19875.75</v>
      </c>
      <c r="S15" s="24">
        <v>16713.62</v>
      </c>
      <c r="T15" s="24">
        <v>19659.330000000002</v>
      </c>
      <c r="U15" s="24">
        <v>16170.4</v>
      </c>
      <c r="V15" s="31">
        <v>18979.03</v>
      </c>
      <c r="W15" s="24">
        <v>19268.53</v>
      </c>
      <c r="X15" s="24">
        <v>19799.43</v>
      </c>
      <c r="Y15" s="24">
        <v>18984.599999999999</v>
      </c>
      <c r="Z15" s="31">
        <v>18843.490000000002</v>
      </c>
      <c r="AA15" s="24">
        <v>19495.669999999998</v>
      </c>
      <c r="AB15" s="24">
        <v>21284.959999999999</v>
      </c>
      <c r="AC15" s="24">
        <v>20087.34</v>
      </c>
      <c r="AD15" s="24">
        <v>19473.61</v>
      </c>
      <c r="AE15" s="31">
        <v>19042.849999999999</v>
      </c>
      <c r="AF15" s="24">
        <v>16393.7</v>
      </c>
      <c r="AG15" s="24">
        <v>16097.25</v>
      </c>
      <c r="AH15" s="24">
        <v>18934.68</v>
      </c>
      <c r="AI15" s="31">
        <v>18944.099999999999</v>
      </c>
      <c r="AJ15" s="24">
        <v>19070.98</v>
      </c>
      <c r="AK15" s="24">
        <v>19546.439999999999</v>
      </c>
      <c r="AL15" s="24">
        <v>19289.66</v>
      </c>
      <c r="AM15" s="31">
        <v>19146.11</v>
      </c>
      <c r="AN15" s="24">
        <v>19195.650000000001</v>
      </c>
      <c r="AO15" s="24">
        <v>18796.72</v>
      </c>
      <c r="AP15" s="24">
        <v>18594.599999999999</v>
      </c>
      <c r="AQ15" s="24">
        <v>18425.52</v>
      </c>
      <c r="AR15" s="31">
        <v>18414.66</v>
      </c>
      <c r="AS15" s="24">
        <v>18190.349999999999</v>
      </c>
      <c r="AT15" s="24">
        <v>18752.53</v>
      </c>
      <c r="AU15" s="24">
        <v>16272.09</v>
      </c>
      <c r="AV15" s="31">
        <v>19031.47</v>
      </c>
      <c r="AW15" s="24">
        <v>19239.11</v>
      </c>
      <c r="AX15" s="19">
        <v>19789.64</v>
      </c>
      <c r="AY15" s="19">
        <v>18749</v>
      </c>
      <c r="AZ15" s="19">
        <v>18227.98</v>
      </c>
      <c r="BA15" s="19">
        <v>5703.95</v>
      </c>
      <c r="BB15" s="37">
        <f t="shared" si="0"/>
        <v>926.00689999999975</v>
      </c>
    </row>
    <row r="16" spans="1:54" s="4" customFormat="1" ht="15" hidden="1" outlineLevel="1">
      <c r="A16" s="3" t="s">
        <v>15</v>
      </c>
      <c r="B16" s="24"/>
      <c r="C16" s="24">
        <v>0</v>
      </c>
      <c r="D16" s="24">
        <v>0</v>
      </c>
      <c r="E16" s="31">
        <v>0</v>
      </c>
      <c r="F16" s="24">
        <v>0</v>
      </c>
      <c r="G16" s="24">
        <v>0</v>
      </c>
      <c r="H16" s="24">
        <v>0</v>
      </c>
      <c r="I16" s="31">
        <v>0</v>
      </c>
      <c r="J16" s="24">
        <v>0</v>
      </c>
      <c r="K16" s="24">
        <v>0</v>
      </c>
      <c r="L16" s="24">
        <v>0</v>
      </c>
      <c r="M16" s="31">
        <v>0</v>
      </c>
      <c r="N16" s="24">
        <v>0</v>
      </c>
      <c r="O16" s="24">
        <v>0</v>
      </c>
      <c r="P16" s="24">
        <v>0</v>
      </c>
      <c r="Q16" s="31">
        <v>0</v>
      </c>
      <c r="R16" s="24">
        <v>0</v>
      </c>
      <c r="S16" s="24">
        <v>0</v>
      </c>
      <c r="T16" s="24">
        <v>0</v>
      </c>
      <c r="U16" s="24">
        <v>0</v>
      </c>
      <c r="V16" s="31">
        <v>0</v>
      </c>
      <c r="W16" s="24">
        <v>0</v>
      </c>
      <c r="X16" s="24">
        <v>0</v>
      </c>
      <c r="Y16" s="24">
        <v>0</v>
      </c>
      <c r="Z16" s="31">
        <v>0</v>
      </c>
      <c r="AA16" s="24">
        <v>0</v>
      </c>
      <c r="AB16" s="24">
        <v>0</v>
      </c>
      <c r="AC16" s="24">
        <v>0</v>
      </c>
      <c r="AD16" s="24">
        <v>0</v>
      </c>
      <c r="AE16" s="31">
        <v>0</v>
      </c>
      <c r="AF16" s="24">
        <v>0</v>
      </c>
      <c r="AG16" s="24">
        <v>0</v>
      </c>
      <c r="AH16" s="24">
        <v>0</v>
      </c>
      <c r="AI16" s="31">
        <v>0</v>
      </c>
      <c r="AJ16" s="24">
        <v>0</v>
      </c>
      <c r="AK16" s="24">
        <v>0</v>
      </c>
      <c r="AL16" s="24">
        <v>0</v>
      </c>
      <c r="AM16" s="31">
        <v>0</v>
      </c>
      <c r="AN16" s="24">
        <v>0</v>
      </c>
      <c r="AO16" s="24">
        <v>0</v>
      </c>
      <c r="AP16" s="24">
        <v>0</v>
      </c>
      <c r="AQ16" s="24">
        <v>0</v>
      </c>
      <c r="AR16" s="31">
        <v>0</v>
      </c>
      <c r="AS16" s="24">
        <v>0</v>
      </c>
      <c r="AT16" s="24">
        <v>0</v>
      </c>
      <c r="AU16" s="24">
        <v>0</v>
      </c>
      <c r="AV16" s="31">
        <v>0</v>
      </c>
      <c r="AW16" s="24">
        <v>0</v>
      </c>
      <c r="AX16" s="19">
        <v>0</v>
      </c>
      <c r="AY16" s="19">
        <v>0</v>
      </c>
      <c r="AZ16" s="19">
        <v>0</v>
      </c>
      <c r="BA16" s="19">
        <v>0</v>
      </c>
      <c r="BB16" s="37">
        <f t="shared" si="0"/>
        <v>0</v>
      </c>
    </row>
    <row r="17" spans="1:54" s="4" customFormat="1" ht="15" hidden="1" outlineLevel="1">
      <c r="A17" s="3" t="s">
        <v>16</v>
      </c>
      <c r="B17" s="24"/>
      <c r="C17" s="24">
        <v>0</v>
      </c>
      <c r="D17" s="24">
        <v>0</v>
      </c>
      <c r="E17" s="31">
        <v>0</v>
      </c>
      <c r="F17" s="24">
        <v>0</v>
      </c>
      <c r="G17" s="24">
        <v>0</v>
      </c>
      <c r="H17" s="24">
        <v>0</v>
      </c>
      <c r="I17" s="31">
        <v>0</v>
      </c>
      <c r="J17" s="24">
        <v>0</v>
      </c>
      <c r="K17" s="24">
        <v>0</v>
      </c>
      <c r="L17" s="24">
        <v>0</v>
      </c>
      <c r="M17" s="31">
        <v>0</v>
      </c>
      <c r="N17" s="24">
        <v>0</v>
      </c>
      <c r="O17" s="24">
        <v>0</v>
      </c>
      <c r="P17" s="24">
        <v>0</v>
      </c>
      <c r="Q17" s="31">
        <v>0</v>
      </c>
      <c r="R17" s="24">
        <v>0</v>
      </c>
      <c r="S17" s="24">
        <v>0</v>
      </c>
      <c r="T17" s="24">
        <v>0</v>
      </c>
      <c r="U17" s="24">
        <v>0</v>
      </c>
      <c r="V17" s="31">
        <v>0</v>
      </c>
      <c r="W17" s="24">
        <v>0</v>
      </c>
      <c r="X17" s="24">
        <v>0</v>
      </c>
      <c r="Y17" s="24">
        <v>0</v>
      </c>
      <c r="Z17" s="31">
        <v>0</v>
      </c>
      <c r="AA17" s="24">
        <v>0</v>
      </c>
      <c r="AB17" s="24">
        <v>0</v>
      </c>
      <c r="AC17" s="24">
        <v>0</v>
      </c>
      <c r="AD17" s="24">
        <v>0</v>
      </c>
      <c r="AE17" s="31">
        <v>0</v>
      </c>
      <c r="AF17" s="24">
        <v>0</v>
      </c>
      <c r="AG17" s="24">
        <v>0</v>
      </c>
      <c r="AH17" s="24">
        <v>0</v>
      </c>
      <c r="AI17" s="31">
        <v>0</v>
      </c>
      <c r="AJ17" s="24">
        <v>0</v>
      </c>
      <c r="AK17" s="24">
        <v>0</v>
      </c>
      <c r="AL17" s="24">
        <v>0</v>
      </c>
      <c r="AM17" s="31">
        <v>0</v>
      </c>
      <c r="AN17" s="24">
        <v>0</v>
      </c>
      <c r="AO17" s="24">
        <v>0</v>
      </c>
      <c r="AP17" s="24">
        <v>0</v>
      </c>
      <c r="AQ17" s="24">
        <v>0</v>
      </c>
      <c r="AR17" s="31">
        <v>0</v>
      </c>
      <c r="AS17" s="24">
        <v>0</v>
      </c>
      <c r="AT17" s="24">
        <v>0</v>
      </c>
      <c r="AU17" s="24">
        <v>0</v>
      </c>
      <c r="AV17" s="31">
        <v>0</v>
      </c>
      <c r="AW17" s="24">
        <v>0</v>
      </c>
      <c r="AX17" s="19">
        <v>0</v>
      </c>
      <c r="AY17" s="19">
        <v>0</v>
      </c>
      <c r="AZ17" s="19">
        <v>0</v>
      </c>
      <c r="BA17" s="19">
        <v>0</v>
      </c>
      <c r="BB17" s="37">
        <f t="shared" si="0"/>
        <v>0</v>
      </c>
    </row>
    <row r="18" spans="1:54" s="4" customFormat="1" ht="15" hidden="1" outlineLevel="1">
      <c r="A18" s="3" t="s">
        <v>17</v>
      </c>
      <c r="B18" s="24"/>
      <c r="C18" s="24">
        <v>0</v>
      </c>
      <c r="D18" s="24">
        <v>0</v>
      </c>
      <c r="E18" s="31">
        <v>0</v>
      </c>
      <c r="F18" s="24">
        <v>0</v>
      </c>
      <c r="G18" s="24">
        <v>0</v>
      </c>
      <c r="H18" s="24">
        <v>0</v>
      </c>
      <c r="I18" s="31">
        <v>0</v>
      </c>
      <c r="J18" s="24">
        <v>0</v>
      </c>
      <c r="K18" s="24">
        <v>0</v>
      </c>
      <c r="L18" s="24">
        <v>0</v>
      </c>
      <c r="M18" s="31">
        <v>0</v>
      </c>
      <c r="N18" s="24">
        <v>0</v>
      </c>
      <c r="O18" s="24">
        <v>0</v>
      </c>
      <c r="P18" s="24">
        <v>0</v>
      </c>
      <c r="Q18" s="31">
        <v>0</v>
      </c>
      <c r="R18" s="24">
        <v>0</v>
      </c>
      <c r="S18" s="24">
        <v>0</v>
      </c>
      <c r="T18" s="24">
        <v>0</v>
      </c>
      <c r="U18" s="24">
        <v>0</v>
      </c>
      <c r="V18" s="31">
        <v>0</v>
      </c>
      <c r="W18" s="24">
        <v>0</v>
      </c>
      <c r="X18" s="24">
        <v>0</v>
      </c>
      <c r="Y18" s="24">
        <v>0</v>
      </c>
      <c r="Z18" s="31">
        <v>0</v>
      </c>
      <c r="AA18" s="24">
        <v>0</v>
      </c>
      <c r="AB18" s="24">
        <v>0</v>
      </c>
      <c r="AC18" s="24">
        <v>0</v>
      </c>
      <c r="AD18" s="24">
        <v>0</v>
      </c>
      <c r="AE18" s="31">
        <v>0</v>
      </c>
      <c r="AF18" s="24">
        <v>0</v>
      </c>
      <c r="AG18" s="24">
        <v>0</v>
      </c>
      <c r="AH18" s="24">
        <v>0</v>
      </c>
      <c r="AI18" s="31">
        <v>0</v>
      </c>
      <c r="AJ18" s="24">
        <v>0</v>
      </c>
      <c r="AK18" s="24">
        <v>0</v>
      </c>
      <c r="AL18" s="24">
        <v>0</v>
      </c>
      <c r="AM18" s="31">
        <v>0</v>
      </c>
      <c r="AN18" s="24">
        <v>0</v>
      </c>
      <c r="AO18" s="24">
        <v>0</v>
      </c>
      <c r="AP18" s="24">
        <v>0</v>
      </c>
      <c r="AQ18" s="24">
        <v>0</v>
      </c>
      <c r="AR18" s="31">
        <v>0</v>
      </c>
      <c r="AS18" s="24">
        <v>0</v>
      </c>
      <c r="AT18" s="24">
        <v>0</v>
      </c>
      <c r="AU18" s="24">
        <v>0</v>
      </c>
      <c r="AV18" s="31">
        <v>0</v>
      </c>
      <c r="AW18" s="24">
        <v>0</v>
      </c>
      <c r="AX18" s="19">
        <v>0</v>
      </c>
      <c r="AY18" s="19">
        <v>0</v>
      </c>
      <c r="AZ18" s="19">
        <v>0</v>
      </c>
      <c r="BA18" s="19">
        <v>0</v>
      </c>
      <c r="BB18" s="37">
        <f t="shared" si="0"/>
        <v>0</v>
      </c>
    </row>
    <row r="19" spans="1:54" s="4" customFormat="1" ht="15" hidden="1" outlineLevel="1">
      <c r="A19" s="3" t="s">
        <v>18</v>
      </c>
      <c r="B19" s="24"/>
      <c r="C19" s="24">
        <v>0</v>
      </c>
      <c r="D19" s="24">
        <v>0</v>
      </c>
      <c r="E19" s="31">
        <v>0</v>
      </c>
      <c r="F19" s="24">
        <v>0</v>
      </c>
      <c r="G19" s="24">
        <v>0</v>
      </c>
      <c r="H19" s="24">
        <v>0</v>
      </c>
      <c r="I19" s="31">
        <v>0</v>
      </c>
      <c r="J19" s="24">
        <v>0</v>
      </c>
      <c r="K19" s="24">
        <v>0</v>
      </c>
      <c r="L19" s="24">
        <v>0</v>
      </c>
      <c r="M19" s="31">
        <v>0</v>
      </c>
      <c r="N19" s="24">
        <v>0</v>
      </c>
      <c r="O19" s="24">
        <v>0</v>
      </c>
      <c r="P19" s="24">
        <v>0</v>
      </c>
      <c r="Q19" s="31">
        <v>0</v>
      </c>
      <c r="R19" s="24">
        <v>0</v>
      </c>
      <c r="S19" s="24">
        <v>0</v>
      </c>
      <c r="T19" s="24">
        <v>0</v>
      </c>
      <c r="U19" s="24">
        <v>0</v>
      </c>
      <c r="V19" s="31">
        <v>0</v>
      </c>
      <c r="W19" s="24">
        <v>0</v>
      </c>
      <c r="X19" s="24">
        <v>0</v>
      </c>
      <c r="Y19" s="24">
        <v>0</v>
      </c>
      <c r="Z19" s="31">
        <v>0</v>
      </c>
      <c r="AA19" s="24">
        <v>0</v>
      </c>
      <c r="AB19" s="24">
        <v>0</v>
      </c>
      <c r="AC19" s="24">
        <v>0</v>
      </c>
      <c r="AD19" s="24">
        <v>0</v>
      </c>
      <c r="AE19" s="31">
        <v>0</v>
      </c>
      <c r="AF19" s="24">
        <v>0</v>
      </c>
      <c r="AG19" s="24">
        <v>0</v>
      </c>
      <c r="AH19" s="24">
        <v>0</v>
      </c>
      <c r="AI19" s="31">
        <v>0</v>
      </c>
      <c r="AJ19" s="24">
        <v>0</v>
      </c>
      <c r="AK19" s="24">
        <v>0</v>
      </c>
      <c r="AL19" s="24">
        <v>0</v>
      </c>
      <c r="AM19" s="31">
        <v>0</v>
      </c>
      <c r="AN19" s="24">
        <v>0</v>
      </c>
      <c r="AO19" s="24">
        <v>0</v>
      </c>
      <c r="AP19" s="24">
        <v>0</v>
      </c>
      <c r="AQ19" s="24">
        <v>0</v>
      </c>
      <c r="AR19" s="31">
        <v>0</v>
      </c>
      <c r="AS19" s="24">
        <v>0</v>
      </c>
      <c r="AT19" s="24">
        <v>0</v>
      </c>
      <c r="AU19" s="24">
        <v>0</v>
      </c>
      <c r="AV19" s="31">
        <v>0</v>
      </c>
      <c r="AW19" s="24">
        <v>0</v>
      </c>
      <c r="AX19" s="19">
        <v>0</v>
      </c>
      <c r="AY19" s="19">
        <v>0</v>
      </c>
      <c r="AZ19" s="19">
        <v>0</v>
      </c>
      <c r="BA19" s="19">
        <v>0</v>
      </c>
      <c r="BB19" s="37">
        <f t="shared" si="0"/>
        <v>0</v>
      </c>
    </row>
    <row r="20" spans="1:54" s="4" customFormat="1" ht="15" hidden="1" outlineLevel="1">
      <c r="A20" s="3" t="s">
        <v>19</v>
      </c>
      <c r="B20" s="24"/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31">
        <v>0</v>
      </c>
      <c r="J20" s="24">
        <v>0</v>
      </c>
      <c r="K20" s="24">
        <v>0</v>
      </c>
      <c r="L20" s="24">
        <v>0</v>
      </c>
      <c r="M20" s="31">
        <v>0</v>
      </c>
      <c r="N20" s="24">
        <v>0</v>
      </c>
      <c r="O20" s="24">
        <v>0</v>
      </c>
      <c r="P20" s="24">
        <v>0</v>
      </c>
      <c r="Q20" s="31">
        <v>0</v>
      </c>
      <c r="R20" s="24">
        <v>0</v>
      </c>
      <c r="S20" s="24">
        <v>0</v>
      </c>
      <c r="T20" s="24">
        <v>0</v>
      </c>
      <c r="U20" s="24">
        <v>0</v>
      </c>
      <c r="V20" s="31">
        <v>0</v>
      </c>
      <c r="W20" s="24">
        <v>0</v>
      </c>
      <c r="X20" s="24">
        <v>0</v>
      </c>
      <c r="Y20" s="24">
        <v>0</v>
      </c>
      <c r="Z20" s="31">
        <v>0</v>
      </c>
      <c r="AA20" s="24">
        <v>0</v>
      </c>
      <c r="AB20" s="24">
        <v>0</v>
      </c>
      <c r="AC20" s="24">
        <v>0</v>
      </c>
      <c r="AD20" s="24">
        <v>0</v>
      </c>
      <c r="AE20" s="31">
        <v>0</v>
      </c>
      <c r="AF20" s="24">
        <v>0</v>
      </c>
      <c r="AG20" s="24">
        <v>0</v>
      </c>
      <c r="AH20" s="24">
        <v>0</v>
      </c>
      <c r="AI20" s="31">
        <v>0</v>
      </c>
      <c r="AJ20" s="24">
        <v>0</v>
      </c>
      <c r="AK20" s="24">
        <v>0</v>
      </c>
      <c r="AL20" s="24">
        <v>0</v>
      </c>
      <c r="AM20" s="31">
        <v>0</v>
      </c>
      <c r="AN20" s="24">
        <v>0</v>
      </c>
      <c r="AO20" s="24">
        <v>0</v>
      </c>
      <c r="AP20" s="24">
        <v>0</v>
      </c>
      <c r="AQ20" s="24">
        <v>0</v>
      </c>
      <c r="AR20" s="31">
        <v>0</v>
      </c>
      <c r="AS20" s="24">
        <v>0</v>
      </c>
      <c r="AT20" s="24">
        <v>0</v>
      </c>
      <c r="AU20" s="24">
        <v>0</v>
      </c>
      <c r="AV20" s="31">
        <v>0</v>
      </c>
      <c r="AW20" s="24">
        <v>0</v>
      </c>
      <c r="AX20" s="19">
        <v>0</v>
      </c>
      <c r="AY20" s="19">
        <v>0</v>
      </c>
      <c r="AZ20" s="19">
        <v>0</v>
      </c>
      <c r="BA20" s="19">
        <v>0</v>
      </c>
      <c r="BB20" s="37">
        <f t="shared" si="0"/>
        <v>0</v>
      </c>
    </row>
    <row r="21" spans="1:54" s="4" customFormat="1" ht="15" hidden="1" outlineLevel="1">
      <c r="A21" s="3" t="s">
        <v>20</v>
      </c>
      <c r="B21" s="24"/>
      <c r="C21" s="24">
        <v>0</v>
      </c>
      <c r="D21" s="24">
        <v>0</v>
      </c>
      <c r="E21" s="31">
        <v>0</v>
      </c>
      <c r="F21" s="24">
        <v>0</v>
      </c>
      <c r="G21" s="24">
        <v>0</v>
      </c>
      <c r="H21" s="24">
        <v>0</v>
      </c>
      <c r="I21" s="31">
        <v>0</v>
      </c>
      <c r="J21" s="24">
        <v>0</v>
      </c>
      <c r="K21" s="24">
        <v>0</v>
      </c>
      <c r="L21" s="24">
        <v>0</v>
      </c>
      <c r="M21" s="31">
        <v>0</v>
      </c>
      <c r="N21" s="24">
        <v>0</v>
      </c>
      <c r="O21" s="24">
        <v>0</v>
      </c>
      <c r="P21" s="24">
        <v>0</v>
      </c>
      <c r="Q21" s="31">
        <v>0</v>
      </c>
      <c r="R21" s="24">
        <v>0</v>
      </c>
      <c r="S21" s="24">
        <v>0</v>
      </c>
      <c r="T21" s="24">
        <v>0</v>
      </c>
      <c r="U21" s="24">
        <v>0</v>
      </c>
      <c r="V21" s="31">
        <v>0</v>
      </c>
      <c r="W21" s="24">
        <v>0</v>
      </c>
      <c r="X21" s="24">
        <v>0</v>
      </c>
      <c r="Y21" s="24">
        <v>0</v>
      </c>
      <c r="Z21" s="31">
        <v>0</v>
      </c>
      <c r="AA21" s="24">
        <v>0</v>
      </c>
      <c r="AB21" s="24">
        <v>0</v>
      </c>
      <c r="AC21" s="24">
        <v>0</v>
      </c>
      <c r="AD21" s="24">
        <v>0</v>
      </c>
      <c r="AE21" s="31">
        <v>0</v>
      </c>
      <c r="AF21" s="24">
        <v>0</v>
      </c>
      <c r="AG21" s="24">
        <v>0</v>
      </c>
      <c r="AH21" s="24">
        <v>0</v>
      </c>
      <c r="AI21" s="31">
        <v>0</v>
      </c>
      <c r="AJ21" s="24">
        <v>0</v>
      </c>
      <c r="AK21" s="24">
        <v>0</v>
      </c>
      <c r="AL21" s="24">
        <v>0</v>
      </c>
      <c r="AM21" s="31">
        <v>0</v>
      </c>
      <c r="AN21" s="24">
        <v>0</v>
      </c>
      <c r="AO21" s="24">
        <v>0</v>
      </c>
      <c r="AP21" s="24">
        <v>0</v>
      </c>
      <c r="AQ21" s="24">
        <v>0</v>
      </c>
      <c r="AR21" s="31">
        <v>0</v>
      </c>
      <c r="AS21" s="24">
        <v>0</v>
      </c>
      <c r="AT21" s="24">
        <v>0</v>
      </c>
      <c r="AU21" s="24">
        <v>0</v>
      </c>
      <c r="AV21" s="31">
        <v>0</v>
      </c>
      <c r="AW21" s="24">
        <v>0</v>
      </c>
      <c r="AX21" s="19">
        <v>0</v>
      </c>
      <c r="AY21" s="19">
        <v>0</v>
      </c>
      <c r="AZ21" s="19">
        <v>0</v>
      </c>
      <c r="BA21" s="19">
        <v>0</v>
      </c>
      <c r="BB21" s="37">
        <f t="shared" si="0"/>
        <v>0</v>
      </c>
    </row>
    <row r="22" spans="1:54" s="4" customFormat="1" ht="15" hidden="1" outlineLevel="1">
      <c r="A22" s="3" t="s">
        <v>21</v>
      </c>
      <c r="B22" s="24"/>
      <c r="C22" s="24">
        <v>0</v>
      </c>
      <c r="D22" s="24">
        <v>0</v>
      </c>
      <c r="E22" s="31">
        <v>0</v>
      </c>
      <c r="F22" s="24">
        <v>0</v>
      </c>
      <c r="G22" s="24">
        <v>0</v>
      </c>
      <c r="H22" s="24">
        <v>0</v>
      </c>
      <c r="I22" s="31">
        <v>0</v>
      </c>
      <c r="J22" s="24">
        <v>0</v>
      </c>
      <c r="K22" s="24">
        <v>0</v>
      </c>
      <c r="L22" s="24">
        <v>0</v>
      </c>
      <c r="M22" s="31">
        <v>0</v>
      </c>
      <c r="N22" s="24">
        <v>0</v>
      </c>
      <c r="O22" s="24">
        <v>0</v>
      </c>
      <c r="P22" s="24">
        <v>0</v>
      </c>
      <c r="Q22" s="31">
        <v>0</v>
      </c>
      <c r="R22" s="24">
        <v>0</v>
      </c>
      <c r="S22" s="24">
        <v>0</v>
      </c>
      <c r="T22" s="24">
        <v>0</v>
      </c>
      <c r="U22" s="24">
        <v>0</v>
      </c>
      <c r="V22" s="31">
        <v>0</v>
      </c>
      <c r="W22" s="24">
        <v>0</v>
      </c>
      <c r="X22" s="24">
        <v>0</v>
      </c>
      <c r="Y22" s="24">
        <v>0</v>
      </c>
      <c r="Z22" s="31">
        <v>0</v>
      </c>
      <c r="AA22" s="24">
        <v>0</v>
      </c>
      <c r="AB22" s="24">
        <v>0</v>
      </c>
      <c r="AC22" s="24">
        <v>0</v>
      </c>
      <c r="AD22" s="24">
        <v>0</v>
      </c>
      <c r="AE22" s="31">
        <v>0</v>
      </c>
      <c r="AF22" s="24">
        <v>0</v>
      </c>
      <c r="AG22" s="24">
        <v>0</v>
      </c>
      <c r="AH22" s="24">
        <v>0</v>
      </c>
      <c r="AI22" s="31">
        <v>0</v>
      </c>
      <c r="AJ22" s="24">
        <v>0</v>
      </c>
      <c r="AK22" s="24">
        <v>0</v>
      </c>
      <c r="AL22" s="24">
        <v>0</v>
      </c>
      <c r="AM22" s="31">
        <v>0</v>
      </c>
      <c r="AN22" s="24">
        <v>0</v>
      </c>
      <c r="AO22" s="24">
        <v>0</v>
      </c>
      <c r="AP22" s="24">
        <v>0</v>
      </c>
      <c r="AQ22" s="24">
        <v>0</v>
      </c>
      <c r="AR22" s="31">
        <v>0</v>
      </c>
      <c r="AS22" s="24">
        <v>0</v>
      </c>
      <c r="AT22" s="24">
        <v>0</v>
      </c>
      <c r="AU22" s="24">
        <v>0</v>
      </c>
      <c r="AV22" s="31">
        <v>0</v>
      </c>
      <c r="AW22" s="24">
        <v>0</v>
      </c>
      <c r="AX22" s="19">
        <v>0</v>
      </c>
      <c r="AY22" s="19">
        <v>0</v>
      </c>
      <c r="AZ22" s="19">
        <v>0</v>
      </c>
      <c r="BA22" s="19">
        <v>0</v>
      </c>
      <c r="BB22" s="37">
        <f t="shared" si="0"/>
        <v>0</v>
      </c>
    </row>
    <row r="23" spans="1:54" s="4" customFormat="1" ht="15" hidden="1" outlineLevel="1">
      <c r="A23" s="3" t="s">
        <v>22</v>
      </c>
      <c r="B23" s="24"/>
      <c r="C23" s="24">
        <v>0</v>
      </c>
      <c r="D23" s="24">
        <v>0</v>
      </c>
      <c r="E23" s="31">
        <v>0</v>
      </c>
      <c r="F23" s="24">
        <v>0</v>
      </c>
      <c r="G23" s="24">
        <v>0</v>
      </c>
      <c r="H23" s="24">
        <v>0</v>
      </c>
      <c r="I23" s="31">
        <v>0</v>
      </c>
      <c r="J23" s="24">
        <v>0</v>
      </c>
      <c r="K23" s="24">
        <v>0</v>
      </c>
      <c r="L23" s="24">
        <v>0</v>
      </c>
      <c r="M23" s="31">
        <v>0</v>
      </c>
      <c r="N23" s="24">
        <v>0</v>
      </c>
      <c r="O23" s="24">
        <v>0</v>
      </c>
      <c r="P23" s="24">
        <v>0</v>
      </c>
      <c r="Q23" s="31">
        <v>0</v>
      </c>
      <c r="R23" s="24">
        <v>0</v>
      </c>
      <c r="S23" s="24">
        <v>0</v>
      </c>
      <c r="T23" s="24">
        <v>0</v>
      </c>
      <c r="U23" s="24">
        <v>0</v>
      </c>
      <c r="V23" s="31">
        <v>0</v>
      </c>
      <c r="W23" s="24">
        <v>0</v>
      </c>
      <c r="X23" s="24">
        <v>0</v>
      </c>
      <c r="Y23" s="24">
        <v>0</v>
      </c>
      <c r="Z23" s="31">
        <v>0</v>
      </c>
      <c r="AA23" s="24">
        <v>0</v>
      </c>
      <c r="AB23" s="24">
        <v>0</v>
      </c>
      <c r="AC23" s="24">
        <v>0</v>
      </c>
      <c r="AD23" s="24">
        <v>0</v>
      </c>
      <c r="AE23" s="31">
        <v>0</v>
      </c>
      <c r="AF23" s="24">
        <v>0</v>
      </c>
      <c r="AG23" s="24">
        <v>0</v>
      </c>
      <c r="AH23" s="24">
        <v>0</v>
      </c>
      <c r="AI23" s="31">
        <v>0</v>
      </c>
      <c r="AJ23" s="24">
        <v>0</v>
      </c>
      <c r="AK23" s="24">
        <v>0</v>
      </c>
      <c r="AL23" s="24">
        <v>0</v>
      </c>
      <c r="AM23" s="31">
        <v>0</v>
      </c>
      <c r="AN23" s="24">
        <v>0</v>
      </c>
      <c r="AO23" s="24">
        <v>0</v>
      </c>
      <c r="AP23" s="24">
        <v>0</v>
      </c>
      <c r="AQ23" s="24">
        <v>0</v>
      </c>
      <c r="AR23" s="31">
        <v>0</v>
      </c>
      <c r="AS23" s="24">
        <v>0</v>
      </c>
      <c r="AT23" s="24">
        <v>0</v>
      </c>
      <c r="AU23" s="24">
        <v>0</v>
      </c>
      <c r="AV23" s="31">
        <v>0</v>
      </c>
      <c r="AW23" s="24">
        <v>0</v>
      </c>
      <c r="AX23" s="19">
        <v>0</v>
      </c>
      <c r="AY23" s="19">
        <v>0</v>
      </c>
      <c r="AZ23" s="19">
        <v>0</v>
      </c>
      <c r="BA23" s="19">
        <v>0</v>
      </c>
      <c r="BB23" s="37">
        <f t="shared" si="0"/>
        <v>0</v>
      </c>
    </row>
    <row r="24" spans="1:54" s="4" customFormat="1" ht="15" hidden="1" outlineLevel="1">
      <c r="A24" s="3" t="s">
        <v>23</v>
      </c>
      <c r="B24" s="24"/>
      <c r="C24" s="24">
        <v>10194766.43</v>
      </c>
      <c r="D24" s="24">
        <v>6470288.7599999998</v>
      </c>
      <c r="E24" s="31">
        <v>6374904.5099999998</v>
      </c>
      <c r="F24" s="24">
        <v>5357550.1800000006</v>
      </c>
      <c r="G24" s="24">
        <v>3086419.92</v>
      </c>
      <c r="H24" s="24">
        <v>2012669.2399999998</v>
      </c>
      <c r="I24" s="31">
        <v>1127441.08</v>
      </c>
      <c r="J24" s="24">
        <v>18661.280999999959</v>
      </c>
      <c r="K24" s="24">
        <v>1131002.321</v>
      </c>
      <c r="L24" s="24">
        <v>1131002.321</v>
      </c>
      <c r="M24" s="31">
        <v>326360.571</v>
      </c>
      <c r="N24" s="24">
        <v>372826.25999999995</v>
      </c>
      <c r="O24" s="24">
        <v>365134.8</v>
      </c>
      <c r="P24" s="24">
        <v>379541.55999999994</v>
      </c>
      <c r="Q24" s="31">
        <v>408170.75999999995</v>
      </c>
      <c r="R24" s="24">
        <v>335332.01519999997</v>
      </c>
      <c r="S24" s="24">
        <v>340926.4952</v>
      </c>
      <c r="T24" s="24">
        <v>336534.83519999997</v>
      </c>
      <c r="U24" s="24">
        <v>300590.33519999997</v>
      </c>
      <c r="V24" s="31">
        <v>1347528.2251999995</v>
      </c>
      <c r="W24" s="24">
        <v>114984.3540000004</v>
      </c>
      <c r="X24" s="24">
        <v>-1705321.7560000035</v>
      </c>
      <c r="Y24" s="24">
        <v>2654091.2739999974</v>
      </c>
      <c r="Z24" s="31">
        <v>374142.624000001</v>
      </c>
      <c r="AA24" s="24">
        <v>815710.42120000278</v>
      </c>
      <c r="AB24" s="24">
        <v>638030.68120000255</v>
      </c>
      <c r="AC24" s="24">
        <v>486728.79119999823</v>
      </c>
      <c r="AD24" s="24">
        <v>548479.32120000129</v>
      </c>
      <c r="AE24" s="31">
        <v>495404.18120000442</v>
      </c>
      <c r="AF24" s="24">
        <v>543300.25300000189</v>
      </c>
      <c r="AG24" s="24">
        <v>479383.08300000377</v>
      </c>
      <c r="AH24" s="24">
        <v>224902.4730000025</v>
      </c>
      <c r="AI24" s="31">
        <v>358901.5329999993</v>
      </c>
      <c r="AJ24" s="24">
        <v>326565.88100000337</v>
      </c>
      <c r="AK24" s="24">
        <v>250682.73099999555</v>
      </c>
      <c r="AL24" s="24">
        <v>373523.93100000225</v>
      </c>
      <c r="AM24" s="31">
        <v>318595.93100000225</v>
      </c>
      <c r="AN24" s="24">
        <v>328478.5227999991</v>
      </c>
      <c r="AO24" s="24">
        <v>330056.72280000022</v>
      </c>
      <c r="AP24" s="24">
        <v>501650.34280000313</v>
      </c>
      <c r="AQ24" s="24">
        <v>500004.70279999881</v>
      </c>
      <c r="AR24" s="31">
        <v>722456.15279999806</v>
      </c>
      <c r="AS24" s="24">
        <v>505686.25999999867</v>
      </c>
      <c r="AT24" s="24">
        <v>-408720.83000000118</v>
      </c>
      <c r="AU24" s="24">
        <v>968284.60999999824</v>
      </c>
      <c r="AV24" s="31">
        <v>62854.360000002023</v>
      </c>
      <c r="AW24" s="24">
        <v>-693551.18999999529</v>
      </c>
      <c r="AX24" s="19">
        <v>-413423.40000000357</v>
      </c>
      <c r="AY24" s="19">
        <v>1375127.0400000014</v>
      </c>
      <c r="AZ24" s="19">
        <v>2346605.1000000038</v>
      </c>
      <c r="BA24" s="19">
        <v>143516.56999999989</v>
      </c>
      <c r="BB24" s="37">
        <f t="shared" si="0"/>
        <v>54984.782572000004</v>
      </c>
    </row>
    <row r="25" spans="1:54" s="4" customFormat="1" ht="15" hidden="1" outlineLevel="1">
      <c r="A25" s="3" t="s">
        <v>24</v>
      </c>
      <c r="B25" s="24"/>
      <c r="C25" s="24">
        <v>0</v>
      </c>
      <c r="D25" s="24">
        <v>0</v>
      </c>
      <c r="E25" s="31">
        <v>0</v>
      </c>
      <c r="F25" s="24">
        <v>0</v>
      </c>
      <c r="G25" s="24">
        <v>0</v>
      </c>
      <c r="H25" s="24">
        <v>0</v>
      </c>
      <c r="I25" s="31">
        <v>0</v>
      </c>
      <c r="J25" s="24">
        <v>0</v>
      </c>
      <c r="K25" s="24">
        <v>0</v>
      </c>
      <c r="L25" s="24">
        <v>0</v>
      </c>
      <c r="M25" s="31">
        <v>0</v>
      </c>
      <c r="N25" s="24">
        <v>0</v>
      </c>
      <c r="O25" s="24">
        <v>0</v>
      </c>
      <c r="P25" s="24">
        <v>0</v>
      </c>
      <c r="Q25" s="31">
        <v>0</v>
      </c>
      <c r="R25" s="24">
        <v>0</v>
      </c>
      <c r="S25" s="24">
        <v>0</v>
      </c>
      <c r="T25" s="24">
        <v>0</v>
      </c>
      <c r="U25" s="24">
        <v>0</v>
      </c>
      <c r="V25" s="31">
        <v>0</v>
      </c>
      <c r="W25" s="24">
        <v>0</v>
      </c>
      <c r="X25" s="24">
        <v>0</v>
      </c>
      <c r="Y25" s="24">
        <v>0</v>
      </c>
      <c r="Z25" s="31">
        <v>0</v>
      </c>
      <c r="AA25" s="24">
        <v>0</v>
      </c>
      <c r="AB25" s="24">
        <v>0</v>
      </c>
      <c r="AC25" s="24">
        <v>0</v>
      </c>
      <c r="AD25" s="24">
        <v>0</v>
      </c>
      <c r="AE25" s="31">
        <v>0</v>
      </c>
      <c r="AF25" s="24">
        <v>0</v>
      </c>
      <c r="AG25" s="24">
        <v>0</v>
      </c>
      <c r="AH25" s="24">
        <v>0</v>
      </c>
      <c r="AI25" s="31">
        <v>0</v>
      </c>
      <c r="AJ25" s="24">
        <v>0</v>
      </c>
      <c r="AK25" s="24">
        <v>0</v>
      </c>
      <c r="AL25" s="24">
        <v>0</v>
      </c>
      <c r="AM25" s="31">
        <v>0</v>
      </c>
      <c r="AN25" s="24">
        <v>0</v>
      </c>
      <c r="AO25" s="24">
        <v>0</v>
      </c>
      <c r="AP25" s="24">
        <v>0</v>
      </c>
      <c r="AQ25" s="24">
        <v>0</v>
      </c>
      <c r="AR25" s="31">
        <v>0</v>
      </c>
      <c r="AS25" s="24">
        <v>0</v>
      </c>
      <c r="AT25" s="24">
        <v>0</v>
      </c>
      <c r="AU25" s="24">
        <v>0</v>
      </c>
      <c r="AV25" s="31">
        <v>0</v>
      </c>
      <c r="AW25" s="24">
        <v>0</v>
      </c>
      <c r="AX25" s="19">
        <v>0</v>
      </c>
      <c r="AY25" s="19">
        <v>0</v>
      </c>
      <c r="AZ25" s="19">
        <v>0</v>
      </c>
      <c r="BA25" s="19">
        <v>0</v>
      </c>
      <c r="BB25" s="37">
        <f t="shared" si="0"/>
        <v>0</v>
      </c>
    </row>
    <row r="26" spans="1:54" s="4" customFormat="1" ht="15" hidden="1" outlineLevel="1">
      <c r="A26" s="3" t="s">
        <v>25</v>
      </c>
      <c r="B26" s="24"/>
      <c r="C26" s="24">
        <v>0</v>
      </c>
      <c r="D26" s="24">
        <v>0</v>
      </c>
      <c r="E26" s="31">
        <v>0</v>
      </c>
      <c r="F26" s="24">
        <v>0</v>
      </c>
      <c r="G26" s="24">
        <v>0</v>
      </c>
      <c r="H26" s="24">
        <v>0</v>
      </c>
      <c r="I26" s="31">
        <v>0</v>
      </c>
      <c r="J26" s="24">
        <v>0</v>
      </c>
      <c r="K26" s="24">
        <v>0</v>
      </c>
      <c r="L26" s="24">
        <v>0</v>
      </c>
      <c r="M26" s="31">
        <v>0</v>
      </c>
      <c r="N26" s="24">
        <v>0</v>
      </c>
      <c r="O26" s="24">
        <v>0</v>
      </c>
      <c r="P26" s="24">
        <v>0</v>
      </c>
      <c r="Q26" s="31">
        <v>0</v>
      </c>
      <c r="R26" s="24">
        <v>0</v>
      </c>
      <c r="S26" s="24">
        <v>0</v>
      </c>
      <c r="T26" s="24">
        <v>0</v>
      </c>
      <c r="U26" s="24">
        <v>0</v>
      </c>
      <c r="V26" s="31">
        <v>0</v>
      </c>
      <c r="W26" s="24">
        <v>0</v>
      </c>
      <c r="X26" s="24">
        <v>0</v>
      </c>
      <c r="Y26" s="24">
        <v>0</v>
      </c>
      <c r="Z26" s="31">
        <v>0</v>
      </c>
      <c r="AA26" s="24">
        <v>0</v>
      </c>
      <c r="AB26" s="24">
        <v>0</v>
      </c>
      <c r="AC26" s="24">
        <v>0</v>
      </c>
      <c r="AD26" s="24">
        <v>0</v>
      </c>
      <c r="AE26" s="31">
        <v>0</v>
      </c>
      <c r="AF26" s="24">
        <v>0</v>
      </c>
      <c r="AG26" s="24">
        <v>0</v>
      </c>
      <c r="AH26" s="24">
        <v>0</v>
      </c>
      <c r="AI26" s="31">
        <v>0</v>
      </c>
      <c r="AJ26" s="24">
        <v>0</v>
      </c>
      <c r="AK26" s="24">
        <v>0</v>
      </c>
      <c r="AL26" s="24">
        <v>0</v>
      </c>
      <c r="AM26" s="31">
        <v>0</v>
      </c>
      <c r="AN26" s="24">
        <v>0</v>
      </c>
      <c r="AO26" s="24">
        <v>0</v>
      </c>
      <c r="AP26" s="24">
        <v>0</v>
      </c>
      <c r="AQ26" s="24">
        <v>0</v>
      </c>
      <c r="AR26" s="31">
        <v>0</v>
      </c>
      <c r="AS26" s="24">
        <v>0</v>
      </c>
      <c r="AT26" s="24">
        <v>0</v>
      </c>
      <c r="AU26" s="24">
        <v>0</v>
      </c>
      <c r="AV26" s="31">
        <v>0</v>
      </c>
      <c r="AW26" s="24">
        <v>0</v>
      </c>
      <c r="AX26" s="19">
        <v>0</v>
      </c>
      <c r="AY26" s="19">
        <v>0</v>
      </c>
      <c r="AZ26" s="19">
        <v>0</v>
      </c>
      <c r="BA26" s="19">
        <v>0</v>
      </c>
      <c r="BB26" s="37">
        <f t="shared" si="0"/>
        <v>0</v>
      </c>
    </row>
    <row r="27" spans="1:54" s="4" customFormat="1" ht="15" hidden="1" outlineLevel="1">
      <c r="A27" s="3" t="s">
        <v>26</v>
      </c>
      <c r="B27" s="24"/>
      <c r="C27" s="24">
        <v>0</v>
      </c>
      <c r="D27" s="24">
        <v>0</v>
      </c>
      <c r="E27" s="31">
        <v>0</v>
      </c>
      <c r="F27" s="24">
        <v>0</v>
      </c>
      <c r="G27" s="24">
        <v>0</v>
      </c>
      <c r="H27" s="24">
        <v>0</v>
      </c>
      <c r="I27" s="31">
        <v>0</v>
      </c>
      <c r="J27" s="24">
        <v>0</v>
      </c>
      <c r="K27" s="24">
        <v>0</v>
      </c>
      <c r="L27" s="24">
        <v>0</v>
      </c>
      <c r="M27" s="31">
        <v>0</v>
      </c>
      <c r="N27" s="24">
        <v>0</v>
      </c>
      <c r="O27" s="24">
        <v>0</v>
      </c>
      <c r="P27" s="24">
        <v>0</v>
      </c>
      <c r="Q27" s="31">
        <v>0</v>
      </c>
      <c r="R27" s="24">
        <v>0</v>
      </c>
      <c r="S27" s="24">
        <v>0</v>
      </c>
      <c r="T27" s="24">
        <v>0</v>
      </c>
      <c r="U27" s="24">
        <v>0</v>
      </c>
      <c r="V27" s="31">
        <v>0</v>
      </c>
      <c r="W27" s="24">
        <v>0</v>
      </c>
      <c r="X27" s="24">
        <v>0</v>
      </c>
      <c r="Y27" s="24">
        <v>0</v>
      </c>
      <c r="Z27" s="31">
        <v>0</v>
      </c>
      <c r="AA27" s="24">
        <v>0</v>
      </c>
      <c r="AB27" s="24">
        <v>0</v>
      </c>
      <c r="AC27" s="24">
        <v>0</v>
      </c>
      <c r="AD27" s="24">
        <v>0</v>
      </c>
      <c r="AE27" s="31">
        <v>0</v>
      </c>
      <c r="AF27" s="24">
        <v>0</v>
      </c>
      <c r="AG27" s="24">
        <v>0</v>
      </c>
      <c r="AH27" s="24">
        <v>0</v>
      </c>
      <c r="AI27" s="31">
        <v>0</v>
      </c>
      <c r="AJ27" s="24">
        <v>0</v>
      </c>
      <c r="AK27" s="24">
        <v>0</v>
      </c>
      <c r="AL27" s="24">
        <v>0</v>
      </c>
      <c r="AM27" s="31">
        <v>0</v>
      </c>
      <c r="AN27" s="24">
        <v>0</v>
      </c>
      <c r="AO27" s="24">
        <v>0</v>
      </c>
      <c r="AP27" s="24">
        <v>0</v>
      </c>
      <c r="AQ27" s="24">
        <v>0</v>
      </c>
      <c r="AR27" s="31">
        <v>0</v>
      </c>
      <c r="AS27" s="24">
        <v>0</v>
      </c>
      <c r="AT27" s="24">
        <v>0</v>
      </c>
      <c r="AU27" s="24">
        <v>0</v>
      </c>
      <c r="AV27" s="31">
        <v>0</v>
      </c>
      <c r="AW27" s="24">
        <v>0</v>
      </c>
      <c r="AX27" s="19">
        <v>0</v>
      </c>
      <c r="AY27" s="19">
        <v>0</v>
      </c>
      <c r="AZ27" s="19">
        <v>0</v>
      </c>
      <c r="BA27" s="19">
        <v>0</v>
      </c>
      <c r="BB27" s="37">
        <f t="shared" si="0"/>
        <v>0</v>
      </c>
    </row>
    <row r="28" spans="1:54" s="4" customFormat="1" ht="15" hidden="1" outlineLevel="1">
      <c r="A28" s="3" t="s">
        <v>27</v>
      </c>
      <c r="B28" s="24"/>
      <c r="C28" s="24">
        <v>0</v>
      </c>
      <c r="D28" s="24">
        <v>0</v>
      </c>
      <c r="E28" s="31">
        <v>0</v>
      </c>
      <c r="F28" s="24">
        <v>0</v>
      </c>
      <c r="G28" s="24">
        <v>0</v>
      </c>
      <c r="H28" s="24">
        <v>0</v>
      </c>
      <c r="I28" s="31">
        <v>0</v>
      </c>
      <c r="J28" s="24">
        <v>0</v>
      </c>
      <c r="K28" s="24">
        <v>0</v>
      </c>
      <c r="L28" s="24">
        <v>0</v>
      </c>
      <c r="M28" s="31">
        <v>0</v>
      </c>
      <c r="N28" s="24">
        <v>0</v>
      </c>
      <c r="O28" s="24">
        <v>0</v>
      </c>
      <c r="P28" s="24">
        <v>0</v>
      </c>
      <c r="Q28" s="31">
        <v>0</v>
      </c>
      <c r="R28" s="24">
        <v>0</v>
      </c>
      <c r="S28" s="24">
        <v>0</v>
      </c>
      <c r="T28" s="24">
        <v>0</v>
      </c>
      <c r="U28" s="24">
        <v>0</v>
      </c>
      <c r="V28" s="31">
        <v>0</v>
      </c>
      <c r="W28" s="24">
        <v>0</v>
      </c>
      <c r="X28" s="24">
        <v>0</v>
      </c>
      <c r="Y28" s="24">
        <v>0</v>
      </c>
      <c r="Z28" s="31">
        <v>0</v>
      </c>
      <c r="AA28" s="24">
        <v>0</v>
      </c>
      <c r="AB28" s="24">
        <v>0</v>
      </c>
      <c r="AC28" s="24">
        <v>0</v>
      </c>
      <c r="AD28" s="24">
        <v>0</v>
      </c>
      <c r="AE28" s="31">
        <v>0</v>
      </c>
      <c r="AF28" s="24">
        <v>0</v>
      </c>
      <c r="AG28" s="24">
        <v>0</v>
      </c>
      <c r="AH28" s="24">
        <v>0</v>
      </c>
      <c r="AI28" s="31">
        <v>0</v>
      </c>
      <c r="AJ28" s="24">
        <v>0</v>
      </c>
      <c r="AK28" s="24">
        <v>0</v>
      </c>
      <c r="AL28" s="24">
        <v>0</v>
      </c>
      <c r="AM28" s="31">
        <v>0</v>
      </c>
      <c r="AN28" s="24">
        <v>0</v>
      </c>
      <c r="AO28" s="24">
        <v>0</v>
      </c>
      <c r="AP28" s="24">
        <v>0</v>
      </c>
      <c r="AQ28" s="24">
        <v>0</v>
      </c>
      <c r="AR28" s="31">
        <v>0</v>
      </c>
      <c r="AS28" s="24">
        <v>0</v>
      </c>
      <c r="AT28" s="24">
        <v>0</v>
      </c>
      <c r="AU28" s="24">
        <v>0</v>
      </c>
      <c r="AV28" s="31">
        <v>0</v>
      </c>
      <c r="AW28" s="24">
        <v>0</v>
      </c>
      <c r="AX28" s="19">
        <v>0</v>
      </c>
      <c r="AY28" s="19">
        <v>0</v>
      </c>
      <c r="AZ28" s="19">
        <v>0</v>
      </c>
      <c r="BA28" s="19">
        <v>0</v>
      </c>
      <c r="BB28" s="37">
        <f t="shared" si="0"/>
        <v>0</v>
      </c>
    </row>
    <row r="29" spans="1:54" s="4" customFormat="1" ht="15" hidden="1" outlineLevel="1">
      <c r="A29" s="3" t="s">
        <v>28</v>
      </c>
      <c r="B29" s="24"/>
      <c r="C29" s="24">
        <v>571236.96</v>
      </c>
      <c r="D29" s="24">
        <v>571236.96</v>
      </c>
      <c r="E29" s="31">
        <v>457131.06</v>
      </c>
      <c r="F29" s="24">
        <v>233800.52</v>
      </c>
      <c r="G29" s="24">
        <v>238618.23999999999</v>
      </c>
      <c r="H29" s="24">
        <v>238592.52</v>
      </c>
      <c r="I29" s="31">
        <v>364502</v>
      </c>
      <c r="J29" s="24">
        <v>371073.47</v>
      </c>
      <c r="K29" s="24">
        <v>363509.42</v>
      </c>
      <c r="L29" s="24">
        <v>363514.02</v>
      </c>
      <c r="M29" s="31">
        <v>287239.58</v>
      </c>
      <c r="N29" s="24">
        <v>276997.89</v>
      </c>
      <c r="O29" s="24">
        <v>277391.76</v>
      </c>
      <c r="P29" s="24">
        <v>233947.2</v>
      </c>
      <c r="Q29" s="31">
        <v>284116.26</v>
      </c>
      <c r="R29" s="24"/>
      <c r="S29" s="24"/>
      <c r="T29" s="24"/>
      <c r="U29" s="24">
        <v>174800</v>
      </c>
      <c r="V29" s="31">
        <v>174800</v>
      </c>
      <c r="W29" s="24">
        <v>278750</v>
      </c>
      <c r="X29" s="24">
        <v>278750</v>
      </c>
      <c r="Y29" s="24">
        <v>278750</v>
      </c>
      <c r="Z29" s="31">
        <v>278750</v>
      </c>
      <c r="AA29" s="24">
        <v>176600</v>
      </c>
      <c r="AB29" s="24">
        <v>176600</v>
      </c>
      <c r="AC29" s="24">
        <v>176600</v>
      </c>
      <c r="AD29" s="24">
        <v>176600</v>
      </c>
      <c r="AE29" s="31">
        <v>176600</v>
      </c>
      <c r="AF29" s="24">
        <v>123000</v>
      </c>
      <c r="AG29" s="24">
        <v>123000</v>
      </c>
      <c r="AH29" s="24">
        <v>123000</v>
      </c>
      <c r="AI29" s="31">
        <v>123000</v>
      </c>
      <c r="AJ29" s="24">
        <v>31500</v>
      </c>
      <c r="AK29" s="24">
        <v>31500</v>
      </c>
      <c r="AL29" s="24">
        <v>31500</v>
      </c>
      <c r="AM29" s="31">
        <v>31500</v>
      </c>
      <c r="AN29" s="24">
        <v>1143600</v>
      </c>
      <c r="AO29" s="24">
        <v>1143600</v>
      </c>
      <c r="AP29" s="24">
        <v>1143600</v>
      </c>
      <c r="AQ29" s="24">
        <v>1143600</v>
      </c>
      <c r="AR29" s="31">
        <v>1143600</v>
      </c>
      <c r="AS29" s="24">
        <v>4750</v>
      </c>
      <c r="AT29" s="24">
        <v>4750</v>
      </c>
      <c r="AU29" s="24">
        <v>4750</v>
      </c>
      <c r="AV29" s="31">
        <v>4750</v>
      </c>
      <c r="AW29" s="24">
        <v>3800</v>
      </c>
      <c r="AX29" s="19">
        <v>3800</v>
      </c>
      <c r="AY29" s="19">
        <v>3800</v>
      </c>
      <c r="AZ29" s="19">
        <v>3800</v>
      </c>
      <c r="BA29" s="19">
        <v>3800</v>
      </c>
      <c r="BB29" s="37">
        <f t="shared" si="0"/>
        <v>13854.50786</v>
      </c>
    </row>
    <row r="30" spans="1:54" s="5" customFormat="1" collapsed="1">
      <c r="A30" s="3" t="s">
        <v>29</v>
      </c>
      <c r="B30" s="20">
        <v>36338200.269999996</v>
      </c>
      <c r="C30" s="20">
        <v>18131396.169999998</v>
      </c>
      <c r="D30" s="20">
        <v>15386926.77</v>
      </c>
      <c r="E30" s="33">
        <v>18209843.66</v>
      </c>
      <c r="F30" s="20">
        <v>13815659.440000001</v>
      </c>
      <c r="G30" s="20">
        <v>14281586.610000001</v>
      </c>
      <c r="H30" s="20">
        <v>15350142.130000001</v>
      </c>
      <c r="I30" s="33">
        <v>16258846.92</v>
      </c>
      <c r="J30" s="20">
        <v>14323461.469999997</v>
      </c>
      <c r="K30" s="20">
        <v>17506089.209999997</v>
      </c>
      <c r="L30" s="20">
        <v>15551767.790000001</v>
      </c>
      <c r="M30" s="33">
        <v>16347243.93</v>
      </c>
      <c r="N30" s="20">
        <v>14402847.229999999</v>
      </c>
      <c r="O30" s="20">
        <v>15086402.799999999</v>
      </c>
      <c r="P30" s="20">
        <v>12057203.52</v>
      </c>
      <c r="Q30" s="33">
        <v>17410991.48</v>
      </c>
      <c r="R30" s="20">
        <v>12829483.67</v>
      </c>
      <c r="S30" s="20">
        <v>17750989.160000004</v>
      </c>
      <c r="T30" s="20">
        <v>15397998.639999999</v>
      </c>
      <c r="U30" s="20">
        <v>12235846.170000002</v>
      </c>
      <c r="V30" s="33">
        <v>19273969.640000001</v>
      </c>
      <c r="W30" s="20">
        <v>14255241.379999999</v>
      </c>
      <c r="X30" s="20">
        <v>14853975.09</v>
      </c>
      <c r="Y30" s="20">
        <v>18439342.493999995</v>
      </c>
      <c r="Z30" s="33">
        <v>16152655.034</v>
      </c>
      <c r="AA30" s="20">
        <v>16113024.561200002</v>
      </c>
      <c r="AB30" s="20">
        <v>16025614.351200005</v>
      </c>
      <c r="AC30" s="20">
        <v>15806185.6812</v>
      </c>
      <c r="AD30" s="20">
        <v>15991345.191199997</v>
      </c>
      <c r="AE30" s="33">
        <v>15890776.691200005</v>
      </c>
      <c r="AF30" s="20">
        <v>15818824.163000001</v>
      </c>
      <c r="AG30" s="20">
        <v>15620215.953000005</v>
      </c>
      <c r="AH30" s="20">
        <v>15220052.253000002</v>
      </c>
      <c r="AI30" s="33">
        <v>15375011.943</v>
      </c>
      <c r="AJ30" s="20">
        <v>15428309.691000005</v>
      </c>
      <c r="AK30" s="20">
        <v>15513583.430999996</v>
      </c>
      <c r="AL30" s="20">
        <v>15835765.091000002</v>
      </c>
      <c r="AM30" s="33">
        <v>15876986.831000002</v>
      </c>
      <c r="AN30" s="20">
        <v>16890938.3728</v>
      </c>
      <c r="AO30" s="20">
        <v>16925284.722799998</v>
      </c>
      <c r="AP30" s="20">
        <v>16992087.662800003</v>
      </c>
      <c r="AQ30" s="20">
        <v>16976374.182799995</v>
      </c>
      <c r="AR30" s="33">
        <v>16766720.502799995</v>
      </c>
      <c r="AS30" s="20">
        <v>15418354.309999999</v>
      </c>
      <c r="AT30" s="20">
        <v>15167534.619999995</v>
      </c>
      <c r="AU30" s="20">
        <v>16180312.769999998</v>
      </c>
      <c r="AV30" s="33">
        <v>15701574.660000004</v>
      </c>
      <c r="AW30" s="20">
        <v>15203059.730000006</v>
      </c>
      <c r="AX30" s="20">
        <v>15507964.249999998</v>
      </c>
      <c r="AY30" s="20">
        <v>18608866.650000002</v>
      </c>
      <c r="AZ30" s="20">
        <v>19415934.030000005</v>
      </c>
      <c r="BA30" s="20">
        <v>5372849.0200000005</v>
      </c>
      <c r="BB30" s="37">
        <f>SUM(B30:BA30)/1000</f>
        <v>837291.66199399962</v>
      </c>
    </row>
    <row r="31" spans="1:54" s="4" customFormat="1" ht="15" hidden="1" outlineLevel="1">
      <c r="A31" s="3" t="s">
        <v>30</v>
      </c>
      <c r="B31" s="24"/>
      <c r="C31" s="24">
        <v>0</v>
      </c>
      <c r="D31" s="24">
        <v>0</v>
      </c>
      <c r="E31" s="31">
        <v>0</v>
      </c>
      <c r="F31" s="24">
        <v>0</v>
      </c>
      <c r="G31" s="24">
        <v>0</v>
      </c>
      <c r="H31" s="24">
        <v>0</v>
      </c>
      <c r="I31" s="31">
        <v>0</v>
      </c>
      <c r="J31" s="24">
        <v>0</v>
      </c>
      <c r="K31" s="24">
        <v>0</v>
      </c>
      <c r="L31" s="24">
        <v>0</v>
      </c>
      <c r="M31" s="31">
        <v>0</v>
      </c>
      <c r="N31" s="24">
        <v>0</v>
      </c>
      <c r="O31" s="24">
        <v>0</v>
      </c>
      <c r="P31" s="24">
        <v>0</v>
      </c>
      <c r="Q31" s="31">
        <v>0</v>
      </c>
      <c r="R31" s="24">
        <v>0</v>
      </c>
      <c r="S31" s="24">
        <v>0</v>
      </c>
      <c r="T31" s="24">
        <v>0</v>
      </c>
      <c r="U31" s="24">
        <v>0</v>
      </c>
      <c r="V31" s="31">
        <v>0</v>
      </c>
      <c r="W31" s="24">
        <v>0</v>
      </c>
      <c r="X31" s="24">
        <v>0</v>
      </c>
      <c r="Y31" s="24">
        <v>0</v>
      </c>
      <c r="Z31" s="31">
        <v>0</v>
      </c>
      <c r="AA31" s="24">
        <v>0</v>
      </c>
      <c r="AB31" s="24">
        <v>0</v>
      </c>
      <c r="AC31" s="24">
        <v>0</v>
      </c>
      <c r="AD31" s="24">
        <v>0</v>
      </c>
      <c r="AE31" s="31">
        <v>0</v>
      </c>
      <c r="AF31" s="24">
        <v>0</v>
      </c>
      <c r="AG31" s="24">
        <v>0</v>
      </c>
      <c r="AH31" s="24">
        <v>0</v>
      </c>
      <c r="AI31" s="31">
        <v>0</v>
      </c>
      <c r="AJ31" s="24">
        <v>0</v>
      </c>
      <c r="AK31" s="24">
        <v>0</v>
      </c>
      <c r="AL31" s="24">
        <v>0</v>
      </c>
      <c r="AM31" s="31">
        <v>0</v>
      </c>
      <c r="AN31" s="24">
        <v>0</v>
      </c>
      <c r="AO31" s="24">
        <v>0</v>
      </c>
      <c r="AP31" s="24">
        <v>0</v>
      </c>
      <c r="AQ31" s="24">
        <v>0</v>
      </c>
      <c r="AR31" s="31">
        <v>0</v>
      </c>
      <c r="AS31" s="24">
        <v>0</v>
      </c>
      <c r="AT31" s="24">
        <v>0</v>
      </c>
      <c r="AU31" s="24">
        <v>0</v>
      </c>
      <c r="AV31" s="31">
        <v>0</v>
      </c>
      <c r="AW31" s="24">
        <v>0</v>
      </c>
      <c r="AX31" s="19">
        <v>0</v>
      </c>
      <c r="AY31" s="19">
        <v>0</v>
      </c>
      <c r="AZ31" s="19">
        <v>0</v>
      </c>
      <c r="BA31" s="19">
        <v>0</v>
      </c>
      <c r="BB31" s="37">
        <f t="shared" si="0"/>
        <v>0</v>
      </c>
    </row>
    <row r="32" spans="1:54" s="4" customFormat="1" ht="15" hidden="1" outlineLevel="1">
      <c r="A32" s="3" t="s">
        <v>31</v>
      </c>
      <c r="B32" s="24"/>
      <c r="C32" s="24">
        <v>0</v>
      </c>
      <c r="D32" s="24">
        <v>0</v>
      </c>
      <c r="E32" s="31">
        <v>0</v>
      </c>
      <c r="F32" s="24">
        <v>0</v>
      </c>
      <c r="G32" s="24">
        <v>0</v>
      </c>
      <c r="H32" s="24">
        <v>0</v>
      </c>
      <c r="I32" s="31">
        <v>0</v>
      </c>
      <c r="J32" s="24">
        <v>0</v>
      </c>
      <c r="K32" s="24">
        <v>0</v>
      </c>
      <c r="L32" s="24">
        <v>0</v>
      </c>
      <c r="M32" s="31">
        <v>0</v>
      </c>
      <c r="N32" s="24">
        <v>0</v>
      </c>
      <c r="O32" s="24">
        <v>0</v>
      </c>
      <c r="P32" s="24">
        <v>0</v>
      </c>
      <c r="Q32" s="31">
        <v>0</v>
      </c>
      <c r="R32" s="24">
        <v>0</v>
      </c>
      <c r="S32" s="24">
        <v>0</v>
      </c>
      <c r="T32" s="24">
        <v>0</v>
      </c>
      <c r="U32" s="24">
        <v>0</v>
      </c>
      <c r="V32" s="31">
        <v>0</v>
      </c>
      <c r="W32" s="24">
        <v>0</v>
      </c>
      <c r="X32" s="24">
        <v>0</v>
      </c>
      <c r="Y32" s="24">
        <v>0</v>
      </c>
      <c r="Z32" s="31">
        <v>0</v>
      </c>
      <c r="AA32" s="24">
        <v>0</v>
      </c>
      <c r="AB32" s="24">
        <v>0</v>
      </c>
      <c r="AC32" s="24">
        <v>0</v>
      </c>
      <c r="AD32" s="24">
        <v>0</v>
      </c>
      <c r="AE32" s="31">
        <v>0</v>
      </c>
      <c r="AF32" s="24">
        <v>0</v>
      </c>
      <c r="AG32" s="24">
        <v>0</v>
      </c>
      <c r="AH32" s="24">
        <v>0</v>
      </c>
      <c r="AI32" s="31">
        <v>0</v>
      </c>
      <c r="AJ32" s="24">
        <v>0</v>
      </c>
      <c r="AK32" s="24">
        <v>0</v>
      </c>
      <c r="AL32" s="24">
        <v>0</v>
      </c>
      <c r="AM32" s="31">
        <v>0</v>
      </c>
      <c r="AN32" s="24">
        <v>0</v>
      </c>
      <c r="AO32" s="24">
        <v>0</v>
      </c>
      <c r="AP32" s="24">
        <v>0</v>
      </c>
      <c r="AQ32" s="24">
        <v>0</v>
      </c>
      <c r="AR32" s="31">
        <v>0</v>
      </c>
      <c r="AS32" s="24">
        <v>0</v>
      </c>
      <c r="AT32" s="24">
        <v>0</v>
      </c>
      <c r="AU32" s="24">
        <v>0</v>
      </c>
      <c r="AV32" s="31">
        <v>0</v>
      </c>
      <c r="AW32" s="24">
        <v>0</v>
      </c>
      <c r="AX32" s="19">
        <v>0</v>
      </c>
      <c r="AY32" s="19">
        <v>0</v>
      </c>
      <c r="AZ32" s="19">
        <v>0</v>
      </c>
      <c r="BA32" s="19">
        <v>0</v>
      </c>
      <c r="BB32" s="37">
        <f t="shared" si="0"/>
        <v>0</v>
      </c>
    </row>
    <row r="33" spans="1:54" s="4" customFormat="1" ht="15" hidden="1" outlineLevel="1">
      <c r="A33" s="3" t="s">
        <v>32</v>
      </c>
      <c r="B33" s="24"/>
      <c r="C33" s="24">
        <v>0</v>
      </c>
      <c r="D33" s="24">
        <v>0</v>
      </c>
      <c r="E33" s="31">
        <v>0</v>
      </c>
      <c r="F33" s="24">
        <v>0</v>
      </c>
      <c r="G33" s="24">
        <v>0</v>
      </c>
      <c r="H33" s="24">
        <v>0</v>
      </c>
      <c r="I33" s="31">
        <v>0</v>
      </c>
      <c r="J33" s="24">
        <v>0</v>
      </c>
      <c r="K33" s="24">
        <v>0</v>
      </c>
      <c r="L33" s="24">
        <v>0</v>
      </c>
      <c r="M33" s="31">
        <v>0</v>
      </c>
      <c r="N33" s="24">
        <v>0</v>
      </c>
      <c r="O33" s="24">
        <v>0</v>
      </c>
      <c r="P33" s="24">
        <v>0</v>
      </c>
      <c r="Q33" s="31">
        <v>0</v>
      </c>
      <c r="R33" s="24">
        <v>0</v>
      </c>
      <c r="S33" s="24">
        <v>0</v>
      </c>
      <c r="T33" s="24">
        <v>0</v>
      </c>
      <c r="U33" s="24">
        <v>0</v>
      </c>
      <c r="V33" s="31">
        <v>0</v>
      </c>
      <c r="W33" s="24">
        <v>0</v>
      </c>
      <c r="X33" s="24">
        <v>0</v>
      </c>
      <c r="Y33" s="24">
        <v>0</v>
      </c>
      <c r="Z33" s="31">
        <v>0</v>
      </c>
      <c r="AA33" s="24">
        <v>0</v>
      </c>
      <c r="AB33" s="24">
        <v>0</v>
      </c>
      <c r="AC33" s="24">
        <v>0</v>
      </c>
      <c r="AD33" s="24">
        <v>0</v>
      </c>
      <c r="AE33" s="31">
        <v>0</v>
      </c>
      <c r="AF33" s="24">
        <v>0</v>
      </c>
      <c r="AG33" s="24">
        <v>0</v>
      </c>
      <c r="AH33" s="24">
        <v>0</v>
      </c>
      <c r="AI33" s="31">
        <v>0</v>
      </c>
      <c r="AJ33" s="24">
        <v>0</v>
      </c>
      <c r="AK33" s="24">
        <v>0</v>
      </c>
      <c r="AL33" s="24">
        <v>0</v>
      </c>
      <c r="AM33" s="31">
        <v>0</v>
      </c>
      <c r="AN33" s="24">
        <v>0</v>
      </c>
      <c r="AO33" s="24">
        <v>0</v>
      </c>
      <c r="AP33" s="24">
        <v>0</v>
      </c>
      <c r="AQ33" s="24">
        <v>0</v>
      </c>
      <c r="AR33" s="31">
        <v>0</v>
      </c>
      <c r="AS33" s="24">
        <v>0</v>
      </c>
      <c r="AT33" s="24">
        <v>0</v>
      </c>
      <c r="AU33" s="24">
        <v>0</v>
      </c>
      <c r="AV33" s="31">
        <v>0</v>
      </c>
      <c r="AW33" s="24">
        <v>0</v>
      </c>
      <c r="AX33" s="19">
        <v>0</v>
      </c>
      <c r="AY33" s="19">
        <v>0</v>
      </c>
      <c r="AZ33" s="19">
        <v>0</v>
      </c>
      <c r="BA33" s="19">
        <v>0</v>
      </c>
      <c r="BB33" s="37">
        <f t="shared" si="0"/>
        <v>0</v>
      </c>
    </row>
    <row r="34" spans="1:54" s="4" customFormat="1" ht="15" hidden="1" outlineLevel="1">
      <c r="A34" s="3" t="s">
        <v>33</v>
      </c>
      <c r="B34" s="24"/>
      <c r="C34" s="24">
        <v>0</v>
      </c>
      <c r="D34" s="24">
        <v>0</v>
      </c>
      <c r="E34" s="31">
        <v>0</v>
      </c>
      <c r="F34" s="24">
        <v>0</v>
      </c>
      <c r="G34" s="24">
        <v>0</v>
      </c>
      <c r="H34" s="24">
        <v>0</v>
      </c>
      <c r="I34" s="31">
        <v>0</v>
      </c>
      <c r="J34" s="24">
        <v>0</v>
      </c>
      <c r="K34" s="24">
        <v>0</v>
      </c>
      <c r="L34" s="24">
        <v>0</v>
      </c>
      <c r="M34" s="31">
        <v>0</v>
      </c>
      <c r="N34" s="24">
        <v>0</v>
      </c>
      <c r="O34" s="24">
        <v>0</v>
      </c>
      <c r="P34" s="24">
        <v>0</v>
      </c>
      <c r="Q34" s="31">
        <v>0</v>
      </c>
      <c r="R34" s="24">
        <v>0</v>
      </c>
      <c r="S34" s="24">
        <v>0</v>
      </c>
      <c r="T34" s="24">
        <v>0</v>
      </c>
      <c r="U34" s="24">
        <v>0</v>
      </c>
      <c r="V34" s="31">
        <v>0</v>
      </c>
      <c r="W34" s="24">
        <v>0</v>
      </c>
      <c r="X34" s="24">
        <v>0</v>
      </c>
      <c r="Y34" s="24">
        <v>0</v>
      </c>
      <c r="Z34" s="31">
        <v>0</v>
      </c>
      <c r="AA34" s="24">
        <v>0</v>
      </c>
      <c r="AB34" s="24">
        <v>0</v>
      </c>
      <c r="AC34" s="24">
        <v>0</v>
      </c>
      <c r="AD34" s="24">
        <v>0</v>
      </c>
      <c r="AE34" s="31">
        <v>0</v>
      </c>
      <c r="AF34" s="24">
        <v>0</v>
      </c>
      <c r="AG34" s="24">
        <v>0</v>
      </c>
      <c r="AH34" s="24">
        <v>0</v>
      </c>
      <c r="AI34" s="31">
        <v>0</v>
      </c>
      <c r="AJ34" s="24">
        <v>0</v>
      </c>
      <c r="AK34" s="24">
        <v>0</v>
      </c>
      <c r="AL34" s="24">
        <v>0</v>
      </c>
      <c r="AM34" s="31">
        <v>0</v>
      </c>
      <c r="AN34" s="24">
        <v>0</v>
      </c>
      <c r="AO34" s="24">
        <v>0</v>
      </c>
      <c r="AP34" s="24">
        <v>0</v>
      </c>
      <c r="AQ34" s="24">
        <v>0</v>
      </c>
      <c r="AR34" s="31">
        <v>0</v>
      </c>
      <c r="AS34" s="24">
        <v>0</v>
      </c>
      <c r="AT34" s="24">
        <v>0</v>
      </c>
      <c r="AU34" s="24">
        <v>0</v>
      </c>
      <c r="AV34" s="31">
        <v>0</v>
      </c>
      <c r="AW34" s="24">
        <v>0</v>
      </c>
      <c r="AX34" s="19">
        <v>0</v>
      </c>
      <c r="AY34" s="19">
        <v>0</v>
      </c>
      <c r="AZ34" s="19">
        <v>0</v>
      </c>
      <c r="BA34" s="19">
        <v>0</v>
      </c>
      <c r="BB34" s="37">
        <f t="shared" si="0"/>
        <v>0</v>
      </c>
    </row>
    <row r="35" spans="1:54" s="4" customFormat="1" ht="15" hidden="1" outlineLevel="1">
      <c r="A35" s="3" t="s">
        <v>34</v>
      </c>
      <c r="B35" s="24"/>
      <c r="C35" s="24">
        <v>0</v>
      </c>
      <c r="D35" s="24">
        <v>0</v>
      </c>
      <c r="E35" s="31">
        <v>0</v>
      </c>
      <c r="F35" s="24">
        <v>0</v>
      </c>
      <c r="G35" s="24">
        <v>0</v>
      </c>
      <c r="H35" s="24">
        <v>0</v>
      </c>
      <c r="I35" s="31">
        <v>0</v>
      </c>
      <c r="J35" s="24">
        <v>0</v>
      </c>
      <c r="K35" s="24">
        <v>0</v>
      </c>
      <c r="L35" s="24">
        <v>0</v>
      </c>
      <c r="M35" s="31">
        <v>0</v>
      </c>
      <c r="N35" s="24">
        <v>0</v>
      </c>
      <c r="O35" s="24">
        <v>0</v>
      </c>
      <c r="P35" s="24">
        <v>0</v>
      </c>
      <c r="Q35" s="31">
        <v>0</v>
      </c>
      <c r="R35" s="24">
        <v>0</v>
      </c>
      <c r="S35" s="24">
        <v>0</v>
      </c>
      <c r="T35" s="24">
        <v>0</v>
      </c>
      <c r="U35" s="24">
        <v>0</v>
      </c>
      <c r="V35" s="31">
        <v>0</v>
      </c>
      <c r="W35" s="24">
        <v>0</v>
      </c>
      <c r="X35" s="24">
        <v>0</v>
      </c>
      <c r="Y35" s="24">
        <v>0</v>
      </c>
      <c r="Z35" s="31">
        <v>0</v>
      </c>
      <c r="AA35" s="24">
        <v>0</v>
      </c>
      <c r="AB35" s="24">
        <v>0</v>
      </c>
      <c r="AC35" s="24">
        <v>0</v>
      </c>
      <c r="AD35" s="24">
        <v>0</v>
      </c>
      <c r="AE35" s="31">
        <v>0</v>
      </c>
      <c r="AF35" s="24">
        <v>0</v>
      </c>
      <c r="AG35" s="24">
        <v>0</v>
      </c>
      <c r="AH35" s="24">
        <v>0</v>
      </c>
      <c r="AI35" s="31">
        <v>0</v>
      </c>
      <c r="AJ35" s="24">
        <v>0</v>
      </c>
      <c r="AK35" s="24">
        <v>0</v>
      </c>
      <c r="AL35" s="24">
        <v>0</v>
      </c>
      <c r="AM35" s="31">
        <v>0</v>
      </c>
      <c r="AN35" s="24">
        <v>0</v>
      </c>
      <c r="AO35" s="24">
        <v>0</v>
      </c>
      <c r="AP35" s="24">
        <v>0</v>
      </c>
      <c r="AQ35" s="24">
        <v>0</v>
      </c>
      <c r="AR35" s="31">
        <v>0</v>
      </c>
      <c r="AS35" s="24">
        <v>0</v>
      </c>
      <c r="AT35" s="24">
        <v>0</v>
      </c>
      <c r="AU35" s="24">
        <v>0</v>
      </c>
      <c r="AV35" s="31">
        <v>0</v>
      </c>
      <c r="AW35" s="24">
        <v>0</v>
      </c>
      <c r="AX35" s="19">
        <v>0</v>
      </c>
      <c r="AY35" s="19">
        <v>0</v>
      </c>
      <c r="AZ35" s="19">
        <v>0</v>
      </c>
      <c r="BA35" s="19">
        <v>0</v>
      </c>
      <c r="BB35" s="37">
        <f t="shared" si="0"/>
        <v>0</v>
      </c>
    </row>
    <row r="36" spans="1:54" s="4" customFormat="1" ht="15" hidden="1" outlineLevel="1">
      <c r="A36" s="3" t="s">
        <v>35</v>
      </c>
      <c r="B36" s="24"/>
      <c r="C36" s="24">
        <v>0</v>
      </c>
      <c r="D36" s="24">
        <v>0</v>
      </c>
      <c r="E36" s="31">
        <v>0</v>
      </c>
      <c r="F36" s="24">
        <v>0</v>
      </c>
      <c r="G36" s="24">
        <v>0</v>
      </c>
      <c r="H36" s="24">
        <v>0</v>
      </c>
      <c r="I36" s="31">
        <v>0</v>
      </c>
      <c r="J36" s="24">
        <v>0</v>
      </c>
      <c r="K36" s="24">
        <v>0</v>
      </c>
      <c r="L36" s="24">
        <v>0</v>
      </c>
      <c r="M36" s="31">
        <v>0</v>
      </c>
      <c r="N36" s="24">
        <v>0</v>
      </c>
      <c r="O36" s="24">
        <v>0</v>
      </c>
      <c r="P36" s="24">
        <v>0</v>
      </c>
      <c r="Q36" s="31">
        <v>0</v>
      </c>
      <c r="R36" s="24">
        <v>0</v>
      </c>
      <c r="S36" s="24">
        <v>0</v>
      </c>
      <c r="T36" s="24">
        <v>0</v>
      </c>
      <c r="U36" s="24">
        <v>0</v>
      </c>
      <c r="V36" s="31">
        <v>0</v>
      </c>
      <c r="W36" s="24">
        <v>0</v>
      </c>
      <c r="X36" s="24">
        <v>0</v>
      </c>
      <c r="Y36" s="24">
        <v>0</v>
      </c>
      <c r="Z36" s="31">
        <v>0</v>
      </c>
      <c r="AA36" s="24">
        <v>0</v>
      </c>
      <c r="AB36" s="24">
        <v>0</v>
      </c>
      <c r="AC36" s="24">
        <v>0</v>
      </c>
      <c r="AD36" s="24">
        <v>0</v>
      </c>
      <c r="AE36" s="31">
        <v>0</v>
      </c>
      <c r="AF36" s="24">
        <v>0</v>
      </c>
      <c r="AG36" s="24">
        <v>0</v>
      </c>
      <c r="AH36" s="24">
        <v>0</v>
      </c>
      <c r="AI36" s="31">
        <v>0</v>
      </c>
      <c r="AJ36" s="24">
        <v>0</v>
      </c>
      <c r="AK36" s="24">
        <v>0</v>
      </c>
      <c r="AL36" s="24">
        <v>0</v>
      </c>
      <c r="AM36" s="31">
        <v>0</v>
      </c>
      <c r="AN36" s="24">
        <v>0</v>
      </c>
      <c r="AO36" s="24">
        <v>0</v>
      </c>
      <c r="AP36" s="24">
        <v>0</v>
      </c>
      <c r="AQ36" s="24">
        <v>0</v>
      </c>
      <c r="AR36" s="31">
        <v>0</v>
      </c>
      <c r="AS36" s="24">
        <v>0</v>
      </c>
      <c r="AT36" s="24">
        <v>0</v>
      </c>
      <c r="AU36" s="24">
        <v>0</v>
      </c>
      <c r="AV36" s="31">
        <v>0</v>
      </c>
      <c r="AW36" s="24">
        <v>0</v>
      </c>
      <c r="AX36" s="19">
        <v>0</v>
      </c>
      <c r="AY36" s="19">
        <v>0</v>
      </c>
      <c r="AZ36" s="19">
        <v>0</v>
      </c>
      <c r="BA36" s="19">
        <v>0</v>
      </c>
      <c r="BB36" s="37">
        <f t="shared" ref="BB36:BB92" si="1">SUM(B36:BA36)/1000</f>
        <v>0</v>
      </c>
    </row>
    <row r="37" spans="1:54" s="4" customFormat="1" ht="15" hidden="1" outlineLevel="1">
      <c r="A37" s="3" t="s">
        <v>36</v>
      </c>
      <c r="B37" s="24"/>
      <c r="C37" s="24">
        <v>0</v>
      </c>
      <c r="D37" s="24">
        <v>0</v>
      </c>
      <c r="E37" s="31">
        <v>0</v>
      </c>
      <c r="F37" s="24">
        <v>0</v>
      </c>
      <c r="G37" s="24">
        <v>0</v>
      </c>
      <c r="H37" s="24">
        <v>0</v>
      </c>
      <c r="I37" s="31">
        <v>0</v>
      </c>
      <c r="J37" s="24">
        <v>0</v>
      </c>
      <c r="K37" s="24">
        <v>0</v>
      </c>
      <c r="L37" s="24">
        <v>0</v>
      </c>
      <c r="M37" s="31">
        <v>0</v>
      </c>
      <c r="N37" s="24">
        <v>0</v>
      </c>
      <c r="O37" s="24">
        <v>0</v>
      </c>
      <c r="P37" s="24">
        <v>0</v>
      </c>
      <c r="Q37" s="31">
        <v>0</v>
      </c>
      <c r="R37" s="24">
        <v>0</v>
      </c>
      <c r="S37" s="24">
        <v>0</v>
      </c>
      <c r="T37" s="24">
        <v>0</v>
      </c>
      <c r="U37" s="24">
        <v>0</v>
      </c>
      <c r="V37" s="31">
        <v>0</v>
      </c>
      <c r="W37" s="24">
        <v>0</v>
      </c>
      <c r="X37" s="24">
        <v>0</v>
      </c>
      <c r="Y37" s="24">
        <v>0</v>
      </c>
      <c r="Z37" s="31">
        <v>0</v>
      </c>
      <c r="AA37" s="24">
        <v>0</v>
      </c>
      <c r="AB37" s="24">
        <v>0</v>
      </c>
      <c r="AC37" s="24">
        <v>0</v>
      </c>
      <c r="AD37" s="24">
        <v>0</v>
      </c>
      <c r="AE37" s="31">
        <v>0</v>
      </c>
      <c r="AF37" s="24">
        <v>0</v>
      </c>
      <c r="AG37" s="24">
        <v>0</v>
      </c>
      <c r="AH37" s="24">
        <v>0</v>
      </c>
      <c r="AI37" s="31">
        <v>0</v>
      </c>
      <c r="AJ37" s="24">
        <v>0</v>
      </c>
      <c r="AK37" s="24">
        <v>0</v>
      </c>
      <c r="AL37" s="24">
        <v>0</v>
      </c>
      <c r="AM37" s="31">
        <v>0</v>
      </c>
      <c r="AN37" s="24">
        <v>0</v>
      </c>
      <c r="AO37" s="24">
        <v>0</v>
      </c>
      <c r="AP37" s="24">
        <v>0</v>
      </c>
      <c r="AQ37" s="24">
        <v>0</v>
      </c>
      <c r="AR37" s="31">
        <v>0</v>
      </c>
      <c r="AS37" s="24">
        <v>0</v>
      </c>
      <c r="AT37" s="24">
        <v>0</v>
      </c>
      <c r="AU37" s="24">
        <v>0</v>
      </c>
      <c r="AV37" s="31">
        <v>0</v>
      </c>
      <c r="AW37" s="24">
        <v>0</v>
      </c>
      <c r="AX37" s="19">
        <v>0</v>
      </c>
      <c r="AY37" s="19">
        <v>0</v>
      </c>
      <c r="AZ37" s="19">
        <v>0</v>
      </c>
      <c r="BA37" s="19">
        <v>0</v>
      </c>
      <c r="BB37" s="37">
        <f t="shared" si="1"/>
        <v>0</v>
      </c>
    </row>
    <row r="38" spans="1:54" s="4" customFormat="1" ht="15" hidden="1" outlineLevel="1">
      <c r="A38" s="3" t="s">
        <v>37</v>
      </c>
      <c r="B38" s="24"/>
      <c r="C38" s="24">
        <v>0</v>
      </c>
      <c r="D38" s="24">
        <v>0</v>
      </c>
      <c r="E38" s="31">
        <v>0</v>
      </c>
      <c r="F38" s="24">
        <v>0</v>
      </c>
      <c r="G38" s="24">
        <v>0</v>
      </c>
      <c r="H38" s="24">
        <v>0</v>
      </c>
      <c r="I38" s="31">
        <v>0</v>
      </c>
      <c r="J38" s="24">
        <v>0</v>
      </c>
      <c r="K38" s="24">
        <v>0</v>
      </c>
      <c r="L38" s="24">
        <v>0</v>
      </c>
      <c r="M38" s="31">
        <v>0</v>
      </c>
      <c r="N38" s="24">
        <v>0</v>
      </c>
      <c r="O38" s="24">
        <v>0</v>
      </c>
      <c r="P38" s="24">
        <v>0</v>
      </c>
      <c r="Q38" s="31">
        <v>0</v>
      </c>
      <c r="R38" s="24">
        <v>0</v>
      </c>
      <c r="S38" s="24">
        <v>0</v>
      </c>
      <c r="T38" s="24">
        <v>0</v>
      </c>
      <c r="U38" s="24">
        <v>0</v>
      </c>
      <c r="V38" s="31">
        <v>0</v>
      </c>
      <c r="W38" s="24">
        <v>0</v>
      </c>
      <c r="X38" s="24">
        <v>0</v>
      </c>
      <c r="Y38" s="24">
        <v>0</v>
      </c>
      <c r="Z38" s="31">
        <v>0</v>
      </c>
      <c r="AA38" s="24">
        <v>0</v>
      </c>
      <c r="AB38" s="24">
        <v>0</v>
      </c>
      <c r="AC38" s="24">
        <v>0</v>
      </c>
      <c r="AD38" s="24">
        <v>0</v>
      </c>
      <c r="AE38" s="31">
        <v>0</v>
      </c>
      <c r="AF38" s="24">
        <v>0</v>
      </c>
      <c r="AG38" s="24">
        <v>0</v>
      </c>
      <c r="AH38" s="24">
        <v>0</v>
      </c>
      <c r="AI38" s="31">
        <v>0</v>
      </c>
      <c r="AJ38" s="24">
        <v>0</v>
      </c>
      <c r="AK38" s="24">
        <v>0</v>
      </c>
      <c r="AL38" s="24">
        <v>0</v>
      </c>
      <c r="AM38" s="31">
        <v>0</v>
      </c>
      <c r="AN38" s="24">
        <v>0</v>
      </c>
      <c r="AO38" s="24">
        <v>0</v>
      </c>
      <c r="AP38" s="24">
        <v>0</v>
      </c>
      <c r="AQ38" s="24">
        <v>0</v>
      </c>
      <c r="AR38" s="31">
        <v>0</v>
      </c>
      <c r="AS38" s="24">
        <v>0</v>
      </c>
      <c r="AT38" s="24">
        <v>0</v>
      </c>
      <c r="AU38" s="24">
        <v>0</v>
      </c>
      <c r="AV38" s="31">
        <v>0</v>
      </c>
      <c r="AW38" s="24">
        <v>0</v>
      </c>
      <c r="AX38" s="19">
        <v>0</v>
      </c>
      <c r="AY38" s="19">
        <v>0</v>
      </c>
      <c r="AZ38" s="19">
        <v>0</v>
      </c>
      <c r="BA38" s="19">
        <v>0</v>
      </c>
      <c r="BB38" s="37">
        <f t="shared" si="1"/>
        <v>0</v>
      </c>
    </row>
    <row r="39" spans="1:54" s="4" customFormat="1" ht="15" hidden="1" outlineLevel="1">
      <c r="A39" s="3" t="s">
        <v>38</v>
      </c>
      <c r="B39" s="24"/>
      <c r="C39" s="24">
        <v>0</v>
      </c>
      <c r="D39" s="24">
        <v>0</v>
      </c>
      <c r="E39" s="31">
        <v>0</v>
      </c>
      <c r="F39" s="24">
        <v>0</v>
      </c>
      <c r="G39" s="24">
        <v>0</v>
      </c>
      <c r="H39" s="24">
        <v>0</v>
      </c>
      <c r="I39" s="31">
        <v>0</v>
      </c>
      <c r="J39" s="24">
        <v>0</v>
      </c>
      <c r="K39" s="24">
        <v>0</v>
      </c>
      <c r="L39" s="24">
        <v>0</v>
      </c>
      <c r="M39" s="31">
        <v>0</v>
      </c>
      <c r="N39" s="24">
        <v>0</v>
      </c>
      <c r="O39" s="24">
        <v>0</v>
      </c>
      <c r="P39" s="24">
        <v>0</v>
      </c>
      <c r="Q39" s="31">
        <v>0</v>
      </c>
      <c r="R39" s="24">
        <v>0</v>
      </c>
      <c r="S39" s="24">
        <v>0</v>
      </c>
      <c r="T39" s="24">
        <v>0</v>
      </c>
      <c r="U39" s="24">
        <v>0</v>
      </c>
      <c r="V39" s="31">
        <v>0</v>
      </c>
      <c r="W39" s="24">
        <v>0</v>
      </c>
      <c r="X39" s="24">
        <v>0</v>
      </c>
      <c r="Y39" s="24">
        <v>0</v>
      </c>
      <c r="Z39" s="31">
        <v>0</v>
      </c>
      <c r="AA39" s="24">
        <v>0</v>
      </c>
      <c r="AB39" s="24">
        <v>0</v>
      </c>
      <c r="AC39" s="24">
        <v>0</v>
      </c>
      <c r="AD39" s="24">
        <v>0</v>
      </c>
      <c r="AE39" s="31">
        <v>0</v>
      </c>
      <c r="AF39" s="24">
        <v>0</v>
      </c>
      <c r="AG39" s="24">
        <v>0</v>
      </c>
      <c r="AH39" s="24">
        <v>0</v>
      </c>
      <c r="AI39" s="31">
        <v>0</v>
      </c>
      <c r="AJ39" s="24">
        <v>0</v>
      </c>
      <c r="AK39" s="24">
        <v>0</v>
      </c>
      <c r="AL39" s="24">
        <v>0</v>
      </c>
      <c r="AM39" s="31">
        <v>0</v>
      </c>
      <c r="AN39" s="24">
        <v>0</v>
      </c>
      <c r="AO39" s="24">
        <v>0</v>
      </c>
      <c r="AP39" s="24">
        <v>0</v>
      </c>
      <c r="AQ39" s="24">
        <v>0</v>
      </c>
      <c r="AR39" s="31">
        <v>0</v>
      </c>
      <c r="AS39" s="24">
        <v>0</v>
      </c>
      <c r="AT39" s="24">
        <v>0</v>
      </c>
      <c r="AU39" s="24">
        <v>0</v>
      </c>
      <c r="AV39" s="31">
        <v>0</v>
      </c>
      <c r="AW39" s="24">
        <v>0</v>
      </c>
      <c r="AX39" s="19">
        <v>0</v>
      </c>
      <c r="AY39" s="19">
        <v>0</v>
      </c>
      <c r="AZ39" s="19">
        <v>0</v>
      </c>
      <c r="BA39" s="19">
        <v>0</v>
      </c>
      <c r="BB39" s="37">
        <f t="shared" si="1"/>
        <v>0</v>
      </c>
    </row>
    <row r="40" spans="1:54" s="4" customFormat="1" ht="15" hidden="1" outlineLevel="1">
      <c r="A40" s="3" t="s">
        <v>39</v>
      </c>
      <c r="B40" s="24"/>
      <c r="C40" s="24">
        <v>0</v>
      </c>
      <c r="D40" s="24">
        <v>0</v>
      </c>
      <c r="E40" s="31">
        <v>0</v>
      </c>
      <c r="F40" s="24">
        <v>0</v>
      </c>
      <c r="G40" s="24">
        <v>0</v>
      </c>
      <c r="H40" s="24">
        <v>0</v>
      </c>
      <c r="I40" s="31">
        <v>0</v>
      </c>
      <c r="J40" s="24">
        <v>0</v>
      </c>
      <c r="K40" s="24">
        <v>0</v>
      </c>
      <c r="L40" s="24">
        <v>0</v>
      </c>
      <c r="M40" s="31">
        <v>0</v>
      </c>
      <c r="N40" s="24">
        <v>0</v>
      </c>
      <c r="O40" s="24">
        <v>0</v>
      </c>
      <c r="P40" s="24">
        <v>0</v>
      </c>
      <c r="Q40" s="31">
        <v>0</v>
      </c>
      <c r="R40" s="24">
        <v>0</v>
      </c>
      <c r="S40" s="24">
        <v>0</v>
      </c>
      <c r="T40" s="24">
        <v>0</v>
      </c>
      <c r="U40" s="24">
        <v>0</v>
      </c>
      <c r="V40" s="31">
        <v>0</v>
      </c>
      <c r="W40" s="24">
        <v>0</v>
      </c>
      <c r="X40" s="24">
        <v>0</v>
      </c>
      <c r="Y40" s="24">
        <v>0</v>
      </c>
      <c r="Z40" s="31">
        <v>0</v>
      </c>
      <c r="AA40" s="24">
        <v>0</v>
      </c>
      <c r="AB40" s="24">
        <v>0</v>
      </c>
      <c r="AC40" s="24">
        <v>0</v>
      </c>
      <c r="AD40" s="24">
        <v>0</v>
      </c>
      <c r="AE40" s="31">
        <v>0</v>
      </c>
      <c r="AF40" s="24">
        <v>0</v>
      </c>
      <c r="AG40" s="24">
        <v>0</v>
      </c>
      <c r="AH40" s="24">
        <v>0</v>
      </c>
      <c r="AI40" s="31">
        <v>0</v>
      </c>
      <c r="AJ40" s="24">
        <v>0</v>
      </c>
      <c r="AK40" s="24">
        <v>0</v>
      </c>
      <c r="AL40" s="24">
        <v>0</v>
      </c>
      <c r="AM40" s="31">
        <v>0</v>
      </c>
      <c r="AN40" s="24">
        <v>0</v>
      </c>
      <c r="AO40" s="24">
        <v>0</v>
      </c>
      <c r="AP40" s="24">
        <v>0</v>
      </c>
      <c r="AQ40" s="24">
        <v>0</v>
      </c>
      <c r="AR40" s="31">
        <v>0</v>
      </c>
      <c r="AS40" s="24">
        <v>0</v>
      </c>
      <c r="AT40" s="24">
        <v>0</v>
      </c>
      <c r="AU40" s="24">
        <v>0</v>
      </c>
      <c r="AV40" s="31">
        <v>0</v>
      </c>
      <c r="AW40" s="24">
        <v>0</v>
      </c>
      <c r="AX40" s="19">
        <v>0</v>
      </c>
      <c r="AY40" s="19">
        <v>0</v>
      </c>
      <c r="AZ40" s="19">
        <v>0</v>
      </c>
      <c r="BA40" s="19">
        <v>0</v>
      </c>
      <c r="BB40" s="37">
        <f t="shared" si="1"/>
        <v>0</v>
      </c>
    </row>
    <row r="41" spans="1:54" s="4" customFormat="1" ht="15" hidden="1" outlineLevel="1">
      <c r="A41" s="3" t="s">
        <v>40</v>
      </c>
      <c r="B41" s="24"/>
      <c r="C41" s="24">
        <v>0</v>
      </c>
      <c r="D41" s="24">
        <v>0</v>
      </c>
      <c r="E41" s="31">
        <v>0</v>
      </c>
      <c r="F41" s="24">
        <v>0</v>
      </c>
      <c r="G41" s="24">
        <v>0</v>
      </c>
      <c r="H41" s="24">
        <v>0</v>
      </c>
      <c r="I41" s="31">
        <v>0</v>
      </c>
      <c r="J41" s="24">
        <v>0</v>
      </c>
      <c r="K41" s="24">
        <v>0</v>
      </c>
      <c r="L41" s="24">
        <v>0</v>
      </c>
      <c r="M41" s="31">
        <v>0</v>
      </c>
      <c r="N41" s="24">
        <v>0</v>
      </c>
      <c r="O41" s="24">
        <v>0</v>
      </c>
      <c r="P41" s="24">
        <v>0</v>
      </c>
      <c r="Q41" s="31">
        <v>0</v>
      </c>
      <c r="R41" s="24">
        <v>0</v>
      </c>
      <c r="S41" s="24">
        <v>0</v>
      </c>
      <c r="T41" s="24">
        <v>0</v>
      </c>
      <c r="U41" s="24">
        <v>0</v>
      </c>
      <c r="V41" s="31">
        <v>0</v>
      </c>
      <c r="W41" s="24">
        <v>0</v>
      </c>
      <c r="X41" s="24">
        <v>0</v>
      </c>
      <c r="Y41" s="24">
        <v>0</v>
      </c>
      <c r="Z41" s="31">
        <v>0</v>
      </c>
      <c r="AA41" s="24">
        <v>0</v>
      </c>
      <c r="AB41" s="24">
        <v>0</v>
      </c>
      <c r="AC41" s="24">
        <v>0</v>
      </c>
      <c r="AD41" s="24">
        <v>0</v>
      </c>
      <c r="AE41" s="31">
        <v>0</v>
      </c>
      <c r="AF41" s="24">
        <v>0</v>
      </c>
      <c r="AG41" s="24">
        <v>0</v>
      </c>
      <c r="AH41" s="24">
        <v>0</v>
      </c>
      <c r="AI41" s="31">
        <v>0</v>
      </c>
      <c r="AJ41" s="24">
        <v>0</v>
      </c>
      <c r="AK41" s="24">
        <v>0</v>
      </c>
      <c r="AL41" s="24">
        <v>0</v>
      </c>
      <c r="AM41" s="31">
        <v>0</v>
      </c>
      <c r="AN41" s="24">
        <v>0</v>
      </c>
      <c r="AO41" s="24">
        <v>0</v>
      </c>
      <c r="AP41" s="24">
        <v>0</v>
      </c>
      <c r="AQ41" s="24">
        <v>0</v>
      </c>
      <c r="AR41" s="31">
        <v>0</v>
      </c>
      <c r="AS41" s="24">
        <v>0</v>
      </c>
      <c r="AT41" s="24">
        <v>0</v>
      </c>
      <c r="AU41" s="24">
        <v>0</v>
      </c>
      <c r="AV41" s="31">
        <v>0</v>
      </c>
      <c r="AW41" s="24">
        <v>0</v>
      </c>
      <c r="AX41" s="19">
        <v>0</v>
      </c>
      <c r="AY41" s="19">
        <v>0</v>
      </c>
      <c r="AZ41" s="19">
        <v>0</v>
      </c>
      <c r="BA41" s="19">
        <v>0</v>
      </c>
      <c r="BB41" s="37">
        <f t="shared" si="1"/>
        <v>0</v>
      </c>
    </row>
    <row r="42" spans="1:54" s="4" customFormat="1" ht="15" hidden="1" outlineLevel="1">
      <c r="A42" s="3" t="s">
        <v>41</v>
      </c>
      <c r="B42" s="24"/>
      <c r="C42" s="24">
        <v>-428202.56</v>
      </c>
      <c r="D42" s="24">
        <v>-333694.27</v>
      </c>
      <c r="E42" s="31">
        <v>-233866.58</v>
      </c>
      <c r="F42" s="24">
        <v>-404296.27</v>
      </c>
      <c r="G42" s="24">
        <v>-327203.58</v>
      </c>
      <c r="H42" s="24">
        <v>-179217.53</v>
      </c>
      <c r="I42" s="31">
        <v>-307295.34999999998</v>
      </c>
      <c r="J42" s="24">
        <v>-393451.96</v>
      </c>
      <c r="K42" s="24">
        <v>-961992.91</v>
      </c>
      <c r="L42" s="24">
        <v>-463186.72</v>
      </c>
      <c r="M42" s="31">
        <v>-830029.31</v>
      </c>
      <c r="N42" s="24">
        <v>-438044.27</v>
      </c>
      <c r="O42" s="24">
        <v>-479622.25</v>
      </c>
      <c r="P42" s="24">
        <v>-993575.7</v>
      </c>
      <c r="Q42" s="31">
        <v>-485408.45</v>
      </c>
      <c r="R42" s="24">
        <v>-199023.44</v>
      </c>
      <c r="S42" s="24">
        <v>-198055.29</v>
      </c>
      <c r="T42" s="24">
        <v>-161715.38</v>
      </c>
      <c r="U42" s="24">
        <v>-185581.71</v>
      </c>
      <c r="V42" s="31">
        <v>-162598.07</v>
      </c>
      <c r="W42" s="24">
        <v>-198532.46</v>
      </c>
      <c r="X42" s="24">
        <v>-352143.29</v>
      </c>
      <c r="Y42" s="24">
        <v>-297811.62</v>
      </c>
      <c r="Z42" s="31">
        <v>0</v>
      </c>
      <c r="AA42" s="24">
        <v>0</v>
      </c>
      <c r="AB42" s="24">
        <v>0</v>
      </c>
      <c r="AC42" s="24">
        <v>0</v>
      </c>
      <c r="AD42" s="24">
        <v>0</v>
      </c>
      <c r="AE42" s="31">
        <v>0</v>
      </c>
      <c r="AF42" s="24">
        <v>0</v>
      </c>
      <c r="AG42" s="24">
        <v>0</v>
      </c>
      <c r="AH42" s="24">
        <v>0</v>
      </c>
      <c r="AI42" s="31">
        <v>0</v>
      </c>
      <c r="AJ42" s="24">
        <v>0</v>
      </c>
      <c r="AK42" s="24">
        <v>0</v>
      </c>
      <c r="AL42" s="24">
        <v>0</v>
      </c>
      <c r="AM42" s="31">
        <v>0</v>
      </c>
      <c r="AN42" s="24">
        <v>0</v>
      </c>
      <c r="AO42" s="24">
        <v>0</v>
      </c>
      <c r="AP42" s="24">
        <v>0</v>
      </c>
      <c r="AQ42" s="24">
        <v>0</v>
      </c>
      <c r="AR42" s="31">
        <v>0</v>
      </c>
      <c r="AS42" s="24">
        <v>0</v>
      </c>
      <c r="AT42" s="24">
        <v>0</v>
      </c>
      <c r="AU42" s="24">
        <v>0</v>
      </c>
      <c r="AV42" s="31">
        <v>0</v>
      </c>
      <c r="AW42" s="24">
        <v>0</v>
      </c>
      <c r="AX42" s="19">
        <v>0</v>
      </c>
      <c r="AY42" s="19">
        <v>0</v>
      </c>
      <c r="AZ42" s="19">
        <v>0</v>
      </c>
      <c r="BA42" s="19">
        <v>0</v>
      </c>
      <c r="BB42" s="37">
        <f t="shared" si="1"/>
        <v>-9014.5489699999998</v>
      </c>
    </row>
    <row r="43" spans="1:54" s="4" customFormat="1" ht="15" hidden="1" outlineLevel="1">
      <c r="A43" s="3" t="s">
        <v>42</v>
      </c>
      <c r="B43" s="24"/>
      <c r="C43" s="24">
        <v>-2194840.14</v>
      </c>
      <c r="D43" s="24">
        <v>0</v>
      </c>
      <c r="E43" s="31">
        <v>-4076131.69</v>
      </c>
      <c r="F43" s="24">
        <v>0</v>
      </c>
      <c r="G43" s="24">
        <v>-2082981.86</v>
      </c>
      <c r="H43" s="24">
        <v>0</v>
      </c>
      <c r="I43" s="31">
        <v>-4860291.01</v>
      </c>
      <c r="J43" s="24">
        <v>0</v>
      </c>
      <c r="K43" s="24">
        <v>-3565521.03</v>
      </c>
      <c r="L43" s="24">
        <v>0</v>
      </c>
      <c r="M43" s="31">
        <v>-4063597.64</v>
      </c>
      <c r="N43" s="24">
        <v>0</v>
      </c>
      <c r="O43" s="24">
        <v>0</v>
      </c>
      <c r="P43" s="24">
        <v>-2253144.41</v>
      </c>
      <c r="Q43" s="31">
        <v>0</v>
      </c>
      <c r="R43" s="24">
        <v>-4184411.05</v>
      </c>
      <c r="S43" s="24">
        <v>0</v>
      </c>
      <c r="T43" s="24">
        <v>-2202178.11</v>
      </c>
      <c r="U43" s="24">
        <v>0</v>
      </c>
      <c r="V43" s="31">
        <v>-4089759.35</v>
      </c>
      <c r="W43" s="24">
        <v>0</v>
      </c>
      <c r="X43" s="24">
        <v>-2205829.31</v>
      </c>
      <c r="Y43" s="24">
        <v>0</v>
      </c>
      <c r="Z43" s="31">
        <v>-4096540.15</v>
      </c>
      <c r="AA43" s="24">
        <v>0</v>
      </c>
      <c r="AB43" s="24">
        <v>0</v>
      </c>
      <c r="AC43" s="24">
        <v>-2206341.15</v>
      </c>
      <c r="AD43" s="24">
        <v>0</v>
      </c>
      <c r="AE43" s="31">
        <v>-4097490.71</v>
      </c>
      <c r="AF43" s="24">
        <v>-1409719.2</v>
      </c>
      <c r="AG43" s="24">
        <v>-2653589.08</v>
      </c>
      <c r="AH43" s="24">
        <v>0</v>
      </c>
      <c r="AI43" s="31">
        <v>-4229157.59</v>
      </c>
      <c r="AJ43" s="24">
        <v>0</v>
      </c>
      <c r="AK43" s="24">
        <v>-2201095.4900000002</v>
      </c>
      <c r="AL43" s="24">
        <v>0</v>
      </c>
      <c r="AM43" s="31">
        <v>0</v>
      </c>
      <c r="AN43" s="24">
        <v>-4087748.77</v>
      </c>
      <c r="AO43" s="24">
        <v>0</v>
      </c>
      <c r="AP43" s="24">
        <v>-2199298.31</v>
      </c>
      <c r="AQ43" s="24">
        <v>0</v>
      </c>
      <c r="AR43" s="31">
        <v>-4084411.15</v>
      </c>
      <c r="AS43" s="24">
        <v>0</v>
      </c>
      <c r="AT43" s="24">
        <v>-2216389.37</v>
      </c>
      <c r="AU43" s="24">
        <v>0</v>
      </c>
      <c r="AV43" s="31">
        <v>-4116151.69</v>
      </c>
      <c r="AW43" s="24">
        <v>0</v>
      </c>
      <c r="AX43" s="19">
        <v>-9666544.8399999999</v>
      </c>
      <c r="AY43" s="19">
        <v>0</v>
      </c>
      <c r="AZ43" s="19">
        <v>0</v>
      </c>
      <c r="BA43" s="19">
        <v>-4142804.93</v>
      </c>
      <c r="BB43" s="37">
        <f t="shared" si="1"/>
        <v>-87185.968030000018</v>
      </c>
    </row>
    <row r="44" spans="1:54" s="4" customFormat="1" ht="15" hidden="1" outlineLevel="1">
      <c r="A44" s="3" t="s">
        <v>43</v>
      </c>
      <c r="B44" s="24"/>
      <c r="C44" s="24">
        <v>-257083.6</v>
      </c>
      <c r="D44" s="24">
        <v>-351781.81</v>
      </c>
      <c r="E44" s="31">
        <v>-170221.04</v>
      </c>
      <c r="F44" s="24">
        <v>-151052.19</v>
      </c>
      <c r="G44" s="24">
        <v>-163988.23000000001</v>
      </c>
      <c r="H44" s="24">
        <v>-147710.62</v>
      </c>
      <c r="I44" s="31">
        <v>-178159.73</v>
      </c>
      <c r="J44" s="24">
        <v>-178149.64</v>
      </c>
      <c r="K44" s="24">
        <v>-142892.43</v>
      </c>
      <c r="L44" s="24">
        <v>-184126.03</v>
      </c>
      <c r="M44" s="31">
        <v>-200682.83</v>
      </c>
      <c r="N44" s="24">
        <v>-150985.69</v>
      </c>
      <c r="O44" s="24">
        <v>-157171.59</v>
      </c>
      <c r="P44" s="24">
        <v>-151194.56</v>
      </c>
      <c r="Q44" s="31">
        <v>-179471.26</v>
      </c>
      <c r="R44" s="24">
        <v>-122626.96</v>
      </c>
      <c r="S44" s="24">
        <v>-345087.74</v>
      </c>
      <c r="T44" s="24">
        <v>-228427.73</v>
      </c>
      <c r="U44" s="24">
        <v>-261257.08</v>
      </c>
      <c r="V44" s="31">
        <v>-168142.95</v>
      </c>
      <c r="W44" s="24">
        <v>-155764.07999999999</v>
      </c>
      <c r="X44" s="24">
        <v>-248526.85</v>
      </c>
      <c r="Y44" s="24">
        <v>-152928.92000000001</v>
      </c>
      <c r="Z44" s="31">
        <v>0</v>
      </c>
      <c r="AA44" s="24">
        <v>0</v>
      </c>
      <c r="AB44" s="24">
        <v>0</v>
      </c>
      <c r="AC44" s="24">
        <v>0</v>
      </c>
      <c r="AD44" s="24">
        <v>0</v>
      </c>
      <c r="AE44" s="31">
        <v>0</v>
      </c>
      <c r="AF44" s="24">
        <v>0</v>
      </c>
      <c r="AG44" s="24">
        <v>0</v>
      </c>
      <c r="AH44" s="24">
        <v>0</v>
      </c>
      <c r="AI44" s="31">
        <v>0</v>
      </c>
      <c r="AJ44" s="24">
        <v>0</v>
      </c>
      <c r="AK44" s="24">
        <v>0</v>
      </c>
      <c r="AL44" s="24">
        <v>0</v>
      </c>
      <c r="AM44" s="31">
        <v>0</v>
      </c>
      <c r="AN44" s="24">
        <v>0</v>
      </c>
      <c r="AO44" s="24">
        <v>0</v>
      </c>
      <c r="AP44" s="24">
        <v>0</v>
      </c>
      <c r="AQ44" s="24">
        <v>0</v>
      </c>
      <c r="AR44" s="31">
        <v>0</v>
      </c>
      <c r="AS44" s="24">
        <v>0</v>
      </c>
      <c r="AT44" s="24">
        <v>0</v>
      </c>
      <c r="AU44" s="24">
        <v>0</v>
      </c>
      <c r="AV44" s="31">
        <v>0</v>
      </c>
      <c r="AW44" s="24">
        <v>0</v>
      </c>
      <c r="AX44" s="19">
        <v>0</v>
      </c>
      <c r="AY44" s="19">
        <v>0</v>
      </c>
      <c r="AZ44" s="19">
        <v>0</v>
      </c>
      <c r="BA44" s="19">
        <v>0</v>
      </c>
      <c r="BB44" s="37">
        <f t="shared" si="1"/>
        <v>-4447.4335600000004</v>
      </c>
    </row>
    <row r="45" spans="1:54" s="4" customFormat="1" ht="15" hidden="1" outlineLevel="1">
      <c r="A45" s="3" t="s">
        <v>44</v>
      </c>
      <c r="B45" s="24"/>
      <c r="C45" s="24">
        <v>0</v>
      </c>
      <c r="D45" s="24">
        <v>0</v>
      </c>
      <c r="E45" s="31">
        <v>0</v>
      </c>
      <c r="F45" s="24">
        <v>0</v>
      </c>
      <c r="G45" s="24">
        <v>0</v>
      </c>
      <c r="H45" s="24">
        <v>0</v>
      </c>
      <c r="I45" s="31">
        <v>0</v>
      </c>
      <c r="J45" s="24">
        <v>0</v>
      </c>
      <c r="K45" s="24">
        <v>0</v>
      </c>
      <c r="L45" s="24">
        <v>0</v>
      </c>
      <c r="M45" s="31">
        <v>0</v>
      </c>
      <c r="N45" s="24">
        <v>0</v>
      </c>
      <c r="O45" s="24">
        <v>-10959000</v>
      </c>
      <c r="P45" s="24">
        <v>-829387.41</v>
      </c>
      <c r="Q45" s="31">
        <v>-829387.41</v>
      </c>
      <c r="R45" s="24">
        <v>0</v>
      </c>
      <c r="S45" s="24">
        <v>0</v>
      </c>
      <c r="T45" s="24">
        <v>0</v>
      </c>
      <c r="U45" s="24">
        <v>0</v>
      </c>
      <c r="V45" s="31">
        <v>0</v>
      </c>
      <c r="W45" s="24">
        <v>0</v>
      </c>
      <c r="X45" s="24">
        <v>0</v>
      </c>
      <c r="Y45" s="24">
        <v>0</v>
      </c>
      <c r="Z45" s="31">
        <v>0</v>
      </c>
      <c r="AA45" s="24">
        <v>0</v>
      </c>
      <c r="AB45" s="24">
        <v>0</v>
      </c>
      <c r="AC45" s="24">
        <v>0</v>
      </c>
      <c r="AD45" s="24">
        <v>0</v>
      </c>
      <c r="AE45" s="31">
        <v>0</v>
      </c>
      <c r="AF45" s="24">
        <v>0</v>
      </c>
      <c r="AG45" s="24">
        <v>0</v>
      </c>
      <c r="AH45" s="24">
        <v>0</v>
      </c>
      <c r="AI45" s="31">
        <v>0</v>
      </c>
      <c r="AJ45" s="24">
        <v>0</v>
      </c>
      <c r="AK45" s="24">
        <v>0</v>
      </c>
      <c r="AL45" s="24">
        <v>0</v>
      </c>
      <c r="AM45" s="31">
        <v>0</v>
      </c>
      <c r="AN45" s="24">
        <v>0</v>
      </c>
      <c r="AO45" s="24">
        <v>0</v>
      </c>
      <c r="AP45" s="24">
        <v>0</v>
      </c>
      <c r="AQ45" s="24">
        <v>0</v>
      </c>
      <c r="AR45" s="31">
        <v>0</v>
      </c>
      <c r="AS45" s="24">
        <v>0</v>
      </c>
      <c r="AT45" s="24">
        <v>0</v>
      </c>
      <c r="AU45" s="24">
        <v>0</v>
      </c>
      <c r="AV45" s="31">
        <v>0</v>
      </c>
      <c r="AW45" s="24">
        <v>0</v>
      </c>
      <c r="AX45" s="19">
        <v>0</v>
      </c>
      <c r="AY45" s="19">
        <v>0</v>
      </c>
      <c r="AZ45" s="19">
        <v>0</v>
      </c>
      <c r="BA45" s="19">
        <v>0</v>
      </c>
      <c r="BB45" s="37">
        <f t="shared" si="1"/>
        <v>-12617.774820000001</v>
      </c>
    </row>
    <row r="46" spans="1:54" s="4" customFormat="1" ht="15" hidden="1" outlineLevel="1">
      <c r="A46" s="3" t="s">
        <v>45</v>
      </c>
      <c r="B46" s="24"/>
      <c r="C46" s="24">
        <v>-649211</v>
      </c>
      <c r="D46" s="24">
        <v>-24498.53</v>
      </c>
      <c r="E46" s="31">
        <v>-82276.7</v>
      </c>
      <c r="F46" s="24">
        <v>-446644.95</v>
      </c>
      <c r="G46" s="24">
        <v>-622952.17000000004</v>
      </c>
      <c r="H46" s="24">
        <v>-23507.63</v>
      </c>
      <c r="I46" s="31">
        <v>-12277.72</v>
      </c>
      <c r="J46" s="24">
        <v>-85944.07</v>
      </c>
      <c r="K46" s="24">
        <v>-466553.52</v>
      </c>
      <c r="L46" s="24">
        <v>-650719.38</v>
      </c>
      <c r="M46" s="31">
        <v>-12277.72</v>
      </c>
      <c r="N46" s="24">
        <v>-84706.64</v>
      </c>
      <c r="O46" s="24">
        <v>-459836.03</v>
      </c>
      <c r="P46" s="24">
        <v>-641350.26</v>
      </c>
      <c r="Q46" s="31">
        <v>-24201.9</v>
      </c>
      <c r="R46" s="24">
        <v>-87194.81</v>
      </c>
      <c r="S46" s="24">
        <v>-473343.28</v>
      </c>
      <c r="T46" s="24">
        <v>-660189.31000000006</v>
      </c>
      <c r="U46" s="24">
        <v>-24912.799999999999</v>
      </c>
      <c r="V46" s="31">
        <v>-11996.66</v>
      </c>
      <c r="W46" s="24">
        <v>-83976.61</v>
      </c>
      <c r="X46" s="24">
        <v>-455873.03</v>
      </c>
      <c r="Y46" s="24">
        <v>-635822.91</v>
      </c>
      <c r="Z46" s="31">
        <v>-11996.66</v>
      </c>
      <c r="AA46" s="24">
        <v>-86110.66</v>
      </c>
      <c r="AB46" s="24">
        <v>-467457.86</v>
      </c>
      <c r="AC46" s="24">
        <v>-651980.71</v>
      </c>
      <c r="AD46" s="24">
        <v>-24603.05</v>
      </c>
      <c r="AE46" s="31">
        <v>-85818.02</v>
      </c>
      <c r="AF46" s="24">
        <v>-465869.24</v>
      </c>
      <c r="AG46" s="24">
        <v>-649764.99</v>
      </c>
      <c r="AH46" s="24">
        <v>-24519.43</v>
      </c>
      <c r="AI46" s="31">
        <v>-12256.55</v>
      </c>
      <c r="AJ46" s="24">
        <v>-85795.82</v>
      </c>
      <c r="AK46" s="24">
        <v>-465748.72</v>
      </c>
      <c r="AL46" s="24">
        <v>-649596.9</v>
      </c>
      <c r="AM46" s="31">
        <v>-12256.55</v>
      </c>
      <c r="AN46" s="24">
        <v>-88679.19</v>
      </c>
      <c r="AO46" s="24">
        <v>-481401.33</v>
      </c>
      <c r="AP46" s="24">
        <v>-671428.17</v>
      </c>
      <c r="AQ46" s="24">
        <v>-25336.91</v>
      </c>
      <c r="AR46" s="31">
        <v>-85898.16</v>
      </c>
      <c r="AS46" s="24">
        <v>-466304.3</v>
      </c>
      <c r="AT46" s="24">
        <v>-650371.79</v>
      </c>
      <c r="AU46" s="24">
        <v>-24542.33</v>
      </c>
      <c r="AV46" s="31">
        <v>-11934.55</v>
      </c>
      <c r="AW46" s="24">
        <v>-83541.850000000006</v>
      </c>
      <c r="AX46" s="19">
        <v>-453512.91</v>
      </c>
      <c r="AY46" s="19">
        <v>-632531.17000000004</v>
      </c>
      <c r="AZ46" s="19">
        <v>-11934.55</v>
      </c>
      <c r="BA46" s="19">
        <v>0</v>
      </c>
      <c r="BB46" s="37">
        <f t="shared" si="1"/>
        <v>-14101.460000000006</v>
      </c>
    </row>
    <row r="47" spans="1:54" s="150" customFormat="1" ht="15" hidden="1" outlineLevel="1">
      <c r="A47" s="145" t="s">
        <v>297</v>
      </c>
      <c r="B47" s="146"/>
      <c r="C47" s="146">
        <v>-3318273.46</v>
      </c>
      <c r="D47" s="146">
        <v>0</v>
      </c>
      <c r="E47" s="146">
        <v>0</v>
      </c>
      <c r="F47" s="146">
        <v>0</v>
      </c>
      <c r="G47" s="147">
        <v>-2605666.87</v>
      </c>
      <c r="H47" s="146">
        <v>0</v>
      </c>
      <c r="I47" s="146">
        <v>0</v>
      </c>
      <c r="J47" s="146">
        <v>0</v>
      </c>
      <c r="K47" s="146">
        <v>-2474971.7400000002</v>
      </c>
      <c r="L47" s="146">
        <v>0</v>
      </c>
      <c r="M47" s="146">
        <v>0</v>
      </c>
      <c r="N47" s="146">
        <v>0</v>
      </c>
      <c r="O47" s="146">
        <v>-2478855.2999999998</v>
      </c>
      <c r="P47" s="146">
        <v>-3110213</v>
      </c>
      <c r="Q47" s="146">
        <v>-3658112.82</v>
      </c>
      <c r="R47" s="146">
        <v>0</v>
      </c>
      <c r="S47" s="146">
        <v>-136000</v>
      </c>
      <c r="T47" s="146">
        <v>-2483380.9700000002</v>
      </c>
      <c r="U47" s="146">
        <v>0</v>
      </c>
      <c r="V47" s="146">
        <v>0</v>
      </c>
      <c r="W47" s="146">
        <v>0</v>
      </c>
      <c r="X47" s="146">
        <v>-2487864.46</v>
      </c>
      <c r="Y47" s="146">
        <v>0</v>
      </c>
      <c r="Z47" s="146">
        <v>0</v>
      </c>
      <c r="AA47" s="146">
        <v>0</v>
      </c>
      <c r="AB47" s="146">
        <v>-2505426.42</v>
      </c>
      <c r="AC47" s="146">
        <v>0</v>
      </c>
      <c r="AD47" s="146">
        <v>0</v>
      </c>
      <c r="AE47" s="146">
        <v>0</v>
      </c>
      <c r="AF47" s="146">
        <v>0</v>
      </c>
      <c r="AG47" s="146">
        <v>-2493070.92</v>
      </c>
      <c r="AH47" s="146">
        <v>0</v>
      </c>
      <c r="AI47" s="146">
        <v>0</v>
      </c>
      <c r="AJ47" s="146">
        <v>0</v>
      </c>
      <c r="AK47" s="146">
        <v>-2815939.95</v>
      </c>
      <c r="AL47" s="146">
        <v>0</v>
      </c>
      <c r="AM47" s="146">
        <v>0</v>
      </c>
      <c r="AN47" s="146">
        <v>0</v>
      </c>
      <c r="AO47" s="146">
        <v>0</v>
      </c>
      <c r="AP47" s="146">
        <v>-2492184.5</v>
      </c>
      <c r="AQ47" s="146">
        <v>0</v>
      </c>
      <c r="AR47" s="146">
        <v>0</v>
      </c>
      <c r="AS47" s="146">
        <v>0</v>
      </c>
      <c r="AT47" s="146">
        <v>-2498449.6</v>
      </c>
      <c r="AU47" s="146">
        <v>0</v>
      </c>
      <c r="AV47" s="146">
        <v>0</v>
      </c>
      <c r="AW47" s="146">
        <v>0</v>
      </c>
      <c r="AX47" s="148">
        <v>-2514747.71</v>
      </c>
      <c r="AY47" s="148">
        <v>0</v>
      </c>
      <c r="AZ47" s="148">
        <v>0</v>
      </c>
      <c r="BA47" s="148">
        <v>0</v>
      </c>
      <c r="BB47" s="149">
        <f t="shared" si="1"/>
        <v>-38073.157719999996</v>
      </c>
    </row>
    <row r="48" spans="1:54" s="150" customFormat="1" ht="15" hidden="1" outlineLevel="1">
      <c r="A48" s="145" t="s">
        <v>47</v>
      </c>
      <c r="B48" s="146"/>
      <c r="C48" s="146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8">
        <v>0</v>
      </c>
      <c r="AY48" s="148">
        <v>0</v>
      </c>
      <c r="AZ48" s="148">
        <v>0</v>
      </c>
      <c r="BA48" s="148">
        <v>0</v>
      </c>
      <c r="BB48" s="149">
        <f t="shared" si="1"/>
        <v>0</v>
      </c>
    </row>
    <row r="49" spans="1:54" s="150" customFormat="1" ht="15" hidden="1" outlineLevel="1">
      <c r="A49" s="145" t="s">
        <v>298</v>
      </c>
      <c r="B49" s="146"/>
      <c r="C49" s="146">
        <v>-2392546</v>
      </c>
      <c r="D49" s="146">
        <v>-2392546</v>
      </c>
      <c r="E49" s="146">
        <v>0</v>
      </c>
      <c r="F49" s="146">
        <v>0</v>
      </c>
      <c r="G49" s="146">
        <v>0</v>
      </c>
      <c r="H49" s="146">
        <v>-1909800.77</v>
      </c>
      <c r="I49" s="146">
        <v>-2139000</v>
      </c>
      <c r="J49" s="146">
        <v>-2139000</v>
      </c>
      <c r="K49" s="146">
        <v>0</v>
      </c>
      <c r="L49" s="146">
        <v>-2474093.92</v>
      </c>
      <c r="M49" s="146">
        <v>0</v>
      </c>
      <c r="N49" s="146">
        <v>0</v>
      </c>
      <c r="O49" s="146">
        <v>0</v>
      </c>
      <c r="P49" s="146">
        <v>-3393434.21</v>
      </c>
      <c r="Q49" s="146">
        <v>-3312867.09</v>
      </c>
      <c r="R49" s="146">
        <v>0</v>
      </c>
      <c r="S49" s="146">
        <v>0</v>
      </c>
      <c r="T49" s="146">
        <v>-2175204.75</v>
      </c>
      <c r="U49" s="146">
        <v>-2175204.75</v>
      </c>
      <c r="V49" s="146">
        <v>0</v>
      </c>
      <c r="W49" s="146">
        <v>0</v>
      </c>
      <c r="X49" s="146">
        <v>0</v>
      </c>
      <c r="Y49" s="146">
        <v>-2244192</v>
      </c>
      <c r="Z49" s="146">
        <v>0</v>
      </c>
      <c r="AA49" s="146">
        <v>0</v>
      </c>
      <c r="AB49" s="146">
        <v>0</v>
      </c>
      <c r="AC49" s="146">
        <v>-2840421.23</v>
      </c>
      <c r="AD49" s="146">
        <v>0</v>
      </c>
      <c r="AE49" s="146">
        <v>0</v>
      </c>
      <c r="AF49" s="146">
        <v>0</v>
      </c>
      <c r="AG49" s="146">
        <v>0</v>
      </c>
      <c r="AH49" s="146">
        <v>-2635202.23</v>
      </c>
      <c r="AI49" s="146">
        <v>0</v>
      </c>
      <c r="AJ49" s="146">
        <v>0</v>
      </c>
      <c r="AK49" s="146">
        <v>0</v>
      </c>
      <c r="AL49" s="146">
        <v>-2686706.72</v>
      </c>
      <c r="AM49" s="146">
        <v>0</v>
      </c>
      <c r="AN49" s="146">
        <v>0</v>
      </c>
      <c r="AO49" s="146">
        <v>0</v>
      </c>
      <c r="AP49" s="146">
        <v>-2318451.08</v>
      </c>
      <c r="AQ49" s="146">
        <v>0</v>
      </c>
      <c r="AR49" s="146">
        <v>0</v>
      </c>
      <c r="AS49" s="146">
        <v>0</v>
      </c>
      <c r="AT49" s="146">
        <v>0</v>
      </c>
      <c r="AU49" s="146">
        <v>-2598867.6</v>
      </c>
      <c r="AV49" s="146">
        <v>0</v>
      </c>
      <c r="AW49" s="146">
        <v>0</v>
      </c>
      <c r="AX49" s="148">
        <v>0</v>
      </c>
      <c r="AY49" s="148">
        <v>-2728359.6</v>
      </c>
      <c r="AZ49" s="148">
        <v>0</v>
      </c>
      <c r="BA49" s="148">
        <v>0</v>
      </c>
      <c r="BB49" s="149">
        <f t="shared" si="1"/>
        <v>-42555.897950000006</v>
      </c>
    </row>
    <row r="50" spans="1:54" s="150" customFormat="1" ht="15" hidden="1" outlineLevel="1">
      <c r="A50" s="145" t="s">
        <v>49</v>
      </c>
      <c r="B50" s="146"/>
      <c r="C50" s="146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146">
        <v>0</v>
      </c>
      <c r="V50" s="146">
        <v>0</v>
      </c>
      <c r="W50" s="146">
        <v>0</v>
      </c>
      <c r="X50" s="146">
        <v>0</v>
      </c>
      <c r="Y50" s="146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8">
        <v>0</v>
      </c>
      <c r="AY50" s="148">
        <v>0</v>
      </c>
      <c r="AZ50" s="148">
        <v>0</v>
      </c>
      <c r="BA50" s="148">
        <v>0</v>
      </c>
      <c r="BB50" s="149">
        <f t="shared" si="1"/>
        <v>0</v>
      </c>
    </row>
    <row r="51" spans="1:54" s="4" customFormat="1" ht="15" hidden="1" outlineLevel="1">
      <c r="A51" s="3" t="s">
        <v>50</v>
      </c>
      <c r="B51" s="24"/>
      <c r="C51" s="24">
        <v>0</v>
      </c>
      <c r="D51" s="24">
        <v>0</v>
      </c>
      <c r="E51" s="31">
        <v>0</v>
      </c>
      <c r="F51" s="24">
        <v>0</v>
      </c>
      <c r="G51" s="24">
        <v>0</v>
      </c>
      <c r="H51" s="24">
        <v>0</v>
      </c>
      <c r="I51" s="31">
        <v>0</v>
      </c>
      <c r="J51" s="24">
        <v>0</v>
      </c>
      <c r="K51" s="24">
        <v>0</v>
      </c>
      <c r="L51" s="24">
        <v>0</v>
      </c>
      <c r="M51" s="31">
        <v>0</v>
      </c>
      <c r="N51" s="24">
        <v>0</v>
      </c>
      <c r="O51" s="24">
        <v>0</v>
      </c>
      <c r="P51" s="24">
        <v>0</v>
      </c>
      <c r="Q51" s="31">
        <v>0</v>
      </c>
      <c r="R51" s="24">
        <v>0</v>
      </c>
      <c r="S51" s="24">
        <v>0</v>
      </c>
      <c r="T51" s="24">
        <v>0</v>
      </c>
      <c r="U51" s="24">
        <v>0</v>
      </c>
      <c r="V51" s="31">
        <v>0</v>
      </c>
      <c r="W51" s="24">
        <v>0</v>
      </c>
      <c r="X51" s="24">
        <v>0</v>
      </c>
      <c r="Y51" s="24">
        <v>0</v>
      </c>
      <c r="Z51" s="31">
        <v>0</v>
      </c>
      <c r="AA51" s="24">
        <v>0</v>
      </c>
      <c r="AB51" s="24">
        <v>0</v>
      </c>
      <c r="AC51" s="24">
        <v>0</v>
      </c>
      <c r="AD51" s="24">
        <v>0</v>
      </c>
      <c r="AE51" s="31">
        <v>0</v>
      </c>
      <c r="AF51" s="24">
        <v>0</v>
      </c>
      <c r="AG51" s="24">
        <v>0</v>
      </c>
      <c r="AH51" s="24">
        <v>0</v>
      </c>
      <c r="AI51" s="31">
        <v>0</v>
      </c>
      <c r="AJ51" s="24">
        <v>0</v>
      </c>
      <c r="AK51" s="24">
        <v>0</v>
      </c>
      <c r="AL51" s="24">
        <v>0</v>
      </c>
      <c r="AM51" s="31">
        <v>0</v>
      </c>
      <c r="AN51" s="24">
        <v>0</v>
      </c>
      <c r="AO51" s="24">
        <v>0</v>
      </c>
      <c r="AP51" s="24">
        <v>0</v>
      </c>
      <c r="AQ51" s="24">
        <v>0</v>
      </c>
      <c r="AR51" s="31">
        <v>0</v>
      </c>
      <c r="AS51" s="24">
        <v>0</v>
      </c>
      <c r="AT51" s="24">
        <v>0</v>
      </c>
      <c r="AU51" s="24">
        <v>0</v>
      </c>
      <c r="AV51" s="31">
        <v>0</v>
      </c>
      <c r="AW51" s="24">
        <v>0</v>
      </c>
      <c r="AX51" s="19">
        <v>0</v>
      </c>
      <c r="AY51" s="19">
        <v>0</v>
      </c>
      <c r="AZ51" s="19">
        <v>0</v>
      </c>
      <c r="BA51" s="19">
        <v>0</v>
      </c>
      <c r="BB51" s="37">
        <f t="shared" si="1"/>
        <v>0</v>
      </c>
    </row>
    <row r="52" spans="1:54" s="4" customFormat="1" ht="15" hidden="1" outlineLevel="1">
      <c r="A52" s="3" t="s">
        <v>51</v>
      </c>
      <c r="B52" s="24"/>
      <c r="C52" s="24">
        <v>0</v>
      </c>
      <c r="D52" s="24">
        <v>0</v>
      </c>
      <c r="E52" s="31">
        <v>0</v>
      </c>
      <c r="F52" s="24">
        <v>0</v>
      </c>
      <c r="G52" s="24">
        <v>0</v>
      </c>
      <c r="H52" s="24">
        <v>0</v>
      </c>
      <c r="I52" s="31">
        <v>0</v>
      </c>
      <c r="J52" s="24">
        <v>0</v>
      </c>
      <c r="K52" s="24">
        <v>0</v>
      </c>
      <c r="L52" s="24">
        <v>0</v>
      </c>
      <c r="M52" s="31">
        <v>0</v>
      </c>
      <c r="N52" s="24">
        <v>0</v>
      </c>
      <c r="O52" s="24">
        <v>0</v>
      </c>
      <c r="P52" s="24">
        <v>0</v>
      </c>
      <c r="Q52" s="31">
        <v>0</v>
      </c>
      <c r="R52" s="24">
        <v>0</v>
      </c>
      <c r="S52" s="24">
        <v>0</v>
      </c>
      <c r="T52" s="24">
        <v>0</v>
      </c>
      <c r="U52" s="24">
        <v>0</v>
      </c>
      <c r="V52" s="31">
        <v>0</v>
      </c>
      <c r="W52" s="24">
        <v>0</v>
      </c>
      <c r="X52" s="24">
        <v>0</v>
      </c>
      <c r="Y52" s="24">
        <v>0</v>
      </c>
      <c r="Z52" s="31">
        <v>0</v>
      </c>
      <c r="AA52" s="24">
        <v>0</v>
      </c>
      <c r="AB52" s="24">
        <v>0</v>
      </c>
      <c r="AC52" s="24">
        <v>0</v>
      </c>
      <c r="AD52" s="24">
        <v>0</v>
      </c>
      <c r="AE52" s="31">
        <v>0</v>
      </c>
      <c r="AF52" s="24">
        <v>0</v>
      </c>
      <c r="AG52" s="24">
        <v>0</v>
      </c>
      <c r="AH52" s="24">
        <v>0</v>
      </c>
      <c r="AI52" s="31">
        <v>0</v>
      </c>
      <c r="AJ52" s="24">
        <v>0</v>
      </c>
      <c r="AK52" s="24">
        <v>0</v>
      </c>
      <c r="AL52" s="24">
        <v>0</v>
      </c>
      <c r="AM52" s="31">
        <v>0</v>
      </c>
      <c r="AN52" s="24">
        <v>0</v>
      </c>
      <c r="AO52" s="24">
        <v>0</v>
      </c>
      <c r="AP52" s="24">
        <v>0</v>
      </c>
      <c r="AQ52" s="24">
        <v>0</v>
      </c>
      <c r="AR52" s="31">
        <v>0</v>
      </c>
      <c r="AS52" s="24">
        <v>0</v>
      </c>
      <c r="AT52" s="24">
        <v>0</v>
      </c>
      <c r="AU52" s="24">
        <v>0</v>
      </c>
      <c r="AV52" s="31">
        <v>0</v>
      </c>
      <c r="AW52" s="24">
        <v>0</v>
      </c>
      <c r="AX52" s="19">
        <v>0</v>
      </c>
      <c r="AY52" s="19">
        <v>0</v>
      </c>
      <c r="AZ52" s="19">
        <v>0</v>
      </c>
      <c r="BA52" s="19">
        <v>0</v>
      </c>
      <c r="BB52" s="37">
        <f t="shared" si="1"/>
        <v>0</v>
      </c>
    </row>
    <row r="53" spans="1:54" s="4" customFormat="1" ht="15" hidden="1" outlineLevel="1">
      <c r="A53" s="3" t="s">
        <v>52</v>
      </c>
      <c r="B53" s="24"/>
      <c r="C53" s="24">
        <v>0</v>
      </c>
      <c r="D53" s="24">
        <v>0</v>
      </c>
      <c r="E53" s="31">
        <v>0</v>
      </c>
      <c r="F53" s="24">
        <v>0</v>
      </c>
      <c r="G53" s="24">
        <v>0</v>
      </c>
      <c r="H53" s="24">
        <v>0</v>
      </c>
      <c r="I53" s="31">
        <v>0</v>
      </c>
      <c r="J53" s="24">
        <v>0</v>
      </c>
      <c r="K53" s="24">
        <v>0</v>
      </c>
      <c r="L53" s="24">
        <v>0</v>
      </c>
      <c r="M53" s="31">
        <v>0</v>
      </c>
      <c r="N53" s="24">
        <v>0</v>
      </c>
      <c r="O53" s="24">
        <v>0</v>
      </c>
      <c r="P53" s="24">
        <v>0</v>
      </c>
      <c r="Q53" s="31">
        <v>0</v>
      </c>
      <c r="R53" s="24">
        <v>0</v>
      </c>
      <c r="S53" s="24">
        <v>0</v>
      </c>
      <c r="T53" s="24">
        <v>-3600000</v>
      </c>
      <c r="U53" s="24">
        <v>0</v>
      </c>
      <c r="V53" s="31">
        <v>0</v>
      </c>
      <c r="W53" s="24">
        <v>0</v>
      </c>
      <c r="X53" s="24">
        <v>0</v>
      </c>
      <c r="Y53" s="24">
        <v>0</v>
      </c>
      <c r="Z53" s="31">
        <v>0</v>
      </c>
      <c r="AA53" s="24">
        <v>0</v>
      </c>
      <c r="AB53" s="24">
        <v>0</v>
      </c>
      <c r="AC53" s="24">
        <v>0</v>
      </c>
      <c r="AD53" s="24">
        <v>0</v>
      </c>
      <c r="AE53" s="31">
        <v>0</v>
      </c>
      <c r="AF53" s="24">
        <v>0</v>
      </c>
      <c r="AG53" s="24">
        <v>0</v>
      </c>
      <c r="AH53" s="24">
        <v>0</v>
      </c>
      <c r="AI53" s="31">
        <v>0</v>
      </c>
      <c r="AJ53" s="24">
        <v>0</v>
      </c>
      <c r="AK53" s="24">
        <v>0</v>
      </c>
      <c r="AL53" s="24">
        <v>0</v>
      </c>
      <c r="AM53" s="31">
        <v>0</v>
      </c>
      <c r="AN53" s="24">
        <v>0</v>
      </c>
      <c r="AO53" s="24">
        <v>0</v>
      </c>
      <c r="AP53" s="24">
        <v>0</v>
      </c>
      <c r="AQ53" s="24">
        <v>0</v>
      </c>
      <c r="AR53" s="31">
        <v>0</v>
      </c>
      <c r="AS53" s="24">
        <v>0</v>
      </c>
      <c r="AT53" s="24">
        <v>0</v>
      </c>
      <c r="AU53" s="24">
        <v>0</v>
      </c>
      <c r="AV53" s="31">
        <v>0</v>
      </c>
      <c r="AW53" s="24">
        <v>0</v>
      </c>
      <c r="AX53" s="19">
        <v>0</v>
      </c>
      <c r="AY53" s="19">
        <v>0</v>
      </c>
      <c r="AZ53" s="19">
        <v>0</v>
      </c>
      <c r="BA53" s="19">
        <v>0</v>
      </c>
      <c r="BB53" s="37">
        <f t="shared" si="1"/>
        <v>-3600</v>
      </c>
    </row>
    <row r="54" spans="1:54" s="4" customFormat="1" ht="15" hidden="1" outlineLevel="1">
      <c r="A54" s="3" t="s">
        <v>53</v>
      </c>
      <c r="B54" s="24"/>
      <c r="C54" s="24">
        <v>0</v>
      </c>
      <c r="D54" s="24">
        <v>0</v>
      </c>
      <c r="E54" s="31">
        <v>0</v>
      </c>
      <c r="F54" s="24">
        <v>0</v>
      </c>
      <c r="G54" s="24">
        <v>0</v>
      </c>
      <c r="H54" s="24">
        <v>0</v>
      </c>
      <c r="I54" s="31">
        <v>0</v>
      </c>
      <c r="J54" s="24">
        <v>0</v>
      </c>
      <c r="K54" s="24">
        <v>0</v>
      </c>
      <c r="L54" s="24">
        <v>0</v>
      </c>
      <c r="M54" s="31">
        <v>0</v>
      </c>
      <c r="N54" s="24">
        <v>0</v>
      </c>
      <c r="O54" s="24">
        <v>0</v>
      </c>
      <c r="P54" s="24">
        <v>0</v>
      </c>
      <c r="Q54" s="31">
        <v>0</v>
      </c>
      <c r="R54" s="24">
        <v>0</v>
      </c>
      <c r="S54" s="24">
        <v>0</v>
      </c>
      <c r="T54" s="24">
        <v>0</v>
      </c>
      <c r="U54" s="24">
        <v>0</v>
      </c>
      <c r="V54" s="31">
        <v>0</v>
      </c>
      <c r="W54" s="24">
        <v>0</v>
      </c>
      <c r="X54" s="24">
        <v>0</v>
      </c>
      <c r="Y54" s="24">
        <v>0</v>
      </c>
      <c r="Z54" s="31">
        <v>0</v>
      </c>
      <c r="AA54" s="24">
        <v>0</v>
      </c>
      <c r="AB54" s="24">
        <v>0</v>
      </c>
      <c r="AC54" s="24">
        <v>0</v>
      </c>
      <c r="AD54" s="24">
        <v>0</v>
      </c>
      <c r="AE54" s="31">
        <v>0</v>
      </c>
      <c r="AF54" s="24">
        <v>0</v>
      </c>
      <c r="AG54" s="24">
        <v>0</v>
      </c>
      <c r="AH54" s="24">
        <v>0</v>
      </c>
      <c r="AI54" s="31">
        <v>0</v>
      </c>
      <c r="AJ54" s="24">
        <v>0</v>
      </c>
      <c r="AK54" s="24">
        <v>0</v>
      </c>
      <c r="AL54" s="24">
        <v>0</v>
      </c>
      <c r="AM54" s="31">
        <v>0</v>
      </c>
      <c r="AN54" s="24">
        <v>0</v>
      </c>
      <c r="AO54" s="24">
        <v>0</v>
      </c>
      <c r="AP54" s="24">
        <v>0</v>
      </c>
      <c r="AQ54" s="24">
        <v>0</v>
      </c>
      <c r="AR54" s="31">
        <v>0</v>
      </c>
      <c r="AS54" s="24">
        <v>0</v>
      </c>
      <c r="AT54" s="24">
        <v>0</v>
      </c>
      <c r="AU54" s="24">
        <v>0</v>
      </c>
      <c r="AV54" s="31">
        <v>0</v>
      </c>
      <c r="AW54" s="24">
        <v>0</v>
      </c>
      <c r="AX54" s="19">
        <v>0</v>
      </c>
      <c r="AY54" s="19">
        <v>0</v>
      </c>
      <c r="AZ54" s="19">
        <v>0</v>
      </c>
      <c r="BA54" s="19">
        <v>0</v>
      </c>
      <c r="BB54" s="37">
        <f t="shared" si="1"/>
        <v>0</v>
      </c>
    </row>
    <row r="55" spans="1:54" s="4" customFormat="1" ht="15" hidden="1" outlineLevel="1">
      <c r="A55" s="3" t="s">
        <v>54</v>
      </c>
      <c r="B55" s="24"/>
      <c r="C55" s="24">
        <v>0</v>
      </c>
      <c r="D55" s="24">
        <v>0</v>
      </c>
      <c r="E55" s="31">
        <v>0</v>
      </c>
      <c r="F55" s="24">
        <v>0</v>
      </c>
      <c r="G55" s="24">
        <v>0</v>
      </c>
      <c r="H55" s="24">
        <v>0</v>
      </c>
      <c r="I55" s="31">
        <v>0</v>
      </c>
      <c r="J55" s="24">
        <v>0</v>
      </c>
      <c r="K55" s="24">
        <v>0</v>
      </c>
      <c r="L55" s="24">
        <v>0</v>
      </c>
      <c r="M55" s="31">
        <v>0</v>
      </c>
      <c r="N55" s="24">
        <v>0</v>
      </c>
      <c r="O55" s="24">
        <v>0</v>
      </c>
      <c r="P55" s="24">
        <v>0</v>
      </c>
      <c r="Q55" s="31">
        <v>0</v>
      </c>
      <c r="R55" s="24">
        <v>0</v>
      </c>
      <c r="S55" s="24">
        <v>0</v>
      </c>
      <c r="T55" s="24">
        <v>0</v>
      </c>
      <c r="U55" s="24">
        <v>0</v>
      </c>
      <c r="V55" s="31">
        <v>0</v>
      </c>
      <c r="W55" s="24">
        <v>0</v>
      </c>
      <c r="X55" s="24">
        <v>0</v>
      </c>
      <c r="Y55" s="24">
        <v>0</v>
      </c>
      <c r="Z55" s="31">
        <v>0</v>
      </c>
      <c r="AA55" s="24">
        <v>0</v>
      </c>
      <c r="AB55" s="24">
        <v>0</v>
      </c>
      <c r="AC55" s="24">
        <v>0</v>
      </c>
      <c r="AD55" s="24">
        <v>0</v>
      </c>
      <c r="AE55" s="31">
        <v>0</v>
      </c>
      <c r="AF55" s="24">
        <v>0</v>
      </c>
      <c r="AG55" s="24">
        <v>0</v>
      </c>
      <c r="AH55" s="24">
        <v>0</v>
      </c>
      <c r="AI55" s="31">
        <v>0</v>
      </c>
      <c r="AJ55" s="24">
        <v>0</v>
      </c>
      <c r="AK55" s="24">
        <v>0</v>
      </c>
      <c r="AL55" s="24">
        <v>0</v>
      </c>
      <c r="AM55" s="31">
        <v>0</v>
      </c>
      <c r="AN55" s="24">
        <v>0</v>
      </c>
      <c r="AO55" s="24">
        <v>0</v>
      </c>
      <c r="AP55" s="24">
        <v>0</v>
      </c>
      <c r="AQ55" s="24">
        <v>0</v>
      </c>
      <c r="AR55" s="31">
        <v>0</v>
      </c>
      <c r="AS55" s="24">
        <v>0</v>
      </c>
      <c r="AT55" s="24">
        <v>0</v>
      </c>
      <c r="AU55" s="24">
        <v>0</v>
      </c>
      <c r="AV55" s="31">
        <v>0</v>
      </c>
      <c r="AW55" s="24">
        <v>0</v>
      </c>
      <c r="AX55" s="19">
        <v>0</v>
      </c>
      <c r="AY55" s="19">
        <v>0</v>
      </c>
      <c r="AZ55" s="19">
        <v>0</v>
      </c>
      <c r="BA55" s="19">
        <v>0</v>
      </c>
      <c r="BB55" s="37">
        <f t="shared" si="1"/>
        <v>0</v>
      </c>
    </row>
    <row r="56" spans="1:54" s="4" customFormat="1" ht="15" hidden="1" outlineLevel="1">
      <c r="A56" s="3" t="s">
        <v>55</v>
      </c>
      <c r="B56" s="24"/>
      <c r="C56" s="24">
        <v>0</v>
      </c>
      <c r="D56" s="24">
        <v>0</v>
      </c>
      <c r="E56" s="31">
        <v>0</v>
      </c>
      <c r="F56" s="24">
        <v>0</v>
      </c>
      <c r="G56" s="24">
        <v>0</v>
      </c>
      <c r="H56" s="24">
        <v>0</v>
      </c>
      <c r="I56" s="31">
        <v>0</v>
      </c>
      <c r="J56" s="24">
        <v>0</v>
      </c>
      <c r="K56" s="24">
        <v>0</v>
      </c>
      <c r="L56" s="24">
        <v>0</v>
      </c>
      <c r="M56" s="31">
        <v>0</v>
      </c>
      <c r="N56" s="24">
        <v>0</v>
      </c>
      <c r="O56" s="24">
        <v>0</v>
      </c>
      <c r="P56" s="24">
        <v>0</v>
      </c>
      <c r="Q56" s="31">
        <v>0</v>
      </c>
      <c r="R56" s="24">
        <v>0</v>
      </c>
      <c r="S56" s="24">
        <v>0</v>
      </c>
      <c r="T56" s="24">
        <v>0</v>
      </c>
      <c r="U56" s="24">
        <v>0</v>
      </c>
      <c r="V56" s="31">
        <v>0</v>
      </c>
      <c r="W56" s="24">
        <v>0</v>
      </c>
      <c r="X56" s="24">
        <v>0</v>
      </c>
      <c r="Y56" s="24">
        <v>0</v>
      </c>
      <c r="Z56" s="31">
        <v>0</v>
      </c>
      <c r="AA56" s="24">
        <v>0</v>
      </c>
      <c r="AB56" s="24">
        <v>0</v>
      </c>
      <c r="AC56" s="24">
        <v>0</v>
      </c>
      <c r="AD56" s="24">
        <v>0</v>
      </c>
      <c r="AE56" s="31">
        <v>0</v>
      </c>
      <c r="AF56" s="24">
        <v>0</v>
      </c>
      <c r="AG56" s="24">
        <v>0</v>
      </c>
      <c r="AH56" s="24">
        <v>0</v>
      </c>
      <c r="AI56" s="31">
        <v>0</v>
      </c>
      <c r="AJ56" s="24">
        <v>0</v>
      </c>
      <c r="AK56" s="24">
        <v>0</v>
      </c>
      <c r="AL56" s="24">
        <v>0</v>
      </c>
      <c r="AM56" s="31">
        <v>0</v>
      </c>
      <c r="AN56" s="24">
        <v>0</v>
      </c>
      <c r="AO56" s="24">
        <v>0</v>
      </c>
      <c r="AP56" s="24">
        <v>0</v>
      </c>
      <c r="AQ56" s="24">
        <v>0</v>
      </c>
      <c r="AR56" s="31">
        <v>0</v>
      </c>
      <c r="AS56" s="24">
        <v>0</v>
      </c>
      <c r="AT56" s="24">
        <v>0</v>
      </c>
      <c r="AU56" s="24">
        <v>0</v>
      </c>
      <c r="AV56" s="31">
        <v>0</v>
      </c>
      <c r="AW56" s="24">
        <v>0</v>
      </c>
      <c r="AX56" s="19">
        <v>0</v>
      </c>
      <c r="AY56" s="19">
        <v>0</v>
      </c>
      <c r="AZ56" s="19">
        <v>0</v>
      </c>
      <c r="BA56" s="19">
        <v>0</v>
      </c>
      <c r="BB56" s="37">
        <f t="shared" si="1"/>
        <v>0</v>
      </c>
    </row>
    <row r="57" spans="1:54" s="4" customFormat="1" ht="15" hidden="1" outlineLevel="1">
      <c r="A57" s="3" t="s">
        <v>56</v>
      </c>
      <c r="B57" s="24"/>
      <c r="C57" s="24">
        <v>0</v>
      </c>
      <c r="D57" s="24">
        <v>0</v>
      </c>
      <c r="E57" s="31">
        <v>0</v>
      </c>
      <c r="F57" s="24">
        <v>0</v>
      </c>
      <c r="G57" s="24">
        <v>0</v>
      </c>
      <c r="H57" s="24">
        <v>0</v>
      </c>
      <c r="I57" s="31">
        <v>0</v>
      </c>
      <c r="J57" s="24">
        <v>0</v>
      </c>
      <c r="K57" s="24">
        <v>0</v>
      </c>
      <c r="L57" s="24">
        <v>0</v>
      </c>
      <c r="M57" s="31">
        <v>0</v>
      </c>
      <c r="N57" s="24">
        <v>0</v>
      </c>
      <c r="O57" s="24">
        <v>0</v>
      </c>
      <c r="P57" s="24">
        <v>0</v>
      </c>
      <c r="Q57" s="31">
        <v>0</v>
      </c>
      <c r="R57" s="24">
        <v>0</v>
      </c>
      <c r="S57" s="24">
        <v>0</v>
      </c>
      <c r="T57" s="24">
        <v>0</v>
      </c>
      <c r="U57" s="24">
        <v>0</v>
      </c>
      <c r="V57" s="31">
        <v>0</v>
      </c>
      <c r="W57" s="24">
        <v>0</v>
      </c>
      <c r="X57" s="24">
        <v>0</v>
      </c>
      <c r="Y57" s="24">
        <v>0</v>
      </c>
      <c r="Z57" s="31">
        <v>0</v>
      </c>
      <c r="AA57" s="24">
        <v>0</v>
      </c>
      <c r="AB57" s="24">
        <v>0</v>
      </c>
      <c r="AC57" s="24">
        <v>0</v>
      </c>
      <c r="AD57" s="24">
        <v>0</v>
      </c>
      <c r="AE57" s="31">
        <v>0</v>
      </c>
      <c r="AF57" s="24">
        <v>0</v>
      </c>
      <c r="AG57" s="24">
        <v>0</v>
      </c>
      <c r="AH57" s="24">
        <v>0</v>
      </c>
      <c r="AI57" s="31">
        <v>0</v>
      </c>
      <c r="AJ57" s="24">
        <v>0</v>
      </c>
      <c r="AK57" s="24">
        <v>0</v>
      </c>
      <c r="AL57" s="24">
        <v>0</v>
      </c>
      <c r="AM57" s="31">
        <v>0</v>
      </c>
      <c r="AN57" s="24">
        <v>0</v>
      </c>
      <c r="AO57" s="24">
        <v>0</v>
      </c>
      <c r="AP57" s="24">
        <v>0</v>
      </c>
      <c r="AQ57" s="24">
        <v>0</v>
      </c>
      <c r="AR57" s="31">
        <v>0</v>
      </c>
      <c r="AS57" s="24">
        <v>0</v>
      </c>
      <c r="AT57" s="24">
        <v>0</v>
      </c>
      <c r="AU57" s="24">
        <v>0</v>
      </c>
      <c r="AV57" s="31">
        <v>0</v>
      </c>
      <c r="AW57" s="24">
        <v>0</v>
      </c>
      <c r="AX57" s="19">
        <v>0</v>
      </c>
      <c r="AY57" s="19">
        <v>0</v>
      </c>
      <c r="AZ57" s="19">
        <v>0</v>
      </c>
      <c r="BA57" s="19">
        <v>0</v>
      </c>
      <c r="BB57" s="37">
        <f t="shared" si="1"/>
        <v>0</v>
      </c>
    </row>
    <row r="58" spans="1:54" s="4" customFormat="1" ht="15" hidden="1" outlineLevel="1">
      <c r="A58" s="3" t="s">
        <v>57</v>
      </c>
      <c r="B58" s="24"/>
      <c r="C58" s="24">
        <v>0</v>
      </c>
      <c r="D58" s="24">
        <v>0</v>
      </c>
      <c r="E58" s="31">
        <v>0</v>
      </c>
      <c r="F58" s="24">
        <v>0</v>
      </c>
      <c r="G58" s="24">
        <v>0</v>
      </c>
      <c r="H58" s="24">
        <v>0</v>
      </c>
      <c r="I58" s="31">
        <v>0</v>
      </c>
      <c r="J58" s="24">
        <v>0</v>
      </c>
      <c r="K58" s="24">
        <v>0</v>
      </c>
      <c r="L58" s="24">
        <v>0</v>
      </c>
      <c r="M58" s="31">
        <v>0</v>
      </c>
      <c r="N58" s="24">
        <v>0</v>
      </c>
      <c r="O58" s="24">
        <v>0</v>
      </c>
      <c r="P58" s="24">
        <v>0</v>
      </c>
      <c r="Q58" s="31">
        <v>0</v>
      </c>
      <c r="R58" s="24">
        <v>0</v>
      </c>
      <c r="S58" s="24">
        <v>0</v>
      </c>
      <c r="T58" s="24">
        <v>0</v>
      </c>
      <c r="U58" s="24">
        <v>0</v>
      </c>
      <c r="V58" s="31">
        <v>0</v>
      </c>
      <c r="W58" s="24">
        <v>0</v>
      </c>
      <c r="X58" s="24">
        <v>0</v>
      </c>
      <c r="Y58" s="24">
        <v>0</v>
      </c>
      <c r="Z58" s="31">
        <v>0</v>
      </c>
      <c r="AA58" s="24">
        <v>0</v>
      </c>
      <c r="AB58" s="24">
        <v>0</v>
      </c>
      <c r="AC58" s="24">
        <v>0</v>
      </c>
      <c r="AD58" s="24">
        <v>0</v>
      </c>
      <c r="AE58" s="31">
        <v>0</v>
      </c>
      <c r="AF58" s="24">
        <v>0</v>
      </c>
      <c r="AG58" s="24">
        <v>0</v>
      </c>
      <c r="AH58" s="24">
        <v>0</v>
      </c>
      <c r="AI58" s="31">
        <v>0</v>
      </c>
      <c r="AJ58" s="24">
        <v>0</v>
      </c>
      <c r="AK58" s="24">
        <v>0</v>
      </c>
      <c r="AL58" s="24">
        <v>0</v>
      </c>
      <c r="AM58" s="31">
        <v>0</v>
      </c>
      <c r="AN58" s="24">
        <v>0</v>
      </c>
      <c r="AO58" s="24">
        <v>0</v>
      </c>
      <c r="AP58" s="24">
        <v>0</v>
      </c>
      <c r="AQ58" s="24">
        <v>0</v>
      </c>
      <c r="AR58" s="31">
        <v>0</v>
      </c>
      <c r="AS58" s="24">
        <v>0</v>
      </c>
      <c r="AT58" s="24">
        <v>0</v>
      </c>
      <c r="AU58" s="24">
        <v>0</v>
      </c>
      <c r="AV58" s="31">
        <v>0</v>
      </c>
      <c r="AW58" s="24">
        <v>0</v>
      </c>
      <c r="AX58" s="19">
        <v>0</v>
      </c>
      <c r="AY58" s="19">
        <v>0</v>
      </c>
      <c r="AZ58" s="19">
        <v>0</v>
      </c>
      <c r="BA58" s="19">
        <v>0</v>
      </c>
      <c r="BB58" s="37">
        <f t="shared" si="1"/>
        <v>0</v>
      </c>
    </row>
    <row r="59" spans="1:54" s="4" customFormat="1" ht="15" hidden="1" outlineLevel="1">
      <c r="A59" s="3" t="s">
        <v>58</v>
      </c>
      <c r="B59" s="24"/>
      <c r="C59" s="24">
        <v>-668322.94999999995</v>
      </c>
      <c r="D59" s="24">
        <v>-586742.19999999995</v>
      </c>
      <c r="E59" s="31">
        <v>-397178.1</v>
      </c>
      <c r="F59" s="24">
        <v>-557752.05000000005</v>
      </c>
      <c r="G59" s="24">
        <v>-531184.75</v>
      </c>
      <c r="H59" s="24">
        <v>-494114.58</v>
      </c>
      <c r="I59" s="31">
        <v>-174082.93</v>
      </c>
      <c r="J59" s="24">
        <v>-124764.34</v>
      </c>
      <c r="K59" s="24">
        <v>-381552.19</v>
      </c>
      <c r="L59" s="24">
        <v>-301853.36</v>
      </c>
      <c r="M59" s="31">
        <v>-113119.61</v>
      </c>
      <c r="N59" s="24">
        <v>-346308.45</v>
      </c>
      <c r="O59" s="24">
        <v>-187516.87</v>
      </c>
      <c r="P59" s="24">
        <v>-454921.53</v>
      </c>
      <c r="Q59" s="31">
        <v>-245780.53</v>
      </c>
      <c r="R59" s="24">
        <v>-388787.32</v>
      </c>
      <c r="S59" s="24">
        <v>-157093.24</v>
      </c>
      <c r="T59" s="24">
        <v>-127947.7</v>
      </c>
      <c r="U59" s="24">
        <v>-203815.74</v>
      </c>
      <c r="V59" s="31">
        <v>-352558.8</v>
      </c>
      <c r="W59" s="24">
        <v>-217719.34</v>
      </c>
      <c r="X59" s="24">
        <v>-243049.37</v>
      </c>
      <c r="Y59" s="24">
        <v>-310389.64</v>
      </c>
      <c r="Z59" s="31">
        <v>-60868.39</v>
      </c>
      <c r="AA59" s="24">
        <v>-63681.3</v>
      </c>
      <c r="AB59" s="24">
        <v>-63681.3</v>
      </c>
      <c r="AC59" s="24">
        <v>-63681.3</v>
      </c>
      <c r="AD59" s="24">
        <v>-63681.3</v>
      </c>
      <c r="AE59" s="31">
        <v>-50449.74</v>
      </c>
      <c r="AF59" s="24">
        <v>-50449.74</v>
      </c>
      <c r="AG59" s="24">
        <v>-50449.74</v>
      </c>
      <c r="AH59" s="24">
        <v>-50449.74</v>
      </c>
      <c r="AI59" s="31">
        <v>-24657.78</v>
      </c>
      <c r="AJ59" s="24">
        <v>-24657.78</v>
      </c>
      <c r="AK59" s="24">
        <v>-24657.78</v>
      </c>
      <c r="AL59" s="24">
        <v>-24657.78</v>
      </c>
      <c r="AM59" s="31">
        <v>-24657.78</v>
      </c>
      <c r="AN59" s="24">
        <v>-31461.51</v>
      </c>
      <c r="AO59" s="24">
        <v>-31461.51</v>
      </c>
      <c r="AP59" s="24">
        <v>-31461.51</v>
      </c>
      <c r="AQ59" s="24">
        <v>-31461.51</v>
      </c>
      <c r="AR59" s="31">
        <v>-23226.74</v>
      </c>
      <c r="AS59" s="24">
        <v>-23226.74</v>
      </c>
      <c r="AT59" s="24">
        <v>-23226.74</v>
      </c>
      <c r="AU59" s="24">
        <v>-23226.74</v>
      </c>
      <c r="AV59" s="31">
        <v>-9204.4500000000007</v>
      </c>
      <c r="AW59" s="24">
        <v>-9204.4500000000007</v>
      </c>
      <c r="AX59" s="19">
        <v>-9204.4500000000007</v>
      </c>
      <c r="AY59" s="19">
        <v>-9204.4500000000007</v>
      </c>
      <c r="AZ59" s="19">
        <v>-9204.4500000000007</v>
      </c>
      <c r="BA59" s="19">
        <v>-9204.4500000000007</v>
      </c>
      <c r="BB59" s="37">
        <f t="shared" si="1"/>
        <v>-8481.216739999998</v>
      </c>
    </row>
    <row r="60" spans="1:54" s="6" customFormat="1" hidden="1" outlineLevel="1">
      <c r="A60" s="3" t="s">
        <v>59</v>
      </c>
      <c r="B60" s="19"/>
      <c r="C60" s="19">
        <v>0</v>
      </c>
      <c r="D60" s="19">
        <v>0</v>
      </c>
      <c r="E60" s="34">
        <v>0</v>
      </c>
      <c r="F60" s="19">
        <v>0</v>
      </c>
      <c r="G60" s="19">
        <v>0</v>
      </c>
      <c r="H60" s="19">
        <v>0</v>
      </c>
      <c r="I60" s="34">
        <v>0</v>
      </c>
      <c r="J60" s="19">
        <v>0</v>
      </c>
      <c r="K60" s="19">
        <v>-161475.59</v>
      </c>
      <c r="L60" s="19">
        <v>0</v>
      </c>
      <c r="M60" s="34">
        <v>0</v>
      </c>
      <c r="N60" s="19">
        <v>0</v>
      </c>
      <c r="O60" s="19">
        <v>0</v>
      </c>
      <c r="P60" s="19">
        <v>0</v>
      </c>
      <c r="Q60" s="34">
        <v>0</v>
      </c>
      <c r="R60" s="19">
        <v>0</v>
      </c>
      <c r="S60" s="19">
        <v>0</v>
      </c>
      <c r="T60" s="19">
        <v>-43637.17</v>
      </c>
      <c r="U60" s="19">
        <v>0</v>
      </c>
      <c r="V60" s="34">
        <v>0</v>
      </c>
      <c r="W60" s="19">
        <v>0</v>
      </c>
      <c r="X60" s="19">
        <v>-152929.17000000001</v>
      </c>
      <c r="Y60" s="19">
        <v>0</v>
      </c>
      <c r="Z60" s="34">
        <v>0</v>
      </c>
      <c r="AA60" s="19">
        <v>0</v>
      </c>
      <c r="AB60" s="19">
        <v>0</v>
      </c>
      <c r="AC60" s="19">
        <v>0</v>
      </c>
      <c r="AD60" s="19">
        <v>0</v>
      </c>
      <c r="AE60" s="34">
        <v>0</v>
      </c>
      <c r="AF60" s="19">
        <v>0</v>
      </c>
      <c r="AG60" s="19">
        <v>-40044.32</v>
      </c>
      <c r="AH60" s="19">
        <v>0</v>
      </c>
      <c r="AI60" s="34">
        <v>0</v>
      </c>
      <c r="AJ60" s="19">
        <v>0</v>
      </c>
      <c r="AK60" s="19">
        <v>0</v>
      </c>
      <c r="AL60" s="19">
        <v>-129116.46</v>
      </c>
      <c r="AM60" s="34">
        <v>0</v>
      </c>
      <c r="AN60" s="19">
        <v>0</v>
      </c>
      <c r="AO60" s="19">
        <v>0</v>
      </c>
      <c r="AP60" s="19">
        <v>0</v>
      </c>
      <c r="AQ60" s="19">
        <v>0</v>
      </c>
      <c r="AR60" s="34">
        <v>0</v>
      </c>
      <c r="AS60" s="19">
        <v>0</v>
      </c>
      <c r="AT60" s="19">
        <v>-34233.129999999997</v>
      </c>
      <c r="AU60" s="19">
        <v>0</v>
      </c>
      <c r="AV60" s="34">
        <v>0</v>
      </c>
      <c r="AW60" s="19">
        <v>0</v>
      </c>
      <c r="AX60" s="19">
        <v>0</v>
      </c>
      <c r="AY60" s="19">
        <v>-110184.47</v>
      </c>
      <c r="AZ60" s="19">
        <v>0</v>
      </c>
      <c r="BA60" s="19">
        <v>0</v>
      </c>
      <c r="BB60" s="37">
        <f t="shared" si="1"/>
        <v>-671.62031000000002</v>
      </c>
    </row>
    <row r="61" spans="1:54" s="6" customFormat="1" hidden="1" outlineLevel="1">
      <c r="A61" s="3" t="s">
        <v>60</v>
      </c>
      <c r="B61" s="19"/>
      <c r="C61" s="19">
        <v>-116975.99</v>
      </c>
      <c r="D61" s="19">
        <v>-616000</v>
      </c>
      <c r="E61" s="34">
        <v>0</v>
      </c>
      <c r="F61" s="19">
        <v>0</v>
      </c>
      <c r="G61" s="19">
        <v>0</v>
      </c>
      <c r="H61" s="19">
        <v>0</v>
      </c>
      <c r="I61" s="34">
        <v>0</v>
      </c>
      <c r="J61" s="19">
        <v>0</v>
      </c>
      <c r="K61" s="19">
        <v>0</v>
      </c>
      <c r="L61" s="19">
        <v>-79772.73</v>
      </c>
      <c r="M61" s="34">
        <v>0</v>
      </c>
      <c r="N61" s="19">
        <v>-310767.25</v>
      </c>
      <c r="O61" s="19">
        <v>-263814.96999999997</v>
      </c>
      <c r="P61" s="19">
        <v>0</v>
      </c>
      <c r="Q61" s="34">
        <v>0</v>
      </c>
      <c r="R61" s="19">
        <v>-217500</v>
      </c>
      <c r="S61" s="19">
        <v>-470546.22</v>
      </c>
      <c r="T61" s="19">
        <v>0</v>
      </c>
      <c r="U61" s="19">
        <v>-161708.19</v>
      </c>
      <c r="V61" s="34">
        <v>0</v>
      </c>
      <c r="W61" s="19">
        <v>-1177662.5</v>
      </c>
      <c r="X61" s="19">
        <v>-260000</v>
      </c>
      <c r="Y61" s="19">
        <v>-75340.91</v>
      </c>
      <c r="Z61" s="34">
        <v>0</v>
      </c>
      <c r="AA61" s="19">
        <v>-44877.17</v>
      </c>
      <c r="AB61" s="19">
        <v>-98914.31</v>
      </c>
      <c r="AC61" s="19">
        <v>0</v>
      </c>
      <c r="AD61" s="19">
        <v>0</v>
      </c>
      <c r="AE61" s="34">
        <v>0</v>
      </c>
      <c r="AF61" s="19">
        <v>0</v>
      </c>
      <c r="AG61" s="19">
        <v>0</v>
      </c>
      <c r="AH61" s="19">
        <v>0</v>
      </c>
      <c r="AI61" s="34">
        <v>0</v>
      </c>
      <c r="AJ61" s="19">
        <v>0</v>
      </c>
      <c r="AK61" s="19">
        <v>0</v>
      </c>
      <c r="AL61" s="19">
        <v>-70909.09</v>
      </c>
      <c r="AM61" s="34">
        <v>0</v>
      </c>
      <c r="AN61" s="19">
        <v>-287559.07</v>
      </c>
      <c r="AO61" s="19">
        <v>0</v>
      </c>
      <c r="AP61" s="19">
        <v>-94549.31</v>
      </c>
      <c r="AQ61" s="19">
        <v>0</v>
      </c>
      <c r="AR61" s="34">
        <v>-321893.75</v>
      </c>
      <c r="AS61" s="19">
        <v>0</v>
      </c>
      <c r="AT61" s="19">
        <v>-228076.05</v>
      </c>
      <c r="AU61" s="19">
        <v>0</v>
      </c>
      <c r="AV61" s="34">
        <v>-140643.75</v>
      </c>
      <c r="AW61" s="19">
        <v>-60416.67</v>
      </c>
      <c r="AX61" s="19">
        <v>0</v>
      </c>
      <c r="AY61" s="19">
        <v>-66477.27</v>
      </c>
      <c r="AZ61" s="19">
        <v>0</v>
      </c>
      <c r="BA61" s="19">
        <v>0</v>
      </c>
      <c r="BB61" s="37">
        <f t="shared" si="1"/>
        <v>-5164.4051999999992</v>
      </c>
    </row>
    <row r="62" spans="1:54" s="4" customFormat="1" ht="15" hidden="1" outlineLevel="1">
      <c r="A62" s="3" t="s">
        <v>61</v>
      </c>
      <c r="B62" s="24"/>
      <c r="C62" s="24">
        <v>0</v>
      </c>
      <c r="D62" s="24">
        <v>0</v>
      </c>
      <c r="E62" s="31">
        <v>0</v>
      </c>
      <c r="F62" s="24">
        <v>0</v>
      </c>
      <c r="G62" s="24">
        <v>0</v>
      </c>
      <c r="H62" s="24">
        <v>0</v>
      </c>
      <c r="I62" s="31">
        <v>0</v>
      </c>
      <c r="J62" s="24">
        <v>0</v>
      </c>
      <c r="K62" s="24">
        <v>0</v>
      </c>
      <c r="L62" s="24">
        <v>0</v>
      </c>
      <c r="M62" s="31">
        <v>0</v>
      </c>
      <c r="N62" s="24">
        <v>0</v>
      </c>
      <c r="O62" s="24">
        <v>0</v>
      </c>
      <c r="P62" s="24">
        <v>0</v>
      </c>
      <c r="Q62" s="31">
        <v>0</v>
      </c>
      <c r="R62" s="24"/>
      <c r="S62" s="24"/>
      <c r="T62" s="24"/>
      <c r="U62" s="24">
        <v>0</v>
      </c>
      <c r="V62" s="31">
        <v>0</v>
      </c>
      <c r="W62" s="24">
        <v>0</v>
      </c>
      <c r="X62" s="24">
        <v>0</v>
      </c>
      <c r="Y62" s="24">
        <v>0</v>
      </c>
      <c r="Z62" s="31">
        <v>-65000</v>
      </c>
      <c r="AA62" s="24">
        <v>-56250</v>
      </c>
      <c r="AB62" s="24">
        <v>-56250</v>
      </c>
      <c r="AC62" s="24">
        <v>-56250</v>
      </c>
      <c r="AD62" s="24">
        <v>-56250</v>
      </c>
      <c r="AE62" s="31">
        <v>-56250</v>
      </c>
      <c r="AF62" s="24">
        <v>-56250</v>
      </c>
      <c r="AG62" s="24">
        <v>-56250</v>
      </c>
      <c r="AH62" s="24">
        <v>-56250</v>
      </c>
      <c r="AI62" s="31">
        <v>-17000</v>
      </c>
      <c r="AJ62" s="24">
        <v>-17000</v>
      </c>
      <c r="AK62" s="24">
        <v>-17000</v>
      </c>
      <c r="AL62" s="24">
        <v>-17000</v>
      </c>
      <c r="AM62" s="31">
        <v>-17000</v>
      </c>
      <c r="AN62" s="24">
        <v>-21250</v>
      </c>
      <c r="AO62" s="24">
        <v>-21250</v>
      </c>
      <c r="AP62" s="24">
        <v>-21250</v>
      </c>
      <c r="AQ62" s="24">
        <v>-21250</v>
      </c>
      <c r="AR62" s="31">
        <v>-137500</v>
      </c>
      <c r="AS62" s="24">
        <v>-137500</v>
      </c>
      <c r="AT62" s="24">
        <v>-137500</v>
      </c>
      <c r="AU62" s="24">
        <v>-137500</v>
      </c>
      <c r="AV62" s="31">
        <v>0</v>
      </c>
      <c r="AW62" s="24">
        <v>0</v>
      </c>
      <c r="AX62" s="19">
        <v>0</v>
      </c>
      <c r="AY62" s="19">
        <v>0</v>
      </c>
      <c r="AZ62" s="19">
        <v>0</v>
      </c>
      <c r="BA62" s="19">
        <v>0</v>
      </c>
      <c r="BB62" s="37">
        <f t="shared" si="1"/>
        <v>-1235</v>
      </c>
    </row>
    <row r="63" spans="1:54" s="4" customFormat="1" ht="15" hidden="1" outlineLevel="1">
      <c r="A63" s="3" t="s">
        <v>62</v>
      </c>
      <c r="B63" s="24"/>
      <c r="C63" s="24">
        <v>0</v>
      </c>
      <c r="D63" s="24">
        <v>0</v>
      </c>
      <c r="E63" s="31">
        <v>0</v>
      </c>
      <c r="F63" s="24">
        <v>0</v>
      </c>
      <c r="G63" s="24">
        <v>0</v>
      </c>
      <c r="H63" s="24">
        <v>0</v>
      </c>
      <c r="I63" s="31">
        <v>0</v>
      </c>
      <c r="J63" s="24">
        <v>0</v>
      </c>
      <c r="K63" s="24">
        <v>0</v>
      </c>
      <c r="L63" s="24">
        <v>0</v>
      </c>
      <c r="M63" s="31">
        <v>0</v>
      </c>
      <c r="N63" s="24">
        <v>0</v>
      </c>
      <c r="O63" s="24">
        <v>0</v>
      </c>
      <c r="P63" s="24">
        <v>0</v>
      </c>
      <c r="Q63" s="31">
        <v>0</v>
      </c>
      <c r="R63" s="24">
        <v>0</v>
      </c>
      <c r="S63" s="24">
        <v>0</v>
      </c>
      <c r="T63" s="24">
        <v>0</v>
      </c>
      <c r="U63" s="24">
        <v>0</v>
      </c>
      <c r="V63" s="31"/>
      <c r="W63" s="24">
        <v>0</v>
      </c>
      <c r="X63" s="24">
        <v>0</v>
      </c>
      <c r="Y63" s="24">
        <v>0</v>
      </c>
      <c r="Z63" s="31">
        <v>0</v>
      </c>
      <c r="AA63" s="24">
        <v>0</v>
      </c>
      <c r="AB63" s="24">
        <v>0</v>
      </c>
      <c r="AC63" s="24">
        <v>0</v>
      </c>
      <c r="AD63" s="24">
        <v>0</v>
      </c>
      <c r="AE63" s="31">
        <v>0</v>
      </c>
      <c r="AF63" s="24">
        <v>0</v>
      </c>
      <c r="AG63" s="24">
        <v>0</v>
      </c>
      <c r="AH63" s="24">
        <v>0</v>
      </c>
      <c r="AI63" s="31">
        <v>0</v>
      </c>
      <c r="AJ63" s="24">
        <v>0</v>
      </c>
      <c r="AK63" s="24">
        <v>0</v>
      </c>
      <c r="AL63" s="24">
        <v>0</v>
      </c>
      <c r="AM63" s="31">
        <v>0</v>
      </c>
      <c r="AN63" s="24">
        <v>0</v>
      </c>
      <c r="AO63" s="24">
        <v>0</v>
      </c>
      <c r="AP63" s="24">
        <v>0</v>
      </c>
      <c r="AQ63" s="24">
        <v>0</v>
      </c>
      <c r="AR63" s="31">
        <v>0</v>
      </c>
      <c r="AS63" s="24">
        <v>0</v>
      </c>
      <c r="AT63" s="24">
        <v>0</v>
      </c>
      <c r="AU63" s="24">
        <v>0</v>
      </c>
      <c r="AV63" s="31">
        <v>0</v>
      </c>
      <c r="AW63" s="24">
        <v>0</v>
      </c>
      <c r="AX63" s="19">
        <v>0</v>
      </c>
      <c r="AY63" s="19">
        <v>0</v>
      </c>
      <c r="AZ63" s="19">
        <v>0</v>
      </c>
      <c r="BA63" s="19">
        <v>0</v>
      </c>
      <c r="BB63" s="37">
        <f t="shared" si="1"/>
        <v>0</v>
      </c>
    </row>
    <row r="64" spans="1:54" s="4" customFormat="1" ht="15" hidden="1" outlineLevel="1">
      <c r="A64" s="3" t="s">
        <v>63</v>
      </c>
      <c r="B64" s="24"/>
      <c r="C64" s="24">
        <v>0</v>
      </c>
      <c r="D64" s="24">
        <v>0</v>
      </c>
      <c r="E64" s="31">
        <v>0</v>
      </c>
      <c r="F64" s="24">
        <v>0</v>
      </c>
      <c r="G64" s="24">
        <v>0</v>
      </c>
      <c r="H64" s="24">
        <v>0</v>
      </c>
      <c r="I64" s="31">
        <v>0</v>
      </c>
      <c r="J64" s="24">
        <v>0</v>
      </c>
      <c r="K64" s="24">
        <v>0</v>
      </c>
      <c r="L64" s="24">
        <v>0</v>
      </c>
      <c r="M64" s="31">
        <v>0</v>
      </c>
      <c r="N64" s="24">
        <v>0</v>
      </c>
      <c r="O64" s="24">
        <v>0</v>
      </c>
      <c r="P64" s="24">
        <v>0</v>
      </c>
      <c r="Q64" s="31">
        <v>0</v>
      </c>
      <c r="R64" s="24">
        <v>0</v>
      </c>
      <c r="S64" s="24">
        <v>0</v>
      </c>
      <c r="T64" s="24">
        <v>0</v>
      </c>
      <c r="U64" s="24">
        <v>0</v>
      </c>
      <c r="V64" s="31">
        <v>0</v>
      </c>
      <c r="W64" s="24">
        <v>0</v>
      </c>
      <c r="X64" s="24">
        <v>0</v>
      </c>
      <c r="Y64" s="24">
        <v>0</v>
      </c>
      <c r="Z64" s="31">
        <v>0</v>
      </c>
      <c r="AA64" s="24">
        <v>0</v>
      </c>
      <c r="AB64" s="24">
        <v>0</v>
      </c>
      <c r="AC64" s="24">
        <v>0</v>
      </c>
      <c r="AD64" s="24">
        <v>0</v>
      </c>
      <c r="AE64" s="31">
        <v>0</v>
      </c>
      <c r="AF64" s="24">
        <v>0</v>
      </c>
      <c r="AG64" s="24">
        <v>0</v>
      </c>
      <c r="AH64" s="24">
        <v>0</v>
      </c>
      <c r="AI64" s="31">
        <v>0</v>
      </c>
      <c r="AJ64" s="24">
        <v>0</v>
      </c>
      <c r="AK64" s="24">
        <v>0</v>
      </c>
      <c r="AL64" s="24">
        <v>0</v>
      </c>
      <c r="AM64" s="31">
        <v>0</v>
      </c>
      <c r="AN64" s="24">
        <v>0</v>
      </c>
      <c r="AO64" s="24">
        <v>0</v>
      </c>
      <c r="AP64" s="24">
        <v>0</v>
      </c>
      <c r="AQ64" s="24">
        <v>0</v>
      </c>
      <c r="AR64" s="31">
        <v>0</v>
      </c>
      <c r="AS64" s="24">
        <v>0</v>
      </c>
      <c r="AT64" s="24">
        <v>0</v>
      </c>
      <c r="AU64" s="24">
        <v>0</v>
      </c>
      <c r="AV64" s="31">
        <v>0</v>
      </c>
      <c r="AW64" s="24">
        <v>0</v>
      </c>
      <c r="AX64" s="19">
        <v>0</v>
      </c>
      <c r="AY64" s="19">
        <v>0</v>
      </c>
      <c r="AZ64" s="19">
        <v>0</v>
      </c>
      <c r="BA64" s="19">
        <v>0</v>
      </c>
      <c r="BB64" s="37">
        <f t="shared" si="1"/>
        <v>0</v>
      </c>
    </row>
    <row r="65" spans="1:54" s="4" customFormat="1" ht="15" hidden="1" outlineLevel="1">
      <c r="A65" s="3" t="s">
        <v>64</v>
      </c>
      <c r="B65" s="24"/>
      <c r="C65" s="24">
        <v>0</v>
      </c>
      <c r="D65" s="24">
        <v>0</v>
      </c>
      <c r="E65" s="31">
        <v>0</v>
      </c>
      <c r="F65" s="24">
        <v>0</v>
      </c>
      <c r="G65" s="24">
        <v>0</v>
      </c>
      <c r="H65" s="24">
        <v>0</v>
      </c>
      <c r="I65" s="31">
        <v>0</v>
      </c>
      <c r="J65" s="24">
        <v>0</v>
      </c>
      <c r="K65" s="24">
        <v>0</v>
      </c>
      <c r="L65" s="24">
        <v>0</v>
      </c>
      <c r="M65" s="31">
        <v>0</v>
      </c>
      <c r="N65" s="24">
        <v>0</v>
      </c>
      <c r="O65" s="24">
        <v>0</v>
      </c>
      <c r="P65" s="24">
        <v>0</v>
      </c>
      <c r="Q65" s="31">
        <v>0</v>
      </c>
      <c r="R65" s="24">
        <v>0</v>
      </c>
      <c r="S65" s="24">
        <v>0</v>
      </c>
      <c r="T65" s="24">
        <v>0</v>
      </c>
      <c r="U65" s="24">
        <v>0</v>
      </c>
      <c r="V65" s="31">
        <v>0</v>
      </c>
      <c r="W65" s="24">
        <v>0</v>
      </c>
      <c r="X65" s="24">
        <v>0</v>
      </c>
      <c r="Y65" s="24">
        <v>0</v>
      </c>
      <c r="Z65" s="31">
        <v>-155251.23000000001</v>
      </c>
      <c r="AA65" s="24">
        <v>-195793.28</v>
      </c>
      <c r="AB65" s="24">
        <v>-195793.28</v>
      </c>
      <c r="AC65" s="24">
        <v>-195793.28</v>
      </c>
      <c r="AD65" s="24">
        <v>-195793.28</v>
      </c>
      <c r="AE65" s="31">
        <v>-197750.44</v>
      </c>
      <c r="AF65" s="24">
        <v>-197750.44</v>
      </c>
      <c r="AG65" s="24">
        <v>-197750.44</v>
      </c>
      <c r="AH65" s="24">
        <v>-197750.44</v>
      </c>
      <c r="AI65" s="31">
        <v>-139782.14000000001</v>
      </c>
      <c r="AJ65" s="24">
        <v>-139782.14000000001</v>
      </c>
      <c r="AK65" s="24">
        <v>-139782.14000000001</v>
      </c>
      <c r="AL65" s="24">
        <v>-139782.14000000001</v>
      </c>
      <c r="AM65" s="31">
        <v>-139782.14000000001</v>
      </c>
      <c r="AN65" s="24">
        <v>-177141.23</v>
      </c>
      <c r="AO65" s="24">
        <v>-177141.23</v>
      </c>
      <c r="AP65" s="24">
        <v>-177141.23</v>
      </c>
      <c r="AQ65" s="24">
        <v>-177141.23</v>
      </c>
      <c r="AR65" s="31">
        <v>-181401.48</v>
      </c>
      <c r="AS65" s="24">
        <v>-181401.48</v>
      </c>
      <c r="AT65" s="24">
        <v>-181401.48</v>
      </c>
      <c r="AU65" s="24">
        <v>-181401.48</v>
      </c>
      <c r="AV65" s="31">
        <v>-137635.89000000001</v>
      </c>
      <c r="AW65" s="24">
        <v>-137635.89000000001</v>
      </c>
      <c r="AX65" s="19">
        <v>-137635.89000000001</v>
      </c>
      <c r="AY65" s="19">
        <v>-137635.89000000001</v>
      </c>
      <c r="AZ65" s="19">
        <v>-137635.89000000001</v>
      </c>
      <c r="BA65" s="19">
        <v>-137635.89000000001</v>
      </c>
      <c r="BB65" s="37">
        <f t="shared" si="1"/>
        <v>-4688.3229899999997</v>
      </c>
    </row>
    <row r="66" spans="1:54" s="4" customFormat="1" ht="15" hidden="1" outlineLevel="1">
      <c r="A66" s="3" t="s">
        <v>65</v>
      </c>
      <c r="B66" s="24"/>
      <c r="C66" s="24">
        <v>0</v>
      </c>
      <c r="D66" s="24">
        <v>0</v>
      </c>
      <c r="E66" s="31">
        <v>0</v>
      </c>
      <c r="F66" s="24">
        <v>0</v>
      </c>
      <c r="G66" s="24">
        <v>0</v>
      </c>
      <c r="H66" s="24">
        <v>0</v>
      </c>
      <c r="I66" s="31">
        <v>0</v>
      </c>
      <c r="J66" s="24">
        <v>0</v>
      </c>
      <c r="K66" s="24">
        <v>0</v>
      </c>
      <c r="L66" s="24">
        <v>0</v>
      </c>
      <c r="M66" s="31">
        <v>0</v>
      </c>
      <c r="N66" s="24">
        <v>0</v>
      </c>
      <c r="O66" s="24">
        <v>0</v>
      </c>
      <c r="P66" s="24">
        <v>0</v>
      </c>
      <c r="Q66" s="31">
        <v>0</v>
      </c>
      <c r="R66" s="24">
        <v>0</v>
      </c>
      <c r="S66" s="24">
        <v>0</v>
      </c>
      <c r="T66" s="24">
        <v>0</v>
      </c>
      <c r="U66" s="24">
        <v>0</v>
      </c>
      <c r="V66" s="31">
        <v>0</v>
      </c>
      <c r="W66" s="24">
        <v>0</v>
      </c>
      <c r="X66" s="24">
        <v>0</v>
      </c>
      <c r="Y66" s="24">
        <v>0</v>
      </c>
      <c r="Z66" s="31">
        <v>0</v>
      </c>
      <c r="AA66" s="24">
        <v>0</v>
      </c>
      <c r="AB66" s="24">
        <v>0</v>
      </c>
      <c r="AC66" s="24">
        <v>0</v>
      </c>
      <c r="AD66" s="24">
        <v>0</v>
      </c>
      <c r="AE66" s="31">
        <v>0</v>
      </c>
      <c r="AF66" s="24">
        <v>0</v>
      </c>
      <c r="AG66" s="24">
        <v>0</v>
      </c>
      <c r="AH66" s="24">
        <v>0</v>
      </c>
      <c r="AI66" s="31">
        <v>0</v>
      </c>
      <c r="AJ66" s="24">
        <v>0</v>
      </c>
      <c r="AK66" s="24">
        <v>0</v>
      </c>
      <c r="AL66" s="24">
        <v>0</v>
      </c>
      <c r="AM66" s="31">
        <v>0</v>
      </c>
      <c r="AN66" s="24">
        <v>0</v>
      </c>
      <c r="AO66" s="24">
        <v>0</v>
      </c>
      <c r="AP66" s="24">
        <v>0</v>
      </c>
      <c r="AQ66" s="24">
        <v>0</v>
      </c>
      <c r="AR66" s="31">
        <v>0</v>
      </c>
      <c r="AS66" s="24">
        <v>0</v>
      </c>
      <c r="AT66" s="24">
        <v>0</v>
      </c>
      <c r="AU66" s="24">
        <v>0</v>
      </c>
      <c r="AV66" s="31">
        <v>0</v>
      </c>
      <c r="AW66" s="24">
        <v>0</v>
      </c>
      <c r="AX66" s="19">
        <v>0</v>
      </c>
      <c r="AY66" s="19">
        <v>0</v>
      </c>
      <c r="AZ66" s="19">
        <v>0</v>
      </c>
      <c r="BA66" s="19">
        <v>0</v>
      </c>
      <c r="BB66" s="37">
        <f t="shared" si="1"/>
        <v>0</v>
      </c>
    </row>
    <row r="67" spans="1:54" s="4" customFormat="1" ht="15" hidden="1" outlineLevel="1">
      <c r="A67" s="3" t="s">
        <v>66</v>
      </c>
      <c r="B67" s="24"/>
      <c r="C67" s="24">
        <v>0</v>
      </c>
      <c r="D67" s="24">
        <v>0</v>
      </c>
      <c r="E67" s="31">
        <v>0</v>
      </c>
      <c r="F67" s="24">
        <v>0</v>
      </c>
      <c r="G67" s="24">
        <v>0</v>
      </c>
      <c r="H67" s="24">
        <v>0</v>
      </c>
      <c r="I67" s="31">
        <v>0</v>
      </c>
      <c r="J67" s="24">
        <v>0</v>
      </c>
      <c r="K67" s="24">
        <v>0</v>
      </c>
      <c r="L67" s="24">
        <v>0</v>
      </c>
      <c r="M67" s="31">
        <v>0</v>
      </c>
      <c r="N67" s="24">
        <v>0</v>
      </c>
      <c r="O67" s="24">
        <v>0</v>
      </c>
      <c r="P67" s="24">
        <v>0</v>
      </c>
      <c r="Q67" s="31">
        <v>0</v>
      </c>
      <c r="R67" s="24">
        <v>0</v>
      </c>
      <c r="S67" s="24">
        <v>0</v>
      </c>
      <c r="T67" s="24">
        <v>0</v>
      </c>
      <c r="U67" s="24">
        <v>0</v>
      </c>
      <c r="V67" s="31">
        <v>0</v>
      </c>
      <c r="W67" s="24">
        <v>0</v>
      </c>
      <c r="X67" s="24">
        <v>0</v>
      </c>
      <c r="Y67" s="24">
        <v>0</v>
      </c>
      <c r="Z67" s="31">
        <v>-235582.21</v>
      </c>
      <c r="AA67" s="24">
        <v>-300266.90999999997</v>
      </c>
      <c r="AB67" s="24">
        <v>-300266.90999999997</v>
      </c>
      <c r="AC67" s="24">
        <v>-300266.90999999997</v>
      </c>
      <c r="AD67" s="24">
        <v>-300266.90999999997</v>
      </c>
      <c r="AE67" s="31">
        <v>-315844.05</v>
      </c>
      <c r="AF67" s="24">
        <v>-315844.05</v>
      </c>
      <c r="AG67" s="24">
        <v>-315844.05</v>
      </c>
      <c r="AH67" s="24">
        <v>-315844.05</v>
      </c>
      <c r="AI67" s="31">
        <v>-248063.83</v>
      </c>
      <c r="AJ67" s="24">
        <v>-248063.83</v>
      </c>
      <c r="AK67" s="24">
        <v>-248063.83</v>
      </c>
      <c r="AL67" s="24">
        <v>-248063.83</v>
      </c>
      <c r="AM67" s="31">
        <v>-248063.83</v>
      </c>
      <c r="AN67" s="24">
        <v>-341833.02</v>
      </c>
      <c r="AO67" s="24">
        <v>-341833.02</v>
      </c>
      <c r="AP67" s="24">
        <v>-341833.02</v>
      </c>
      <c r="AQ67" s="24">
        <v>-341833.02</v>
      </c>
      <c r="AR67" s="31">
        <v>-325050.42</v>
      </c>
      <c r="AS67" s="24">
        <v>-325050.42</v>
      </c>
      <c r="AT67" s="24">
        <v>-325050.42</v>
      </c>
      <c r="AU67" s="24">
        <v>-325050.42</v>
      </c>
      <c r="AV67" s="31">
        <v>-217789.37</v>
      </c>
      <c r="AW67" s="24">
        <v>-217789.37</v>
      </c>
      <c r="AX67" s="19">
        <v>-217789.37</v>
      </c>
      <c r="AY67" s="19">
        <v>-217789.37</v>
      </c>
      <c r="AZ67" s="19">
        <v>-217789.37</v>
      </c>
      <c r="BA67" s="19">
        <v>-217789.37</v>
      </c>
      <c r="BB67" s="37">
        <f t="shared" si="1"/>
        <v>-7914.6151799999998</v>
      </c>
    </row>
    <row r="68" spans="1:54" s="4" customFormat="1" ht="15" hidden="1" outlineLevel="1">
      <c r="A68" s="3" t="s">
        <v>67</v>
      </c>
      <c r="B68" s="24"/>
      <c r="C68" s="24">
        <v>0</v>
      </c>
      <c r="D68" s="24">
        <v>0</v>
      </c>
      <c r="E68" s="31">
        <v>0</v>
      </c>
      <c r="F68" s="24">
        <v>0</v>
      </c>
      <c r="G68" s="24">
        <v>0</v>
      </c>
      <c r="H68" s="24">
        <v>0</v>
      </c>
      <c r="I68" s="31">
        <v>0</v>
      </c>
      <c r="J68" s="24">
        <v>0</v>
      </c>
      <c r="K68" s="24">
        <v>0</v>
      </c>
      <c r="L68" s="24">
        <v>0</v>
      </c>
      <c r="M68" s="31">
        <v>0</v>
      </c>
      <c r="N68" s="24">
        <v>0</v>
      </c>
      <c r="O68" s="24">
        <v>0</v>
      </c>
      <c r="P68" s="24">
        <v>0</v>
      </c>
      <c r="Q68" s="31">
        <v>0</v>
      </c>
      <c r="R68" s="24">
        <v>0</v>
      </c>
      <c r="S68" s="24">
        <v>0</v>
      </c>
      <c r="T68" s="24">
        <v>0</v>
      </c>
      <c r="U68" s="24">
        <v>0</v>
      </c>
      <c r="V68" s="31">
        <v>0</v>
      </c>
      <c r="W68" s="24">
        <v>0</v>
      </c>
      <c r="X68" s="24">
        <v>0</v>
      </c>
      <c r="Y68" s="24">
        <v>0</v>
      </c>
      <c r="Z68" s="31">
        <v>-1562889.94</v>
      </c>
      <c r="AA68" s="24">
        <v>-2241151.54</v>
      </c>
      <c r="AB68" s="24">
        <v>-2241151.54</v>
      </c>
      <c r="AC68" s="24">
        <v>-2241151.54</v>
      </c>
      <c r="AD68" s="24">
        <v>-2241151.54</v>
      </c>
      <c r="AE68" s="31">
        <v>-2047795.84</v>
      </c>
      <c r="AF68" s="24">
        <v>-2047795.84</v>
      </c>
      <c r="AG68" s="24">
        <v>-2047795.84</v>
      </c>
      <c r="AH68" s="24">
        <v>-2047795.84</v>
      </c>
      <c r="AI68" s="31">
        <v>-1782518.82</v>
      </c>
      <c r="AJ68" s="24">
        <v>-1782518.82</v>
      </c>
      <c r="AK68" s="24">
        <v>-1782518.82</v>
      </c>
      <c r="AL68" s="24">
        <v>-1782518.82</v>
      </c>
      <c r="AM68" s="31">
        <v>-1782518.82</v>
      </c>
      <c r="AN68" s="24">
        <v>-2269019.81</v>
      </c>
      <c r="AO68" s="24">
        <v>-2269019.81</v>
      </c>
      <c r="AP68" s="24">
        <v>-2269019.81</v>
      </c>
      <c r="AQ68" s="24">
        <v>-2269019.81</v>
      </c>
      <c r="AR68" s="31">
        <v>-2109266.15</v>
      </c>
      <c r="AS68" s="24">
        <v>-2109266.15</v>
      </c>
      <c r="AT68" s="24">
        <v>-2109266.15</v>
      </c>
      <c r="AU68" s="24">
        <v>-2109266.15</v>
      </c>
      <c r="AV68" s="31">
        <v>-1364998.74</v>
      </c>
      <c r="AW68" s="24">
        <v>-1364998.74</v>
      </c>
      <c r="AX68" s="19">
        <v>-1364998.74</v>
      </c>
      <c r="AY68" s="19">
        <v>-1364998.74</v>
      </c>
      <c r="AZ68" s="19">
        <v>-1364998.74</v>
      </c>
      <c r="BA68" s="19">
        <v>-1364998.74</v>
      </c>
      <c r="BB68" s="37">
        <f t="shared" si="1"/>
        <v>-53334.409840000008</v>
      </c>
    </row>
    <row r="69" spans="1:54" s="4" customFormat="1" ht="15" hidden="1" outlineLevel="1">
      <c r="A69" s="3" t="s">
        <v>68</v>
      </c>
      <c r="B69" s="24"/>
      <c r="C69" s="24">
        <v>0</v>
      </c>
      <c r="D69" s="24">
        <v>0</v>
      </c>
      <c r="E69" s="31">
        <v>0</v>
      </c>
      <c r="F69" s="24">
        <v>0</v>
      </c>
      <c r="G69" s="24">
        <v>0</v>
      </c>
      <c r="H69" s="24">
        <v>0</v>
      </c>
      <c r="I69" s="31">
        <v>0</v>
      </c>
      <c r="J69" s="24">
        <v>0</v>
      </c>
      <c r="K69" s="24">
        <v>0</v>
      </c>
      <c r="L69" s="24">
        <v>0</v>
      </c>
      <c r="M69" s="31">
        <v>0</v>
      </c>
      <c r="N69" s="24">
        <v>0</v>
      </c>
      <c r="O69" s="24">
        <v>0</v>
      </c>
      <c r="P69" s="24">
        <v>0</v>
      </c>
      <c r="Q69" s="31">
        <v>0</v>
      </c>
      <c r="R69" s="24">
        <v>0</v>
      </c>
      <c r="S69" s="24">
        <v>0</v>
      </c>
      <c r="T69" s="24">
        <v>0</v>
      </c>
      <c r="U69" s="24">
        <v>0</v>
      </c>
      <c r="V69" s="31">
        <v>0</v>
      </c>
      <c r="W69" s="24">
        <v>0</v>
      </c>
      <c r="X69" s="24">
        <v>0</v>
      </c>
      <c r="Y69" s="24">
        <v>0</v>
      </c>
      <c r="Z69" s="31">
        <v>0</v>
      </c>
      <c r="AA69" s="24">
        <v>0</v>
      </c>
      <c r="AB69" s="24">
        <v>0</v>
      </c>
      <c r="AC69" s="24">
        <v>0</v>
      </c>
      <c r="AD69" s="24">
        <v>0</v>
      </c>
      <c r="AE69" s="31">
        <v>0</v>
      </c>
      <c r="AF69" s="24">
        <v>0</v>
      </c>
      <c r="AG69" s="24">
        <v>0</v>
      </c>
      <c r="AH69" s="24">
        <v>0</v>
      </c>
      <c r="AI69" s="31">
        <v>0</v>
      </c>
      <c r="AJ69" s="24">
        <v>0</v>
      </c>
      <c r="AK69" s="24">
        <v>0</v>
      </c>
      <c r="AL69" s="24">
        <v>0</v>
      </c>
      <c r="AM69" s="31">
        <v>0</v>
      </c>
      <c r="AN69" s="24">
        <v>0</v>
      </c>
      <c r="AO69" s="24">
        <v>0</v>
      </c>
      <c r="AP69" s="24">
        <v>0</v>
      </c>
      <c r="AQ69" s="24">
        <v>0</v>
      </c>
      <c r="AR69" s="31">
        <v>0</v>
      </c>
      <c r="AS69" s="24">
        <v>0</v>
      </c>
      <c r="AT69" s="24">
        <v>0</v>
      </c>
      <c r="AU69" s="24">
        <v>0</v>
      </c>
      <c r="AV69" s="31">
        <v>0</v>
      </c>
      <c r="AW69" s="24">
        <v>0</v>
      </c>
      <c r="AX69" s="19">
        <v>0</v>
      </c>
      <c r="AY69" s="19">
        <v>0</v>
      </c>
      <c r="AZ69" s="19">
        <v>0</v>
      </c>
      <c r="BA69" s="19">
        <v>0</v>
      </c>
      <c r="BB69" s="37">
        <f t="shared" si="1"/>
        <v>0</v>
      </c>
    </row>
    <row r="70" spans="1:54" s="4" customFormat="1" ht="15" hidden="1" outlineLevel="1">
      <c r="A70" s="3" t="s">
        <v>69</v>
      </c>
      <c r="B70" s="24"/>
      <c r="C70" s="24">
        <v>0</v>
      </c>
      <c r="D70" s="24">
        <v>0</v>
      </c>
      <c r="E70" s="31">
        <v>0</v>
      </c>
      <c r="F70" s="24">
        <v>0</v>
      </c>
      <c r="G70" s="24">
        <v>0</v>
      </c>
      <c r="H70" s="24">
        <v>0</v>
      </c>
      <c r="I70" s="31">
        <v>0</v>
      </c>
      <c r="J70" s="24">
        <v>0</v>
      </c>
      <c r="K70" s="24">
        <v>0</v>
      </c>
      <c r="L70" s="24">
        <v>0</v>
      </c>
      <c r="M70" s="31">
        <v>0</v>
      </c>
      <c r="N70" s="24">
        <v>0</v>
      </c>
      <c r="O70" s="24">
        <v>0</v>
      </c>
      <c r="P70" s="24">
        <v>0</v>
      </c>
      <c r="Q70" s="31">
        <v>0</v>
      </c>
      <c r="R70" s="24">
        <v>0</v>
      </c>
      <c r="S70" s="24">
        <v>0</v>
      </c>
      <c r="T70" s="24">
        <v>0</v>
      </c>
      <c r="U70" s="24">
        <v>0</v>
      </c>
      <c r="V70" s="31">
        <v>0</v>
      </c>
      <c r="W70" s="24">
        <v>0</v>
      </c>
      <c r="X70" s="24">
        <v>0</v>
      </c>
      <c r="Y70" s="24">
        <v>0</v>
      </c>
      <c r="Z70" s="31">
        <v>0</v>
      </c>
      <c r="AA70" s="24">
        <v>0</v>
      </c>
      <c r="AB70" s="24">
        <v>0</v>
      </c>
      <c r="AC70" s="24">
        <v>0</v>
      </c>
      <c r="AD70" s="24">
        <v>0</v>
      </c>
      <c r="AE70" s="31">
        <v>0</v>
      </c>
      <c r="AF70" s="24">
        <v>0</v>
      </c>
      <c r="AG70" s="24">
        <v>0</v>
      </c>
      <c r="AH70" s="24">
        <v>0</v>
      </c>
      <c r="AI70" s="31">
        <v>0</v>
      </c>
      <c r="AJ70" s="24">
        <v>0</v>
      </c>
      <c r="AK70" s="24">
        <v>0</v>
      </c>
      <c r="AL70" s="24">
        <v>0</v>
      </c>
      <c r="AM70" s="31">
        <v>0</v>
      </c>
      <c r="AN70" s="24">
        <v>0</v>
      </c>
      <c r="AO70" s="24">
        <v>0</v>
      </c>
      <c r="AP70" s="24">
        <v>0</v>
      </c>
      <c r="AQ70" s="24">
        <v>0</v>
      </c>
      <c r="AR70" s="31">
        <v>0</v>
      </c>
      <c r="AS70" s="24">
        <v>0</v>
      </c>
      <c r="AT70" s="24">
        <v>0</v>
      </c>
      <c r="AU70" s="24">
        <v>0</v>
      </c>
      <c r="AV70" s="31">
        <v>0</v>
      </c>
      <c r="AW70" s="24">
        <v>0</v>
      </c>
      <c r="AX70" s="19">
        <v>0</v>
      </c>
      <c r="AY70" s="19">
        <v>0</v>
      </c>
      <c r="AZ70" s="19">
        <v>0</v>
      </c>
      <c r="BA70" s="19">
        <v>0</v>
      </c>
      <c r="BB70" s="37">
        <f t="shared" si="1"/>
        <v>0</v>
      </c>
    </row>
    <row r="71" spans="1:54" s="4" customFormat="1" ht="15" hidden="1" outlineLevel="1">
      <c r="A71" s="3" t="s">
        <v>70</v>
      </c>
      <c r="B71" s="24"/>
      <c r="C71" s="24">
        <v>0</v>
      </c>
      <c r="D71" s="24">
        <v>0</v>
      </c>
      <c r="E71" s="31">
        <v>0</v>
      </c>
      <c r="F71" s="24">
        <v>0</v>
      </c>
      <c r="G71" s="24">
        <v>0</v>
      </c>
      <c r="H71" s="24">
        <v>0</v>
      </c>
      <c r="I71" s="31">
        <v>0</v>
      </c>
      <c r="J71" s="24">
        <v>0</v>
      </c>
      <c r="K71" s="24">
        <v>0</v>
      </c>
      <c r="L71" s="24">
        <v>0</v>
      </c>
      <c r="M71" s="31">
        <v>0</v>
      </c>
      <c r="N71" s="24">
        <v>0</v>
      </c>
      <c r="O71" s="24">
        <v>0</v>
      </c>
      <c r="P71" s="24">
        <v>0</v>
      </c>
      <c r="Q71" s="31">
        <v>0</v>
      </c>
      <c r="R71" s="24">
        <v>0</v>
      </c>
      <c r="S71" s="24">
        <v>0</v>
      </c>
      <c r="T71" s="24">
        <v>0</v>
      </c>
      <c r="U71" s="24">
        <v>0</v>
      </c>
      <c r="V71" s="31">
        <v>0</v>
      </c>
      <c r="W71" s="24">
        <v>0</v>
      </c>
      <c r="X71" s="24">
        <v>0</v>
      </c>
      <c r="Y71" s="24">
        <v>0</v>
      </c>
      <c r="Z71" s="31">
        <v>0</v>
      </c>
      <c r="AA71" s="24">
        <v>0</v>
      </c>
      <c r="AB71" s="24">
        <v>0</v>
      </c>
      <c r="AC71" s="24">
        <v>0</v>
      </c>
      <c r="AD71" s="24">
        <v>0</v>
      </c>
      <c r="AE71" s="31">
        <v>0</v>
      </c>
      <c r="AF71" s="24">
        <v>0</v>
      </c>
      <c r="AG71" s="24">
        <v>0</v>
      </c>
      <c r="AH71" s="24">
        <v>0</v>
      </c>
      <c r="AI71" s="31">
        <v>0</v>
      </c>
      <c r="AJ71" s="24">
        <v>0</v>
      </c>
      <c r="AK71" s="24">
        <v>0</v>
      </c>
      <c r="AL71" s="24">
        <v>0</v>
      </c>
      <c r="AM71" s="31">
        <v>0</v>
      </c>
      <c r="AN71" s="24">
        <v>0</v>
      </c>
      <c r="AO71" s="24">
        <v>0</v>
      </c>
      <c r="AP71" s="24">
        <v>0</v>
      </c>
      <c r="AQ71" s="24">
        <v>0</v>
      </c>
      <c r="AR71" s="31">
        <v>0</v>
      </c>
      <c r="AS71" s="24">
        <v>0</v>
      </c>
      <c r="AT71" s="24">
        <v>0</v>
      </c>
      <c r="AU71" s="24">
        <v>0</v>
      </c>
      <c r="AV71" s="31">
        <v>0</v>
      </c>
      <c r="AW71" s="24">
        <v>0</v>
      </c>
      <c r="AX71" s="19">
        <v>0</v>
      </c>
      <c r="AY71" s="19">
        <v>0</v>
      </c>
      <c r="AZ71" s="19">
        <v>0</v>
      </c>
      <c r="BA71" s="19">
        <v>0</v>
      </c>
      <c r="BB71" s="37">
        <f t="shared" si="1"/>
        <v>0</v>
      </c>
    </row>
    <row r="72" spans="1:54" s="4" customFormat="1" ht="15" hidden="1" outlineLevel="1">
      <c r="A72" s="3" t="s">
        <v>71</v>
      </c>
      <c r="B72" s="24"/>
      <c r="C72" s="24">
        <v>0</v>
      </c>
      <c r="D72" s="24">
        <v>0</v>
      </c>
      <c r="E72" s="31">
        <v>0</v>
      </c>
      <c r="F72" s="24">
        <v>0</v>
      </c>
      <c r="G72" s="24">
        <v>0</v>
      </c>
      <c r="H72" s="24">
        <v>0</v>
      </c>
      <c r="I72" s="31">
        <v>0</v>
      </c>
      <c r="J72" s="24">
        <v>0</v>
      </c>
      <c r="K72" s="24">
        <v>0</v>
      </c>
      <c r="L72" s="24">
        <v>0</v>
      </c>
      <c r="M72" s="31">
        <v>0</v>
      </c>
      <c r="N72" s="24">
        <v>0</v>
      </c>
      <c r="O72" s="24">
        <v>0</v>
      </c>
      <c r="P72" s="24">
        <v>0</v>
      </c>
      <c r="Q72" s="31">
        <v>0</v>
      </c>
      <c r="R72" s="24">
        <v>0</v>
      </c>
      <c r="S72" s="24">
        <v>0</v>
      </c>
      <c r="T72" s="24">
        <v>0</v>
      </c>
      <c r="U72" s="24">
        <v>0</v>
      </c>
      <c r="V72" s="31">
        <v>0</v>
      </c>
      <c r="W72" s="24">
        <v>0</v>
      </c>
      <c r="X72" s="24">
        <v>0</v>
      </c>
      <c r="Y72" s="24">
        <v>0</v>
      </c>
      <c r="Z72" s="31">
        <v>0</v>
      </c>
      <c r="AA72" s="24">
        <v>0</v>
      </c>
      <c r="AB72" s="24">
        <v>0</v>
      </c>
      <c r="AC72" s="24">
        <v>0</v>
      </c>
      <c r="AD72" s="24">
        <v>0</v>
      </c>
      <c r="AE72" s="31">
        <v>0</v>
      </c>
      <c r="AF72" s="24">
        <v>0</v>
      </c>
      <c r="AG72" s="24">
        <v>0</v>
      </c>
      <c r="AH72" s="24">
        <v>0</v>
      </c>
      <c r="AI72" s="31">
        <v>0</v>
      </c>
      <c r="AJ72" s="24">
        <v>0</v>
      </c>
      <c r="AK72" s="24">
        <v>0</v>
      </c>
      <c r="AL72" s="24">
        <v>0</v>
      </c>
      <c r="AM72" s="31">
        <v>0</v>
      </c>
      <c r="AN72" s="24">
        <v>0</v>
      </c>
      <c r="AO72" s="24">
        <v>0</v>
      </c>
      <c r="AP72" s="24">
        <v>0</v>
      </c>
      <c r="AQ72" s="24">
        <v>0</v>
      </c>
      <c r="AR72" s="31">
        <v>0</v>
      </c>
      <c r="AS72" s="24">
        <v>0</v>
      </c>
      <c r="AT72" s="24">
        <v>0</v>
      </c>
      <c r="AU72" s="24">
        <v>0</v>
      </c>
      <c r="AV72" s="31">
        <v>0</v>
      </c>
      <c r="AW72" s="24">
        <v>0</v>
      </c>
      <c r="AX72" s="19">
        <v>0</v>
      </c>
      <c r="AY72" s="19">
        <v>0</v>
      </c>
      <c r="AZ72" s="19">
        <v>0</v>
      </c>
      <c r="BA72" s="19">
        <v>0</v>
      </c>
      <c r="BB72" s="37">
        <f t="shared" si="1"/>
        <v>0</v>
      </c>
    </row>
    <row r="73" spans="1:54" s="5" customFormat="1" ht="12.75" hidden="1" outlineLevel="1">
      <c r="A73" s="3" t="s">
        <v>72</v>
      </c>
      <c r="B73" s="16"/>
      <c r="C73" s="16">
        <v>0</v>
      </c>
      <c r="D73" s="16">
        <v>0</v>
      </c>
      <c r="E73" s="35">
        <v>0</v>
      </c>
      <c r="F73" s="16">
        <v>0</v>
      </c>
      <c r="G73" s="16">
        <v>0</v>
      </c>
      <c r="H73" s="16">
        <v>0</v>
      </c>
      <c r="I73" s="35">
        <v>0</v>
      </c>
      <c r="J73" s="16">
        <v>0</v>
      </c>
      <c r="K73" s="16">
        <v>0</v>
      </c>
      <c r="L73" s="16">
        <v>0</v>
      </c>
      <c r="M73" s="35">
        <v>0</v>
      </c>
      <c r="N73" s="16">
        <v>0</v>
      </c>
      <c r="O73" s="16">
        <v>0</v>
      </c>
      <c r="P73" s="16">
        <v>0</v>
      </c>
      <c r="Q73" s="35">
        <v>0</v>
      </c>
      <c r="R73" s="16">
        <v>0</v>
      </c>
      <c r="S73" s="16">
        <v>0</v>
      </c>
      <c r="T73" s="16">
        <v>0</v>
      </c>
      <c r="U73" s="16">
        <v>0</v>
      </c>
      <c r="V73" s="35">
        <v>0</v>
      </c>
      <c r="W73" s="16">
        <v>0</v>
      </c>
      <c r="X73" s="16">
        <v>0</v>
      </c>
      <c r="Y73" s="16">
        <v>0</v>
      </c>
      <c r="Z73" s="35">
        <v>-535778.6</v>
      </c>
      <c r="AA73" s="16">
        <v>-661359.80000000005</v>
      </c>
      <c r="AB73" s="16">
        <v>-661359.80000000005</v>
      </c>
      <c r="AC73" s="16">
        <v>-661359.80000000005</v>
      </c>
      <c r="AD73" s="16">
        <v>-661359.80000000005</v>
      </c>
      <c r="AE73" s="35">
        <v>-671218.03</v>
      </c>
      <c r="AF73" s="16">
        <v>-671218.03</v>
      </c>
      <c r="AG73" s="16">
        <v>-671218.03</v>
      </c>
      <c r="AH73" s="16">
        <v>-671218.03</v>
      </c>
      <c r="AI73" s="35">
        <v>-548694.98</v>
      </c>
      <c r="AJ73" s="16">
        <v>-548694.98</v>
      </c>
      <c r="AK73" s="16">
        <v>-548694.98</v>
      </c>
      <c r="AL73" s="16">
        <v>-548694.98</v>
      </c>
      <c r="AM73" s="35">
        <v>-548694.98</v>
      </c>
      <c r="AN73" s="16">
        <v>-710990.51</v>
      </c>
      <c r="AO73" s="16">
        <v>-710990.51</v>
      </c>
      <c r="AP73" s="16">
        <v>-710990.51</v>
      </c>
      <c r="AQ73" s="16">
        <v>-710990.51</v>
      </c>
      <c r="AR73" s="35">
        <v>-652797.47</v>
      </c>
      <c r="AS73" s="16">
        <v>-652797.47</v>
      </c>
      <c r="AT73" s="16">
        <v>-652797.47</v>
      </c>
      <c r="AU73" s="16">
        <v>-652797.47</v>
      </c>
      <c r="AV73" s="35">
        <v>-436014.62</v>
      </c>
      <c r="AW73" s="16">
        <v>-436014.62</v>
      </c>
      <c r="AX73" s="19">
        <v>-436014.62</v>
      </c>
      <c r="AY73" s="19">
        <v>-436014.62</v>
      </c>
      <c r="AZ73" s="19">
        <v>-436014.62</v>
      </c>
      <c r="BA73" s="19">
        <v>-436014.62</v>
      </c>
      <c r="BB73" s="37">
        <f t="shared" si="1"/>
        <v>-16680.804459999999</v>
      </c>
    </row>
    <row r="74" spans="1:54" s="4" customFormat="1" ht="15" hidden="1" outlineLevel="1">
      <c r="A74" s="3" t="s">
        <v>73</v>
      </c>
      <c r="B74" s="24"/>
      <c r="C74" s="24">
        <v>0</v>
      </c>
      <c r="D74" s="24">
        <v>0</v>
      </c>
      <c r="E74" s="31">
        <v>0</v>
      </c>
      <c r="F74" s="24">
        <v>0</v>
      </c>
      <c r="G74" s="24">
        <v>0</v>
      </c>
      <c r="H74" s="24">
        <v>0</v>
      </c>
      <c r="I74" s="31">
        <v>0</v>
      </c>
      <c r="J74" s="24">
        <v>0</v>
      </c>
      <c r="K74" s="24">
        <v>0</v>
      </c>
      <c r="L74" s="24">
        <v>0</v>
      </c>
      <c r="M74" s="31">
        <v>0</v>
      </c>
      <c r="N74" s="24">
        <v>0</v>
      </c>
      <c r="O74" s="24">
        <v>0</v>
      </c>
      <c r="P74" s="24">
        <v>0</v>
      </c>
      <c r="Q74" s="31">
        <v>0</v>
      </c>
      <c r="R74" s="24">
        <v>0</v>
      </c>
      <c r="S74" s="24">
        <v>0</v>
      </c>
      <c r="T74" s="24">
        <v>0</v>
      </c>
      <c r="U74" s="24">
        <v>0</v>
      </c>
      <c r="V74" s="31">
        <v>0</v>
      </c>
      <c r="W74" s="24">
        <v>0</v>
      </c>
      <c r="X74" s="24">
        <v>0</v>
      </c>
      <c r="Y74" s="24">
        <v>0</v>
      </c>
      <c r="Z74" s="31">
        <v>0</v>
      </c>
      <c r="AA74" s="24">
        <v>0</v>
      </c>
      <c r="AB74" s="24">
        <v>0</v>
      </c>
      <c r="AC74" s="24">
        <v>0</v>
      </c>
      <c r="AD74" s="24">
        <v>0</v>
      </c>
      <c r="AE74" s="31">
        <v>0</v>
      </c>
      <c r="AF74" s="24">
        <v>0</v>
      </c>
      <c r="AG74" s="24">
        <v>0</v>
      </c>
      <c r="AH74" s="24">
        <v>0</v>
      </c>
      <c r="AI74" s="31">
        <v>0</v>
      </c>
      <c r="AJ74" s="24">
        <v>0</v>
      </c>
      <c r="AK74" s="24">
        <v>0</v>
      </c>
      <c r="AL74" s="24">
        <v>0</v>
      </c>
      <c r="AM74" s="31">
        <v>0</v>
      </c>
      <c r="AN74" s="24">
        <v>0</v>
      </c>
      <c r="AO74" s="24">
        <v>0</v>
      </c>
      <c r="AP74" s="24">
        <v>0</v>
      </c>
      <c r="AQ74" s="24">
        <v>0</v>
      </c>
      <c r="AR74" s="31">
        <v>0</v>
      </c>
      <c r="AS74" s="24">
        <v>0</v>
      </c>
      <c r="AT74" s="24">
        <v>0</v>
      </c>
      <c r="AU74" s="24">
        <v>0</v>
      </c>
      <c r="AV74" s="31">
        <v>0</v>
      </c>
      <c r="AW74" s="24">
        <v>0</v>
      </c>
      <c r="AX74" s="19">
        <v>0</v>
      </c>
      <c r="AY74" s="19">
        <v>0</v>
      </c>
      <c r="AZ74" s="19">
        <v>0</v>
      </c>
      <c r="BA74" s="19">
        <v>0</v>
      </c>
      <c r="BB74" s="37">
        <f t="shared" si="1"/>
        <v>0</v>
      </c>
    </row>
    <row r="75" spans="1:54" s="4" customFormat="1" ht="15" hidden="1" outlineLevel="1">
      <c r="A75" s="3" t="s">
        <v>74</v>
      </c>
      <c r="B75" s="24"/>
      <c r="C75" s="24">
        <v>-199838.7</v>
      </c>
      <c r="D75" s="24">
        <v>-106423.33</v>
      </c>
      <c r="E75" s="31">
        <v>-198106.11</v>
      </c>
      <c r="F75" s="24">
        <v>-284217.68</v>
      </c>
      <c r="G75" s="24">
        <v>-158447.49</v>
      </c>
      <c r="H75" s="24">
        <v>-194670.09</v>
      </c>
      <c r="I75" s="31">
        <v>-186640.33</v>
      </c>
      <c r="J75" s="24">
        <v>-191470.29</v>
      </c>
      <c r="K75" s="24">
        <v>-203844.25</v>
      </c>
      <c r="L75" s="24">
        <v>-520036.41</v>
      </c>
      <c r="M75" s="31">
        <v>-293433.90000000002</v>
      </c>
      <c r="N75" s="24">
        <v>-318842.17</v>
      </c>
      <c r="O75" s="24">
        <v>-203862.58</v>
      </c>
      <c r="P75" s="24">
        <v>-220697.58</v>
      </c>
      <c r="Q75" s="31">
        <v>-147161.73000000001</v>
      </c>
      <c r="R75" s="24">
        <v>-260577.03</v>
      </c>
      <c r="S75" s="24">
        <v>-198814.3</v>
      </c>
      <c r="T75" s="24">
        <v>-130552.77</v>
      </c>
      <c r="U75" s="24">
        <v>-168325.95</v>
      </c>
      <c r="V75" s="31">
        <v>-299361.98</v>
      </c>
      <c r="W75" s="24">
        <v>-222870.23</v>
      </c>
      <c r="X75" s="24">
        <v>-90575.75</v>
      </c>
      <c r="Y75" s="24">
        <v>-213160.13</v>
      </c>
      <c r="Z75" s="31">
        <v>-239973.45</v>
      </c>
      <c r="AA75" s="24">
        <v>-330339.07</v>
      </c>
      <c r="AB75" s="24">
        <v>-330339.07</v>
      </c>
      <c r="AC75" s="24">
        <v>-330339.07</v>
      </c>
      <c r="AD75" s="24">
        <v>-330339.07</v>
      </c>
      <c r="AE75" s="31">
        <v>-325064.77</v>
      </c>
      <c r="AF75" s="24">
        <v>-325064.77</v>
      </c>
      <c r="AG75" s="24">
        <v>-325064.77</v>
      </c>
      <c r="AH75" s="24">
        <v>-325064.77</v>
      </c>
      <c r="AI75" s="31">
        <v>-255390.52</v>
      </c>
      <c r="AJ75" s="24">
        <v>-255390.52</v>
      </c>
      <c r="AK75" s="24">
        <v>-255390.52</v>
      </c>
      <c r="AL75" s="24">
        <v>-255390.52</v>
      </c>
      <c r="AM75" s="31">
        <v>-255390.52</v>
      </c>
      <c r="AN75" s="24">
        <v>-343956.96</v>
      </c>
      <c r="AO75" s="24">
        <v>-343956.96</v>
      </c>
      <c r="AP75" s="24">
        <v>-343956.96</v>
      </c>
      <c r="AQ75" s="24">
        <v>-343956.96</v>
      </c>
      <c r="AR75" s="31">
        <v>-364772.34</v>
      </c>
      <c r="AS75" s="24">
        <v>-364772.34</v>
      </c>
      <c r="AT75" s="24">
        <v>-364772.34</v>
      </c>
      <c r="AU75" s="24">
        <v>-364772.34</v>
      </c>
      <c r="AV75" s="31">
        <v>-265525.31</v>
      </c>
      <c r="AW75" s="24">
        <v>-265525.31</v>
      </c>
      <c r="AX75" s="19">
        <v>-265525.31</v>
      </c>
      <c r="AY75" s="19">
        <v>-265525.31</v>
      </c>
      <c r="AZ75" s="19">
        <v>-265525.31</v>
      </c>
      <c r="BA75" s="19">
        <v>-265525.31</v>
      </c>
      <c r="BB75" s="37">
        <f t="shared" si="1"/>
        <v>-13578.541250000004</v>
      </c>
    </row>
    <row r="76" spans="1:54" s="4" customFormat="1" ht="15" hidden="1" outlineLevel="1">
      <c r="A76" s="3" t="s">
        <v>75</v>
      </c>
      <c r="B76" s="24"/>
      <c r="C76" s="24">
        <v>0</v>
      </c>
      <c r="D76" s="24">
        <v>0</v>
      </c>
      <c r="E76" s="31">
        <v>0</v>
      </c>
      <c r="F76" s="24">
        <v>0</v>
      </c>
      <c r="G76" s="24">
        <v>0</v>
      </c>
      <c r="H76" s="24">
        <v>0</v>
      </c>
      <c r="I76" s="31">
        <v>0</v>
      </c>
      <c r="J76" s="24">
        <v>0</v>
      </c>
      <c r="K76" s="24">
        <v>0</v>
      </c>
      <c r="L76" s="24">
        <v>0</v>
      </c>
      <c r="M76" s="31">
        <v>0</v>
      </c>
      <c r="N76" s="24">
        <v>0</v>
      </c>
      <c r="O76" s="24">
        <v>0</v>
      </c>
      <c r="P76" s="24">
        <v>0</v>
      </c>
      <c r="Q76" s="31">
        <v>0</v>
      </c>
      <c r="R76" s="24">
        <v>0</v>
      </c>
      <c r="S76" s="24">
        <v>0</v>
      </c>
      <c r="T76" s="24">
        <v>0</v>
      </c>
      <c r="U76" s="24">
        <v>0</v>
      </c>
      <c r="V76" s="31">
        <v>0</v>
      </c>
      <c r="W76" s="24">
        <v>0</v>
      </c>
      <c r="X76" s="24">
        <v>0</v>
      </c>
      <c r="Y76" s="24">
        <v>0</v>
      </c>
      <c r="Z76" s="31">
        <v>0</v>
      </c>
      <c r="AA76" s="24">
        <v>0</v>
      </c>
      <c r="AB76" s="24">
        <v>0</v>
      </c>
      <c r="AC76" s="24">
        <v>0</v>
      </c>
      <c r="AD76" s="24">
        <v>0</v>
      </c>
      <c r="AE76" s="31">
        <v>0</v>
      </c>
      <c r="AF76" s="24">
        <v>0</v>
      </c>
      <c r="AG76" s="24">
        <v>0</v>
      </c>
      <c r="AH76" s="24">
        <v>0</v>
      </c>
      <c r="AI76" s="31">
        <v>0</v>
      </c>
      <c r="AJ76" s="24">
        <v>0</v>
      </c>
      <c r="AK76" s="24">
        <v>0</v>
      </c>
      <c r="AL76" s="24">
        <v>0</v>
      </c>
      <c r="AM76" s="31">
        <v>0</v>
      </c>
      <c r="AN76" s="24">
        <v>0</v>
      </c>
      <c r="AO76" s="24">
        <v>0</v>
      </c>
      <c r="AP76" s="24">
        <v>0</v>
      </c>
      <c r="AQ76" s="24">
        <v>0</v>
      </c>
      <c r="AR76" s="31">
        <v>0</v>
      </c>
      <c r="AS76" s="24">
        <v>0</v>
      </c>
      <c r="AT76" s="24">
        <v>0</v>
      </c>
      <c r="AU76" s="24">
        <v>0</v>
      </c>
      <c r="AV76" s="31">
        <v>0</v>
      </c>
      <c r="AW76" s="24">
        <v>0</v>
      </c>
      <c r="AX76" s="19">
        <v>0</v>
      </c>
      <c r="AY76" s="19">
        <v>0</v>
      </c>
      <c r="AZ76" s="19">
        <v>0</v>
      </c>
      <c r="BA76" s="19">
        <v>0</v>
      </c>
      <c r="BB76" s="37">
        <f t="shared" si="1"/>
        <v>0</v>
      </c>
    </row>
    <row r="77" spans="1:54" s="4" customFormat="1" ht="15" hidden="1" outlineLevel="1">
      <c r="A77" s="3" t="s">
        <v>76</v>
      </c>
      <c r="B77" s="24"/>
      <c r="C77" s="24">
        <v>0</v>
      </c>
      <c r="D77" s="24">
        <v>0</v>
      </c>
      <c r="E77" s="31">
        <v>0</v>
      </c>
      <c r="F77" s="24">
        <v>0</v>
      </c>
      <c r="G77" s="24">
        <v>0</v>
      </c>
      <c r="H77" s="24">
        <v>0</v>
      </c>
      <c r="I77" s="31">
        <v>0</v>
      </c>
      <c r="J77" s="24">
        <v>0</v>
      </c>
      <c r="K77" s="24">
        <v>0</v>
      </c>
      <c r="L77" s="24">
        <v>0</v>
      </c>
      <c r="M77" s="31">
        <v>0</v>
      </c>
      <c r="N77" s="24">
        <v>0</v>
      </c>
      <c r="O77" s="24">
        <v>0</v>
      </c>
      <c r="P77" s="24">
        <v>0</v>
      </c>
      <c r="Q77" s="31">
        <v>0</v>
      </c>
      <c r="R77" s="24">
        <v>0</v>
      </c>
      <c r="S77" s="24">
        <v>0</v>
      </c>
      <c r="T77" s="24">
        <v>0</v>
      </c>
      <c r="U77" s="24">
        <v>0</v>
      </c>
      <c r="V77" s="31">
        <v>0</v>
      </c>
      <c r="W77" s="24">
        <v>0</v>
      </c>
      <c r="X77" s="24">
        <v>0</v>
      </c>
      <c r="Y77" s="24">
        <v>0</v>
      </c>
      <c r="Z77" s="31">
        <v>0</v>
      </c>
      <c r="AA77" s="24">
        <v>0</v>
      </c>
      <c r="AB77" s="24">
        <v>0</v>
      </c>
      <c r="AC77" s="24">
        <v>0</v>
      </c>
      <c r="AD77" s="24">
        <v>0</v>
      </c>
      <c r="AE77" s="31">
        <v>0</v>
      </c>
      <c r="AF77" s="24">
        <v>0</v>
      </c>
      <c r="AG77" s="24">
        <v>0</v>
      </c>
      <c r="AH77" s="24">
        <v>0</v>
      </c>
      <c r="AI77" s="31">
        <v>0</v>
      </c>
      <c r="AJ77" s="24">
        <v>0</v>
      </c>
      <c r="AK77" s="24">
        <v>0</v>
      </c>
      <c r="AL77" s="24">
        <v>0</v>
      </c>
      <c r="AM77" s="31">
        <v>0</v>
      </c>
      <c r="AN77" s="24">
        <v>0</v>
      </c>
      <c r="AO77" s="24">
        <v>0</v>
      </c>
      <c r="AP77" s="24">
        <v>0</v>
      </c>
      <c r="AQ77" s="24">
        <v>0</v>
      </c>
      <c r="AR77" s="31">
        <v>0</v>
      </c>
      <c r="AS77" s="24">
        <v>0</v>
      </c>
      <c r="AT77" s="24">
        <v>0</v>
      </c>
      <c r="AU77" s="24">
        <v>0</v>
      </c>
      <c r="AV77" s="31">
        <v>0</v>
      </c>
      <c r="AW77" s="24">
        <v>0</v>
      </c>
      <c r="AX77" s="19">
        <v>0</v>
      </c>
      <c r="AY77" s="19">
        <v>0</v>
      </c>
      <c r="AZ77" s="19">
        <v>0</v>
      </c>
      <c r="BA77" s="19">
        <v>0</v>
      </c>
      <c r="BB77" s="37">
        <f t="shared" si="1"/>
        <v>0</v>
      </c>
    </row>
    <row r="78" spans="1:54" s="4" customFormat="1" ht="15" hidden="1" outlineLevel="1">
      <c r="A78" s="3" t="s">
        <v>77</v>
      </c>
      <c r="B78" s="24"/>
      <c r="C78" s="24">
        <v>0</v>
      </c>
      <c r="D78" s="24">
        <v>0</v>
      </c>
      <c r="E78" s="31">
        <v>0</v>
      </c>
      <c r="F78" s="24">
        <v>0</v>
      </c>
      <c r="G78" s="24">
        <v>0</v>
      </c>
      <c r="H78" s="24">
        <v>0</v>
      </c>
      <c r="I78" s="31">
        <v>0</v>
      </c>
      <c r="J78" s="24">
        <v>0</v>
      </c>
      <c r="K78" s="24">
        <v>0</v>
      </c>
      <c r="L78" s="24">
        <v>0</v>
      </c>
      <c r="M78" s="31">
        <v>0</v>
      </c>
      <c r="N78" s="24">
        <v>0</v>
      </c>
      <c r="O78" s="24">
        <v>0</v>
      </c>
      <c r="P78" s="24">
        <v>0</v>
      </c>
      <c r="Q78" s="31">
        <v>0</v>
      </c>
      <c r="R78" s="24">
        <v>0</v>
      </c>
      <c r="S78" s="24">
        <v>0</v>
      </c>
      <c r="T78" s="24">
        <v>0</v>
      </c>
      <c r="U78" s="24">
        <v>0</v>
      </c>
      <c r="V78" s="31">
        <v>0</v>
      </c>
      <c r="W78" s="24">
        <v>0</v>
      </c>
      <c r="X78" s="24">
        <v>0</v>
      </c>
      <c r="Y78" s="24">
        <v>0</v>
      </c>
      <c r="Z78" s="31">
        <v>0</v>
      </c>
      <c r="AA78" s="24">
        <v>0</v>
      </c>
      <c r="AB78" s="24">
        <v>0</v>
      </c>
      <c r="AC78" s="24">
        <v>0</v>
      </c>
      <c r="AD78" s="24">
        <v>0</v>
      </c>
      <c r="AE78" s="31">
        <v>0</v>
      </c>
      <c r="AF78" s="24">
        <v>0</v>
      </c>
      <c r="AG78" s="24">
        <v>0</v>
      </c>
      <c r="AH78" s="24">
        <v>0</v>
      </c>
      <c r="AI78" s="31">
        <v>0</v>
      </c>
      <c r="AJ78" s="24">
        <v>0</v>
      </c>
      <c r="AK78" s="24">
        <v>0</v>
      </c>
      <c r="AL78" s="24">
        <v>0</v>
      </c>
      <c r="AM78" s="31">
        <v>0</v>
      </c>
      <c r="AN78" s="24">
        <v>0</v>
      </c>
      <c r="AO78" s="24">
        <v>0</v>
      </c>
      <c r="AP78" s="24">
        <v>0</v>
      </c>
      <c r="AQ78" s="24">
        <v>0</v>
      </c>
      <c r="AR78" s="31">
        <v>0</v>
      </c>
      <c r="AS78" s="24">
        <v>0</v>
      </c>
      <c r="AT78" s="24">
        <v>0</v>
      </c>
      <c r="AU78" s="24">
        <v>0</v>
      </c>
      <c r="AV78" s="31">
        <v>0</v>
      </c>
      <c r="AW78" s="24">
        <v>0</v>
      </c>
      <c r="AX78" s="19">
        <v>0</v>
      </c>
      <c r="AY78" s="19">
        <v>0</v>
      </c>
      <c r="AZ78" s="19">
        <v>0</v>
      </c>
      <c r="BA78" s="19">
        <v>0</v>
      </c>
      <c r="BB78" s="37">
        <f t="shared" si="1"/>
        <v>0</v>
      </c>
    </row>
    <row r="79" spans="1:54" s="4" customFormat="1" ht="15" hidden="1" outlineLevel="1">
      <c r="A79" s="3" t="s">
        <v>78</v>
      </c>
      <c r="B79" s="24"/>
      <c r="C79" s="24">
        <v>0</v>
      </c>
      <c r="D79" s="24">
        <v>0</v>
      </c>
      <c r="E79" s="31">
        <v>0</v>
      </c>
      <c r="F79" s="24">
        <v>0</v>
      </c>
      <c r="G79" s="24">
        <v>0</v>
      </c>
      <c r="H79" s="24">
        <v>0</v>
      </c>
      <c r="I79" s="31">
        <v>0</v>
      </c>
      <c r="J79" s="24">
        <v>0</v>
      </c>
      <c r="K79" s="24">
        <v>0</v>
      </c>
      <c r="L79" s="24">
        <v>0</v>
      </c>
      <c r="M79" s="31">
        <v>0</v>
      </c>
      <c r="N79" s="24">
        <v>0</v>
      </c>
      <c r="O79" s="24">
        <v>0</v>
      </c>
      <c r="P79" s="24">
        <v>0</v>
      </c>
      <c r="Q79" s="31">
        <v>0</v>
      </c>
      <c r="R79" s="24">
        <v>0</v>
      </c>
      <c r="S79" s="24">
        <v>0</v>
      </c>
      <c r="T79" s="24">
        <v>0</v>
      </c>
      <c r="U79" s="24">
        <v>0</v>
      </c>
      <c r="V79" s="31">
        <v>0</v>
      </c>
      <c r="W79" s="24">
        <v>0</v>
      </c>
      <c r="X79" s="24">
        <v>0</v>
      </c>
      <c r="Y79" s="24">
        <v>0</v>
      </c>
      <c r="Z79" s="31">
        <v>-52833.82</v>
      </c>
      <c r="AA79" s="24">
        <v>-71345.320000000007</v>
      </c>
      <c r="AB79" s="24">
        <v>-71345.320000000007</v>
      </c>
      <c r="AC79" s="24">
        <v>-71345.320000000007</v>
      </c>
      <c r="AD79" s="24">
        <v>-71345.320000000007</v>
      </c>
      <c r="AE79" s="31">
        <v>-77324.039999999994</v>
      </c>
      <c r="AF79" s="24">
        <v>-77324.039999999994</v>
      </c>
      <c r="AG79" s="24">
        <v>-77324.039999999994</v>
      </c>
      <c r="AH79" s="24">
        <v>-77324.039999999994</v>
      </c>
      <c r="AI79" s="31">
        <v>-48875.19</v>
      </c>
      <c r="AJ79" s="24">
        <v>-48875.19</v>
      </c>
      <c r="AK79" s="24">
        <v>-48875.19</v>
      </c>
      <c r="AL79" s="24">
        <v>-48875.19</v>
      </c>
      <c r="AM79" s="31">
        <v>-48875.19</v>
      </c>
      <c r="AN79" s="24">
        <v>-80955.11</v>
      </c>
      <c r="AO79" s="24">
        <v>-80955.11</v>
      </c>
      <c r="AP79" s="24">
        <v>-80955.11</v>
      </c>
      <c r="AQ79" s="24">
        <v>-80955.11</v>
      </c>
      <c r="AR79" s="31">
        <v>-72685.5</v>
      </c>
      <c r="AS79" s="24">
        <v>-72685.5</v>
      </c>
      <c r="AT79" s="24">
        <v>-72685.5</v>
      </c>
      <c r="AU79" s="24">
        <v>-72685.5</v>
      </c>
      <c r="AV79" s="31">
        <v>-37543.370000000003</v>
      </c>
      <c r="AW79" s="24">
        <v>-37543.370000000003</v>
      </c>
      <c r="AX79" s="19">
        <v>-37543.370000000003</v>
      </c>
      <c r="AY79" s="19">
        <v>-37543.370000000003</v>
      </c>
      <c r="AZ79" s="19">
        <v>-37543.370000000003</v>
      </c>
      <c r="BA79" s="19">
        <v>-37543.370000000003</v>
      </c>
      <c r="BB79" s="37">
        <f t="shared" si="1"/>
        <v>-1731.7098700000006</v>
      </c>
    </row>
    <row r="80" spans="1:54" s="4" customFormat="1" ht="15" hidden="1" outlineLevel="1">
      <c r="A80" s="3" t="s">
        <v>79</v>
      </c>
      <c r="B80" s="24"/>
      <c r="C80" s="24">
        <v>0</v>
      </c>
      <c r="D80" s="24">
        <v>0</v>
      </c>
      <c r="E80" s="31">
        <v>0</v>
      </c>
      <c r="F80" s="24">
        <v>0</v>
      </c>
      <c r="G80" s="24">
        <v>0</v>
      </c>
      <c r="H80" s="24">
        <v>0</v>
      </c>
      <c r="I80" s="31">
        <v>0</v>
      </c>
      <c r="J80" s="24">
        <v>0</v>
      </c>
      <c r="K80" s="24">
        <v>0</v>
      </c>
      <c r="L80" s="24">
        <v>0</v>
      </c>
      <c r="M80" s="31">
        <v>0</v>
      </c>
      <c r="N80" s="24">
        <v>0</v>
      </c>
      <c r="O80" s="24">
        <v>0</v>
      </c>
      <c r="P80" s="24">
        <v>0</v>
      </c>
      <c r="Q80" s="31">
        <v>0</v>
      </c>
      <c r="R80" s="24">
        <v>0</v>
      </c>
      <c r="S80" s="24">
        <v>0</v>
      </c>
      <c r="T80" s="24">
        <v>0</v>
      </c>
      <c r="U80" s="24">
        <v>0</v>
      </c>
      <c r="V80" s="31">
        <v>0</v>
      </c>
      <c r="W80" s="24">
        <v>0</v>
      </c>
      <c r="X80" s="24">
        <v>0</v>
      </c>
      <c r="Y80" s="24">
        <v>0</v>
      </c>
      <c r="Z80" s="31">
        <v>0</v>
      </c>
      <c r="AA80" s="24">
        <v>0</v>
      </c>
      <c r="AB80" s="24">
        <v>0</v>
      </c>
      <c r="AC80" s="24">
        <v>0</v>
      </c>
      <c r="AD80" s="24">
        <v>0</v>
      </c>
      <c r="AE80" s="31">
        <v>0</v>
      </c>
      <c r="AF80" s="24">
        <v>0</v>
      </c>
      <c r="AG80" s="24">
        <v>0</v>
      </c>
      <c r="AH80" s="24">
        <v>0</v>
      </c>
      <c r="AI80" s="31">
        <v>0</v>
      </c>
      <c r="AJ80" s="24">
        <v>0</v>
      </c>
      <c r="AK80" s="24">
        <v>0</v>
      </c>
      <c r="AL80" s="24">
        <v>0</v>
      </c>
      <c r="AM80" s="31">
        <v>0</v>
      </c>
      <c r="AN80" s="24">
        <v>0</v>
      </c>
      <c r="AO80" s="24">
        <v>0</v>
      </c>
      <c r="AP80" s="24">
        <v>0</v>
      </c>
      <c r="AQ80" s="24">
        <v>0</v>
      </c>
      <c r="AR80" s="31">
        <v>0</v>
      </c>
      <c r="AS80" s="24">
        <v>0</v>
      </c>
      <c r="AT80" s="24">
        <v>0</v>
      </c>
      <c r="AU80" s="24">
        <v>0</v>
      </c>
      <c r="AV80" s="31">
        <v>0</v>
      </c>
      <c r="AW80" s="24">
        <v>0</v>
      </c>
      <c r="AX80" s="19">
        <v>0</v>
      </c>
      <c r="AY80" s="19">
        <v>0</v>
      </c>
      <c r="AZ80" s="19">
        <v>0</v>
      </c>
      <c r="BA80" s="19">
        <v>0</v>
      </c>
      <c r="BB80" s="37">
        <f t="shared" si="1"/>
        <v>0</v>
      </c>
    </row>
    <row r="81" spans="1:54" s="4" customFormat="1" ht="15" hidden="1" outlineLevel="1">
      <c r="A81" s="3" t="s">
        <v>80</v>
      </c>
      <c r="B81" s="24"/>
      <c r="C81" s="24">
        <v>0</v>
      </c>
      <c r="D81" s="24">
        <v>0</v>
      </c>
      <c r="E81" s="31">
        <v>0</v>
      </c>
      <c r="F81" s="24">
        <v>0</v>
      </c>
      <c r="G81" s="24">
        <v>0</v>
      </c>
      <c r="H81" s="24">
        <v>0</v>
      </c>
      <c r="I81" s="31">
        <v>0</v>
      </c>
      <c r="J81" s="24">
        <v>0</v>
      </c>
      <c r="K81" s="24">
        <v>0</v>
      </c>
      <c r="L81" s="24">
        <v>0</v>
      </c>
      <c r="M81" s="31">
        <v>0</v>
      </c>
      <c r="N81" s="24">
        <v>0</v>
      </c>
      <c r="O81" s="24">
        <v>0</v>
      </c>
      <c r="P81" s="24">
        <v>0</v>
      </c>
      <c r="Q81" s="31">
        <v>0</v>
      </c>
      <c r="R81" s="24">
        <v>0</v>
      </c>
      <c r="S81" s="24">
        <v>0</v>
      </c>
      <c r="T81" s="24">
        <v>0</v>
      </c>
      <c r="U81" s="24">
        <v>0</v>
      </c>
      <c r="V81" s="31">
        <v>0</v>
      </c>
      <c r="W81" s="24">
        <v>0</v>
      </c>
      <c r="X81" s="24">
        <v>0</v>
      </c>
      <c r="Y81" s="24">
        <v>0</v>
      </c>
      <c r="Z81" s="31">
        <v>0</v>
      </c>
      <c r="AA81" s="24">
        <v>0</v>
      </c>
      <c r="AB81" s="24">
        <v>0</v>
      </c>
      <c r="AC81" s="24">
        <v>0</v>
      </c>
      <c r="AD81" s="24">
        <v>0</v>
      </c>
      <c r="AE81" s="31">
        <v>0</v>
      </c>
      <c r="AF81" s="24">
        <v>0</v>
      </c>
      <c r="AG81" s="24">
        <v>0</v>
      </c>
      <c r="AH81" s="24">
        <v>0</v>
      </c>
      <c r="AI81" s="31">
        <v>0</v>
      </c>
      <c r="AJ81" s="24">
        <v>0</v>
      </c>
      <c r="AK81" s="24">
        <v>0</v>
      </c>
      <c r="AL81" s="24">
        <v>0</v>
      </c>
      <c r="AM81" s="31">
        <v>0</v>
      </c>
      <c r="AN81" s="24">
        <v>0</v>
      </c>
      <c r="AO81" s="24">
        <v>0</v>
      </c>
      <c r="AP81" s="24">
        <v>0</v>
      </c>
      <c r="AQ81" s="24">
        <v>0</v>
      </c>
      <c r="AR81" s="31">
        <v>0</v>
      </c>
      <c r="AS81" s="24">
        <v>0</v>
      </c>
      <c r="AT81" s="24">
        <v>0</v>
      </c>
      <c r="AU81" s="24">
        <v>0</v>
      </c>
      <c r="AV81" s="31">
        <v>0</v>
      </c>
      <c r="AW81" s="24">
        <v>0</v>
      </c>
      <c r="AX81" s="19">
        <v>0</v>
      </c>
      <c r="AY81" s="19">
        <v>0</v>
      </c>
      <c r="AZ81" s="19">
        <v>0</v>
      </c>
      <c r="BA81" s="19">
        <v>0</v>
      </c>
      <c r="BB81" s="37">
        <f t="shared" si="1"/>
        <v>0</v>
      </c>
    </row>
    <row r="82" spans="1:54" s="118" customFormat="1" ht="15" hidden="1" outlineLevel="1">
      <c r="A82" s="3" t="s">
        <v>81</v>
      </c>
      <c r="B82" s="121"/>
      <c r="C82" s="121">
        <v>-2119634.52</v>
      </c>
      <c r="D82" s="121">
        <v>-2318048.52</v>
      </c>
      <c r="E82" s="120">
        <v>-2091936.64</v>
      </c>
      <c r="F82" s="121">
        <v>-2159771.1399999997</v>
      </c>
      <c r="G82" s="121">
        <v>-5136826.93</v>
      </c>
      <c r="H82" s="121">
        <v>-5136826.93</v>
      </c>
      <c r="I82" s="120">
        <v>-2249106.6</v>
      </c>
      <c r="J82" s="121">
        <v>-1471182.6</v>
      </c>
      <c r="K82" s="121">
        <v>-1471182.6</v>
      </c>
      <c r="L82" s="121">
        <v>-2220842.23</v>
      </c>
      <c r="M82" s="120">
        <v>-15220206.59</v>
      </c>
      <c r="N82" s="121">
        <v>-2596317.16</v>
      </c>
      <c r="O82" s="121">
        <v>-2596317.16</v>
      </c>
      <c r="P82" s="121">
        <v>-2881802.69</v>
      </c>
      <c r="Q82" s="120">
        <v>-5183431.95</v>
      </c>
      <c r="R82" s="121">
        <v>-6165723.9900000002</v>
      </c>
      <c r="S82" s="121">
        <v>-8298458.7399999984</v>
      </c>
      <c r="T82" s="121">
        <v>-7141829.0700000003</v>
      </c>
      <c r="U82" s="121">
        <v>-7526043.2000000002</v>
      </c>
      <c r="V82" s="120">
        <v>-7625382.7199999997</v>
      </c>
      <c r="W82" s="121">
        <v>-6334590.1399999997</v>
      </c>
      <c r="X82" s="121">
        <v>-6501606.5599999996</v>
      </c>
      <c r="Y82" s="121">
        <v>-4474085.5999999996</v>
      </c>
      <c r="Z82" s="120">
        <v>-20839325.670000002</v>
      </c>
      <c r="AA82" s="121">
        <v>-6097902.3399999999</v>
      </c>
      <c r="AB82" s="121">
        <v>-6000695.1200000001</v>
      </c>
      <c r="AC82" s="121">
        <v>-24046269.52</v>
      </c>
      <c r="AD82" s="121">
        <v>-6021736.0199999996</v>
      </c>
      <c r="AE82" s="120">
        <v>-8670796.6199999992</v>
      </c>
      <c r="AF82" s="121">
        <v>-16622592.869999999</v>
      </c>
      <c r="AG82" s="121">
        <v>-5686129.2599999998</v>
      </c>
      <c r="AH82" s="121">
        <v>-4295724.26</v>
      </c>
      <c r="AI82" s="120">
        <v>-3762836.53</v>
      </c>
      <c r="AJ82" s="121">
        <v>-3707377.23</v>
      </c>
      <c r="AK82" s="121">
        <v>-11886362.369999999</v>
      </c>
      <c r="AL82" s="121">
        <v>-3250772.45</v>
      </c>
      <c r="AM82" s="120">
        <v>-3042435.67</v>
      </c>
      <c r="AN82" s="121">
        <v>-3422728.94</v>
      </c>
      <c r="AO82" s="121">
        <v>-10352192.390000001</v>
      </c>
      <c r="AP82" s="121">
        <v>-4713087.7300000004</v>
      </c>
      <c r="AQ82" s="121">
        <v>-3522893.32</v>
      </c>
      <c r="AR82" s="120">
        <v>-3558564.01</v>
      </c>
      <c r="AS82" s="121">
        <v>-3570163.27</v>
      </c>
      <c r="AT82" s="121">
        <v>-18606471.68</v>
      </c>
      <c r="AU82" s="121">
        <v>-3689949.78</v>
      </c>
      <c r="AV82" s="120">
        <v>-1927779.89</v>
      </c>
      <c r="AW82" s="121">
        <v>-1629179.61</v>
      </c>
      <c r="AX82" s="19">
        <v>-2731034.89</v>
      </c>
      <c r="AY82" s="19">
        <v>-1746013.84</v>
      </c>
      <c r="AZ82" s="19">
        <v>-1690409.75</v>
      </c>
      <c r="BA82" s="19">
        <v>-1340508.46</v>
      </c>
      <c r="BB82" s="37">
        <f t="shared" si="1"/>
        <v>-295353.08776999987</v>
      </c>
    </row>
    <row r="83" spans="1:54" s="4" customFormat="1" ht="15" hidden="1" outlineLevel="1">
      <c r="A83" s="3" t="s">
        <v>82</v>
      </c>
      <c r="B83" s="24"/>
      <c r="C83" s="24">
        <v>0</v>
      </c>
      <c r="D83" s="24">
        <v>0</v>
      </c>
      <c r="E83" s="31">
        <v>0</v>
      </c>
      <c r="F83" s="24">
        <v>0</v>
      </c>
      <c r="G83" s="24">
        <v>0</v>
      </c>
      <c r="H83" s="24">
        <v>0</v>
      </c>
      <c r="I83" s="31">
        <v>0</v>
      </c>
      <c r="J83" s="24">
        <v>0</v>
      </c>
      <c r="K83" s="24">
        <v>0</v>
      </c>
      <c r="L83" s="24">
        <v>0</v>
      </c>
      <c r="M83" s="31">
        <v>0</v>
      </c>
      <c r="N83" s="24">
        <v>0</v>
      </c>
      <c r="O83" s="24">
        <v>0</v>
      </c>
      <c r="P83" s="24">
        <v>0</v>
      </c>
      <c r="Q83" s="31">
        <v>0</v>
      </c>
      <c r="R83" s="24">
        <v>0</v>
      </c>
      <c r="S83" s="24">
        <v>0</v>
      </c>
      <c r="T83" s="24">
        <v>0</v>
      </c>
      <c r="U83" s="24">
        <v>0</v>
      </c>
      <c r="V83" s="31">
        <v>0</v>
      </c>
      <c r="W83" s="24">
        <v>0</v>
      </c>
      <c r="X83" s="24">
        <v>0</v>
      </c>
      <c r="Y83" s="24">
        <v>0</v>
      </c>
      <c r="Z83" s="31">
        <v>0</v>
      </c>
      <c r="AA83" s="24">
        <v>0</v>
      </c>
      <c r="AB83" s="24">
        <v>0</v>
      </c>
      <c r="AC83" s="24">
        <v>0</v>
      </c>
      <c r="AD83" s="24">
        <v>0</v>
      </c>
      <c r="AE83" s="31">
        <v>0</v>
      </c>
      <c r="AF83" s="24">
        <v>0</v>
      </c>
      <c r="AG83" s="24">
        <v>0</v>
      </c>
      <c r="AH83" s="24">
        <v>0</v>
      </c>
      <c r="AI83" s="31">
        <v>0</v>
      </c>
      <c r="AJ83" s="24">
        <v>0</v>
      </c>
      <c r="AK83" s="24">
        <v>0</v>
      </c>
      <c r="AL83" s="24">
        <v>0</v>
      </c>
      <c r="AM83" s="31">
        <v>0</v>
      </c>
      <c r="AN83" s="24">
        <v>0</v>
      </c>
      <c r="AO83" s="24">
        <v>0</v>
      </c>
      <c r="AP83" s="24">
        <v>0</v>
      </c>
      <c r="AQ83" s="24">
        <v>0</v>
      </c>
      <c r="AR83" s="31">
        <v>0</v>
      </c>
      <c r="AS83" s="24">
        <v>0</v>
      </c>
      <c r="AT83" s="24">
        <v>0</v>
      </c>
      <c r="AU83" s="24">
        <v>0</v>
      </c>
      <c r="AV83" s="31">
        <v>0</v>
      </c>
      <c r="AW83" s="24">
        <v>0</v>
      </c>
      <c r="AX83" s="19">
        <v>0</v>
      </c>
      <c r="AY83" s="19">
        <v>0</v>
      </c>
      <c r="AZ83" s="19">
        <v>0</v>
      </c>
      <c r="BA83" s="19">
        <v>0</v>
      </c>
      <c r="BB83" s="37">
        <f t="shared" si="1"/>
        <v>0</v>
      </c>
    </row>
    <row r="84" spans="1:54" s="4" customFormat="1" ht="15" hidden="1" outlineLevel="1">
      <c r="A84" s="3" t="s">
        <v>83</v>
      </c>
      <c r="B84" s="24"/>
      <c r="C84" s="24">
        <v>0</v>
      </c>
      <c r="D84" s="24">
        <v>0</v>
      </c>
      <c r="E84" s="31">
        <v>0</v>
      </c>
      <c r="F84" s="24">
        <v>0</v>
      </c>
      <c r="G84" s="24">
        <v>0</v>
      </c>
      <c r="H84" s="24">
        <v>0</v>
      </c>
      <c r="I84" s="31">
        <v>0</v>
      </c>
      <c r="J84" s="24">
        <v>0</v>
      </c>
      <c r="K84" s="24">
        <v>0</v>
      </c>
      <c r="L84" s="24">
        <v>0</v>
      </c>
      <c r="M84" s="31">
        <v>0</v>
      </c>
      <c r="N84" s="24">
        <v>0</v>
      </c>
      <c r="O84" s="24">
        <v>0</v>
      </c>
      <c r="P84" s="24">
        <v>0</v>
      </c>
      <c r="Q84" s="31">
        <v>0</v>
      </c>
      <c r="R84" s="24">
        <v>0</v>
      </c>
      <c r="S84" s="24">
        <v>0</v>
      </c>
      <c r="T84" s="24">
        <v>0</v>
      </c>
      <c r="U84" s="24">
        <v>0</v>
      </c>
      <c r="V84" s="31">
        <v>0</v>
      </c>
      <c r="W84" s="24">
        <v>0</v>
      </c>
      <c r="X84" s="24">
        <v>0</v>
      </c>
      <c r="Y84" s="24">
        <v>0</v>
      </c>
      <c r="Z84" s="31">
        <v>0</v>
      </c>
      <c r="AA84" s="24">
        <v>0</v>
      </c>
      <c r="AB84" s="24">
        <v>0</v>
      </c>
      <c r="AC84" s="24">
        <v>0</v>
      </c>
      <c r="AD84" s="24">
        <v>0</v>
      </c>
      <c r="AE84" s="31">
        <v>0</v>
      </c>
      <c r="AF84" s="24">
        <v>0</v>
      </c>
      <c r="AG84" s="24">
        <v>0</v>
      </c>
      <c r="AH84" s="24">
        <v>0</v>
      </c>
      <c r="AI84" s="31">
        <v>0</v>
      </c>
      <c r="AJ84" s="24">
        <v>0</v>
      </c>
      <c r="AK84" s="24">
        <v>0</v>
      </c>
      <c r="AL84" s="24">
        <v>0</v>
      </c>
      <c r="AM84" s="31">
        <v>0</v>
      </c>
      <c r="AN84" s="24">
        <v>0</v>
      </c>
      <c r="AO84" s="24">
        <v>0</v>
      </c>
      <c r="AP84" s="24">
        <v>0</v>
      </c>
      <c r="AQ84" s="24">
        <v>0</v>
      </c>
      <c r="AR84" s="31">
        <v>0</v>
      </c>
      <c r="AS84" s="24">
        <v>0</v>
      </c>
      <c r="AT84" s="24">
        <v>0</v>
      </c>
      <c r="AU84" s="24">
        <v>0</v>
      </c>
      <c r="AV84" s="31">
        <v>0</v>
      </c>
      <c r="AW84" s="24">
        <v>0</v>
      </c>
      <c r="AX84" s="19">
        <v>0</v>
      </c>
      <c r="AY84" s="19">
        <v>0</v>
      </c>
      <c r="AZ84" s="19">
        <v>0</v>
      </c>
      <c r="BA84" s="19">
        <v>0</v>
      </c>
      <c r="BB84" s="37">
        <f t="shared" si="1"/>
        <v>0</v>
      </c>
    </row>
    <row r="85" spans="1:54" s="4" customFormat="1" ht="15" hidden="1" outlineLevel="1">
      <c r="A85" s="3" t="s">
        <v>84</v>
      </c>
      <c r="B85" s="24"/>
      <c r="C85" s="24">
        <v>0</v>
      </c>
      <c r="D85" s="24">
        <v>0</v>
      </c>
      <c r="E85" s="31">
        <v>0</v>
      </c>
      <c r="F85" s="24">
        <v>0</v>
      </c>
      <c r="G85" s="24">
        <v>0</v>
      </c>
      <c r="H85" s="24">
        <v>0</v>
      </c>
      <c r="I85" s="31">
        <v>0</v>
      </c>
      <c r="J85" s="24">
        <v>0</v>
      </c>
      <c r="K85" s="24">
        <v>0</v>
      </c>
      <c r="L85" s="24">
        <v>0</v>
      </c>
      <c r="M85" s="31">
        <v>0</v>
      </c>
      <c r="N85" s="24">
        <v>0</v>
      </c>
      <c r="O85" s="24">
        <v>0</v>
      </c>
      <c r="P85" s="24">
        <v>0</v>
      </c>
      <c r="Q85" s="31">
        <v>0</v>
      </c>
      <c r="R85" s="24">
        <v>0</v>
      </c>
      <c r="S85" s="24">
        <v>0</v>
      </c>
      <c r="T85" s="24">
        <v>0</v>
      </c>
      <c r="U85" s="24">
        <v>0</v>
      </c>
      <c r="V85" s="31">
        <v>0</v>
      </c>
      <c r="W85" s="24">
        <v>0</v>
      </c>
      <c r="X85" s="24">
        <v>0</v>
      </c>
      <c r="Y85" s="24">
        <v>0</v>
      </c>
      <c r="Z85" s="31">
        <v>0</v>
      </c>
      <c r="AA85" s="24">
        <v>0</v>
      </c>
      <c r="AB85" s="24">
        <v>0</v>
      </c>
      <c r="AC85" s="24">
        <v>0</v>
      </c>
      <c r="AD85" s="24">
        <v>0</v>
      </c>
      <c r="AE85" s="31">
        <v>0</v>
      </c>
      <c r="AF85" s="24">
        <v>0</v>
      </c>
      <c r="AG85" s="24">
        <v>0</v>
      </c>
      <c r="AH85" s="24">
        <v>0</v>
      </c>
      <c r="AI85" s="31">
        <v>0</v>
      </c>
      <c r="AJ85" s="24">
        <v>0</v>
      </c>
      <c r="AK85" s="24">
        <v>0</v>
      </c>
      <c r="AL85" s="24">
        <v>0</v>
      </c>
      <c r="AM85" s="31">
        <v>0</v>
      </c>
      <c r="AN85" s="24">
        <v>0</v>
      </c>
      <c r="AO85" s="24">
        <v>0</v>
      </c>
      <c r="AP85" s="24">
        <v>0</v>
      </c>
      <c r="AQ85" s="24">
        <v>0</v>
      </c>
      <c r="AR85" s="31">
        <v>0</v>
      </c>
      <c r="AS85" s="24">
        <v>0</v>
      </c>
      <c r="AT85" s="24">
        <v>0</v>
      </c>
      <c r="AU85" s="24">
        <v>0</v>
      </c>
      <c r="AV85" s="31">
        <v>0</v>
      </c>
      <c r="AW85" s="24">
        <v>0</v>
      </c>
      <c r="AX85" s="19">
        <v>0</v>
      </c>
      <c r="AY85" s="19">
        <v>0</v>
      </c>
      <c r="AZ85" s="19">
        <v>0</v>
      </c>
      <c r="BA85" s="19">
        <v>0</v>
      </c>
      <c r="BB85" s="37">
        <f t="shared" si="1"/>
        <v>0</v>
      </c>
    </row>
    <row r="86" spans="1:54" s="4" customFormat="1" ht="15" hidden="1" outlineLevel="1">
      <c r="A86" s="3" t="s">
        <v>85</v>
      </c>
      <c r="B86" s="24"/>
      <c r="C86" s="24">
        <v>0</v>
      </c>
      <c r="D86" s="24">
        <v>0</v>
      </c>
      <c r="E86" s="31">
        <v>0</v>
      </c>
      <c r="F86" s="24">
        <v>0</v>
      </c>
      <c r="G86" s="24">
        <v>0</v>
      </c>
      <c r="H86" s="24">
        <v>0</v>
      </c>
      <c r="I86" s="31">
        <v>0</v>
      </c>
      <c r="J86" s="24">
        <v>0</v>
      </c>
      <c r="K86" s="24">
        <v>0</v>
      </c>
      <c r="L86" s="24">
        <v>0</v>
      </c>
      <c r="M86" s="31">
        <v>0</v>
      </c>
      <c r="N86" s="24">
        <v>0</v>
      </c>
      <c r="O86" s="24">
        <v>0</v>
      </c>
      <c r="P86" s="24">
        <v>0</v>
      </c>
      <c r="Q86" s="31">
        <v>0</v>
      </c>
      <c r="R86" s="24">
        <v>0</v>
      </c>
      <c r="S86" s="24">
        <v>0</v>
      </c>
      <c r="T86" s="24">
        <v>0</v>
      </c>
      <c r="U86" s="24">
        <v>0</v>
      </c>
      <c r="V86" s="31">
        <v>0</v>
      </c>
      <c r="W86" s="24">
        <v>0</v>
      </c>
      <c r="X86" s="24">
        <v>0</v>
      </c>
      <c r="Y86" s="24">
        <v>0</v>
      </c>
      <c r="Z86" s="31">
        <v>0</v>
      </c>
      <c r="AA86" s="24">
        <v>0</v>
      </c>
      <c r="AB86" s="24">
        <v>0</v>
      </c>
      <c r="AC86" s="24">
        <v>0</v>
      </c>
      <c r="AD86" s="24">
        <v>0</v>
      </c>
      <c r="AE86" s="31">
        <v>0</v>
      </c>
      <c r="AF86" s="24">
        <v>0</v>
      </c>
      <c r="AG86" s="24">
        <v>0</v>
      </c>
      <c r="AH86" s="24">
        <v>0</v>
      </c>
      <c r="AI86" s="31">
        <v>0</v>
      </c>
      <c r="AJ86" s="24">
        <v>0</v>
      </c>
      <c r="AK86" s="24">
        <v>0</v>
      </c>
      <c r="AL86" s="24">
        <v>0</v>
      </c>
      <c r="AM86" s="31">
        <v>0</v>
      </c>
      <c r="AN86" s="24">
        <v>0</v>
      </c>
      <c r="AO86" s="24">
        <v>0</v>
      </c>
      <c r="AP86" s="24">
        <v>0</v>
      </c>
      <c r="AQ86" s="24">
        <v>0</v>
      </c>
      <c r="AR86" s="31">
        <v>0</v>
      </c>
      <c r="AS86" s="24">
        <v>0</v>
      </c>
      <c r="AT86" s="24">
        <v>0</v>
      </c>
      <c r="AU86" s="24">
        <v>0</v>
      </c>
      <c r="AV86" s="31">
        <v>0</v>
      </c>
      <c r="AW86" s="24">
        <v>0</v>
      </c>
      <c r="AX86" s="19">
        <v>0</v>
      </c>
      <c r="AY86" s="19">
        <v>0</v>
      </c>
      <c r="AZ86" s="19">
        <v>0</v>
      </c>
      <c r="BA86" s="19">
        <v>0</v>
      </c>
      <c r="BB86" s="37">
        <f t="shared" si="1"/>
        <v>0</v>
      </c>
    </row>
    <row r="87" spans="1:54" s="4" customFormat="1" ht="15" hidden="1" outlineLevel="1">
      <c r="A87" s="3" t="s">
        <v>86</v>
      </c>
      <c r="B87" s="24"/>
      <c r="C87" s="24">
        <v>0</v>
      </c>
      <c r="D87" s="24">
        <v>0</v>
      </c>
      <c r="E87" s="31">
        <v>0</v>
      </c>
      <c r="F87" s="24">
        <v>0</v>
      </c>
      <c r="G87" s="24">
        <v>0</v>
      </c>
      <c r="H87" s="24">
        <v>0</v>
      </c>
      <c r="I87" s="31">
        <v>0</v>
      </c>
      <c r="J87" s="24">
        <v>0</v>
      </c>
      <c r="K87" s="24">
        <v>0</v>
      </c>
      <c r="L87" s="24">
        <v>0</v>
      </c>
      <c r="M87" s="31">
        <v>0</v>
      </c>
      <c r="N87" s="24">
        <v>0</v>
      </c>
      <c r="O87" s="24">
        <v>0</v>
      </c>
      <c r="P87" s="24">
        <v>0</v>
      </c>
      <c r="Q87" s="31">
        <v>0</v>
      </c>
      <c r="R87" s="24">
        <v>0</v>
      </c>
      <c r="S87" s="24">
        <v>0</v>
      </c>
      <c r="T87" s="24">
        <v>0</v>
      </c>
      <c r="U87" s="24">
        <v>0</v>
      </c>
      <c r="V87" s="31">
        <v>0</v>
      </c>
      <c r="W87" s="24">
        <v>0</v>
      </c>
      <c r="X87" s="24">
        <v>0</v>
      </c>
      <c r="Y87" s="24">
        <v>0</v>
      </c>
      <c r="Z87" s="31">
        <v>-36709.42</v>
      </c>
      <c r="AA87" s="24">
        <v>-48713.34</v>
      </c>
      <c r="AB87" s="24">
        <v>-48713.34</v>
      </c>
      <c r="AC87" s="24">
        <v>-48713.34</v>
      </c>
      <c r="AD87" s="24">
        <v>-48713.34</v>
      </c>
      <c r="AE87" s="31">
        <v>-50765.47</v>
      </c>
      <c r="AF87" s="24">
        <v>-50765.47</v>
      </c>
      <c r="AG87" s="24">
        <v>-50765.47</v>
      </c>
      <c r="AH87" s="24">
        <v>-50765.47</v>
      </c>
      <c r="AI87" s="31">
        <v>-38338.400000000001</v>
      </c>
      <c r="AJ87" s="24">
        <v>-38338.400000000001</v>
      </c>
      <c r="AK87" s="24">
        <v>-38338.400000000001</v>
      </c>
      <c r="AL87" s="24">
        <v>-38338.400000000001</v>
      </c>
      <c r="AM87" s="31">
        <v>-38338.400000000001</v>
      </c>
      <c r="AN87" s="24">
        <v>-48759.94</v>
      </c>
      <c r="AO87" s="24">
        <v>-48759.94</v>
      </c>
      <c r="AP87" s="24">
        <v>-48759.94</v>
      </c>
      <c r="AQ87" s="24">
        <v>-48759.94</v>
      </c>
      <c r="AR87" s="31">
        <v>-47370.27</v>
      </c>
      <c r="AS87" s="24">
        <v>-47370.27</v>
      </c>
      <c r="AT87" s="24">
        <v>-47370.27</v>
      </c>
      <c r="AU87" s="24">
        <v>-47370.27</v>
      </c>
      <c r="AV87" s="31">
        <v>-33105.699999999997</v>
      </c>
      <c r="AW87" s="24">
        <v>-33105.699999999997</v>
      </c>
      <c r="AX87" s="19">
        <v>-33105.699999999997</v>
      </c>
      <c r="AY87" s="19">
        <v>-33105.699999999997</v>
      </c>
      <c r="AZ87" s="19">
        <v>-33105.699999999997</v>
      </c>
      <c r="BA87" s="19">
        <v>-33105.699999999997</v>
      </c>
      <c r="BB87" s="37">
        <f t="shared" si="1"/>
        <v>-1209.4716999999998</v>
      </c>
    </row>
    <row r="88" spans="1:54" s="4" customFormat="1" ht="15" hidden="1" outlineLevel="1">
      <c r="A88" s="3" t="s">
        <v>87</v>
      </c>
      <c r="B88" s="24"/>
      <c r="C88" s="24">
        <v>0</v>
      </c>
      <c r="D88" s="24">
        <v>0</v>
      </c>
      <c r="E88" s="31">
        <v>0</v>
      </c>
      <c r="F88" s="24">
        <v>0</v>
      </c>
      <c r="G88" s="24">
        <v>0</v>
      </c>
      <c r="H88" s="24">
        <v>0</v>
      </c>
      <c r="I88" s="31">
        <v>0</v>
      </c>
      <c r="J88" s="24">
        <v>0</v>
      </c>
      <c r="K88" s="24">
        <v>0</v>
      </c>
      <c r="L88" s="24">
        <v>0</v>
      </c>
      <c r="M88" s="31">
        <v>0</v>
      </c>
      <c r="N88" s="24">
        <v>0</v>
      </c>
      <c r="O88" s="24">
        <v>0</v>
      </c>
      <c r="P88" s="24">
        <v>0</v>
      </c>
      <c r="Q88" s="31">
        <v>0</v>
      </c>
      <c r="R88" s="24">
        <v>0</v>
      </c>
      <c r="S88" s="24">
        <v>0</v>
      </c>
      <c r="T88" s="24">
        <v>0</v>
      </c>
      <c r="U88" s="24">
        <v>0</v>
      </c>
      <c r="V88" s="31">
        <v>0</v>
      </c>
      <c r="W88" s="24">
        <v>0</v>
      </c>
      <c r="X88" s="24">
        <v>0</v>
      </c>
      <c r="Y88" s="24">
        <v>0</v>
      </c>
      <c r="Z88" s="31">
        <v>-461741.34</v>
      </c>
      <c r="AA88" s="24">
        <v>0</v>
      </c>
      <c r="AB88" s="24">
        <v>0</v>
      </c>
      <c r="AC88" s="24">
        <v>0</v>
      </c>
      <c r="AD88" s="24">
        <v>0</v>
      </c>
      <c r="AE88" s="31">
        <v>-437725.34</v>
      </c>
      <c r="AF88" s="24">
        <v>0</v>
      </c>
      <c r="AG88" s="24">
        <v>0</v>
      </c>
      <c r="AH88" s="24">
        <v>0</v>
      </c>
      <c r="AI88" s="31">
        <v>-453933.34</v>
      </c>
      <c r="AJ88" s="24">
        <v>0</v>
      </c>
      <c r="AK88" s="24">
        <v>0</v>
      </c>
      <c r="AL88" s="24">
        <v>0</v>
      </c>
      <c r="AM88" s="31">
        <v>0</v>
      </c>
      <c r="AN88" s="24">
        <v>-379829.34</v>
      </c>
      <c r="AO88" s="24">
        <v>0</v>
      </c>
      <c r="AP88" s="24">
        <v>0</v>
      </c>
      <c r="AQ88" s="24">
        <v>0</v>
      </c>
      <c r="AR88" s="31">
        <v>-420843.34</v>
      </c>
      <c r="AS88" s="24">
        <v>0</v>
      </c>
      <c r="AT88" s="24">
        <v>0</v>
      </c>
      <c r="AU88" s="24">
        <v>0</v>
      </c>
      <c r="AV88" s="31">
        <v>-388033.34</v>
      </c>
      <c r="AW88" s="24">
        <v>0</v>
      </c>
      <c r="AX88" s="19">
        <v>0</v>
      </c>
      <c r="AY88" s="19">
        <v>0</v>
      </c>
      <c r="AZ88" s="19">
        <v>-347288.34</v>
      </c>
      <c r="BA88" s="19">
        <v>0</v>
      </c>
      <c r="BB88" s="37">
        <f t="shared" si="1"/>
        <v>-2889.3943799999997</v>
      </c>
    </row>
    <row r="89" spans="1:54" s="4" customFormat="1" ht="15" hidden="1" outlineLevel="1">
      <c r="A89" s="3" t="s">
        <v>88</v>
      </c>
      <c r="B89" s="24"/>
      <c r="C89" s="24">
        <v>-6769584.4000000004</v>
      </c>
      <c r="D89" s="24">
        <v>-4900907.37</v>
      </c>
      <c r="E89" s="31">
        <v>-5423603.21</v>
      </c>
      <c r="F89" s="24">
        <v>-6424151.8799999999</v>
      </c>
      <c r="G89" s="24">
        <v>-5184980.04</v>
      </c>
      <c r="H89" s="24">
        <v>-6279674.9400000004</v>
      </c>
      <c r="I89" s="31">
        <v>-6537055.5499999998</v>
      </c>
      <c r="J89" s="24">
        <v>-6864018.5</v>
      </c>
      <c r="K89" s="24">
        <v>-6468636.5900000101</v>
      </c>
      <c r="L89" s="24">
        <v>-6905090.2199999997</v>
      </c>
      <c r="M89" s="31">
        <v>-5082515.1300000008</v>
      </c>
      <c r="N89" s="24">
        <v>-6358415.1299999999</v>
      </c>
      <c r="O89" s="24">
        <v>-4698589.4400000004</v>
      </c>
      <c r="P89" s="24">
        <v>-6304499.2400000002</v>
      </c>
      <c r="Q89" s="31">
        <v>-4173252.61</v>
      </c>
      <c r="R89" s="24">
        <v>-6943392.2100000009</v>
      </c>
      <c r="S89" s="24">
        <v>-5785243.1900000004</v>
      </c>
      <c r="T89" s="24">
        <v>-4230137.33</v>
      </c>
      <c r="U89" s="24">
        <v>-6280634.3099999996</v>
      </c>
      <c r="V89" s="31">
        <v>-6455816.0999999996</v>
      </c>
      <c r="W89" s="24">
        <v>-7659426.29</v>
      </c>
      <c r="X89" s="24">
        <v>-5423766.3700000001</v>
      </c>
      <c r="Y89" s="24">
        <v>-4646281.3</v>
      </c>
      <c r="Z89" s="31">
        <v>-690847.03</v>
      </c>
      <c r="AA89" s="24">
        <v>-822439.8</v>
      </c>
      <c r="AB89" s="24">
        <v>-822439.8</v>
      </c>
      <c r="AC89" s="24">
        <v>-822439.8</v>
      </c>
      <c r="AD89" s="24">
        <v>-822439.8</v>
      </c>
      <c r="AE89" s="31">
        <v>-795735.15</v>
      </c>
      <c r="AF89" s="24">
        <v>-795735.15</v>
      </c>
      <c r="AG89" s="24">
        <v>-795735.15</v>
      </c>
      <c r="AH89" s="24">
        <v>-795735.15</v>
      </c>
      <c r="AI89" s="31">
        <v>-653451.91</v>
      </c>
      <c r="AJ89" s="24">
        <v>-653451.91</v>
      </c>
      <c r="AK89" s="24">
        <v>-653451.91</v>
      </c>
      <c r="AL89" s="24">
        <v>-653451.91</v>
      </c>
      <c r="AM89" s="31">
        <v>-653451.91</v>
      </c>
      <c r="AN89" s="24">
        <v>-879480.13</v>
      </c>
      <c r="AO89" s="24">
        <v>-879480.13</v>
      </c>
      <c r="AP89" s="24">
        <v>-879480.13</v>
      </c>
      <c r="AQ89" s="24">
        <v>-879480.13</v>
      </c>
      <c r="AR89" s="31">
        <v>-783447.69</v>
      </c>
      <c r="AS89" s="24">
        <v>-783447.69</v>
      </c>
      <c r="AT89" s="24">
        <v>-783447.69</v>
      </c>
      <c r="AU89" s="24">
        <v>-783447.69</v>
      </c>
      <c r="AV89" s="31">
        <v>-581963.31999999995</v>
      </c>
      <c r="AW89" s="24">
        <v>-581963.31999999995</v>
      </c>
      <c r="AX89" s="19">
        <v>-581963.31999999995</v>
      </c>
      <c r="AY89" s="19">
        <v>-581963.31999999995</v>
      </c>
      <c r="AZ89" s="19">
        <v>-581963.31999999995</v>
      </c>
      <c r="BA89" s="19">
        <v>-581963.31999999995</v>
      </c>
      <c r="BB89" s="37">
        <f t="shared" si="1"/>
        <v>-156373.96893</v>
      </c>
    </row>
    <row r="90" spans="1:54" s="4" customFormat="1" ht="15" hidden="1" outlineLevel="1">
      <c r="A90" s="3" t="s">
        <v>89</v>
      </c>
      <c r="B90" s="24"/>
      <c r="C90" s="24">
        <v>0</v>
      </c>
      <c r="D90" s="24">
        <v>0</v>
      </c>
      <c r="E90" s="31">
        <v>0</v>
      </c>
      <c r="F90" s="24">
        <v>0</v>
      </c>
      <c r="G90" s="24">
        <v>0</v>
      </c>
      <c r="H90" s="24">
        <v>0</v>
      </c>
      <c r="I90" s="31">
        <v>0</v>
      </c>
      <c r="J90" s="24">
        <v>0</v>
      </c>
      <c r="K90" s="24">
        <v>0</v>
      </c>
      <c r="L90" s="24">
        <v>0</v>
      </c>
      <c r="M90" s="31">
        <v>0</v>
      </c>
      <c r="N90" s="24">
        <v>0</v>
      </c>
      <c r="O90" s="24">
        <v>0</v>
      </c>
      <c r="P90" s="24">
        <v>0</v>
      </c>
      <c r="Q90" s="31">
        <v>0</v>
      </c>
      <c r="R90" s="24">
        <v>0</v>
      </c>
      <c r="S90" s="24">
        <v>0</v>
      </c>
      <c r="T90" s="24">
        <v>0</v>
      </c>
      <c r="U90" s="24">
        <v>0</v>
      </c>
      <c r="V90" s="31">
        <v>0</v>
      </c>
      <c r="W90" s="24">
        <v>0</v>
      </c>
      <c r="X90" s="24">
        <v>0</v>
      </c>
      <c r="Y90" s="24">
        <v>0</v>
      </c>
      <c r="Z90" s="31">
        <v>-16262.05</v>
      </c>
      <c r="AA90" s="24">
        <v>-20286.41</v>
      </c>
      <c r="AB90" s="24">
        <v>-20286.41</v>
      </c>
      <c r="AC90" s="24">
        <v>-20286.41</v>
      </c>
      <c r="AD90" s="24">
        <v>-20286.41</v>
      </c>
      <c r="AE90" s="31">
        <v>-20286.41</v>
      </c>
      <c r="AF90" s="24">
        <v>-20286.41</v>
      </c>
      <c r="AG90" s="24">
        <v>-20286.41</v>
      </c>
      <c r="AH90" s="24">
        <v>-20286.41</v>
      </c>
      <c r="AI90" s="31">
        <v>-16262.05</v>
      </c>
      <c r="AJ90" s="24">
        <v>-16262.05</v>
      </c>
      <c r="AK90" s="24">
        <v>-16262.05</v>
      </c>
      <c r="AL90" s="24">
        <v>-16262.05</v>
      </c>
      <c r="AM90" s="31">
        <v>-16262.05</v>
      </c>
      <c r="AN90" s="24">
        <v>-19728.060000000001</v>
      </c>
      <c r="AO90" s="24">
        <v>-19728.060000000001</v>
      </c>
      <c r="AP90" s="24">
        <v>-19728.060000000001</v>
      </c>
      <c r="AQ90" s="24">
        <v>-19728.060000000001</v>
      </c>
      <c r="AR90" s="31">
        <v>-20286.41</v>
      </c>
      <c r="AS90" s="24">
        <v>-20286.41</v>
      </c>
      <c r="AT90" s="24">
        <v>-20286.41</v>
      </c>
      <c r="AU90" s="24">
        <v>-20286.41</v>
      </c>
      <c r="AV90" s="31">
        <v>-13204.76</v>
      </c>
      <c r="AW90" s="24">
        <v>-13204.76</v>
      </c>
      <c r="AX90" s="19">
        <v>-13204.76</v>
      </c>
      <c r="AY90" s="19">
        <v>-13204.76</v>
      </c>
      <c r="AZ90" s="19">
        <v>-13204.76</v>
      </c>
      <c r="BA90" s="19">
        <v>-13204.76</v>
      </c>
      <c r="BB90" s="37">
        <f t="shared" si="1"/>
        <v>-499.15001999999993</v>
      </c>
    </row>
    <row r="91" spans="1:54" s="4" customFormat="1" ht="15" hidden="1" outlineLevel="1">
      <c r="A91" s="3" t="s">
        <v>90</v>
      </c>
      <c r="B91" s="24"/>
      <c r="C91" s="24">
        <v>0</v>
      </c>
      <c r="D91" s="24">
        <v>0</v>
      </c>
      <c r="E91" s="31">
        <v>0</v>
      </c>
      <c r="F91" s="24">
        <v>0</v>
      </c>
      <c r="G91" s="24">
        <v>0</v>
      </c>
      <c r="H91" s="24">
        <v>0</v>
      </c>
      <c r="I91" s="31">
        <v>0</v>
      </c>
      <c r="J91" s="24">
        <v>0</v>
      </c>
      <c r="K91" s="24">
        <v>0</v>
      </c>
      <c r="L91" s="24">
        <v>0</v>
      </c>
      <c r="M91" s="31">
        <v>0</v>
      </c>
      <c r="N91" s="24">
        <v>0</v>
      </c>
      <c r="O91" s="24">
        <v>0</v>
      </c>
      <c r="P91" s="24">
        <v>0</v>
      </c>
      <c r="Q91" s="31">
        <v>0</v>
      </c>
      <c r="R91" s="24">
        <v>0</v>
      </c>
      <c r="S91" s="24">
        <v>0</v>
      </c>
      <c r="T91" s="24">
        <v>0</v>
      </c>
      <c r="U91" s="24">
        <v>0</v>
      </c>
      <c r="V91" s="31">
        <v>0</v>
      </c>
      <c r="W91" s="24">
        <v>0</v>
      </c>
      <c r="X91" s="24">
        <v>0</v>
      </c>
      <c r="Y91" s="24">
        <v>0</v>
      </c>
      <c r="Z91" s="31">
        <v>0</v>
      </c>
      <c r="AA91" s="24">
        <v>0</v>
      </c>
      <c r="AB91" s="24">
        <v>0</v>
      </c>
      <c r="AC91" s="24">
        <v>0</v>
      </c>
      <c r="AD91" s="24">
        <v>0</v>
      </c>
      <c r="AE91" s="31">
        <v>0</v>
      </c>
      <c r="AF91" s="24">
        <v>0</v>
      </c>
      <c r="AG91" s="24">
        <v>0</v>
      </c>
      <c r="AH91" s="24">
        <v>0</v>
      </c>
      <c r="AI91" s="31">
        <v>0</v>
      </c>
      <c r="AJ91" s="24">
        <v>0</v>
      </c>
      <c r="AK91" s="24">
        <v>0</v>
      </c>
      <c r="AL91" s="24">
        <v>0</v>
      </c>
      <c r="AM91" s="31">
        <v>0</v>
      </c>
      <c r="AN91" s="24">
        <v>0</v>
      </c>
      <c r="AO91" s="24">
        <v>0</v>
      </c>
      <c r="AP91" s="24">
        <v>0</v>
      </c>
      <c r="AQ91" s="24">
        <v>0</v>
      </c>
      <c r="AR91" s="31">
        <v>0</v>
      </c>
      <c r="AS91" s="24">
        <v>0</v>
      </c>
      <c r="AT91" s="24">
        <v>0</v>
      </c>
      <c r="AU91" s="24">
        <v>0</v>
      </c>
      <c r="AV91" s="31">
        <v>0</v>
      </c>
      <c r="AW91" s="24">
        <v>0</v>
      </c>
      <c r="AX91" s="19">
        <v>0</v>
      </c>
      <c r="AY91" s="19">
        <v>0</v>
      </c>
      <c r="AZ91" s="19">
        <v>0</v>
      </c>
      <c r="BA91" s="19">
        <v>0</v>
      </c>
      <c r="BB91" s="37">
        <f t="shared" si="1"/>
        <v>0</v>
      </c>
    </row>
    <row r="92" spans="1:54" s="4" customFormat="1" ht="15" hidden="1" outlineLevel="1">
      <c r="A92" s="3" t="s">
        <v>91</v>
      </c>
      <c r="B92" s="24"/>
      <c r="C92" s="24">
        <v>-120645.1</v>
      </c>
      <c r="D92" s="24">
        <v>-55079.49</v>
      </c>
      <c r="E92" s="31">
        <v>-64696.93</v>
      </c>
      <c r="F92" s="24">
        <v>-100302.98</v>
      </c>
      <c r="G92" s="24">
        <v>0</v>
      </c>
      <c r="H92" s="24">
        <v>0</v>
      </c>
      <c r="I92" s="31">
        <v>-72913.7</v>
      </c>
      <c r="J92" s="24">
        <v>-48174.2</v>
      </c>
      <c r="K92" s="24">
        <v>-78569.539999999994</v>
      </c>
      <c r="L92" s="24">
        <v>-69150.78</v>
      </c>
      <c r="M92" s="31">
        <v>-101579.99</v>
      </c>
      <c r="N92" s="24">
        <v>-57768.66</v>
      </c>
      <c r="O92" s="24">
        <v>-77893.539999999994</v>
      </c>
      <c r="P92" s="24">
        <v>-31554.18</v>
      </c>
      <c r="Q92" s="31">
        <v>-75249.119999999995</v>
      </c>
      <c r="R92" s="24">
        <v>-54464.74</v>
      </c>
      <c r="S92" s="24">
        <v>-47484.47</v>
      </c>
      <c r="T92" s="24">
        <v>-74582.789999999994</v>
      </c>
      <c r="U92" s="24">
        <v>-22005.88</v>
      </c>
      <c r="V92" s="31">
        <v>-22196.62</v>
      </c>
      <c r="W92" s="24">
        <v>-88770.39</v>
      </c>
      <c r="X92" s="24">
        <v>-48281.279999999999</v>
      </c>
      <c r="Y92" s="24">
        <v>-47237.48</v>
      </c>
      <c r="Z92" s="31">
        <v>-1034215.04</v>
      </c>
      <c r="AA92" s="24">
        <v>-1381222.39</v>
      </c>
      <c r="AB92" s="24">
        <v>-1381222.39</v>
      </c>
      <c r="AC92" s="24">
        <v>-1381222.39</v>
      </c>
      <c r="AD92" s="24">
        <v>-1381222.39</v>
      </c>
      <c r="AE92" s="31">
        <v>-1350474.86</v>
      </c>
      <c r="AF92" s="24">
        <v>-1350474.86</v>
      </c>
      <c r="AG92" s="24">
        <v>-1350474.86</v>
      </c>
      <c r="AH92" s="24">
        <v>-1350474.86</v>
      </c>
      <c r="AI92" s="31">
        <v>-1021205.96</v>
      </c>
      <c r="AJ92" s="24">
        <v>-1021205.96</v>
      </c>
      <c r="AK92" s="24">
        <v>-1021205.96</v>
      </c>
      <c r="AL92" s="24">
        <v>-1021205.96</v>
      </c>
      <c r="AM92" s="31">
        <v>-1021205.96</v>
      </c>
      <c r="AN92" s="24">
        <v>-1328209.96</v>
      </c>
      <c r="AO92" s="24">
        <v>-1328209.96</v>
      </c>
      <c r="AP92" s="24">
        <v>-1328209.96</v>
      </c>
      <c r="AQ92" s="24">
        <v>-1328209.96</v>
      </c>
      <c r="AR92" s="31">
        <v>-1291371.44</v>
      </c>
      <c r="AS92" s="24">
        <v>-1291371.44</v>
      </c>
      <c r="AT92" s="24">
        <v>-1291371.44</v>
      </c>
      <c r="AU92" s="24">
        <v>-1291371.44</v>
      </c>
      <c r="AV92" s="31">
        <v>-906817</v>
      </c>
      <c r="AW92" s="24">
        <v>-906817</v>
      </c>
      <c r="AX92" s="19">
        <v>-906817</v>
      </c>
      <c r="AY92" s="19">
        <v>-906817</v>
      </c>
      <c r="AZ92" s="19">
        <v>-906817</v>
      </c>
      <c r="BA92" s="19">
        <v>-906817</v>
      </c>
      <c r="BB92" s="37">
        <f t="shared" si="1"/>
        <v>-34344.863300000012</v>
      </c>
    </row>
    <row r="93" spans="1:54" s="4" customFormat="1" ht="12.75" collapsed="1">
      <c r="A93" s="3" t="s">
        <v>92</v>
      </c>
      <c r="B93" s="18">
        <v>-19901382.190000001</v>
      </c>
      <c r="C93" s="18">
        <v>-15238826.199999999</v>
      </c>
      <c r="D93" s="18">
        <v>-9627365.6199999992</v>
      </c>
      <c r="E93" s="32">
        <v>-12746702.41</v>
      </c>
      <c r="F93" s="18">
        <v>-7999737.4400000004</v>
      </c>
      <c r="G93" s="18">
        <v>-11908720.289999999</v>
      </c>
      <c r="H93" s="18">
        <v>-13630948.130000001</v>
      </c>
      <c r="I93" s="32">
        <v>-14609172.02</v>
      </c>
      <c r="J93" s="18">
        <v>-8774477.1699999999</v>
      </c>
      <c r="K93" s="18">
        <v>-15347204.82</v>
      </c>
      <c r="L93" s="18">
        <v>-12646263.92</v>
      </c>
      <c r="M93" s="32">
        <v>-24390490.559999999</v>
      </c>
      <c r="N93" s="18">
        <v>-8809725.1300000008</v>
      </c>
      <c r="O93" s="18">
        <v>-21073864.18</v>
      </c>
      <c r="P93" s="18">
        <v>-11344090.01</v>
      </c>
      <c r="Q93" s="32">
        <v>-16915641.190000001</v>
      </c>
      <c r="R93" s="18">
        <v>-16184864.34</v>
      </c>
      <c r="S93" s="18">
        <v>-13697870.83</v>
      </c>
      <c r="T93" s="18">
        <v>-20256118.969999999</v>
      </c>
      <c r="U93" s="18">
        <v>-13713862.529999999</v>
      </c>
      <c r="V93" s="32">
        <v>-19288058.41</v>
      </c>
      <c r="W93" s="18">
        <v>-15899269.699999999</v>
      </c>
      <c r="X93" s="18">
        <v>-18645112.440000001</v>
      </c>
      <c r="Y93" s="18">
        <v>-13097250.510000002</v>
      </c>
      <c r="Z93" s="32">
        <v>-30095815.000000004</v>
      </c>
      <c r="AA93" s="18">
        <v>-12421739.330000002</v>
      </c>
      <c r="AB93" s="18">
        <v>-15265342.870000001</v>
      </c>
      <c r="AC93" s="18">
        <v>-35937861.769999996</v>
      </c>
      <c r="AD93" s="18">
        <v>-12239188.23</v>
      </c>
      <c r="AE93" s="32">
        <v>-19250789.489999998</v>
      </c>
      <c r="AF93" s="18">
        <v>-24457140.109999996</v>
      </c>
      <c r="AG93" s="18">
        <v>-17481557.370000001</v>
      </c>
      <c r="AH93" s="18">
        <v>-12914404.720000003</v>
      </c>
      <c r="AI93" s="32">
        <v>-13252425.59</v>
      </c>
      <c r="AJ93" s="18">
        <v>-8587414.6300000008</v>
      </c>
      <c r="AK93" s="18">
        <v>-22163388.109999999</v>
      </c>
      <c r="AL93" s="18">
        <v>-11581343.200000003</v>
      </c>
      <c r="AM93" s="32">
        <v>-7848933.8000000007</v>
      </c>
      <c r="AN93" s="18">
        <v>-14519331.550000001</v>
      </c>
      <c r="AO93" s="18">
        <v>-17086379.960000001</v>
      </c>
      <c r="AP93" s="18">
        <v>-18741785.34</v>
      </c>
      <c r="AQ93" s="18">
        <v>-9801016.4700000025</v>
      </c>
      <c r="AR93" s="32">
        <v>-14480786.32</v>
      </c>
      <c r="AS93" s="18">
        <v>-10045643.479999999</v>
      </c>
      <c r="AT93" s="18">
        <v>-30243167.530000001</v>
      </c>
      <c r="AU93" s="18">
        <v>-12322535.619999999</v>
      </c>
      <c r="AV93" s="32">
        <v>-10588345.749999998</v>
      </c>
      <c r="AW93" s="18">
        <v>-5776940.6600000001</v>
      </c>
      <c r="AX93" s="18">
        <v>-19369642.879999999</v>
      </c>
      <c r="AY93" s="18">
        <v>-9287368.8800000008</v>
      </c>
      <c r="AZ93" s="18">
        <v>-6053435.1699999999</v>
      </c>
      <c r="BA93" s="18">
        <v>-9487115.9199999999</v>
      </c>
      <c r="BB93" s="37">
        <f>SUM(B93:BA93)/1000</f>
        <v>-787047.85875999997</v>
      </c>
    </row>
    <row r="94" spans="1:54" s="8" customFormat="1" ht="12.75">
      <c r="A94" s="7" t="s">
        <v>1</v>
      </c>
      <c r="B94" s="21">
        <f t="shared" ref="B94:Q94" si="2">B30+B93</f>
        <v>16436818.079999994</v>
      </c>
      <c r="C94" s="21">
        <f t="shared" si="2"/>
        <v>2892569.9699999988</v>
      </c>
      <c r="D94" s="21">
        <f t="shared" si="2"/>
        <v>5759561.1500000004</v>
      </c>
      <c r="E94" s="36">
        <f t="shared" si="2"/>
        <v>5463141.25</v>
      </c>
      <c r="F94" s="21">
        <f t="shared" si="2"/>
        <v>5815922.0000000009</v>
      </c>
      <c r="G94" s="21">
        <f t="shared" si="2"/>
        <v>2372866.3200000022</v>
      </c>
      <c r="H94" s="21">
        <f t="shared" si="2"/>
        <v>1719194</v>
      </c>
      <c r="I94" s="36">
        <f t="shared" si="2"/>
        <v>1649674.9000000004</v>
      </c>
      <c r="J94" s="21">
        <f t="shared" si="2"/>
        <v>5548984.299999997</v>
      </c>
      <c r="K94" s="21">
        <f t="shared" si="2"/>
        <v>2158884.3899999969</v>
      </c>
      <c r="L94" s="21">
        <f t="shared" si="2"/>
        <v>2905503.870000001</v>
      </c>
      <c r="M94" s="36">
        <f t="shared" si="2"/>
        <v>-8043246.629999999</v>
      </c>
      <c r="N94" s="21">
        <f t="shared" si="2"/>
        <v>5593122.0999999978</v>
      </c>
      <c r="O94" s="21">
        <f t="shared" si="2"/>
        <v>-5987461.3800000008</v>
      </c>
      <c r="P94" s="21">
        <f t="shared" si="2"/>
        <v>713113.50999999978</v>
      </c>
      <c r="Q94" s="36">
        <f t="shared" si="2"/>
        <v>495350.28999999911</v>
      </c>
      <c r="R94" s="21">
        <f>R30+R93</f>
        <v>-3355380.67</v>
      </c>
      <c r="S94" s="21">
        <f t="shared" ref="S94" si="3">S30+S93</f>
        <v>4053118.3300000038</v>
      </c>
      <c r="T94" s="21">
        <f>T30+T93</f>
        <v>-4858120.33</v>
      </c>
      <c r="U94" s="21">
        <f>U30+U93</f>
        <v>-1478016.3599999975</v>
      </c>
      <c r="V94" s="36">
        <f>V30+V93</f>
        <v>-14088.769999999553</v>
      </c>
      <c r="W94" s="21">
        <f>W30+W93</f>
        <v>-1644028.3200000003</v>
      </c>
      <c r="X94" s="21">
        <f>X30+X93</f>
        <v>-3791137.3500000015</v>
      </c>
      <c r="Y94" s="21">
        <v>5342091.9839999937</v>
      </c>
      <c r="Z94" s="36">
        <v>-13943159.966000004</v>
      </c>
      <c r="AA94" s="21">
        <v>3691285.2312000003</v>
      </c>
      <c r="AB94" s="21">
        <v>760271.481200004</v>
      </c>
      <c r="AC94" s="21">
        <v>-20131676.088799998</v>
      </c>
      <c r="AD94" s="21">
        <v>3752156.961199997</v>
      </c>
      <c r="AE94" s="36">
        <v>-3360012.7987999935</v>
      </c>
      <c r="AF94" s="21">
        <v>-8638315.946999995</v>
      </c>
      <c r="AG94" s="21">
        <v>-1861341.4169999957</v>
      </c>
      <c r="AH94" s="21">
        <v>2305647.5329999998</v>
      </c>
      <c r="AI94" s="36">
        <v>2122586.3530000001</v>
      </c>
      <c r="AJ94" s="21">
        <v>6840895.0610000044</v>
      </c>
      <c r="AK94" s="21">
        <v>-6649804.6790000033</v>
      </c>
      <c r="AL94" s="21">
        <v>4254421.8909999989</v>
      </c>
      <c r="AM94" s="36">
        <v>8028053.0310000014</v>
      </c>
      <c r="AN94" s="21">
        <v>2371606.8227999993</v>
      </c>
      <c r="AO94" s="21">
        <v>-161095.23720000312</v>
      </c>
      <c r="AP94" s="21">
        <v>-1749697.677199997</v>
      </c>
      <c r="AQ94" s="21">
        <v>7175357.7127999924</v>
      </c>
      <c r="AR94" s="36">
        <v>2285934.1827999949</v>
      </c>
      <c r="AS94" s="21">
        <v>5372710.8300000001</v>
      </c>
      <c r="AT94" s="21">
        <v>-15075632.910000006</v>
      </c>
      <c r="AU94" s="21">
        <v>3857777.1499999985</v>
      </c>
      <c r="AV94" s="36">
        <v>5113228.9100000057</v>
      </c>
      <c r="AW94" s="21">
        <v>9426119.0700000059</v>
      </c>
      <c r="AX94" s="21">
        <v>-3861678.6300000008</v>
      </c>
      <c r="AY94" s="21">
        <v>9321497.7700000014</v>
      </c>
      <c r="AZ94" s="21">
        <v>13362498.860000005</v>
      </c>
      <c r="BA94" s="21">
        <v>-4114266.8999999994</v>
      </c>
      <c r="BB94" s="37">
        <f>SUM(B94:BA94)/1000</f>
        <v>50243.803234000006</v>
      </c>
    </row>
    <row r="95" spans="1:54" s="8" customFormat="1" ht="12.7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37"/>
    </row>
    <row r="96" spans="1:54" s="8" customFormat="1" ht="12.7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37"/>
    </row>
    <row r="97" spans="1:54" s="8" customFormat="1" ht="15">
      <c r="B97" s="15"/>
      <c r="C97" s="15"/>
      <c r="D97" s="15"/>
      <c r="E97" s="15"/>
      <c r="F97"/>
      <c r="G97" s="153"/>
      <c r="H97"/>
      <c r="I97"/>
      <c r="J97"/>
      <c r="K97" s="153"/>
      <c r="L97"/>
      <c r="M9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37"/>
    </row>
    <row r="98" spans="1:54" ht="15">
      <c r="F98"/>
      <c r="G98"/>
      <c r="H98"/>
      <c r="I98"/>
      <c r="J98"/>
      <c r="K98"/>
      <c r="L98"/>
      <c r="M98"/>
      <c r="AK98" s="20"/>
      <c r="AL98" s="22"/>
      <c r="AM98" s="22"/>
      <c r="AR98" s="20"/>
      <c r="AS98" s="20"/>
      <c r="AT98" s="20"/>
      <c r="AU98" s="20"/>
      <c r="AV98" s="20"/>
      <c r="AW98" s="20"/>
      <c r="AX98" s="20"/>
      <c r="AY98" s="20"/>
      <c r="AZ98" s="20"/>
    </row>
    <row r="99" spans="1:54" s="23" customFormat="1" ht="15">
      <c r="A99" s="51" t="s">
        <v>96</v>
      </c>
      <c r="B99" s="52">
        <v>43466</v>
      </c>
      <c r="C99" s="52">
        <v>43497</v>
      </c>
      <c r="D99" s="52">
        <v>43525</v>
      </c>
      <c r="E99" s="52">
        <v>43556</v>
      </c>
      <c r="F99" s="52">
        <v>43586</v>
      </c>
      <c r="G99" s="52">
        <v>43617</v>
      </c>
      <c r="H99" s="52">
        <v>43647</v>
      </c>
      <c r="I99" s="52">
        <v>43678</v>
      </c>
      <c r="J99" s="52">
        <v>43709</v>
      </c>
      <c r="K99" s="52">
        <v>43739</v>
      </c>
      <c r="L99" s="52">
        <v>43770</v>
      </c>
      <c r="M99" s="52">
        <v>43800</v>
      </c>
    </row>
    <row r="100" spans="1:54" s="23" customFormat="1">
      <c r="A100" s="3" t="s">
        <v>93</v>
      </c>
      <c r="B100" s="58">
        <f>SUM(B30:E30)/1000</f>
        <v>88066.366869999983</v>
      </c>
      <c r="C100" s="58">
        <f>SUM(F30:I30)/1000</f>
        <v>59706.235100000005</v>
      </c>
      <c r="D100" s="58">
        <f>SUM(J30:M30)/1000</f>
        <v>63728.562399999988</v>
      </c>
      <c r="E100" s="58">
        <f>SUM(N30:Q30)/1000</f>
        <v>58957.445030000003</v>
      </c>
      <c r="F100" s="60">
        <f>SUM(R30:V30)/1000+F97</f>
        <v>77488.287280000004</v>
      </c>
      <c r="G100" s="60">
        <f>SUM(W30:Z30)/1000+G97</f>
        <v>63701.213997999999</v>
      </c>
      <c r="H100" s="60">
        <f>SUM(AA30:AE30)/1000+H97</f>
        <v>79826.946476000012</v>
      </c>
      <c r="I100" s="60">
        <f>SUM(AF30:AI30)/1000+I97</f>
        <v>62034.104312000003</v>
      </c>
      <c r="J100" s="60">
        <f>SUM(AJ30:AM30)/1000+J97</f>
        <v>62654.645043999997</v>
      </c>
      <c r="K100" s="60">
        <f>SUM(AN30:AR30)/1000+K97</f>
        <v>84551.405443999975</v>
      </c>
      <c r="L100" s="60">
        <f>SUM(AS30:AV30)/1000+L97</f>
        <v>62467.776359999989</v>
      </c>
      <c r="M100" s="60">
        <f>SUM(AW30:BA30)/1000+M97</f>
        <v>74108.673680000007</v>
      </c>
      <c r="N100" s="60">
        <f>SUM(B100:M100)</f>
        <v>837291.66199399997</v>
      </c>
      <c r="O100" s="39"/>
    </row>
    <row r="101" spans="1:54" s="23" customFormat="1">
      <c r="A101" s="3" t="s">
        <v>94</v>
      </c>
      <c r="B101" s="58">
        <f>SUM(B93:E93)/1000</f>
        <v>-57514.276420000002</v>
      </c>
      <c r="C101" s="58">
        <f>SUM(F93:I93)/1000</f>
        <v>-48148.577879999997</v>
      </c>
      <c r="D101" s="58">
        <f>SUM(J93:M93)/1000</f>
        <v>-61158.436470000001</v>
      </c>
      <c r="E101" s="58">
        <f>SUM(N93:Q93)/1000</f>
        <v>-58143.320510000005</v>
      </c>
      <c r="F101" s="60">
        <f>SUM(R93:V93)/1000+F98</f>
        <v>-83140.775079999992</v>
      </c>
      <c r="G101" s="60">
        <f>SUM(W93:Z93)/1000+G98</f>
        <v>-77737.447650000002</v>
      </c>
      <c r="H101" s="60">
        <f>SUM(AA93:AE93)/1000+H98</f>
        <v>-95114.921690000003</v>
      </c>
      <c r="I101" s="39">
        <f>SUM(AF93:AI93)/1000+I98</f>
        <v>-68105.527790000007</v>
      </c>
      <c r="J101" s="39">
        <f>SUM(AJ93:AM93)/1000+J98</f>
        <v>-50181.079740000008</v>
      </c>
      <c r="K101" s="39">
        <f>SUM(AN93:AR93)/1000+K98</f>
        <v>-74629.299640000012</v>
      </c>
      <c r="L101" s="39">
        <f>SUM(AS93:AV93)/1000+L98</f>
        <v>-63199.692379999993</v>
      </c>
      <c r="M101" s="39">
        <f>SUM(AW93:BA93)/1000+M98</f>
        <v>-49974.503510000002</v>
      </c>
      <c r="N101" s="60">
        <f>SUM(B101:M101)</f>
        <v>-787047.85875999986</v>
      </c>
      <c r="O101" s="58"/>
      <c r="AB101" s="58"/>
      <c r="AG101" s="58"/>
    </row>
    <row r="102" spans="1:54" s="23" customFormat="1">
      <c r="A102" s="3" t="s">
        <v>95</v>
      </c>
      <c r="B102" s="39">
        <f>SUM(B100:B101)</f>
        <v>30552.090449999982</v>
      </c>
      <c r="C102" s="58">
        <f t="shared" ref="C102:L102" si="4">SUM(C100:C101)</f>
        <v>11557.657220000008</v>
      </c>
      <c r="D102" s="58">
        <f>SUM(D100:D101)</f>
        <v>2570.1259299999874</v>
      </c>
      <c r="E102" s="58">
        <f>SUM(E100:E101)</f>
        <v>814.12451999999757</v>
      </c>
      <c r="F102" s="60">
        <f>SUM(F100:F101)</f>
        <v>-5652.4877999999881</v>
      </c>
      <c r="G102" s="60">
        <f t="shared" si="4"/>
        <v>-14036.233652000003</v>
      </c>
      <c r="H102" s="60">
        <f t="shared" si="4"/>
        <v>-15287.975213999991</v>
      </c>
      <c r="I102" s="60">
        <f t="shared" si="4"/>
        <v>-6071.4234780000043</v>
      </c>
      <c r="J102" s="60">
        <f t="shared" si="4"/>
        <v>12473.565303999989</v>
      </c>
      <c r="K102" s="60">
        <f t="shared" si="4"/>
        <v>9922.1058039999625</v>
      </c>
      <c r="L102" s="60">
        <f t="shared" si="4"/>
        <v>-731.91602000000421</v>
      </c>
      <c r="M102" s="60">
        <f>SUM(M100:M101)</f>
        <v>24134.170170000005</v>
      </c>
      <c r="N102" s="60">
        <f>SUM(B102:M102)</f>
        <v>50243.803233999941</v>
      </c>
      <c r="O102" s="133">
        <f>BB94-N102+SUM(F97:M98)</f>
        <v>6.5483618527650833E-11</v>
      </c>
      <c r="P102" s="59"/>
    </row>
    <row r="103" spans="1:54" s="23" customFormat="1">
      <c r="A103" s="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P103" s="116">
        <f>N100-'FO 7 jun-19'!N100</f>
        <v>1104.3065460000653</v>
      </c>
      <c r="T103" s="58"/>
    </row>
    <row r="104" spans="1:54" s="23" customForma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P104" s="117">
        <f>N100-'FO 7 jun-19'!N100</f>
        <v>1104.3065460000653</v>
      </c>
      <c r="Q104" s="73" t="s">
        <v>292</v>
      </c>
      <c r="T104" s="58"/>
      <c r="U104" s="58"/>
    </row>
    <row r="105" spans="1:54" s="23" customFormat="1" ht="15">
      <c r="A105" s="51" t="s">
        <v>97</v>
      </c>
      <c r="B105" s="52">
        <f>B99</f>
        <v>43466</v>
      </c>
      <c r="C105" s="52">
        <f t="shared" ref="C105:M105" si="5">C99</f>
        <v>43497</v>
      </c>
      <c r="D105" s="52">
        <f t="shared" si="5"/>
        <v>43525</v>
      </c>
      <c r="E105" s="52">
        <f t="shared" si="5"/>
        <v>43556</v>
      </c>
      <c r="F105" s="52">
        <f t="shared" si="5"/>
        <v>43586</v>
      </c>
      <c r="G105" s="52">
        <f t="shared" si="5"/>
        <v>43617</v>
      </c>
      <c r="H105" s="52">
        <f t="shared" si="5"/>
        <v>43647</v>
      </c>
      <c r="I105" s="52">
        <f t="shared" si="5"/>
        <v>43678</v>
      </c>
      <c r="J105" s="52">
        <f t="shared" si="5"/>
        <v>43709</v>
      </c>
      <c r="K105" s="52">
        <f t="shared" si="5"/>
        <v>43739</v>
      </c>
      <c r="L105" s="52">
        <f t="shared" si="5"/>
        <v>43770</v>
      </c>
      <c r="M105" s="52">
        <f t="shared" si="5"/>
        <v>43800</v>
      </c>
      <c r="T105" s="39"/>
    </row>
    <row r="106" spans="1:54" s="23" customFormat="1">
      <c r="A106" s="3" t="s">
        <v>93</v>
      </c>
      <c r="B106" s="22">
        <v>3978.1219999999998</v>
      </c>
      <c r="C106" s="22">
        <v>2984.4169999999999</v>
      </c>
      <c r="D106" s="22">
        <v>2965.1410000000005</v>
      </c>
      <c r="E106" s="22">
        <v>2694.344000000001</v>
      </c>
      <c r="F106" s="22">
        <v>3763.7099999999991</v>
      </c>
      <c r="G106" s="22">
        <v>3672.869999999999</v>
      </c>
      <c r="H106" s="22">
        <v>3538.4400000000023</v>
      </c>
      <c r="I106" s="22">
        <v>3686.4629999999997</v>
      </c>
      <c r="J106" s="22">
        <v>3873.2129999999961</v>
      </c>
      <c r="K106" s="22">
        <v>3841.8469999999979</v>
      </c>
      <c r="L106" s="22">
        <v>3963.1510000000053</v>
      </c>
      <c r="M106" s="22">
        <v>3163.2540000000008</v>
      </c>
      <c r="O106" s="62"/>
      <c r="P106" s="39"/>
      <c r="T106" s="151"/>
    </row>
    <row r="107" spans="1:54" s="23" customFormat="1">
      <c r="A107" s="3" t="s">
        <v>94</v>
      </c>
      <c r="B107" s="22">
        <v>-2922.9680000000003</v>
      </c>
      <c r="C107" s="22">
        <v>-2977.0709999999995</v>
      </c>
      <c r="D107" s="22">
        <v>-3215.8010000000004</v>
      </c>
      <c r="E107" s="22">
        <v>-3818.8150000000005</v>
      </c>
      <c r="F107" s="22">
        <v>-3475.0729999999985</v>
      </c>
      <c r="G107" s="22">
        <v>-3448.6470000000008</v>
      </c>
      <c r="H107" s="22">
        <v>-3631.5789999999979</v>
      </c>
      <c r="I107" s="22">
        <v>-3481.849000000002</v>
      </c>
      <c r="J107" s="22">
        <v>-3467.1630000000005</v>
      </c>
      <c r="K107" s="22">
        <v>-3323.0299999999988</v>
      </c>
      <c r="L107" s="22">
        <v>-3128.544000000009</v>
      </c>
      <c r="M107" s="22">
        <v>-3121.5499999999956</v>
      </c>
      <c r="O107" s="58"/>
      <c r="P107" s="39">
        <f>SUM(B2:BA2)/1000</f>
        <v>-892.54088000000081</v>
      </c>
      <c r="T107" s="151"/>
    </row>
    <row r="108" spans="1:54" s="23" customFormat="1">
      <c r="A108" s="3" t="s">
        <v>95</v>
      </c>
      <c r="B108" s="22">
        <f>SUM(B106:B107)</f>
        <v>1055.1539999999995</v>
      </c>
      <c r="C108" s="22">
        <f t="shared" ref="C108:M108" si="6">SUM(C106:C107)</f>
        <v>7.3460000000004584</v>
      </c>
      <c r="D108" s="22">
        <f t="shared" si="6"/>
        <v>-250.65999999999985</v>
      </c>
      <c r="E108" s="22">
        <f t="shared" si="6"/>
        <v>-1124.4709999999995</v>
      </c>
      <c r="F108" s="22">
        <f t="shared" si="6"/>
        <v>288.63700000000063</v>
      </c>
      <c r="G108" s="22">
        <f t="shared" si="6"/>
        <v>224.22299999999814</v>
      </c>
      <c r="H108" s="22">
        <f t="shared" si="6"/>
        <v>-93.138999999995576</v>
      </c>
      <c r="I108" s="39">
        <f t="shared" si="6"/>
        <v>204.61399999999776</v>
      </c>
      <c r="J108" s="39">
        <f t="shared" si="6"/>
        <v>406.04999999999563</v>
      </c>
      <c r="K108" s="39">
        <f t="shared" si="6"/>
        <v>518.8169999999991</v>
      </c>
      <c r="L108" s="39">
        <f t="shared" si="6"/>
        <v>834.60699999999633</v>
      </c>
      <c r="M108" s="39">
        <f t="shared" si="6"/>
        <v>41.70400000000518</v>
      </c>
      <c r="N108" s="59">
        <f>SUM(B108:M108)</f>
        <v>2112.8819999999978</v>
      </c>
      <c r="O108" s="133">
        <f>N108-SUM('FO 24 may-19'!B108:M108)</f>
        <v>0</v>
      </c>
      <c r="P108" s="133">
        <f>N101-'FO 7 jun-19'!N101</f>
        <v>-892.54087999975309</v>
      </c>
      <c r="Q108" s="61" t="s">
        <v>103</v>
      </c>
      <c r="R108" s="63"/>
      <c r="S108" s="23" t="s">
        <v>126</v>
      </c>
      <c r="T108" s="115">
        <f>SUM(Y47:BA50)/1000-SUM('FO 7 jun-19'!Y47:BA50)/1000</f>
        <v>0</v>
      </c>
      <c r="U108" s="74"/>
    </row>
    <row r="109" spans="1:54" s="23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R109" s="58"/>
      <c r="S109" s="23" t="s">
        <v>127</v>
      </c>
      <c r="T109" s="76">
        <f>SUM(Y82:BA82)/1000-SUM('FO 7 jun-19'!Y82:BA82)/1000</f>
        <v>263.72403000001214</v>
      </c>
      <c r="U109" s="79"/>
      <c r="V109" s="79"/>
      <c r="W109" s="79"/>
      <c r="X109" s="79"/>
    </row>
    <row r="110" spans="1:54" s="23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S110" s="23" t="s">
        <v>128</v>
      </c>
      <c r="T110" s="115">
        <f>SUM(Y31:BA92)/1000-SUM('FO 7 jun-19'!Y31:BA92)/1000-T108-T109</f>
        <v>-981.59791000009864</v>
      </c>
    </row>
    <row r="111" spans="1:54" s="14" customFormat="1" ht="15">
      <c r="A111" s="54" t="s">
        <v>100</v>
      </c>
      <c r="B111" s="52">
        <f>B99</f>
        <v>43466</v>
      </c>
      <c r="C111" s="52">
        <f t="shared" ref="C111:M111" si="7">C99</f>
        <v>43497</v>
      </c>
      <c r="D111" s="52">
        <f t="shared" si="7"/>
        <v>43525</v>
      </c>
      <c r="E111" s="52">
        <f t="shared" si="7"/>
        <v>43556</v>
      </c>
      <c r="F111" s="52">
        <f t="shared" si="7"/>
        <v>43586</v>
      </c>
      <c r="G111" s="52">
        <f t="shared" si="7"/>
        <v>43617</v>
      </c>
      <c r="H111" s="52">
        <f t="shared" si="7"/>
        <v>43647</v>
      </c>
      <c r="I111" s="52">
        <f t="shared" si="7"/>
        <v>43678</v>
      </c>
      <c r="J111" s="52">
        <f t="shared" si="7"/>
        <v>43709</v>
      </c>
      <c r="K111" s="52">
        <f t="shared" si="7"/>
        <v>43739</v>
      </c>
      <c r="L111" s="52">
        <f t="shared" si="7"/>
        <v>43770</v>
      </c>
      <c r="M111" s="52">
        <f t="shared" si="7"/>
        <v>43800</v>
      </c>
      <c r="P111" s="133">
        <f>N102-'FO 7 jun-19'!N102</f>
        <v>211.76566599997022</v>
      </c>
      <c r="Q111" s="119"/>
      <c r="S111" s="70" t="s">
        <v>129</v>
      </c>
      <c r="T111" s="77">
        <f>SUM(T108:T110)</f>
        <v>-717.8738800000865</v>
      </c>
      <c r="U111" s="71">
        <f>X2/1000</f>
        <v>-174.667</v>
      </c>
      <c r="V111" s="133">
        <f>SUM(T111:U111)</f>
        <v>-892.54088000008653</v>
      </c>
      <c r="W111" s="69"/>
    </row>
    <row r="112" spans="1:54" s="14" customFormat="1" ht="15">
      <c r="A112" t="s">
        <v>93</v>
      </c>
      <c r="B112" s="27">
        <v>8000</v>
      </c>
      <c r="C112" s="27">
        <v>8000</v>
      </c>
      <c r="D112" s="27">
        <v>8000</v>
      </c>
      <c r="E112" s="27">
        <v>8000</v>
      </c>
      <c r="F112" s="27">
        <v>8000</v>
      </c>
      <c r="G112" s="27">
        <v>8000</v>
      </c>
      <c r="H112" s="27">
        <v>8000</v>
      </c>
      <c r="I112" s="27">
        <v>8000</v>
      </c>
      <c r="J112" s="27">
        <v>8000</v>
      </c>
      <c r="K112" s="27">
        <v>8000</v>
      </c>
      <c r="L112" s="27">
        <v>8000</v>
      </c>
      <c r="M112" s="27">
        <v>8000</v>
      </c>
      <c r="P112" s="133">
        <f>P104+P108</f>
        <v>211.76566600031219</v>
      </c>
      <c r="Q112" s="23"/>
      <c r="T112" s="3"/>
      <c r="U112" s="24"/>
      <c r="V112" s="24"/>
      <c r="W112" s="68"/>
    </row>
    <row r="113" spans="1:30" s="14" customFormat="1" ht="15">
      <c r="A113" t="s">
        <v>94</v>
      </c>
      <c r="B113" s="27">
        <v>-8000</v>
      </c>
      <c r="C113" s="27">
        <v>-8000</v>
      </c>
      <c r="D113" s="27">
        <v>-8000</v>
      </c>
      <c r="E113" s="27">
        <v>-8000</v>
      </c>
      <c r="F113" s="27">
        <v>-8000</v>
      </c>
      <c r="G113" s="27">
        <v>-8000</v>
      </c>
      <c r="H113" s="27">
        <v>-8000</v>
      </c>
      <c r="I113" s="132">
        <v>-8000</v>
      </c>
      <c r="J113" s="132">
        <v>-8000</v>
      </c>
      <c r="K113" s="132">
        <v>-8000</v>
      </c>
      <c r="L113" s="132">
        <v>-8000</v>
      </c>
      <c r="M113" s="132">
        <v>-8000</v>
      </c>
      <c r="P113" s="11"/>
      <c r="T113" s="3"/>
      <c r="U113" s="24"/>
      <c r="V113" s="24"/>
      <c r="W113" s="68"/>
    </row>
    <row r="114" spans="1:30" s="14" customFormat="1" ht="15">
      <c r="A114" t="s">
        <v>99</v>
      </c>
      <c r="B114" s="26">
        <f>SUM(B112:B113)</f>
        <v>0</v>
      </c>
      <c r="C114" s="26">
        <f t="shared" ref="C114:M114" si="8">SUM(C112:C113)</f>
        <v>0</v>
      </c>
      <c r="D114" s="26">
        <f t="shared" si="8"/>
        <v>0</v>
      </c>
      <c r="E114" s="26">
        <f t="shared" si="8"/>
        <v>0</v>
      </c>
      <c r="F114" s="26">
        <f t="shared" si="8"/>
        <v>0</v>
      </c>
      <c r="G114" s="26">
        <f t="shared" si="8"/>
        <v>0</v>
      </c>
      <c r="H114" s="26">
        <f t="shared" si="8"/>
        <v>0</v>
      </c>
      <c r="I114" s="26">
        <f t="shared" si="8"/>
        <v>0</v>
      </c>
      <c r="J114" s="26">
        <f t="shared" si="8"/>
        <v>0</v>
      </c>
      <c r="K114" s="26">
        <f t="shared" si="8"/>
        <v>0</v>
      </c>
      <c r="L114" s="26">
        <f t="shared" si="8"/>
        <v>0</v>
      </c>
      <c r="M114" s="26">
        <f t="shared" si="8"/>
        <v>0</v>
      </c>
      <c r="P114" s="12"/>
      <c r="R114" s="93" t="s">
        <v>146</v>
      </c>
      <c r="S114" s="98" t="s">
        <v>142</v>
      </c>
      <c r="T114" s="95" t="s">
        <v>147</v>
      </c>
      <c r="U114" s="95" t="s">
        <v>148</v>
      </c>
      <c r="V114" s="94"/>
      <c r="W114" s="95" t="s">
        <v>149</v>
      </c>
      <c r="X114" s="96" t="s">
        <v>150</v>
      </c>
      <c r="Y114" s="97"/>
      <c r="Z114" s="96" t="s">
        <v>139</v>
      </c>
      <c r="AA114" s="96" t="s">
        <v>140</v>
      </c>
      <c r="AB114" s="96" t="s">
        <v>145</v>
      </c>
    </row>
    <row r="115" spans="1:30" s="23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S115" s="23" t="s">
        <v>98</v>
      </c>
      <c r="T115" s="76"/>
      <c r="W115" s="76"/>
    </row>
    <row r="116" spans="1:30" s="23" customFormat="1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14"/>
      <c r="S116" s="14" t="s">
        <v>48</v>
      </c>
      <c r="T116" s="84">
        <f>-T134</f>
        <v>3067.5729890955613</v>
      </c>
      <c r="U116" s="14"/>
      <c r="V116" s="83"/>
      <c r="W116" s="76">
        <f>-W134</f>
        <v>10332.385</v>
      </c>
      <c r="X116" s="14"/>
      <c r="Y116" s="14"/>
      <c r="Z116" s="14"/>
      <c r="AA116" s="14"/>
    </row>
    <row r="117" spans="1:30" s="14" customFormat="1" ht="15">
      <c r="A117" s="28" t="s">
        <v>101</v>
      </c>
      <c r="B117" s="1">
        <f>B99</f>
        <v>43466</v>
      </c>
      <c r="C117" s="1">
        <f t="shared" ref="C117:M117" si="9">C99</f>
        <v>43497</v>
      </c>
      <c r="D117" s="1">
        <f t="shared" si="9"/>
        <v>43525</v>
      </c>
      <c r="E117" s="1">
        <f t="shared" si="9"/>
        <v>43556</v>
      </c>
      <c r="F117" s="1">
        <f t="shared" si="9"/>
        <v>43586</v>
      </c>
      <c r="G117" s="1">
        <f t="shared" si="9"/>
        <v>43617</v>
      </c>
      <c r="H117" s="1">
        <f t="shared" si="9"/>
        <v>43647</v>
      </c>
      <c r="I117" s="1">
        <f t="shared" si="9"/>
        <v>43678</v>
      </c>
      <c r="J117" s="1">
        <f t="shared" si="9"/>
        <v>43709</v>
      </c>
      <c r="K117" s="1">
        <f t="shared" si="9"/>
        <v>43739</v>
      </c>
      <c r="L117" s="1">
        <f t="shared" si="9"/>
        <v>43770</v>
      </c>
      <c r="M117" s="1">
        <f t="shared" si="9"/>
        <v>43800</v>
      </c>
      <c r="S117" s="40" t="s">
        <v>133</v>
      </c>
      <c r="T117" s="80">
        <f>I100</f>
        <v>62034.104312000003</v>
      </c>
      <c r="W117" s="80">
        <f>SUM(AK30:BA30)/1000</f>
        <v>268354.19083700003</v>
      </c>
    </row>
    <row r="118" spans="1:30" s="14" customFormat="1" ht="15">
      <c r="A118" t="s">
        <v>93</v>
      </c>
      <c r="B118" s="26">
        <f>B100+B106+B112</f>
        <v>100044.48886999999</v>
      </c>
      <c r="C118" s="26">
        <f t="shared" ref="C118:M119" si="10">C100+C106+C112</f>
        <v>70690.652100000007</v>
      </c>
      <c r="D118" s="26">
        <f>D100+D106+D112</f>
        <v>74693.703399999984</v>
      </c>
      <c r="E118" s="26">
        <f>E100+E106+E112</f>
        <v>69651.78903</v>
      </c>
      <c r="F118" s="26">
        <f>F100+F106+F112</f>
        <v>89251.997280000011</v>
      </c>
      <c r="G118" s="26">
        <f t="shared" si="10"/>
        <v>75374.083998000002</v>
      </c>
      <c r="H118" s="26">
        <f t="shared" si="10"/>
        <v>91365.386476000014</v>
      </c>
      <c r="I118" s="26">
        <f t="shared" si="10"/>
        <v>73720.567311999999</v>
      </c>
      <c r="J118" s="26">
        <f t="shared" si="10"/>
        <v>74527.858043999993</v>
      </c>
      <c r="K118" s="26">
        <f t="shared" si="10"/>
        <v>96393.252443999969</v>
      </c>
      <c r="L118" s="26">
        <f t="shared" si="10"/>
        <v>74430.927360000001</v>
      </c>
      <c r="M118" s="26">
        <f t="shared" si="10"/>
        <v>85271.927680000008</v>
      </c>
      <c r="N118" s="64">
        <f>SUM(B118:M118)</f>
        <v>975416.63399399992</v>
      </c>
      <c r="O118" s="68"/>
      <c r="S118" s="40" t="s">
        <v>134</v>
      </c>
      <c r="T118" s="80">
        <f>I106</f>
        <v>3686.4629999999997</v>
      </c>
      <c r="W118" s="80">
        <f>SUM(J106:M106)</f>
        <v>14841.465</v>
      </c>
    </row>
    <row r="119" spans="1:30" s="14" customFormat="1" ht="15">
      <c r="A119" t="s">
        <v>94</v>
      </c>
      <c r="B119" s="26">
        <f>B101+B107+B113</f>
        <v>-68437.244420000003</v>
      </c>
      <c r="C119" s="26">
        <f>C101+C107+C113</f>
        <v>-59125.648879999993</v>
      </c>
      <c r="D119" s="26">
        <f t="shared" si="10"/>
        <v>-72374.237469999993</v>
      </c>
      <c r="E119" s="26">
        <f>E101+E107+E113</f>
        <v>-69962.135510000007</v>
      </c>
      <c r="F119" s="26">
        <f>F101+F107+F113</f>
        <v>-94615.848079999996</v>
      </c>
      <c r="G119" s="26">
        <f t="shared" si="10"/>
        <v>-89186.094649999999</v>
      </c>
      <c r="H119" s="26">
        <f>H101+H107+H113+H202/1000</f>
        <v>-94370.600690000007</v>
      </c>
      <c r="I119" s="26">
        <f t="shared" si="10"/>
        <v>-79587.376790000009</v>
      </c>
      <c r="J119" s="26">
        <f>J101+J107+J113+J202/1000</f>
        <v>-55430.592740000007</v>
      </c>
      <c r="K119" s="26">
        <f>K101+K107+K113-H202/1000+K202/1000</f>
        <v>-92110.579640000011</v>
      </c>
      <c r="L119" s="26">
        <f>L101+L107+L113+L202/1000</f>
        <v>-61928.636380000004</v>
      </c>
      <c r="M119" s="26">
        <f>M101+M107+M113-J202/1000</f>
        <v>-67313.703509999992</v>
      </c>
      <c r="N119" s="64">
        <f>SUM(B119:M119)</f>
        <v>-904442.69876000006</v>
      </c>
      <c r="O119" s="68"/>
      <c r="R119" s="67"/>
      <c r="S119" s="40" t="s">
        <v>136</v>
      </c>
      <c r="T119" s="80">
        <f>I112</f>
        <v>8000</v>
      </c>
      <c r="U119" s="67"/>
      <c r="V119" s="67"/>
      <c r="W119" s="80">
        <f>SUM(J112:M112)</f>
        <v>32000</v>
      </c>
      <c r="X119" s="67"/>
      <c r="Y119" s="67"/>
      <c r="Z119" s="67"/>
      <c r="AA119" s="67"/>
    </row>
    <row r="120" spans="1:30" s="67" customFormat="1" ht="15">
      <c r="A120" s="29" t="s">
        <v>99</v>
      </c>
      <c r="B120" s="56">
        <f>SUM(B118:B119)</f>
        <v>31607.244449999984</v>
      </c>
      <c r="C120" s="56">
        <f t="shared" ref="C120:L120" si="11">SUM(C118:C119)</f>
        <v>11565.003220000013</v>
      </c>
      <c r="D120" s="56">
        <f>SUM(D118:D119)</f>
        <v>2319.4659299999912</v>
      </c>
      <c r="E120" s="56">
        <f>SUM(E118:E119)</f>
        <v>-310.34648000000743</v>
      </c>
      <c r="F120" s="56">
        <f>SUM(F118:F119)</f>
        <v>-5363.8507999999856</v>
      </c>
      <c r="G120" s="56">
        <f t="shared" si="11"/>
        <v>-13812.010651999997</v>
      </c>
      <c r="H120" s="56">
        <f t="shared" si="11"/>
        <v>-3005.2142139999924</v>
      </c>
      <c r="I120" s="56">
        <f t="shared" si="11"/>
        <v>-5866.8094780000101</v>
      </c>
      <c r="J120" s="56">
        <f t="shared" si="11"/>
        <v>19097.265303999986</v>
      </c>
      <c r="K120" s="56">
        <f t="shared" si="11"/>
        <v>4282.672803999958</v>
      </c>
      <c r="L120" s="56">
        <f t="shared" si="11"/>
        <v>12502.290979999998</v>
      </c>
      <c r="M120" s="56">
        <f>SUM(M118:M119)</f>
        <v>17958.224170000016</v>
      </c>
      <c r="N120" s="65">
        <f>SUM(B120:M120)</f>
        <v>70973.935233999946</v>
      </c>
      <c r="O120" s="65">
        <f>'FO 7 jun-19'!N120+P112+O108</f>
        <v>70973.935234000295</v>
      </c>
      <c r="P120" s="133">
        <f>O120-N120</f>
        <v>3.4924596548080444E-10</v>
      </c>
      <c r="R120" s="86">
        <f>[1]EEFF!$H$63</f>
        <v>574206</v>
      </c>
      <c r="S120" s="40" t="s">
        <v>135</v>
      </c>
      <c r="T120" s="80">
        <f>SUM(T117:T119)</f>
        <v>73720.567311999999</v>
      </c>
      <c r="U120" s="9"/>
      <c r="V120" s="9"/>
      <c r="W120" s="80">
        <f>SUM(W117:W119)</f>
        <v>315195.65583700006</v>
      </c>
      <c r="X120" s="9"/>
      <c r="Y120" s="9"/>
      <c r="Z120" s="76">
        <f>R120+T120+W120</f>
        <v>963122.22314899997</v>
      </c>
      <c r="AA120" s="89"/>
    </row>
    <row r="121" spans="1:30" ht="15">
      <c r="A121" s="40" t="s">
        <v>124</v>
      </c>
      <c r="B121" s="144">
        <f>'[2]Flujo 2018'!BU3</f>
        <v>28885</v>
      </c>
      <c r="C121" s="144">
        <f>'[2]Flujo 2018'!BV3</f>
        <v>15564</v>
      </c>
      <c r="D121" s="144">
        <f>'[2]Flujo 2018'!BW3</f>
        <v>3799</v>
      </c>
      <c r="E121" s="144">
        <f>'[2]Flujo 2018'!BX3</f>
        <v>1423</v>
      </c>
      <c r="F121" s="144">
        <f>'[2]Flujo 2018'!BY3</f>
        <v>2751</v>
      </c>
      <c r="G121" s="57">
        <f>'[2]Flujo 2018'!BZ3</f>
        <v>-1996</v>
      </c>
      <c r="H121" s="57">
        <f>'[2]Flujo 2018'!CA3</f>
        <v>-7843.6717999999819</v>
      </c>
      <c r="I121" s="57">
        <f>'[2]Flujo 2018'!CB3</f>
        <v>-9182.5878440666565</v>
      </c>
      <c r="J121" s="57">
        <f>'[2]Flujo 2018'!CC3</f>
        <v>7450.8551996725</v>
      </c>
      <c r="K121" s="57">
        <f>'[2]Flujo 2018'!CD3</f>
        <v>10644.805838996879</v>
      </c>
      <c r="L121" s="57">
        <f>'[2]Flujo 2018'!CE3</f>
        <v>10709.338321999996</v>
      </c>
      <c r="M121" s="57">
        <f>'[2]Flujo 2018'!CF3</f>
        <v>9238.01603052055</v>
      </c>
      <c r="N121" s="72">
        <f>SUM(B121:F121)+SUM(G120:M120)</f>
        <v>83578.418913999951</v>
      </c>
      <c r="O121" s="38"/>
      <c r="P121" s="156">
        <f>-P112+K202/1000+L202/1000</f>
        <v>18405.484333999688</v>
      </c>
      <c r="Z121" s="89"/>
      <c r="AA121" s="89"/>
    </row>
    <row r="122" spans="1:30" ht="15">
      <c r="B122" s="26"/>
      <c r="C122" s="26"/>
      <c r="D122" s="26"/>
      <c r="E122" s="26"/>
      <c r="F122" s="26">
        <f>F121-F120</f>
        <v>8114.8507999999856</v>
      </c>
      <c r="G122" s="26"/>
      <c r="H122" s="56"/>
      <c r="I122" s="56"/>
      <c r="J122" s="56"/>
      <c r="K122" s="56"/>
      <c r="L122" s="56"/>
      <c r="M122" s="56"/>
      <c r="N122" s="65"/>
      <c r="P122" s="156"/>
      <c r="S122" s="40" t="s">
        <v>137</v>
      </c>
      <c r="T122" s="80">
        <f>T117-T116</f>
        <v>58966.53132290444</v>
      </c>
      <c r="U122" s="80">
        <f>U124-U123</f>
        <v>71460.380999999878</v>
      </c>
      <c r="W122" s="80">
        <f>W117-W116</f>
        <v>258021.80583700002</v>
      </c>
      <c r="X122" s="80">
        <f>X124-X123</f>
        <v>279352.16300000006</v>
      </c>
      <c r="Z122" s="89"/>
      <c r="AA122" s="89"/>
    </row>
    <row r="123" spans="1:30" ht="15.75" hidden="1">
      <c r="A123" s="41" t="s">
        <v>111</v>
      </c>
      <c r="B123" s="41" t="s">
        <v>112</v>
      </c>
      <c r="C123" s="41" t="s">
        <v>110</v>
      </c>
      <c r="E123" s="26">
        <f>SUM($B$121:E121)-SUM($B$120:E120)</f>
        <v>4489.6328800000192</v>
      </c>
      <c r="F123" s="26">
        <f>SUM($B$121:F121)-SUM($B$120:F120)</f>
        <v>12604.483680000005</v>
      </c>
      <c r="G123" s="26">
        <f>SUM($B$121:G121)-SUM($B$120:G120)</f>
        <v>24420.494332000002</v>
      </c>
      <c r="H123" s="26"/>
      <c r="I123" s="26"/>
      <c r="J123" s="26"/>
      <c r="K123" s="26"/>
      <c r="L123" s="26"/>
      <c r="M123" s="26"/>
      <c r="S123" s="40" t="s">
        <v>134</v>
      </c>
      <c r="T123" s="80">
        <f>T118</f>
        <v>3686.4629999999997</v>
      </c>
      <c r="U123" s="80">
        <f>'[1]Proy. 2018'!$D$154</f>
        <v>3125.4889999999978</v>
      </c>
      <c r="W123" s="80">
        <f>W118</f>
        <v>14841.465</v>
      </c>
      <c r="X123" s="80">
        <f>SUM('[1]Proy. 2018'!$E$154:$H$154)</f>
        <v>12671.042000000001</v>
      </c>
      <c r="Z123" s="89"/>
      <c r="AA123" s="89"/>
    </row>
    <row r="124" spans="1:30" ht="15" hidden="1">
      <c r="A124" s="42" t="s">
        <v>119</v>
      </c>
      <c r="B124" s="43">
        <f>-AVERAGE(B43:BA43)/1000000</f>
        <v>1.7095287849019609</v>
      </c>
      <c r="C124" s="43">
        <f>B124*4</f>
        <v>6.8381151396078437</v>
      </c>
      <c r="S124" s="40" t="s">
        <v>135</v>
      </c>
      <c r="T124" s="80">
        <f>SUM(T122:T123)</f>
        <v>62652.994322904444</v>
      </c>
      <c r="U124" s="80">
        <f>'[1]Proy. 2018'!$D$60</f>
        <v>74585.869999999879</v>
      </c>
      <c r="W124" s="80">
        <f>SUM(W122:W123)</f>
        <v>272863.27083700005</v>
      </c>
      <c r="X124" s="80">
        <f>SUM('[1]Proy. 2018'!$E$60:$H$60)</f>
        <v>292023.20500000007</v>
      </c>
      <c r="Z124" s="91">
        <f>R120+T124+W124</f>
        <v>909722.26515990449</v>
      </c>
      <c r="AA124" s="91">
        <f>R120+U124+X124</f>
        <v>940815.07499999995</v>
      </c>
      <c r="AB124" s="109">
        <f>'[3]Flujo 2018'!$M$9</f>
        <v>857363.75</v>
      </c>
      <c r="AD124" s="110">
        <f>AA124-AB124</f>
        <v>83451.324999999953</v>
      </c>
    </row>
    <row r="125" spans="1:30" ht="15" hidden="1">
      <c r="A125" s="42" t="s">
        <v>46</v>
      </c>
      <c r="B125" s="43">
        <f>-(AVERAGE(B47:BA47)+AVERAGE(B50:BA50))/1000000</f>
        <v>0.74653250431372553</v>
      </c>
      <c r="C125" s="43">
        <f>B125*4</f>
        <v>2.9861300172549021</v>
      </c>
      <c r="Z125" s="89"/>
      <c r="AA125" s="89"/>
    </row>
    <row r="126" spans="1:30" ht="15" hidden="1">
      <c r="A126" s="42" t="s">
        <v>120</v>
      </c>
      <c r="B126" s="43">
        <f>-AVERAGE(B82:BA82)/1000000</f>
        <v>5.7912370150980363</v>
      </c>
      <c r="C126" s="43">
        <f>B126*4</f>
        <v>23.164948060392145</v>
      </c>
      <c r="S126" s="92" t="s">
        <v>144</v>
      </c>
      <c r="U126" s="104">
        <f>T124-U124</f>
        <v>-11932.875677095435</v>
      </c>
      <c r="X126" s="104">
        <f>W124-X124</f>
        <v>-19159.934163000027</v>
      </c>
      <c r="Z126" s="89"/>
      <c r="AA126" s="89">
        <f>Z124-AA124</f>
        <v>-31092.809840095462</v>
      </c>
      <c r="AB126" s="112">
        <f>(X126+U126)/(T122+W122)</f>
        <v>-9.8088182419187001E-2</v>
      </c>
      <c r="AC126" s="111">
        <f>AA126/Z124</f>
        <v>-3.4178354241588438E-2</v>
      </c>
    </row>
    <row r="127" spans="1:30" ht="15" hidden="1">
      <c r="A127" s="42" t="s">
        <v>121</v>
      </c>
      <c r="B127" s="43">
        <f>-(AVERAGE(B89:BA89)+AVERAGE(B68:BA68))/1000000</f>
        <v>4.1119289954901959</v>
      </c>
      <c r="C127" s="43">
        <f>B127*4</f>
        <v>16.447715981960783</v>
      </c>
      <c r="Z127" s="89"/>
      <c r="AA127" s="89"/>
    </row>
    <row r="128" spans="1:30" ht="15.75" hidden="1">
      <c r="A128" s="44" t="s">
        <v>104</v>
      </c>
      <c r="B128" s="45">
        <f>SUM(B124:B127)</f>
        <v>12.359227299803919</v>
      </c>
      <c r="C128" s="45">
        <f>SUM(C124:C127)</f>
        <v>49.436909199215677</v>
      </c>
      <c r="R128" s="23"/>
      <c r="S128" s="9" t="s">
        <v>141</v>
      </c>
      <c r="Z128" s="87">
        <f>Z120-'[4]Flujo 2018'!$AQ$4</f>
        <v>-19171.384311000002</v>
      </c>
      <c r="AA128" s="87">
        <f>AA124-'[1]Proy. 2018'!$H$57</f>
        <v>15788.686999999918</v>
      </c>
    </row>
    <row r="129" spans="1:31" ht="15" hidden="1">
      <c r="A129" s="42"/>
      <c r="B129" s="43"/>
      <c r="C129" s="43"/>
      <c r="R129" s="23"/>
    </row>
    <row r="130" spans="1:31" ht="15.75" hidden="1">
      <c r="A130" s="42" t="s">
        <v>122</v>
      </c>
      <c r="B130" s="43">
        <f>-AVERAGE([5]PRONACAsemanal!$E$137:$BD$137)/1000000</f>
        <v>1.1129919180476926</v>
      </c>
      <c r="C130" s="43">
        <f>B130*4</f>
        <v>4.4519676721907704</v>
      </c>
      <c r="R130" s="14"/>
    </row>
    <row r="131" spans="1:31" ht="15.75" hidden="1">
      <c r="A131" s="44" t="s">
        <v>105</v>
      </c>
      <c r="B131" s="45">
        <f>SUM(B130)</f>
        <v>1.1129919180476926</v>
      </c>
      <c r="C131" s="45">
        <f>SUM(C130)</f>
        <v>4.4519676721907704</v>
      </c>
      <c r="R131" s="93" t="s">
        <v>146</v>
      </c>
      <c r="S131" s="98" t="s">
        <v>138</v>
      </c>
      <c r="T131" s="95" t="s">
        <v>147</v>
      </c>
      <c r="U131" s="95" t="s">
        <v>148</v>
      </c>
      <c r="V131" s="94"/>
      <c r="W131" s="95" t="s">
        <v>149</v>
      </c>
      <c r="X131" s="96" t="s">
        <v>150</v>
      </c>
      <c r="Y131" s="97"/>
      <c r="Z131" s="96" t="s">
        <v>139</v>
      </c>
      <c r="AA131" s="96" t="s">
        <v>140</v>
      </c>
      <c r="AB131" s="96" t="s">
        <v>145</v>
      </c>
      <c r="AC131" s="81"/>
      <c r="AD131" s="81"/>
      <c r="AE131" s="81"/>
    </row>
    <row r="132" spans="1:31" ht="15.75" hidden="1">
      <c r="A132" s="42"/>
      <c r="B132" s="43"/>
      <c r="C132" s="43"/>
      <c r="R132" s="14"/>
      <c r="S132" s="53" t="s">
        <v>131</v>
      </c>
      <c r="T132" s="101">
        <f>SUM(AF47:AJ47)/1000</f>
        <v>-2493.0709200000001</v>
      </c>
      <c r="U132" s="53"/>
      <c r="V132" s="114"/>
      <c r="W132" s="101">
        <f>SUM(AK47:BA47)/1000</f>
        <v>-10321.321760000003</v>
      </c>
      <c r="X132" s="102"/>
      <c r="Y132" s="23"/>
      <c r="Z132" s="23"/>
      <c r="AA132" s="23"/>
      <c r="AC132" s="81"/>
    </row>
    <row r="133" spans="1:31" ht="15.75" hidden="1">
      <c r="A133" s="42" t="s">
        <v>123</v>
      </c>
      <c r="B133" s="43">
        <f>C133/4</f>
        <v>0.62154649625000047</v>
      </c>
      <c r="C133" s="43">
        <f>-AVERAGE('[6]Flujo Deuda'!$Q$39:$AB$39)/1000</f>
        <v>2.4861859850000019</v>
      </c>
      <c r="R133" s="67"/>
      <c r="S133" s="99" t="s">
        <v>47</v>
      </c>
      <c r="T133" s="100">
        <v>0</v>
      </c>
      <c r="U133" s="100">
        <f>'[1]Proy. 2018'!$D$119-'[1]Proy. 2018'!$C$119</f>
        <v>-2197.6860000000015</v>
      </c>
      <c r="V133" s="99"/>
      <c r="W133" s="100">
        <f>SUM(AK48:BA48)/1000</f>
        <v>0</v>
      </c>
      <c r="X133" s="100">
        <f>'[1]Proy. 2018'!$H$119-'[1]Proy. 2018'!$D$119</f>
        <v>-8925.6260000000002</v>
      </c>
      <c r="Y133" s="23"/>
      <c r="Z133" s="23" t="s">
        <v>151</v>
      </c>
      <c r="AA133" s="23"/>
      <c r="AC133" s="81"/>
    </row>
    <row r="134" spans="1:31" ht="15.75" hidden="1">
      <c r="A134" s="44" t="s">
        <v>106</v>
      </c>
      <c r="B134" s="45">
        <f>SUM(B133)</f>
        <v>0.62154649625000047</v>
      </c>
      <c r="C134" s="45">
        <f>SUM(C133)</f>
        <v>2.4861859850000019</v>
      </c>
      <c r="S134" s="23" t="s">
        <v>48</v>
      </c>
      <c r="T134" s="84">
        <f>T138*V134</f>
        <v>-3067.5729890955613</v>
      </c>
      <c r="U134" s="14"/>
      <c r="V134" s="83">
        <f>W134/W138</f>
        <v>4.5041468565580597E-2</v>
      </c>
      <c r="W134" s="76">
        <f>SUM(AK49:BA49)/1000</f>
        <v>-10332.385</v>
      </c>
      <c r="X134" s="24"/>
      <c r="Y134" s="14"/>
      <c r="Z134" s="14"/>
      <c r="AA134" s="14"/>
      <c r="AC134" s="81"/>
    </row>
    <row r="135" spans="1:31" ht="15.75" hidden="1">
      <c r="A135" s="42"/>
      <c r="B135" s="43"/>
      <c r="C135" s="43"/>
      <c r="S135" s="23" t="s">
        <v>49</v>
      </c>
      <c r="T135" s="76">
        <v>0</v>
      </c>
      <c r="U135" s="14"/>
      <c r="V135" s="14"/>
      <c r="W135" s="76">
        <f>SUM(AK50:BA50)/1000</f>
        <v>0</v>
      </c>
      <c r="X135" s="24"/>
      <c r="Y135" s="14"/>
      <c r="Z135" s="14"/>
      <c r="AA135" s="14"/>
      <c r="AC135" s="81"/>
    </row>
    <row r="136" spans="1:31" ht="15.75" hidden="1">
      <c r="A136" s="44" t="s">
        <v>107</v>
      </c>
      <c r="B136" s="45">
        <f>B128+B131+B134</f>
        <v>14.093765714101611</v>
      </c>
      <c r="C136" s="45">
        <f>C128+C131+C134</f>
        <v>56.375062856406444</v>
      </c>
      <c r="S136" s="53" t="s">
        <v>81</v>
      </c>
      <c r="T136" s="101">
        <f>-'[7]10 de agosto'!$H$9</f>
        <v>-27989.048968106763</v>
      </c>
      <c r="U136" s="101">
        <f>-[8]Resumen!$S$13/1000</f>
        <v>-13469.242500000002</v>
      </c>
      <c r="V136" s="55"/>
      <c r="W136" s="101">
        <f>-SUM('[7]10 de agosto'!$H$10:$H$13)</f>
        <v>-37339.228789139997</v>
      </c>
      <c r="X136" s="101">
        <f>-SUM([8]Resumen!$S$14:$S$17)/1000</f>
        <v>-52826.63920069897</v>
      </c>
      <c r="Y136" s="14"/>
      <c r="Z136" s="107"/>
      <c r="AA136" s="14"/>
      <c r="AC136" s="81"/>
    </row>
    <row r="137" spans="1:31" ht="15.75" hidden="1">
      <c r="A137" s="42" t="s">
        <v>118</v>
      </c>
      <c r="B137" s="43">
        <f>C137</f>
        <v>13.786766819886854</v>
      </c>
      <c r="C137" s="43">
        <f>-'[9]Var Flujo Operativo'!$I$4</f>
        <v>13.786766819886854</v>
      </c>
      <c r="S137" s="53" t="s">
        <v>132</v>
      </c>
      <c r="T137" s="101">
        <f>T138-T132-T134-T136</f>
        <v>-34555.834912797684</v>
      </c>
      <c r="U137" s="101">
        <f>'[1]Proy. 2018'!$D$116-'[1]Proy. 2018'!$C$116-U136</f>
        <v>-38522.038500000075</v>
      </c>
      <c r="V137" s="103"/>
      <c r="W137" s="101">
        <f>SUM(AK31:BA92)/1000-SUM(W132:W136)</f>
        <v>-171404.22509085998</v>
      </c>
      <c r="X137" s="101">
        <f>'[1]Proy. 2018'!$H$116-'[1]Proy. 2018'!$D$116-X136</f>
        <v>-186183.62979930112</v>
      </c>
      <c r="Y137" s="67"/>
      <c r="Z137" s="108"/>
      <c r="AA137" s="67"/>
      <c r="AC137" s="81"/>
    </row>
    <row r="138" spans="1:31" ht="16.5" hidden="1" thickBot="1">
      <c r="A138" s="46" t="s">
        <v>108</v>
      </c>
      <c r="B138" s="47">
        <f>B136+B137</f>
        <v>27.880532533988465</v>
      </c>
      <c r="C138" s="47">
        <f>C136+C137</f>
        <v>70.161829676293294</v>
      </c>
      <c r="S138" s="40" t="s">
        <v>133</v>
      </c>
      <c r="T138" s="80">
        <f>I101</f>
        <v>-68105.527790000007</v>
      </c>
      <c r="W138" s="80">
        <f>SUM(AK93:BA93)/1000</f>
        <v>-229397.16063999996</v>
      </c>
      <c r="X138" s="24"/>
    </row>
    <row r="139" spans="1:31" ht="15" hidden="1">
      <c r="S139" s="40" t="s">
        <v>134</v>
      </c>
      <c r="T139" s="80">
        <f>I107</f>
        <v>-3481.849000000002</v>
      </c>
      <c r="W139" s="80">
        <f>SUM(J107:M107)</f>
        <v>-13040.287000000004</v>
      </c>
      <c r="X139" s="24"/>
    </row>
    <row r="140" spans="1:31" ht="15" hidden="1">
      <c r="S140" s="40" t="s">
        <v>136</v>
      </c>
      <c r="T140" s="80">
        <f>I113</f>
        <v>-8000</v>
      </c>
      <c r="W140" s="80">
        <f>SUM(J113:M113)</f>
        <v>-32000</v>
      </c>
      <c r="X140" s="24"/>
    </row>
    <row r="141" spans="1:31" ht="15" hidden="1">
      <c r="R141" s="22">
        <f>[1]EEFF!$H$64</f>
        <v>-582650</v>
      </c>
      <c r="S141" s="40" t="s">
        <v>135</v>
      </c>
      <c r="T141" s="80">
        <f>SUM(T138:T140)</f>
        <v>-79587.376790000009</v>
      </c>
      <c r="W141" s="80">
        <f>SUM(W138:W140)</f>
        <v>-274437.44763999997</v>
      </c>
      <c r="X141" s="24"/>
      <c r="Z141" s="80">
        <f>R141+T141+W141</f>
        <v>-936674.82443000004</v>
      </c>
    </row>
    <row r="142" spans="1:31" ht="15" hidden="1">
      <c r="S142" s="40"/>
      <c r="T142" s="24"/>
      <c r="W142" s="24"/>
      <c r="X142" s="24"/>
    </row>
    <row r="143" spans="1:31" hidden="1">
      <c r="S143" s="40" t="s">
        <v>137</v>
      </c>
      <c r="T143" s="80">
        <f>T138-T134</f>
        <v>-65037.954800904445</v>
      </c>
      <c r="U143" s="80">
        <f>U145-U144</f>
        <v>-54186.39900000018</v>
      </c>
      <c r="W143" s="80">
        <f>W138-W134</f>
        <v>-219064.77563999995</v>
      </c>
      <c r="X143" s="80">
        <f>X145-X144</f>
        <v>-250028.52100000001</v>
      </c>
    </row>
    <row r="144" spans="1:31" hidden="1">
      <c r="S144" s="40" t="s">
        <v>134</v>
      </c>
      <c r="T144" s="80">
        <f>T139</f>
        <v>-3481.849000000002</v>
      </c>
      <c r="U144" s="80">
        <f>'[1]Proy. 2018'!$D$155</f>
        <v>-2850.997000000003</v>
      </c>
      <c r="W144" s="80">
        <f>W139</f>
        <v>-13040.287000000004</v>
      </c>
      <c r="X144" s="80">
        <f>SUM('[1]Proy. 2018'!$E$155:$H$155)</f>
        <v>-10418.723999999998</v>
      </c>
    </row>
    <row r="145" spans="1:30" ht="12.75" hidden="1">
      <c r="S145" s="40" t="s">
        <v>135</v>
      </c>
      <c r="T145" s="85">
        <f>SUM(T143:T144)</f>
        <v>-68519.803800904454</v>
      </c>
      <c r="U145" s="85">
        <f>'[1]Proy. 2018'!$D$61</f>
        <v>-57037.396000000183</v>
      </c>
      <c r="W145" s="85">
        <f>SUM(W143:W144)</f>
        <v>-232105.06263999996</v>
      </c>
      <c r="X145" s="85">
        <f>SUM('[1]Proy. 2018'!$E$61:$H$61)</f>
        <v>-260447.245</v>
      </c>
      <c r="Z145" s="85">
        <f>R141+T145+W145</f>
        <v>-883274.86644090433</v>
      </c>
      <c r="AA145" s="85">
        <f>R141+U145+X145</f>
        <v>-900134.64100000018</v>
      </c>
      <c r="AB145" s="109">
        <f>SUM('[3]Flujo 2018'!$M$10:$M$14)</f>
        <v>-791407.04399999999</v>
      </c>
      <c r="AC145" s="109">
        <v>18500</v>
      </c>
      <c r="AD145" s="110">
        <f>AA145+AC145-AB145</f>
        <v>-90227.597000000183</v>
      </c>
    </row>
    <row r="146" spans="1:30" hidden="1">
      <c r="B146" s="48" t="s">
        <v>113</v>
      </c>
      <c r="C146" s="25">
        <f>AVERAGE(A148:A200)/1000000</f>
        <v>-14.911536360188679</v>
      </c>
      <c r="Z146" s="90"/>
      <c r="AA146" s="90"/>
    </row>
    <row r="147" spans="1:30" hidden="1">
      <c r="B147" s="48" t="s">
        <v>114</v>
      </c>
      <c r="C147" s="25">
        <f>_xlfn.STDEV.P(A148:A200)/1000000</f>
        <v>7.219883725582962</v>
      </c>
      <c r="S147" s="92" t="s">
        <v>143</v>
      </c>
      <c r="T147" s="40"/>
      <c r="U147" s="104">
        <f>T145-U145</f>
        <v>-11482.407800904271</v>
      </c>
      <c r="V147" s="40"/>
      <c r="W147" s="40"/>
      <c r="X147" s="104">
        <f>W145-X145</f>
        <v>28342.182360000035</v>
      </c>
      <c r="Z147" s="90"/>
      <c r="AA147" s="89">
        <f>Z145-AA145</f>
        <v>16859.774559095851</v>
      </c>
      <c r="AB147" s="112">
        <f>(X147+U147)/(W145+T145)</f>
        <v>-5.6082435091609387E-2</v>
      </c>
    </row>
    <row r="148" spans="1:30" ht="12.75" hidden="1">
      <c r="A148" s="18">
        <v>-9912883.4499999993</v>
      </c>
      <c r="S148" s="99"/>
      <c r="T148" s="105"/>
      <c r="U148" s="105">
        <f>T133-U133</f>
        <v>2197.6860000000015</v>
      </c>
      <c r="V148" s="105"/>
      <c r="W148" s="105"/>
      <c r="X148" s="105">
        <f>W133-X133</f>
        <v>8925.6260000000002</v>
      </c>
    </row>
    <row r="149" spans="1:30" ht="12.75" hidden="1">
      <c r="A149" s="18">
        <v>-22054513.02</v>
      </c>
      <c r="B149" s="48" t="s">
        <v>115</v>
      </c>
      <c r="C149" s="49">
        <v>0.98</v>
      </c>
      <c r="S149" s="53"/>
      <c r="T149" s="106"/>
      <c r="U149" s="106">
        <f>T132-U132+T136-U136+T137-U137</f>
        <v>-13046.673800904369</v>
      </c>
      <c r="V149" s="106"/>
      <c r="W149" s="106"/>
      <c r="X149" s="106">
        <f>W132-X132+W136-X136+W137-X137</f>
        <v>19945.49336000011</v>
      </c>
    </row>
    <row r="150" spans="1:30" ht="12.75" hidden="1">
      <c r="A150" s="18">
        <v>-10133464.029999999</v>
      </c>
      <c r="B150" s="48" t="s">
        <v>116</v>
      </c>
      <c r="C150" s="50">
        <f>_xlfn.NORM.S.INV(C149)</f>
        <v>2.0537489106318221</v>
      </c>
      <c r="S150" s="9" t="s">
        <v>136</v>
      </c>
      <c r="U150" s="89">
        <f>-'[1]Proy. 2018'!$D$1</f>
        <v>-2.5679999999995289</v>
      </c>
      <c r="X150" s="89">
        <f>-SUM('[1]Proy. 2018'!$E$1:$H$1)</f>
        <v>2092.6259999999984</v>
      </c>
    </row>
    <row r="151" spans="1:30" ht="12.75" hidden="1">
      <c r="A151" s="18">
        <v>-7813872.3399999999</v>
      </c>
      <c r="B151" s="48" t="s">
        <v>117</v>
      </c>
      <c r="C151" s="25">
        <f>C146-(C147*C150)</f>
        <v>-29.739364696493109</v>
      </c>
    </row>
    <row r="152" spans="1:30" ht="12.75" hidden="1">
      <c r="A152" s="18">
        <v>-39269103.120000005</v>
      </c>
      <c r="S152" s="9" t="s">
        <v>141</v>
      </c>
      <c r="Z152" s="87">
        <f>Z141-'[4]Flujo 2018'!$AQ$5</f>
        <v>6115.5649699999485</v>
      </c>
      <c r="AA152" s="87">
        <f>AA145-'[1]Proy. 2018'!$H$58</f>
        <v>-13303.273000000045</v>
      </c>
    </row>
    <row r="153" spans="1:30" ht="12.75" hidden="1">
      <c r="A153" s="18">
        <v>-9105093</v>
      </c>
    </row>
    <row r="154" spans="1:30" ht="12.75" hidden="1">
      <c r="A154" s="18">
        <v>-25312139.880000006</v>
      </c>
      <c r="S154" s="9" t="s">
        <v>95</v>
      </c>
      <c r="Z154" s="88">
        <f>Z120+Z141</f>
        <v>26447.398718999932</v>
      </c>
      <c r="AA154" s="88">
        <f>AA124+AA145</f>
        <v>40680.433999999776</v>
      </c>
      <c r="AB154" s="81">
        <f>AB124+AB145</f>
        <v>65956.706000000006</v>
      </c>
      <c r="AD154" s="89">
        <f>AA154+AC145-AB154</f>
        <v>-6776.27200000023</v>
      </c>
    </row>
    <row r="155" spans="1:30" ht="12.75" hidden="1">
      <c r="A155" s="18">
        <v>-12578049.57</v>
      </c>
      <c r="Z155" s="87">
        <f>Z154-'[4]Flujo 2018'!$AQ$3</f>
        <v>-13055.819341000068</v>
      </c>
      <c r="AA155" s="87">
        <f>AA154-'[1]Proy. 2018'!$H$70</f>
        <v>2485.4139999998733</v>
      </c>
      <c r="AD155" s="89">
        <f>AD124+AD145</f>
        <v>-6776.27200000023</v>
      </c>
    </row>
    <row r="156" spans="1:30" ht="12.75" hidden="1">
      <c r="A156" s="18">
        <v>-12967963.389999997</v>
      </c>
      <c r="AA156" s="81">
        <f>AA126+AA147</f>
        <v>-14233.035280999611</v>
      </c>
    </row>
    <row r="157" spans="1:30" ht="12.75" hidden="1">
      <c r="A157" s="18">
        <v>-8256517.8300000001</v>
      </c>
      <c r="AA157" s="10">
        <f>Z154-AA154</f>
        <v>-14233.035280999844</v>
      </c>
    </row>
    <row r="158" spans="1:30" ht="12.75" hidden="1">
      <c r="A158" s="18">
        <v>-16715896.169999998</v>
      </c>
    </row>
    <row r="159" spans="1:30" ht="12.75" hidden="1">
      <c r="A159" s="18">
        <v>-7781264.6299999999</v>
      </c>
    </row>
    <row r="160" spans="1:30" ht="12.75" hidden="1">
      <c r="A160" s="18">
        <v>-11260163.460000001</v>
      </c>
    </row>
    <row r="161" spans="1:1" ht="12.75" hidden="1">
      <c r="A161" s="18">
        <v>-7148236.0399999991</v>
      </c>
    </row>
    <row r="162" spans="1:1" ht="12.75" hidden="1">
      <c r="A162" s="18">
        <v>-39931943</v>
      </c>
    </row>
    <row r="163" spans="1:1" ht="12.75" hidden="1">
      <c r="A163" s="18">
        <v>-17562299.390000001</v>
      </c>
    </row>
    <row r="164" spans="1:1" ht="12.75" hidden="1">
      <c r="A164" s="18">
        <v>-9393337.9000000004</v>
      </c>
    </row>
    <row r="165" spans="1:1" ht="12.75" hidden="1">
      <c r="A165" s="18">
        <v>-18670296.349999998</v>
      </c>
    </row>
    <row r="166" spans="1:1" ht="12.75" hidden="1">
      <c r="A166" s="18">
        <v>-17981320.5</v>
      </c>
    </row>
    <row r="167" spans="1:1" ht="12.75" hidden="1">
      <c r="A167" s="18">
        <v>-19779546.189999998</v>
      </c>
    </row>
    <row r="168" spans="1:1" ht="12.75" hidden="1">
      <c r="A168" s="18">
        <v>-14716797.210000001</v>
      </c>
    </row>
    <row r="169" spans="1:1" ht="12.75" hidden="1">
      <c r="A169" s="18">
        <v>-19137676.490000006</v>
      </c>
    </row>
    <row r="170" spans="1:1" ht="12.75" hidden="1">
      <c r="A170" s="18">
        <v>-15668641.6</v>
      </c>
    </row>
    <row r="171" spans="1:1" ht="12.75" hidden="1">
      <c r="A171" s="18">
        <v>-32996590.100000005</v>
      </c>
    </row>
    <row r="172" spans="1:1" ht="12.75" hidden="1">
      <c r="A172" s="18">
        <v>-14992755.369999999</v>
      </c>
    </row>
    <row r="173" spans="1:1" ht="12.75" hidden="1">
      <c r="A173" s="18">
        <v>-14485372.019999998</v>
      </c>
    </row>
    <row r="174" spans="1:1" ht="12.75" hidden="1">
      <c r="A174" s="18">
        <v>-10392831.639999999</v>
      </c>
    </row>
    <row r="175" spans="1:1" ht="12.75" hidden="1">
      <c r="A175" s="18">
        <v>-15708281.379999997</v>
      </c>
    </row>
    <row r="176" spans="1:1" ht="12.75" hidden="1">
      <c r="A176" s="18">
        <v>-14005617.209999999</v>
      </c>
    </row>
    <row r="177" spans="1:1" ht="12.75" hidden="1">
      <c r="A177" s="18">
        <v>-10310799.1</v>
      </c>
    </row>
    <row r="178" spans="1:1" ht="12.75" hidden="1">
      <c r="A178" s="18">
        <v>-14690932.689999999</v>
      </c>
    </row>
    <row r="179" spans="1:1" ht="12.75" hidden="1">
      <c r="A179" s="18">
        <v>-20986111.840000004</v>
      </c>
    </row>
    <row r="180" spans="1:1" ht="12.75" hidden="1">
      <c r="A180" s="18">
        <v>-20108286.910000004</v>
      </c>
    </row>
    <row r="181" spans="1:1" ht="12.75" hidden="1">
      <c r="A181" s="18">
        <v>-10539927.389999999</v>
      </c>
    </row>
    <row r="182" spans="1:1" ht="12.75" hidden="1">
      <c r="A182" s="18">
        <v>-11907511.999999996</v>
      </c>
    </row>
    <row r="183" spans="1:1" ht="12.75" hidden="1">
      <c r="A183" s="18">
        <v>-7817853.9199999999</v>
      </c>
    </row>
    <row r="184" spans="1:1" ht="12.75" hidden="1">
      <c r="A184" s="18">
        <v>-18903649.48</v>
      </c>
    </row>
    <row r="185" spans="1:1" ht="12.75" hidden="1">
      <c r="A185" s="18">
        <v>-11719224.569999997</v>
      </c>
    </row>
    <row r="186" spans="1:1" ht="12.75" hidden="1">
      <c r="A186" s="18">
        <v>-11809515.199999997</v>
      </c>
    </row>
    <row r="187" spans="1:1" ht="12.75" hidden="1">
      <c r="A187" s="18">
        <v>-18145407.98</v>
      </c>
    </row>
    <row r="188" spans="1:1" ht="12.75" hidden="1">
      <c r="A188" s="18">
        <v>-14712916.180000002</v>
      </c>
    </row>
    <row r="189" spans="1:1" ht="12.75" hidden="1">
      <c r="A189" s="18">
        <v>-15948915.860000003</v>
      </c>
    </row>
    <row r="190" spans="1:1" ht="12.75" hidden="1">
      <c r="A190" s="18">
        <v>-10619348.260000002</v>
      </c>
    </row>
    <row r="191" spans="1:1" ht="12.75" hidden="1">
      <c r="A191" s="18">
        <v>-13044295.540000001</v>
      </c>
    </row>
    <row r="192" spans="1:1" ht="12.75" hidden="1">
      <c r="A192" s="18">
        <v>-15655322.779999999</v>
      </c>
    </row>
    <row r="193" spans="1:12" ht="12.75" hidden="1">
      <c r="A193" s="18">
        <v>-17671664.530000001</v>
      </c>
    </row>
    <row r="194" spans="1:12" ht="12.75" hidden="1">
      <c r="A194" s="18">
        <v>-9074849.4499999993</v>
      </c>
    </row>
    <row r="195" spans="1:12" ht="12.75" hidden="1">
      <c r="A195" s="18">
        <v>-11314401.319999998</v>
      </c>
    </row>
    <row r="196" spans="1:12" ht="12.75" hidden="1">
      <c r="A196" s="18">
        <v>-7433314.2800000003</v>
      </c>
    </row>
    <row r="197" spans="1:12" ht="12.75" hidden="1">
      <c r="A197" s="18">
        <v>-19842362.970000003</v>
      </c>
    </row>
    <row r="198" spans="1:12" ht="12.75" hidden="1">
      <c r="A198" s="18">
        <v>-10999156.18</v>
      </c>
    </row>
    <row r="199" spans="1:12" ht="12.75" hidden="1">
      <c r="A199" s="18">
        <v>-11323192.379999999</v>
      </c>
    </row>
    <row r="200" spans="1:12" hidden="1">
      <c r="A200" s="5">
        <v>0</v>
      </c>
    </row>
    <row r="202" spans="1:12" ht="12.75">
      <c r="A202" s="9" t="s">
        <v>313</v>
      </c>
      <c r="H202" s="154">
        <v>12375900</v>
      </c>
      <c r="J202" s="154">
        <v>6217650</v>
      </c>
      <c r="K202" s="154">
        <v>6217650</v>
      </c>
      <c r="L202" s="154">
        <v>12399600</v>
      </c>
    </row>
    <row r="203" spans="1:12" ht="12.75">
      <c r="A203" s="9" t="s">
        <v>314</v>
      </c>
      <c r="H203" s="155">
        <v>43661</v>
      </c>
      <c r="J203" s="155">
        <v>43721</v>
      </c>
      <c r="K203" s="155">
        <v>43751</v>
      </c>
      <c r="L203" s="155">
        <v>43782</v>
      </c>
    </row>
    <row r="204" spans="1:12" ht="12.75">
      <c r="H204" s="155">
        <f>[10]PlanImpBuques!$L$46</f>
        <v>43746</v>
      </c>
      <c r="J204" s="155">
        <v>43808</v>
      </c>
      <c r="K204" s="155">
        <v>43838</v>
      </c>
      <c r="L204" s="155">
        <v>43869</v>
      </c>
    </row>
  </sheetData>
  <pageMargins left="0.7" right="0.7" top="0.75" bottom="0.75" header="0.3" footer="0.3"/>
  <pageSetup orientation="portrait" horizont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FO 16 ago-19</vt:lpstr>
      <vt:lpstr>FO 9 ago-19</vt:lpstr>
      <vt:lpstr>FO 2 ago-19</vt:lpstr>
      <vt:lpstr>FO 31 jul-19</vt:lpstr>
      <vt:lpstr>FO 12 jul-19</vt:lpstr>
      <vt:lpstr>FO 5 jul-19</vt:lpstr>
      <vt:lpstr>FO 28 jun-19</vt:lpstr>
      <vt:lpstr>FO 21 jun-19</vt:lpstr>
      <vt:lpstr>FO 14 jun-19</vt:lpstr>
      <vt:lpstr>FO 7 jun-19</vt:lpstr>
      <vt:lpstr>FO 31 may-19</vt:lpstr>
      <vt:lpstr>FO 24 may-19</vt:lpstr>
      <vt:lpstr>FO 17 may-19</vt:lpstr>
      <vt:lpstr>FO 10 may-19</vt:lpstr>
      <vt:lpstr>FO 3 may-19</vt:lpstr>
      <vt:lpstr>FO 26 abr-19 (Escenario)</vt:lpstr>
      <vt:lpstr>Hoja2</vt:lpstr>
      <vt:lpstr>FO 26 abr-19</vt:lpstr>
      <vt:lpstr>FO 19 abr-19</vt:lpstr>
      <vt:lpstr>FO 12 abr-19</vt:lpstr>
      <vt:lpstr>FO 5 abr-19</vt:lpstr>
      <vt:lpstr>FO 29 mar-19</vt:lpstr>
      <vt:lpstr>FO 22 mar-19</vt:lpstr>
      <vt:lpstr>FO 15 mar-19</vt:lpstr>
      <vt:lpstr>FO 8 mar-19</vt:lpstr>
      <vt:lpstr>FO 1 mar-19</vt:lpstr>
      <vt:lpstr>FO 22 feb-19</vt:lpstr>
      <vt:lpstr>FO 15 feb-19</vt:lpstr>
      <vt:lpstr>FO 8 feb-19</vt:lpstr>
      <vt:lpstr>FO 1 feb-19</vt:lpstr>
      <vt:lpstr>FO 25 ene-19</vt:lpstr>
      <vt:lpstr>FO 18 ene-19</vt:lpstr>
      <vt:lpstr>FO 0 ene-19</vt:lpstr>
      <vt:lpstr>FO 0 ene-19 Org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Monar</dc:creator>
  <cp:lastModifiedBy>Felipe Serrano</cp:lastModifiedBy>
  <dcterms:created xsi:type="dcterms:W3CDTF">2017-07-06T20:10:42Z</dcterms:created>
  <dcterms:modified xsi:type="dcterms:W3CDTF">2019-08-19T16:15:53Z</dcterms:modified>
</cp:coreProperties>
</file>