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hili\OneDrive\Documentos\Data Analysis\Excel SENA\"/>
    </mc:Choice>
  </mc:AlternateContent>
  <xr:revisionPtr revIDLastSave="0" documentId="8_{8F9AD912-B425-4804-A37F-C453B355BB60}" xr6:coauthVersionLast="47" xr6:coauthVersionMax="47" xr10:uidLastSave="{00000000-0000-0000-0000-000000000000}"/>
  <bookViews>
    <workbookView xWindow="-120" yWindow="-120" windowWidth="20730" windowHeight="11040" tabRatio="754" firstSheet="1" activeTab="4" xr2:uid="{0C3D7528-C36B-45D8-A92D-A8BC7E18FC6B}"/>
  </bookViews>
  <sheets>
    <sheet name="Presentación" sheetId="5" state="hidden" r:id="rId1"/>
    <sheet name="Clientes" sheetId="1" r:id="rId2"/>
    <sheet name="Producto" sheetId="2" r:id="rId3"/>
    <sheet name="Vendedores" sheetId="3" r:id="rId4"/>
    <sheet name="Tabla_dinamica" sheetId="8" r:id="rId5"/>
    <sheet name="Ventas" sheetId="7" r:id="rId6"/>
    <sheet name="Formato_factura" sheetId="4" r:id="rId7"/>
    <sheet name="Informe" sheetId="6" r:id="rId8"/>
  </sheets>
  <definedNames>
    <definedName name="clientes">Clientes!$A$7:$F$17</definedName>
    <definedName name="productos">Producto!$A$8:$C$17</definedName>
    <definedName name="vendedores">Vendedores!$B$8:$E$17</definedName>
  </definedNames>
  <calcPr calcId="191029"/>
  <pivotCaches>
    <pivotCache cacheId="1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6" l="1"/>
  <c r="C40" i="6" s="1"/>
  <c r="B41" i="6"/>
  <c r="B42" i="6"/>
  <c r="B43" i="6"/>
  <c r="B44" i="6"/>
  <c r="B45" i="6"/>
  <c r="C45" i="6" s="1"/>
  <c r="B46" i="6"/>
  <c r="B47" i="6"/>
  <c r="C47" i="6" s="1"/>
  <c r="B48" i="6"/>
  <c r="C48" i="6" s="1"/>
  <c r="B39" i="6"/>
  <c r="C39" i="6" s="1"/>
  <c r="G5" i="7"/>
  <c r="F5" i="7"/>
  <c r="E5" i="7"/>
  <c r="C5" i="7"/>
  <c r="C41" i="6"/>
  <c r="C43" i="6"/>
  <c r="C44" i="6"/>
  <c r="C46" i="6"/>
  <c r="G7" i="7"/>
  <c r="G2" i="7"/>
  <c r="H10" i="7"/>
  <c r="H3" i="7"/>
  <c r="E3" i="7"/>
  <c r="E11" i="7"/>
  <c r="E2" i="7"/>
  <c r="E4" i="7"/>
  <c r="K6" i="7"/>
  <c r="E12" i="3" s="1"/>
  <c r="C27" i="6" s="1"/>
  <c r="I3" i="7"/>
  <c r="H4" i="7"/>
  <c r="I4" i="7"/>
  <c r="H5" i="7"/>
  <c r="I5" i="7"/>
  <c r="F10" i="7"/>
  <c r="F9" i="7"/>
  <c r="F8" i="7"/>
  <c r="F7" i="7"/>
  <c r="H9" i="7"/>
  <c r="H8" i="7"/>
  <c r="H7" i="7"/>
  <c r="E10" i="7"/>
  <c r="E9" i="7"/>
  <c r="E8" i="7"/>
  <c r="E7" i="7"/>
  <c r="I10" i="7"/>
  <c r="I9" i="7"/>
  <c r="I8" i="7"/>
  <c r="I7" i="7"/>
  <c r="F3" i="7"/>
  <c r="F4" i="7"/>
  <c r="H11" i="7"/>
  <c r="F11" i="7"/>
  <c r="F12" i="7" s="1"/>
  <c r="B8" i="6" s="1"/>
  <c r="G11" i="7"/>
  <c r="I11" i="7"/>
  <c r="E6" i="7"/>
  <c r="F6" i="7"/>
  <c r="G6" i="7"/>
  <c r="H6" i="7"/>
  <c r="I6" i="7"/>
  <c r="I2" i="7"/>
  <c r="I12" i="7" s="1"/>
  <c r="B11" i="6" s="1"/>
  <c r="H2" i="7"/>
  <c r="H12" i="7" s="1"/>
  <c r="B10" i="6" s="1"/>
  <c r="F2" i="7"/>
  <c r="D2" i="7"/>
  <c r="D12" i="7" s="1"/>
  <c r="B6" i="6" s="1"/>
  <c r="D11" i="7"/>
  <c r="D10" i="7"/>
  <c r="D9" i="7"/>
  <c r="D8" i="7"/>
  <c r="D7" i="7"/>
  <c r="D6" i="7"/>
  <c r="D5" i="7"/>
  <c r="D4" i="7"/>
  <c r="D3" i="7"/>
  <c r="J11" i="7"/>
  <c r="J10" i="7"/>
  <c r="J9" i="7"/>
  <c r="J8" i="7"/>
  <c r="J7" i="7"/>
  <c r="J6" i="7"/>
  <c r="J5" i="7"/>
  <c r="J4" i="7"/>
  <c r="J3" i="7"/>
  <c r="J2" i="7"/>
  <c r="J12" i="7" s="1"/>
  <c r="B12" i="6" s="1"/>
  <c r="G10" i="7"/>
  <c r="G9" i="7"/>
  <c r="G8" i="7"/>
  <c r="G4" i="7"/>
  <c r="G3" i="7"/>
  <c r="G12" i="7" s="1"/>
  <c r="B9" i="6" s="1"/>
  <c r="C11" i="7"/>
  <c r="K11" i="7" s="1"/>
  <c r="E17" i="3" s="1"/>
  <c r="C32" i="6" s="1"/>
  <c r="C10" i="7"/>
  <c r="K10" i="7" s="1"/>
  <c r="E16" i="3" s="1"/>
  <c r="C31" i="6" s="1"/>
  <c r="C9" i="7"/>
  <c r="K9" i="7" s="1"/>
  <c r="E15" i="3" s="1"/>
  <c r="C30" i="6" s="1"/>
  <c r="C8" i="7"/>
  <c r="K8" i="7" s="1"/>
  <c r="E14" i="3" s="1"/>
  <c r="C29" i="6" s="1"/>
  <c r="C7" i="7"/>
  <c r="K7" i="7" s="1"/>
  <c r="E13" i="3" s="1"/>
  <c r="C28" i="6" s="1"/>
  <c r="C6" i="7"/>
  <c r="C4" i="7"/>
  <c r="K4" i="7" s="1"/>
  <c r="E10" i="3" s="1"/>
  <c r="C25" i="6" s="1"/>
  <c r="C3" i="7"/>
  <c r="K3" i="7" s="1"/>
  <c r="E9" i="3" s="1"/>
  <c r="C24" i="6" s="1"/>
  <c r="C2" i="7"/>
  <c r="B24" i="6"/>
  <c r="B25" i="6"/>
  <c r="B26" i="6"/>
  <c r="B27" i="6"/>
  <c r="B28" i="6"/>
  <c r="B29" i="6"/>
  <c r="B30" i="6"/>
  <c r="B31" i="6"/>
  <c r="B32" i="6"/>
  <c r="B23" i="6"/>
  <c r="F29" i="4"/>
  <c r="F30" i="4"/>
  <c r="E29" i="4"/>
  <c r="E30" i="4"/>
  <c r="E31" i="4"/>
  <c r="F31" i="4" s="1"/>
  <c r="E32" i="4"/>
  <c r="F32" i="4" s="1"/>
  <c r="B29" i="4"/>
  <c r="B30" i="4"/>
  <c r="B31" i="4"/>
  <c r="B32" i="4"/>
  <c r="E28" i="4"/>
  <c r="B28" i="4"/>
  <c r="E23" i="4"/>
  <c r="F23" i="4" s="1"/>
  <c r="E24" i="4"/>
  <c r="F24" i="4" s="1"/>
  <c r="E25" i="4"/>
  <c r="F25" i="4" s="1"/>
  <c r="E26" i="4"/>
  <c r="F26" i="4" s="1"/>
  <c r="E27" i="4"/>
  <c r="F27" i="4" s="1"/>
  <c r="E22" i="4"/>
  <c r="F22" i="4" s="1"/>
  <c r="B23" i="4"/>
  <c r="B24" i="4"/>
  <c r="B25" i="4"/>
  <c r="B26" i="4"/>
  <c r="B27" i="4"/>
  <c r="B22" i="4"/>
  <c r="B16" i="4"/>
  <c r="B17" i="4"/>
  <c r="B18" i="4"/>
  <c r="B15" i="4"/>
  <c r="E20" i="1"/>
  <c r="C21" i="1"/>
  <c r="C22" i="1"/>
  <c r="C20" i="1"/>
  <c r="F9" i="1"/>
  <c r="F10" i="1"/>
  <c r="F11" i="1"/>
  <c r="F12" i="1"/>
  <c r="F13" i="1"/>
  <c r="F14" i="1"/>
  <c r="F15" i="1"/>
  <c r="F16" i="1"/>
  <c r="F17" i="1"/>
  <c r="F8" i="1"/>
  <c r="F6" i="4"/>
  <c r="F28" i="4"/>
  <c r="E12" i="7" l="1"/>
  <c r="B7" i="6" s="1"/>
  <c r="K5" i="7"/>
  <c r="E11" i="3" s="1"/>
  <c r="C26" i="6" s="1"/>
  <c r="C12" i="7"/>
  <c r="B5" i="6" s="1"/>
  <c r="K2" i="7"/>
  <c r="E8" i="3" s="1"/>
  <c r="C23" i="6" s="1"/>
  <c r="F33" i="4"/>
  <c r="F34" i="4" s="1"/>
  <c r="F35" i="4" s="1"/>
  <c r="F37" i="4" s="1"/>
  <c r="C42" i="6" l="1"/>
  <c r="C50" i="6" s="1"/>
  <c r="B16" i="6"/>
  <c r="B13" i="6"/>
  <c r="B15" i="6"/>
  <c r="B14" i="6"/>
  <c r="D34" i="6"/>
  <c r="E18" i="3"/>
</calcChain>
</file>

<file path=xl/sharedStrings.xml><?xml version="1.0" encoding="utf-8"?>
<sst xmlns="http://schemas.openxmlformats.org/spreadsheetml/2006/main" count="184" uniqueCount="137">
  <si>
    <t>Cédula</t>
  </si>
  <si>
    <t>Nombre</t>
  </si>
  <si>
    <t>Apellido</t>
  </si>
  <si>
    <t xml:space="preserve">Telefono </t>
  </si>
  <si>
    <t>Dirección</t>
  </si>
  <si>
    <t>Email</t>
  </si>
  <si>
    <t>juan</t>
  </si>
  <si>
    <t>luis</t>
  </si>
  <si>
    <t>alberto</t>
  </si>
  <si>
    <t>luisa</t>
  </si>
  <si>
    <t>jose</t>
  </si>
  <si>
    <t>evelyn</t>
  </si>
  <si>
    <t>lucas</t>
  </si>
  <si>
    <t>perla</t>
  </si>
  <si>
    <t>coral</t>
  </si>
  <si>
    <t>lorena</t>
  </si>
  <si>
    <t>peter</t>
  </si>
  <si>
    <t>lopez</t>
  </si>
  <si>
    <t>andrade</t>
  </si>
  <si>
    <t>rodriguez</t>
  </si>
  <si>
    <t>juicio</t>
  </si>
  <si>
    <t>sabio</t>
  </si>
  <si>
    <t>depablos</t>
  </si>
  <si>
    <t>santander</t>
  </si>
  <si>
    <t>betancour</t>
  </si>
  <si>
    <t>gonzalez</t>
  </si>
  <si>
    <t>Bogota</t>
  </si>
  <si>
    <t>Pereira</t>
  </si>
  <si>
    <t>Manizales</t>
  </si>
  <si>
    <t>Cartagena</t>
  </si>
  <si>
    <t>Barranquilla</t>
  </si>
  <si>
    <t>Santa Marta</t>
  </si>
  <si>
    <t>Rioacha</t>
  </si>
  <si>
    <t>Medellin</t>
  </si>
  <si>
    <t>Valledupar</t>
  </si>
  <si>
    <t>Código</t>
  </si>
  <si>
    <t>Nombre Producto</t>
  </si>
  <si>
    <t>Valor Unitario</t>
  </si>
  <si>
    <t>andrea</t>
  </si>
  <si>
    <t>andres</t>
  </si>
  <si>
    <t>carlos</t>
  </si>
  <si>
    <t>carla</t>
  </si>
  <si>
    <t>felipe</t>
  </si>
  <si>
    <t>alejandra</t>
  </si>
  <si>
    <t>alberta</t>
  </si>
  <si>
    <t>juana</t>
  </si>
  <si>
    <t>gomez</t>
  </si>
  <si>
    <t>cortes</t>
  </si>
  <si>
    <t>grajales</t>
  </si>
  <si>
    <t>carrillo</t>
  </si>
  <si>
    <t>ortiz</t>
  </si>
  <si>
    <t>barazarte</t>
  </si>
  <si>
    <t>berrocal</t>
  </si>
  <si>
    <t>cote</t>
  </si>
  <si>
    <t>fonseca</t>
  </si>
  <si>
    <t>valle</t>
  </si>
  <si>
    <t>Factura</t>
  </si>
  <si>
    <t>Fecha</t>
  </si>
  <si>
    <t>Nº de factura</t>
  </si>
  <si>
    <t>Unidades</t>
  </si>
  <si>
    <t>Precio Unitario</t>
  </si>
  <si>
    <t>Precio</t>
  </si>
  <si>
    <t>Total parcial</t>
  </si>
  <si>
    <t>Descuento</t>
  </si>
  <si>
    <t>Subtotal menos descuento</t>
  </si>
  <si>
    <t>Envío</t>
  </si>
  <si>
    <t>TOTAL FACTURA</t>
  </si>
  <si>
    <t>Dosquebradas, Risaralda</t>
  </si>
  <si>
    <t>Producto</t>
  </si>
  <si>
    <t>Observaciones:</t>
  </si>
  <si>
    <t>Nombre del aprendiz:</t>
  </si>
  <si>
    <t>Número de identificación:</t>
  </si>
  <si>
    <t>Nombre del Tutor:</t>
  </si>
  <si>
    <t>Ciudad y Fecha:</t>
  </si>
  <si>
    <t>Sandra Aydee Lopez Contador</t>
  </si>
  <si>
    <t>Felipe Cortés Gómez</t>
  </si>
  <si>
    <t>Leche Anacafe14</t>
  </si>
  <si>
    <t>Leche Batian</t>
  </si>
  <si>
    <t>Leche Borbón</t>
  </si>
  <si>
    <t>Leche Casiopea</t>
  </si>
  <si>
    <t>Leche Catisic</t>
  </si>
  <si>
    <t>Leche Catuai</t>
  </si>
  <si>
    <t>Leche Caturra</t>
  </si>
  <si>
    <t>Leche Evaluna</t>
  </si>
  <si>
    <t>Leche Fronton</t>
  </si>
  <si>
    <t>Leche Geisha</t>
  </si>
  <si>
    <t>LPG S.A.</t>
  </si>
  <si>
    <t>www.lpg.com.co</t>
  </si>
  <si>
    <t>lpg@lpg.com</t>
  </si>
  <si>
    <t>Telefono</t>
  </si>
  <si>
    <t>Correo</t>
  </si>
  <si>
    <t>Porcentaje Descuento</t>
  </si>
  <si>
    <t>Código Vendedor</t>
  </si>
  <si>
    <t>Código vendedor</t>
  </si>
  <si>
    <t>Dosquebradas, 10/04/2022</t>
  </si>
  <si>
    <t>Mes</t>
  </si>
  <si>
    <t>Total Ventas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</si>
  <si>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</si>
  <si>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</si>
  <si>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</si>
  <si>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</si>
  <si>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</si>
  <si>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</si>
  <si>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</si>
  <si>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</si>
  <si>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</si>
  <si>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Nombre Vendedor</t>
  </si>
  <si>
    <t>En el trimestre el vendedor que más ventas realizó es:</t>
  </si>
  <si>
    <t>Vendedor</t>
  </si>
  <si>
    <t>Ventas Totales</t>
  </si>
  <si>
    <t>Total Mes</t>
  </si>
  <si>
    <t>Total Vendedor</t>
  </si>
  <si>
    <t>Promedio</t>
  </si>
  <si>
    <t>Max. Ventas</t>
  </si>
  <si>
    <t>Min. Ventas</t>
  </si>
  <si>
    <t>Durante la temporada de verano la venta de leche disminuye</t>
  </si>
  <si>
    <t>Ventas Producto</t>
  </si>
  <si>
    <t>El producto más vendido fue:</t>
  </si>
  <si>
    <t>Producto Más Vendido</t>
  </si>
  <si>
    <t>Ventas Por Vendedor</t>
  </si>
  <si>
    <t>INFORME LPG S.A.</t>
  </si>
  <si>
    <t>Resumen de Ventas Mensuales</t>
  </si>
  <si>
    <t>=CONCATENATE(IFERROR(VLOOKUP(A21,clientes,2,FALSE), "No Existe"), " ",(IFERROR(VLOOKUP(A21,clientes,3,FALSE), "No Existe")))</t>
  </si>
  <si>
    <t>Row Labels</t>
  </si>
  <si>
    <t>Grand Total</t>
  </si>
  <si>
    <t>Sum of Mayo</t>
  </si>
  <si>
    <t>Sum of Junio</t>
  </si>
  <si>
    <t>Sum of Julio</t>
  </si>
  <si>
    <t>Sum of Agosto</t>
  </si>
  <si>
    <t>Average of Mayo</t>
  </si>
  <si>
    <t>Average of Junio</t>
  </si>
  <si>
    <t>Average of Julio</t>
  </si>
  <si>
    <t>Average of Agosto</t>
  </si>
  <si>
    <t>Sum of Septiembre</t>
  </si>
  <si>
    <t>Sum of Octubre</t>
  </si>
  <si>
    <t>Sum of Noviembre</t>
  </si>
  <si>
    <t>Sum of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</si>
</sst>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"/>
    <numFmt numFmtId="165" formatCode="mm/dd/yy"/>
    <numFmt numFmtId="166" formatCode="_-[$$-240A]\ * #,##0.00_-;\-[$$-240A]\ * #,##0.00_-;_-[$$-240A]\ * &quot;-&quot;??_-;_-@_-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Roboto"/>
    </font>
    <font>
      <sz val="10"/>
      <name val="Roboto"/>
    </font>
    <font>
      <sz val="11"/>
      <color rgb="FF333F4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u/>
      <sz val="11"/>
      <color theme="10"/>
      <name val="Calibri"/>
      <family val="2"/>
      <scheme val="minor"/>
    </font>
    <font>
      <b/>
      <sz val="24"/>
      <name val="Aharoni"/>
      <charset val="177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rgb="FF3C78D8"/>
      </patternFill>
    </fill>
  </fills>
  <borders count="6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44" fontId="16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top"/>
    </xf>
    <xf numFmtId="0" fontId="13" fillId="0" borderId="0" xfId="1" applyAlignment="1">
      <alignment horizontal="left" vertical="center"/>
    </xf>
    <xf numFmtId="14" fontId="8" fillId="0" borderId="0" xfId="0" applyNumberFormat="1" applyFont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right"/>
    </xf>
    <xf numFmtId="0" fontId="12" fillId="3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166" fontId="0" fillId="0" borderId="2" xfId="0" applyNumberFormat="1" applyBorder="1"/>
    <xf numFmtId="0" fontId="0" fillId="0" borderId="0" xfId="0" applyNumberFormat="1" applyBorder="1"/>
    <xf numFmtId="0" fontId="1" fillId="0" borderId="0" xfId="0" applyFont="1" applyBorder="1"/>
    <xf numFmtId="0" fontId="0" fillId="0" borderId="0" xfId="0"/>
    <xf numFmtId="0" fontId="1" fillId="0" borderId="2" xfId="0" applyFont="1" applyBorder="1"/>
    <xf numFmtId="44" fontId="0" fillId="0" borderId="2" xfId="2" applyFont="1" applyBorder="1"/>
    <xf numFmtId="0" fontId="2" fillId="0" borderId="2" xfId="0" applyFont="1" applyBorder="1"/>
    <xf numFmtId="0" fontId="18" fillId="0" borderId="0" xfId="0" applyFont="1"/>
    <xf numFmtId="44" fontId="0" fillId="0" borderId="2" xfId="0" applyNumberFormat="1" applyBorder="1"/>
    <xf numFmtId="0" fontId="1" fillId="0" borderId="0" xfId="0" applyFont="1" applyFill="1" applyBorder="1"/>
    <xf numFmtId="0" fontId="1" fillId="0" borderId="2" xfId="0" applyFont="1" applyFill="1" applyBorder="1"/>
    <xf numFmtId="0" fontId="0" fillId="0" borderId="0" xfId="0" applyBorder="1" applyAlignment="1">
      <alignment horizontal="center"/>
    </xf>
    <xf numFmtId="44" fontId="0" fillId="0" borderId="0" xfId="2" applyFont="1" applyBorder="1"/>
    <xf numFmtId="164" fontId="0" fillId="0" borderId="2" xfId="0" applyNumberFormat="1" applyBorder="1"/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0" fillId="0" borderId="0" xfId="0" applyAlignment="1">
      <alignment horizontal="right"/>
    </xf>
    <xf numFmtId="0" fontId="0" fillId="0" borderId="0" xfId="0" applyAlignment="1"/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3" xfId="0" applyBorder="1" applyAlignment="1"/>
    <xf numFmtId="0" fontId="0" fillId="0" borderId="4" xfId="0" applyBorder="1" applyAlignment="1"/>
    <xf numFmtId="0" fontId="12" fillId="3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9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20" fillId="0" borderId="2" xfId="0" applyFont="1" applyBorder="1" applyAlignment="1">
      <alignment horizontal="center"/>
    </xf>
    <xf numFmtId="0" fontId="0" fillId="0" borderId="0" xfId="0" quotePrefix="1" applyAlignment="1">
      <alignment wrapText="1" shrinkToFi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3">
    <cellStyle name="Currency" xfId="2" builtinId="4"/>
    <cellStyle name="Hyperlink" xfId="1" builtinId="8"/>
    <cellStyle name="Normal" xfId="0" builtinId="0"/>
  </cellStyles>
  <dxfs count="41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Informe!$C$38</c:f>
              <c:strCache>
                <c:ptCount val="1"/>
                <c:pt idx="0">
                  <c:v>Ventas Producto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8C1-4959-9158-8FC40EBE528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8C1-4959-9158-8FC40EBE528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F8C1-4959-9158-8FC40EBE528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F8C1-4959-9158-8FC40EBE528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F8C1-4959-9158-8FC40EBE528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F8C1-4959-9158-8FC40EBE528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F8C1-4959-9158-8FC40EBE528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F8C1-4959-9158-8FC40EBE528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F8C1-4959-9158-8FC40EBE528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F8C1-4959-9158-8FC40EBE5280}"/>
              </c:ext>
            </c:extLst>
          </c:dPt>
          <c:cat>
            <c:strRef>
              <c:f>Informe!$B$39:$B$48</c:f>
              <c:strCache>
                <c:ptCount val="10"/>
                <c:pt idx="0">
                  <c:v>Leche Anacafe14</c:v>
                </c:pt>
                <c:pt idx="1">
                  <c:v>Leche Batian</c:v>
                </c:pt>
                <c:pt idx="2">
                  <c:v>Leche Borbón</c:v>
                </c:pt>
                <c:pt idx="3">
                  <c:v>Leche Casiopea</c:v>
                </c:pt>
                <c:pt idx="4">
                  <c:v>Leche Catisic</c:v>
                </c:pt>
                <c:pt idx="5">
                  <c:v>Leche Catuai</c:v>
                </c:pt>
                <c:pt idx="6">
                  <c:v>Leche Caturra</c:v>
                </c:pt>
                <c:pt idx="7">
                  <c:v>Leche Evaluna</c:v>
                </c:pt>
                <c:pt idx="8">
                  <c:v>Leche Fronton</c:v>
                </c:pt>
                <c:pt idx="9">
                  <c:v>Leche Geisha</c:v>
                </c:pt>
              </c:strCache>
            </c:strRef>
          </c:cat>
          <c:val>
            <c:numRef>
              <c:f>Informe!$C$39:$C$48</c:f>
              <c:numCache>
                <c:formatCode>_("$"* #,##0.00_);_("$"* \(#,##0.00\);_("$"* "-"??_);_(@_)</c:formatCode>
                <c:ptCount val="10"/>
                <c:pt idx="0">
                  <c:v>8568000</c:v>
                </c:pt>
                <c:pt idx="1">
                  <c:v>5047000</c:v>
                </c:pt>
                <c:pt idx="2">
                  <c:v>3378200</c:v>
                </c:pt>
                <c:pt idx="3">
                  <c:v>22099000</c:v>
                </c:pt>
                <c:pt idx="4">
                  <c:v>8854800</c:v>
                </c:pt>
                <c:pt idx="5">
                  <c:v>15224280</c:v>
                </c:pt>
                <c:pt idx="6">
                  <c:v>14286360</c:v>
                </c:pt>
                <c:pt idx="7">
                  <c:v>12870720</c:v>
                </c:pt>
                <c:pt idx="8">
                  <c:v>6405000</c:v>
                </c:pt>
                <c:pt idx="9">
                  <c:v>4188060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F-4F2F-A491-547A37CDE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2251263"/>
        <c:axId val="1591546063"/>
        <c:axId val="0"/>
      </c:bar3DChart>
      <c:catAx>
        <c:axId val="159225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546063"/>
        <c:crosses val="autoZero"/>
        <c:auto val="1"/>
        <c:lblAlgn val="ctr"/>
        <c:lblOffset val="100"/>
        <c:noMultiLvlLbl val="0"/>
      </c:catAx>
      <c:valAx>
        <c:axId val="15915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5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Totales Por Vendedor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Informe!$C$22</c:f>
              <c:strCache>
                <c:ptCount val="1"/>
                <c:pt idx="0">
                  <c:v>Ventas Totales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BF9-461F-91B9-A6F1D0EFD96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BF9-461F-91B9-A6F1D0EFD96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5BF9-461F-91B9-A6F1D0EFD96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5BF9-461F-91B9-A6F1D0EFD96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5BF9-461F-91B9-A6F1D0EFD96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5BF9-461F-91B9-A6F1D0EFD96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5BF9-461F-91B9-A6F1D0EFD96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5BF9-461F-91B9-A6F1D0EFD96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5BF9-461F-91B9-A6F1D0EFD96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5BF9-461F-91B9-A6F1D0EFD962}"/>
              </c:ext>
            </c:extLst>
          </c:dPt>
          <c:cat>
            <c:strRef>
              <c:f>Informe!$B$23:$B$32</c:f>
              <c:strCache>
                <c:ptCount val="10"/>
                <c:pt idx="0">
                  <c:v>lucas gomez</c:v>
                </c:pt>
                <c:pt idx="1">
                  <c:v>andrea cortes</c:v>
                </c:pt>
                <c:pt idx="2">
                  <c:v>andres grajales</c:v>
                </c:pt>
                <c:pt idx="3">
                  <c:v>carlos carrillo</c:v>
                </c:pt>
                <c:pt idx="4">
                  <c:v>carla ortiz</c:v>
                </c:pt>
                <c:pt idx="5">
                  <c:v>felipe barazarte</c:v>
                </c:pt>
                <c:pt idx="6">
                  <c:v>alejandra berrocal</c:v>
                </c:pt>
                <c:pt idx="7">
                  <c:v>alberta cote</c:v>
                </c:pt>
                <c:pt idx="8">
                  <c:v>alberto fonseca</c:v>
                </c:pt>
                <c:pt idx="9">
                  <c:v>juana valle</c:v>
                </c:pt>
              </c:strCache>
            </c:strRef>
          </c:cat>
          <c:val>
            <c:numRef>
              <c:f>Informe!$C$23:$C$32</c:f>
              <c:numCache>
                <c:formatCode>_("$"* #,##0.00_);_("$"* \(#,##0.00\);_("$"* "-"??_);_(@_)</c:formatCode>
                <c:ptCount val="10"/>
                <c:pt idx="0">
                  <c:v>8568000</c:v>
                </c:pt>
                <c:pt idx="1">
                  <c:v>5047000</c:v>
                </c:pt>
                <c:pt idx="2">
                  <c:v>3378200</c:v>
                </c:pt>
                <c:pt idx="3">
                  <c:v>22099000</c:v>
                </c:pt>
                <c:pt idx="4">
                  <c:v>8854800</c:v>
                </c:pt>
                <c:pt idx="5">
                  <c:v>15224280</c:v>
                </c:pt>
                <c:pt idx="6">
                  <c:v>14286360</c:v>
                </c:pt>
                <c:pt idx="7">
                  <c:v>12870720</c:v>
                </c:pt>
                <c:pt idx="8">
                  <c:v>6405000</c:v>
                </c:pt>
                <c:pt idx="9">
                  <c:v>4188060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B-4FB5-ABFD-F536B3F6B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883695"/>
        <c:axId val="76889519"/>
        <c:axId val="0"/>
      </c:bar3DChart>
      <c:catAx>
        <c:axId val="7688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9519"/>
        <c:crosses val="autoZero"/>
        <c:auto val="1"/>
        <c:lblAlgn val="ctr"/>
        <c:lblOffset val="100"/>
        <c:noMultiLvlLbl val="0"/>
      </c:catAx>
      <c:valAx>
        <c:axId val="768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Ventas Mensual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Informe!$B$4</c:f>
              <c:strCache>
                <c:ptCount val="1"/>
                <c:pt idx="0">
                  <c:v>Total Ventas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EBF-4E3E-98DF-A19FDB3B159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EBF-4E3E-98DF-A19FDB3B159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4EBF-4E3E-98DF-A19FDB3B159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4EBF-4E3E-98DF-A19FDB3B159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4EBF-4E3E-98DF-A19FDB3B159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4EBF-4E3E-98DF-A19FDB3B159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4EBF-4E3E-98DF-A19FDB3B159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4EBF-4E3E-98DF-A19FDB3B1592}"/>
              </c:ext>
            </c:extLst>
          </c:dPt>
          <c:cat>
            <c:strRef>
              <c:f>Informe!$A$5:$A$12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Informe!$B$5:$B$12</c:f>
              <c:numCache>
                <c:formatCode>_("$"* #,##0.00_);_("$"* \(#,##0.00\);_("$"* "-"??_);_(@_)</c:formatCode>
                <c:ptCount val="8"/>
                <c:pt idx="0">
                  <c:v>13482820</c:v>
                </c:pt>
                <c:pt idx="1">
                  <c:v>13230820</c:v>
                </c:pt>
                <c:pt idx="2">
                  <c:v>11808480</c:v>
                </c:pt>
                <c:pt idx="3">
                  <c:v>11182520</c:v>
                </c:pt>
                <c:pt idx="4">
                  <c:v>12172220</c:v>
                </c:pt>
                <c:pt idx="5">
                  <c:v>12154520</c:v>
                </c:pt>
                <c:pt idx="6">
                  <c:v>13407220</c:v>
                </c:pt>
                <c:pt idx="7">
                  <c:v>13482820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D-4340-B6BA-BEA9B8F5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227887"/>
        <c:axId val="87227471"/>
        <c:axId val="0"/>
      </c:bar3DChart>
      <c:catAx>
        <c:axId val="872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7471"/>
        <c:crosses val="autoZero"/>
        <c:auto val="1"/>
        <c:lblAlgn val="ctr"/>
        <c:lblOffset val="100"/>
        <c:noMultiLvlLbl val="0"/>
      </c:catAx>
      <c:valAx>
        <c:axId val="872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37</xdr:row>
      <xdr:rowOff>4761</xdr:rowOff>
    </xdr:from>
    <xdr:to>
      <xdr:col>6</xdr:col>
      <xdr:colOff>581025</xdr:colOff>
      <xdr:row>47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DD845-D5A8-48B3-AB18-006003D2B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</xdr:colOff>
      <xdr:row>20</xdr:row>
      <xdr:rowOff>161924</xdr:rowOff>
    </xdr:from>
    <xdr:to>
      <xdr:col>6</xdr:col>
      <xdr:colOff>590549</xdr:colOff>
      <xdr:row>32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53FDC0-2FE9-41D9-B18C-A1155D92A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161925</xdr:colOff>
      <xdr:row>3</xdr:row>
      <xdr:rowOff>9524</xdr:rowOff>
    </xdr:from>
    <xdr:to>
      <xdr:col>6</xdr:col>
      <xdr:colOff>504825</xdr:colOff>
      <xdr:row>16</xdr:row>
      <xdr:rowOff>119061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1611F7-0EC9-4747-9E6F-9E8711FAA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Cortes Gomez" refreshedDate="44663.39616527778" createdVersion="7" refreshedVersion="7" minRefreshableVersion="3" recordCount="10" xr:uid="{B3C5B10D-B300-4C34-854A-CA25571BECAF}">
  <cacheSource type="worksheet">
    <worksheetSource ref="A1:J11" sheet="Ventas"/>
  </cacheSource>
  <cacheFields count="10">
    <cacheField name="Producto" numFmtId="0">
      <sharedItems count="10">
        <s v="Leche Anacafe14"/>
        <s v="Leche Batian"/>
        <s v="Leche Borbón"/>
        <s v="Leche Casiopea"/>
        <s v="Leche Catisic"/>
        <s v="Leche Catuai"/>
        <s v="Leche Caturra"/>
        <s v="Leche Evaluna"/>
        <s v="Leche Fronton"/>
        <s v="Leche Geisha"/>
      </sharedItems>
    </cacheField>
    <cacheField name="Vendedor" numFmtId="0">
      <sharedItems containsSemiMixedTypes="0" containsString="0" containsNumber="1" containsInteger="1" minValue="101" maxValue="110" count="10">
        <n v="101"/>
        <n v="102"/>
        <n v="103"/>
        <n v="104"/>
        <n v="105"/>
        <n v="106"/>
        <n v="107"/>
        <n v="108"/>
        <n v="109"/>
        <n v="110"/>
      </sharedItems>
    </cacheField>
    <cacheField name="Mayo" numFmtId="44">
      <sharedItems containsSemiMixedTypes="0" containsString="0" containsNumber="1" containsInteger="1" minValue="395100" maxValue="2870000" count="10">
        <n v="1260000"/>
        <n v="539000"/>
        <n v="399000"/>
        <n v="2870000"/>
        <n v="1106850"/>
        <n v="2260260"/>
        <n v="1981320"/>
        <n v="1805040"/>
        <n v="866250"/>
        <n v="395100"/>
      </sharedItems>
    </cacheField>
    <cacheField name="Junio" numFmtId="44">
      <sharedItems containsSemiMixedTypes="0" containsString="0" containsNumber="1" containsInteger="1" minValue="395100" maxValue="2870000"/>
    </cacheField>
    <cacheField name="Julio" numFmtId="44">
      <sharedItems containsSemiMixedTypes="0" containsString="0" containsNumber="1" containsInteger="1" minValue="585200" maxValue="2583000"/>
    </cacheField>
    <cacheField name="Agosto" numFmtId="44">
      <sharedItems containsSemiMixedTypes="0" containsString="0" containsNumber="1" containsInteger="1" minValue="399000" maxValue="2583000"/>
    </cacheField>
    <cacheField name="Septiembre" numFmtId="44">
      <sharedItems containsSemiMixedTypes="0" containsString="0" containsNumber="1" containsInteger="1" minValue="395100" maxValue="2583000"/>
    </cacheField>
    <cacheField name="Octubre" numFmtId="44">
      <sharedItems containsSemiMixedTypes="0" containsString="0" containsNumber="1" containsInteger="1" minValue="399000" maxValue="2870000"/>
    </cacheField>
    <cacheField name="Noviembre" numFmtId="44">
      <sharedItems containsSemiMixedTypes="0" containsString="0" containsNumber="1" containsInteger="1" minValue="395100" maxValue="2870000"/>
    </cacheField>
    <cacheField name="Diciembre" numFmtId="44">
      <sharedItems containsSemiMixedTypes="0" containsString="0" containsNumber="1" containsInteger="1" minValue="395100" maxValue="28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1008000"/>
    <n v="1159200"/>
    <n v="806400"/>
    <n v="756000"/>
    <n v="1134000"/>
    <n v="1184400"/>
    <n v="1260000"/>
  </r>
  <r>
    <x v="1"/>
    <x v="1"/>
    <x v="1"/>
    <n v="539000"/>
    <n v="784000"/>
    <n v="539000"/>
    <n v="539000"/>
    <n v="1029000"/>
    <n v="539000"/>
    <n v="539000"/>
  </r>
  <r>
    <x v="2"/>
    <x v="2"/>
    <x v="2"/>
    <n v="399000"/>
    <n v="585200"/>
    <n v="399000"/>
    <n v="399000"/>
    <n v="399000"/>
    <n v="399000"/>
    <n v="399000"/>
  </r>
  <r>
    <x v="3"/>
    <x v="3"/>
    <x v="3"/>
    <n v="2870000"/>
    <n v="2583000"/>
    <n v="2583000"/>
    <n v="2583000"/>
    <n v="2870000"/>
    <n v="2870000"/>
    <n v="2870000"/>
  </r>
  <r>
    <x v="4"/>
    <x v="4"/>
    <x v="4"/>
    <n v="1106850"/>
    <n v="1106850"/>
    <n v="1106850"/>
    <n v="1106850"/>
    <n v="1106850"/>
    <n v="1106850"/>
    <n v="1106850"/>
  </r>
  <r>
    <x v="5"/>
    <x v="5"/>
    <x v="5"/>
    <n v="2260260"/>
    <n v="1480860"/>
    <n v="1480860"/>
    <n v="1740660"/>
    <n v="1480860"/>
    <n v="2260260"/>
    <n v="2260260"/>
  </r>
  <r>
    <x v="6"/>
    <x v="6"/>
    <x v="6"/>
    <n v="1981320"/>
    <n v="1459920"/>
    <n v="1459920"/>
    <n v="1981320"/>
    <n v="1459920"/>
    <n v="1981320"/>
    <n v="1981320"/>
  </r>
  <r>
    <x v="7"/>
    <x v="7"/>
    <x v="7"/>
    <n v="1805040"/>
    <n v="1281840"/>
    <n v="1281840"/>
    <n v="1805040"/>
    <n v="1281840"/>
    <n v="1805040"/>
    <n v="1805040"/>
  </r>
  <r>
    <x v="8"/>
    <x v="8"/>
    <x v="8"/>
    <n v="866250"/>
    <n v="603750"/>
    <n v="603750"/>
    <n v="866250"/>
    <n v="866250"/>
    <n v="866250"/>
    <n v="866250"/>
  </r>
  <r>
    <x v="9"/>
    <x v="9"/>
    <x v="9"/>
    <n v="395100"/>
    <n v="763860"/>
    <n v="921900"/>
    <n v="395100"/>
    <n v="526800"/>
    <n v="395100"/>
    <n v="395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C55C4-AA1C-40E1-B75E-984F05D11B88}" name="PivotTable4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7:I28" firstHeaderRow="0" firstDataRow="1" firstDataCol="1"/>
  <pivotFields count="10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ayo" fld="2" baseField="0" baseItem="0"/>
    <dataField name="Sum of Junio" fld="3" baseField="0" baseItem="0"/>
    <dataField name="Sum of Julio" fld="4" baseField="0" baseItem="0"/>
    <dataField name="Sum of Agosto" fld="5" baseField="0" baseItem="0"/>
    <dataField name="Sum of Septiembre" fld="6" baseField="0" baseItem="0"/>
    <dataField name="Sum of Octubre" fld="7" baseField="0" baseItem="0"/>
    <dataField name="Sum of Noviembre" fld="8" baseField="0" baseItem="0"/>
    <dataField name="Sum of Diciembre" fld="9" baseField="0" baseItem="0"/>
  </dataFields>
  <formats count="1"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17D128-B4A5-4232-860B-9A089D7C98BD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4" firstHeaderRow="0" firstDataRow="1" firstDataCol="1"/>
  <pivotFields count="10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44" showAll="0"/>
    <pivotField dataField="1" numFmtId="44" showAll="0"/>
    <pivotField dataField="1" numFmtId="44" showAll="0"/>
    <pivotField dataField="1" numFmtId="44" showAll="0"/>
    <pivotField numFmtId="44" showAll="0"/>
    <pivotField numFmtId="44" showAll="0"/>
    <pivotField numFmtId="44" showAll="0"/>
    <pivotField numFmtId="4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Mayo" fld="2" subtotal="average" baseField="1" baseItem="0"/>
    <dataField name="Average of Junio" fld="3" subtotal="average" baseField="1" baseItem="0"/>
    <dataField name="Average of Julio" fld="4" subtotal="average" baseField="1" baseItem="0"/>
    <dataField name="Average of Agosto" fld="5" subtotal="average" baseField="1" baseItem="0"/>
  </dataFields>
  <formats count="2">
    <format dxfId="34">
      <pivotArea outline="0" collapsedLevelsAreSubtotals="1" fieldPosition="0"/>
    </format>
    <format dxfId="3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lpg.com.co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21F5-458C-4F22-BD3C-FC1B8E80E73E}">
  <dimension ref="A1:B4"/>
  <sheetViews>
    <sheetView workbookViewId="0">
      <selection activeCell="B19" sqref="B19"/>
    </sheetView>
  </sheetViews>
  <sheetFormatPr defaultRowHeight="15" x14ac:dyDescent="0.25"/>
  <cols>
    <col min="1" max="1" width="24.5703125" bestFit="1" customWidth="1"/>
    <col min="2" max="2" width="27.85546875" bestFit="1" customWidth="1"/>
  </cols>
  <sheetData>
    <row r="1" spans="1:2" x14ac:dyDescent="0.25">
      <c r="A1" s="1" t="s">
        <v>70</v>
      </c>
      <c r="B1" s="20" t="s">
        <v>75</v>
      </c>
    </row>
    <row r="2" spans="1:2" x14ac:dyDescent="0.25">
      <c r="A2" s="1" t="s">
        <v>71</v>
      </c>
      <c r="B2" s="20">
        <v>1015447328</v>
      </c>
    </row>
    <row r="3" spans="1:2" x14ac:dyDescent="0.25">
      <c r="A3" s="1" t="s">
        <v>72</v>
      </c>
      <c r="B3" s="20" t="s">
        <v>74</v>
      </c>
    </row>
    <row r="4" spans="1:2" x14ac:dyDescent="0.25">
      <c r="A4" s="1" t="s">
        <v>73</v>
      </c>
      <c r="B4" s="20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53B6-CA03-462E-B2F8-2694CFBC0E94}">
  <dimension ref="A7:G25"/>
  <sheetViews>
    <sheetView view="pageLayout" topLeftCell="A13" zoomScale="90" zoomScaleNormal="100" zoomScalePageLayoutView="90" workbookViewId="0">
      <selection activeCell="F28" sqref="F28"/>
    </sheetView>
  </sheetViews>
  <sheetFormatPr defaultRowHeight="15" x14ac:dyDescent="0.25"/>
  <cols>
    <col min="1" max="1" width="12.28515625" bestFit="1" customWidth="1"/>
    <col min="2" max="2" width="9" bestFit="1" customWidth="1"/>
    <col min="3" max="3" width="10" bestFit="1" customWidth="1"/>
    <col min="4" max="4" width="12.28515625" bestFit="1" customWidth="1"/>
    <col min="5" max="5" width="12.42578125" bestFit="1" customWidth="1"/>
    <col min="6" max="6" width="27.140625" bestFit="1" customWidth="1"/>
  </cols>
  <sheetData>
    <row r="7" spans="1:7" ht="15.75" x14ac:dyDescent="0.25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/>
    </row>
    <row r="8" spans="1:7" x14ac:dyDescent="0.25">
      <c r="A8">
        <v>101444525</v>
      </c>
      <c r="B8" t="s">
        <v>6</v>
      </c>
      <c r="C8" t="s">
        <v>16</v>
      </c>
      <c r="D8">
        <v>3154479635</v>
      </c>
      <c r="E8" t="s">
        <v>26</v>
      </c>
      <c r="F8" t="str">
        <f>CONCATENATE(B8,C8,"@correo.com")</f>
        <v>juanpeter@correo.com</v>
      </c>
    </row>
    <row r="9" spans="1:7" x14ac:dyDescent="0.25">
      <c r="A9">
        <v>54257889</v>
      </c>
      <c r="B9" t="s">
        <v>7</v>
      </c>
      <c r="C9" t="s">
        <v>17</v>
      </c>
      <c r="D9">
        <v>3120047898</v>
      </c>
      <c r="E9" t="s">
        <v>27</v>
      </c>
      <c r="F9" t="str">
        <f t="shared" ref="F9:F17" si="0">CONCATENATE(B9,C9,"@correo.com")</f>
        <v>luislopez@correo.com</v>
      </c>
    </row>
    <row r="10" spans="1:7" x14ac:dyDescent="0.25">
      <c r="A10">
        <v>1047998236</v>
      </c>
      <c r="B10" t="s">
        <v>8</v>
      </c>
      <c r="C10" t="s">
        <v>18</v>
      </c>
      <c r="D10">
        <v>3147896548</v>
      </c>
      <c r="E10" t="s">
        <v>28</v>
      </c>
      <c r="F10" t="str">
        <f t="shared" si="0"/>
        <v>albertoandrade@correo.com</v>
      </c>
    </row>
    <row r="11" spans="1:7" x14ac:dyDescent="0.25">
      <c r="A11">
        <v>1087664259</v>
      </c>
      <c r="B11" t="s">
        <v>9</v>
      </c>
      <c r="C11" t="s">
        <v>19</v>
      </c>
      <c r="D11">
        <v>3134224940</v>
      </c>
      <c r="E11" t="s">
        <v>29</v>
      </c>
      <c r="F11" t="str">
        <f t="shared" si="0"/>
        <v>luisarodriguez@correo.com</v>
      </c>
    </row>
    <row r="12" spans="1:7" x14ac:dyDescent="0.25">
      <c r="A12">
        <v>1035889752</v>
      </c>
      <c r="B12" t="s">
        <v>10</v>
      </c>
      <c r="C12" t="s">
        <v>20</v>
      </c>
      <c r="D12">
        <v>3130933396.5</v>
      </c>
      <c r="E12" t="s">
        <v>30</v>
      </c>
      <c r="F12" t="str">
        <f t="shared" si="0"/>
        <v>josejuicio@correo.com</v>
      </c>
    </row>
    <row r="13" spans="1:7" x14ac:dyDescent="0.25">
      <c r="A13">
        <v>1057332101</v>
      </c>
      <c r="B13" t="s">
        <v>11</v>
      </c>
      <c r="C13" t="s">
        <v>21</v>
      </c>
      <c r="D13">
        <v>3127641853</v>
      </c>
      <c r="E13" t="s">
        <v>31</v>
      </c>
      <c r="F13" t="str">
        <f t="shared" si="0"/>
        <v>evelynsabio@correo.com</v>
      </c>
    </row>
    <row r="14" spans="1:7" x14ac:dyDescent="0.25">
      <c r="A14">
        <v>1051277859</v>
      </c>
      <c r="B14" t="s">
        <v>12</v>
      </c>
      <c r="C14" t="s">
        <v>22</v>
      </c>
      <c r="D14">
        <v>3124350309.5</v>
      </c>
      <c r="E14" t="s">
        <v>32</v>
      </c>
      <c r="F14" t="str">
        <f t="shared" si="0"/>
        <v>lucasdepablos@correo.com</v>
      </c>
    </row>
    <row r="15" spans="1:7" x14ac:dyDescent="0.25">
      <c r="A15">
        <v>1048900567.8</v>
      </c>
      <c r="B15" t="s">
        <v>13</v>
      </c>
      <c r="C15" t="s">
        <v>23</v>
      </c>
      <c r="D15">
        <v>3121058766</v>
      </c>
      <c r="E15" t="s">
        <v>26</v>
      </c>
      <c r="F15" t="str">
        <f t="shared" si="0"/>
        <v>perlasantander@correo.com</v>
      </c>
    </row>
    <row r="16" spans="1:7" x14ac:dyDescent="0.25">
      <c r="A16">
        <v>1046523276.6</v>
      </c>
      <c r="B16" t="s">
        <v>14</v>
      </c>
      <c r="C16" t="s">
        <v>24</v>
      </c>
      <c r="D16">
        <v>3117767222.5</v>
      </c>
      <c r="E16" t="s">
        <v>33</v>
      </c>
      <c r="F16" t="str">
        <f t="shared" si="0"/>
        <v>coralbetancour@correo.com</v>
      </c>
    </row>
    <row r="17" spans="1:6" x14ac:dyDescent="0.25">
      <c r="A17">
        <v>1044145985.4</v>
      </c>
      <c r="B17" t="s">
        <v>15</v>
      </c>
      <c r="C17" t="s">
        <v>25</v>
      </c>
      <c r="D17">
        <v>3114475679</v>
      </c>
      <c r="E17" t="s">
        <v>34</v>
      </c>
      <c r="F17" t="str">
        <f t="shared" si="0"/>
        <v>lorenagonzalez@correo.com</v>
      </c>
    </row>
    <row r="20" spans="1:6" x14ac:dyDescent="0.25">
      <c r="A20">
        <v>101444525</v>
      </c>
      <c r="C20" t="str">
        <f>CONCATENATE(IFERROR(VLOOKUP(A20,clientes,2,FALSE), "No Existe"), " ",(IFERROR(VLOOKUP(A20,clientes,3,FALSE), "No Existe")))</f>
        <v>juan peter</v>
      </c>
      <c r="E20">
        <f>SUMIF(E8:E17, "Bogota",A8:A17)</f>
        <v>1150345092.8</v>
      </c>
    </row>
    <row r="21" spans="1:6" x14ac:dyDescent="0.25">
      <c r="A21">
        <v>1087664259</v>
      </c>
      <c r="C21" t="str">
        <f>CONCATENATE(IFERROR(VLOOKUP(A21,clientes,2,FALSE), "No Existe"), " ",(IFERROR(VLOOKUP(A21,clientes,3,FALSE), "No Existe")))</f>
        <v>luisa rodriguez</v>
      </c>
    </row>
    <row r="22" spans="1:6" x14ac:dyDescent="0.25">
      <c r="A22">
        <v>1057332101</v>
      </c>
      <c r="C22" t="str">
        <f>CONCATENATE(IFERROR(VLOOKUP(A22,clientes,2,FALSE), "No Existe"), " ",(IFERROR(VLOOKUP(A22,clientes,3,FALSE), "No Existe")))</f>
        <v>evelyn sabio</v>
      </c>
    </row>
    <row r="25" spans="1:6" ht="30" customHeight="1" x14ac:dyDescent="0.25">
      <c r="A25" s="58" t="s">
        <v>122</v>
      </c>
      <c r="B25" s="58"/>
      <c r="C25" s="58"/>
      <c r="D25" s="58"/>
      <c r="E25" s="58"/>
      <c r="F25" s="58"/>
    </row>
  </sheetData>
  <mergeCells count="1">
    <mergeCell ref="A25:F25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&amp;LLPG S.A.
Dosquebradas, Risaralda
www.lpg.com.co
lpg@lpg.com&amp;C&amp;D&amp;R&amp;G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901B-2728-4D16-9CFE-FF9CF5C0533B}">
  <dimension ref="A7:D17"/>
  <sheetViews>
    <sheetView view="pageLayout" topLeftCell="A7" zoomScaleNormal="100" workbookViewId="0">
      <selection activeCell="B14" sqref="B14"/>
    </sheetView>
  </sheetViews>
  <sheetFormatPr defaultRowHeight="15" x14ac:dyDescent="0.25"/>
  <cols>
    <col min="2" max="2" width="16.85546875" bestFit="1" customWidth="1"/>
    <col min="3" max="3" width="13.42578125" bestFit="1" customWidth="1"/>
  </cols>
  <sheetData>
    <row r="7" spans="1:4" ht="15.75" x14ac:dyDescent="0.25">
      <c r="A7" s="29" t="s">
        <v>35</v>
      </c>
      <c r="B7" s="29" t="s">
        <v>36</v>
      </c>
      <c r="C7" s="29" t="s">
        <v>37</v>
      </c>
      <c r="D7" s="29" t="s">
        <v>108</v>
      </c>
    </row>
    <row r="8" spans="1:4" x14ac:dyDescent="0.25">
      <c r="A8" s="18">
        <v>121101</v>
      </c>
      <c r="B8" s="18" t="s">
        <v>76</v>
      </c>
      <c r="C8" s="36">
        <v>25200</v>
      </c>
      <c r="D8" s="18">
        <v>101</v>
      </c>
    </row>
    <row r="9" spans="1:4" x14ac:dyDescent="0.25">
      <c r="A9" s="18">
        <v>121102</v>
      </c>
      <c r="B9" s="18" t="s">
        <v>77</v>
      </c>
      <c r="C9" s="36">
        <v>24500</v>
      </c>
      <c r="D9" s="18">
        <v>102</v>
      </c>
    </row>
    <row r="10" spans="1:4" x14ac:dyDescent="0.25">
      <c r="A10" s="18">
        <v>121103</v>
      </c>
      <c r="B10" s="18" t="s">
        <v>78</v>
      </c>
      <c r="C10" s="36">
        <v>26600</v>
      </c>
      <c r="D10" s="18">
        <v>103</v>
      </c>
    </row>
    <row r="11" spans="1:4" x14ac:dyDescent="0.25">
      <c r="A11" s="18">
        <v>121104</v>
      </c>
      <c r="B11" s="18" t="s">
        <v>79</v>
      </c>
      <c r="C11" s="36">
        <v>28700</v>
      </c>
      <c r="D11" s="18">
        <v>104</v>
      </c>
    </row>
    <row r="12" spans="1:4" x14ac:dyDescent="0.25">
      <c r="A12" s="18">
        <v>121105</v>
      </c>
      <c r="B12" s="18" t="s">
        <v>80</v>
      </c>
      <c r="C12" s="36">
        <v>23550</v>
      </c>
      <c r="D12" s="18">
        <v>105</v>
      </c>
    </row>
    <row r="13" spans="1:4" x14ac:dyDescent="0.25">
      <c r="A13" s="18">
        <v>121106</v>
      </c>
      <c r="B13" s="18" t="s">
        <v>81</v>
      </c>
      <c r="C13" s="36">
        <v>25980</v>
      </c>
      <c r="D13" s="18">
        <v>106</v>
      </c>
    </row>
    <row r="14" spans="1:4" x14ac:dyDescent="0.25">
      <c r="A14" s="18">
        <v>121107</v>
      </c>
      <c r="B14" s="18" t="s">
        <v>82</v>
      </c>
      <c r="C14" s="36">
        <v>26070</v>
      </c>
      <c r="D14" s="18">
        <v>107</v>
      </c>
    </row>
    <row r="15" spans="1:4" x14ac:dyDescent="0.25">
      <c r="A15" s="18">
        <v>121108</v>
      </c>
      <c r="B15" s="18" t="s">
        <v>83</v>
      </c>
      <c r="C15" s="36">
        <v>26160</v>
      </c>
      <c r="D15" s="18">
        <v>108</v>
      </c>
    </row>
    <row r="16" spans="1:4" x14ac:dyDescent="0.25">
      <c r="A16" s="18">
        <v>121109</v>
      </c>
      <c r="B16" s="18" t="s">
        <v>84</v>
      </c>
      <c r="C16" s="36">
        <v>26250</v>
      </c>
      <c r="D16" s="18">
        <v>109</v>
      </c>
    </row>
    <row r="17" spans="1:4" x14ac:dyDescent="0.25">
      <c r="A17" s="18">
        <v>121110</v>
      </c>
      <c r="B17" s="18" t="s">
        <v>85</v>
      </c>
      <c r="C17" s="36">
        <v>26340</v>
      </c>
      <c r="D17" s="18">
        <v>110</v>
      </c>
    </row>
  </sheetData>
  <pageMargins left="0.7" right="0.7" top="0.75" bottom="0.75" header="0.3" footer="0.3"/>
  <pageSetup orientation="portrait" r:id="rId1"/>
  <headerFooter>
    <oddHeader>&amp;LLPG S.A.
Dosquebradas, Risaralda
www.lpg.com.co
lpg@lpg.com&amp;C&amp;D&amp;R&amp;G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4DE6-D598-4C89-8036-3A9455529815}">
  <dimension ref="A7:H19"/>
  <sheetViews>
    <sheetView view="pageLayout" topLeftCell="A7" zoomScaleNormal="100" workbookViewId="0">
      <selection activeCell="E11" sqref="E11"/>
    </sheetView>
  </sheetViews>
  <sheetFormatPr defaultRowHeight="15" x14ac:dyDescent="0.25"/>
  <cols>
    <col min="1" max="1" width="18.140625" bestFit="1" customWidth="1"/>
    <col min="2" max="2" width="11" bestFit="1" customWidth="1"/>
    <col min="3" max="3" width="12" customWidth="1"/>
    <col min="4" max="4" width="10" bestFit="1" customWidth="1"/>
    <col min="5" max="5" width="16.28515625" bestFit="1" customWidth="1"/>
    <col min="6" max="6" width="8.42578125" customWidth="1"/>
  </cols>
  <sheetData>
    <row r="7" spans="1:5" s="2" customFormat="1" ht="15.75" x14ac:dyDescent="0.25">
      <c r="A7" s="29" t="s">
        <v>92</v>
      </c>
      <c r="B7" s="29" t="s">
        <v>0</v>
      </c>
      <c r="C7" s="29" t="s">
        <v>1</v>
      </c>
      <c r="D7" s="29" t="s">
        <v>2</v>
      </c>
      <c r="E7" s="29" t="s">
        <v>109</v>
      </c>
    </row>
    <row r="8" spans="1:5" x14ac:dyDescent="0.25">
      <c r="A8" s="18">
        <v>101</v>
      </c>
      <c r="B8" s="18">
        <v>1015447963</v>
      </c>
      <c r="C8" s="18" t="s">
        <v>12</v>
      </c>
      <c r="D8" s="18" t="s">
        <v>46</v>
      </c>
      <c r="E8" s="28">
        <f>VLOOKUP(A8,Ventas!B1:K11,10,FALSE)</f>
        <v>8568000</v>
      </c>
    </row>
    <row r="9" spans="1:5" x14ac:dyDescent="0.25">
      <c r="A9" s="18">
        <v>102</v>
      </c>
      <c r="B9" s="18">
        <v>1015887896</v>
      </c>
      <c r="C9" s="18" t="s">
        <v>38</v>
      </c>
      <c r="D9" s="18" t="s">
        <v>47</v>
      </c>
      <c r="E9" s="28">
        <f>VLOOKUP(A9,Ventas!B2:K12,10,FALSE)</f>
        <v>5047000</v>
      </c>
    </row>
    <row r="10" spans="1:5" x14ac:dyDescent="0.25">
      <c r="A10" s="18">
        <v>103</v>
      </c>
      <c r="B10" s="18">
        <v>1015663598</v>
      </c>
      <c r="C10" s="18" t="s">
        <v>39</v>
      </c>
      <c r="D10" s="18" t="s">
        <v>48</v>
      </c>
      <c r="E10" s="28">
        <f>VLOOKUP(A10,Ventas!B3:K13,10,FALSE)</f>
        <v>3378200</v>
      </c>
    </row>
    <row r="11" spans="1:5" x14ac:dyDescent="0.25">
      <c r="A11" s="18">
        <v>104</v>
      </c>
      <c r="B11" s="18">
        <v>1015882120.66667</v>
      </c>
      <c r="C11" s="18" t="s">
        <v>40</v>
      </c>
      <c r="D11" s="18" t="s">
        <v>49</v>
      </c>
      <c r="E11" s="28">
        <f>VLOOKUP(A11,Ventas!B4:K14,10,FALSE)</f>
        <v>22099000</v>
      </c>
    </row>
    <row r="12" spans="1:5" x14ac:dyDescent="0.25">
      <c r="A12" s="18">
        <v>105</v>
      </c>
      <c r="B12" s="18">
        <v>1015989938.16667</v>
      </c>
      <c r="C12" s="18" t="s">
        <v>41</v>
      </c>
      <c r="D12" s="18" t="s">
        <v>50</v>
      </c>
      <c r="E12" s="28">
        <f>VLOOKUP(A12,Ventas!B5:K15,10,FALSE)</f>
        <v>8854800</v>
      </c>
    </row>
    <row r="13" spans="1:5" x14ac:dyDescent="0.25">
      <c r="A13" s="18">
        <v>106</v>
      </c>
      <c r="B13" s="18">
        <v>1016097755.66667</v>
      </c>
      <c r="C13" s="18" t="s">
        <v>42</v>
      </c>
      <c r="D13" s="18" t="s">
        <v>51</v>
      </c>
      <c r="E13" s="28">
        <f>VLOOKUP(A13,Ventas!B6:K16,10,FALSE)</f>
        <v>15224280</v>
      </c>
    </row>
    <row r="14" spans="1:5" x14ac:dyDescent="0.25">
      <c r="A14" s="18">
        <v>107</v>
      </c>
      <c r="B14" s="18">
        <v>1016205573.16667</v>
      </c>
      <c r="C14" s="18" t="s">
        <v>43</v>
      </c>
      <c r="D14" s="18" t="s">
        <v>52</v>
      </c>
      <c r="E14" s="28">
        <f>VLOOKUP(A14,Ventas!B7:K17,10,FALSE)</f>
        <v>14286360</v>
      </c>
    </row>
    <row r="15" spans="1:5" x14ac:dyDescent="0.25">
      <c r="A15" s="18">
        <v>108</v>
      </c>
      <c r="B15" s="18">
        <v>1016313390.66667</v>
      </c>
      <c r="C15" s="18" t="s">
        <v>44</v>
      </c>
      <c r="D15" s="18" t="s">
        <v>53</v>
      </c>
      <c r="E15" s="28">
        <f>VLOOKUP(A15,Ventas!B8:K18,10,FALSE)</f>
        <v>12870720</v>
      </c>
    </row>
    <row r="16" spans="1:5" x14ac:dyDescent="0.25">
      <c r="A16" s="18">
        <v>109</v>
      </c>
      <c r="B16" s="18">
        <v>1016421208.16667</v>
      </c>
      <c r="C16" s="18" t="s">
        <v>8</v>
      </c>
      <c r="D16" s="18" t="s">
        <v>54</v>
      </c>
      <c r="E16" s="28">
        <f>VLOOKUP(A16,Ventas!B9:K19,10,FALSE)</f>
        <v>6405000</v>
      </c>
    </row>
    <row r="17" spans="1:8" x14ac:dyDescent="0.25">
      <c r="A17" s="18">
        <v>110</v>
      </c>
      <c r="B17" s="18">
        <v>1016529025.66667</v>
      </c>
      <c r="C17" s="18" t="s">
        <v>45</v>
      </c>
      <c r="D17" s="18" t="s">
        <v>55</v>
      </c>
      <c r="E17" s="28">
        <f>VLOOKUP(A17,Ventas!B10:K20,10,FALSE)</f>
        <v>4188060</v>
      </c>
    </row>
    <row r="18" spans="1:8" x14ac:dyDescent="0.25">
      <c r="A18" s="19"/>
      <c r="B18" s="19"/>
      <c r="C18" s="19"/>
      <c r="D18" s="33" t="s">
        <v>105</v>
      </c>
      <c r="E18" s="28">
        <f>SUM(E8:E17)</f>
        <v>100921420</v>
      </c>
    </row>
    <row r="19" spans="1:8" x14ac:dyDescent="0.25">
      <c r="A19" s="40"/>
      <c r="B19" s="40"/>
      <c r="C19" s="40"/>
      <c r="D19" s="40"/>
      <c r="E19" s="40"/>
      <c r="F19" s="40"/>
      <c r="G19" s="40"/>
      <c r="H19" s="40"/>
    </row>
  </sheetData>
  <mergeCells count="1">
    <mergeCell ref="A19:H19"/>
  </mergeCells>
  <phoneticPr fontId="17" type="noConversion"/>
  <pageMargins left="0.7" right="0.7" top="0.75" bottom="0.75" header="0.3" footer="0.3"/>
  <pageSetup orientation="portrait" r:id="rId1"/>
  <headerFooter>
    <oddHeader>&amp;LLPG S.A.
Dosquebradas, Risaralda
www.lpg.com.co
lpg@lpg.com&amp;C&amp;D&amp;R&amp;G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0CE51-3618-4140-91D2-4D63D22AD600}">
  <dimension ref="A3:I28"/>
  <sheetViews>
    <sheetView tabSelected="1" topLeftCell="A9" workbookViewId="0">
      <selection activeCell="G17" sqref="G17"/>
    </sheetView>
  </sheetViews>
  <sheetFormatPr defaultRowHeight="15" x14ac:dyDescent="0.25"/>
  <cols>
    <col min="1" max="1" width="15.85546875" bestFit="1" customWidth="1"/>
    <col min="2" max="5" width="15.28515625" bestFit="1" customWidth="1"/>
    <col min="6" max="6" width="18.28515625" bestFit="1" customWidth="1"/>
    <col min="7" max="7" width="15.28515625" bestFit="1" customWidth="1"/>
    <col min="8" max="8" width="17.85546875" bestFit="1" customWidth="1"/>
    <col min="9" max="9" width="16.85546875" bestFit="1" customWidth="1"/>
    <col min="10" max="40" width="17.42578125" bestFit="1" customWidth="1"/>
    <col min="41" max="41" width="21.140625" bestFit="1" customWidth="1"/>
    <col min="42" max="42" width="20.85546875" bestFit="1" customWidth="1"/>
    <col min="43" max="43" width="20.28515625" bestFit="1" customWidth="1"/>
    <col min="44" max="44" width="22.42578125" bestFit="1" customWidth="1"/>
  </cols>
  <sheetData>
    <row r="3" spans="1:5" x14ac:dyDescent="0.25">
      <c r="A3" s="59" t="s">
        <v>123</v>
      </c>
      <c r="B3" s="61" t="s">
        <v>129</v>
      </c>
      <c r="C3" s="61" t="s">
        <v>130</v>
      </c>
      <c r="D3" s="61" t="s">
        <v>131</v>
      </c>
      <c r="E3" s="61" t="s">
        <v>132</v>
      </c>
    </row>
    <row r="4" spans="1:5" x14ac:dyDescent="0.25">
      <c r="A4" s="60">
        <v>101</v>
      </c>
      <c r="B4" s="62">
        <v>1260000</v>
      </c>
      <c r="C4" s="62">
        <v>1008000</v>
      </c>
      <c r="D4" s="62">
        <v>1159200</v>
      </c>
      <c r="E4" s="62">
        <v>806400</v>
      </c>
    </row>
    <row r="5" spans="1:5" x14ac:dyDescent="0.25">
      <c r="A5" s="60">
        <v>102</v>
      </c>
      <c r="B5" s="62">
        <v>539000</v>
      </c>
      <c r="C5" s="62">
        <v>539000</v>
      </c>
      <c r="D5" s="62">
        <v>784000</v>
      </c>
      <c r="E5" s="62">
        <v>539000</v>
      </c>
    </row>
    <row r="6" spans="1:5" x14ac:dyDescent="0.25">
      <c r="A6" s="60">
        <v>103</v>
      </c>
      <c r="B6" s="62">
        <v>399000</v>
      </c>
      <c r="C6" s="62">
        <v>399000</v>
      </c>
      <c r="D6" s="62">
        <v>585200</v>
      </c>
      <c r="E6" s="62">
        <v>399000</v>
      </c>
    </row>
    <row r="7" spans="1:5" x14ac:dyDescent="0.25">
      <c r="A7" s="60">
        <v>104</v>
      </c>
      <c r="B7" s="62">
        <v>2870000</v>
      </c>
      <c r="C7" s="62">
        <v>2870000</v>
      </c>
      <c r="D7" s="62">
        <v>2583000</v>
      </c>
      <c r="E7" s="62">
        <v>2583000</v>
      </c>
    </row>
    <row r="8" spans="1:5" x14ac:dyDescent="0.25">
      <c r="A8" s="60">
        <v>105</v>
      </c>
      <c r="B8" s="62">
        <v>1106850</v>
      </c>
      <c r="C8" s="62">
        <v>1106850</v>
      </c>
      <c r="D8" s="62">
        <v>1106850</v>
      </c>
      <c r="E8" s="62">
        <v>1106850</v>
      </c>
    </row>
    <row r="9" spans="1:5" x14ac:dyDescent="0.25">
      <c r="A9" s="60">
        <v>106</v>
      </c>
      <c r="B9" s="62">
        <v>2260260</v>
      </c>
      <c r="C9" s="62">
        <v>2260260</v>
      </c>
      <c r="D9" s="62">
        <v>1480860</v>
      </c>
      <c r="E9" s="62">
        <v>1480860</v>
      </c>
    </row>
    <row r="10" spans="1:5" x14ac:dyDescent="0.25">
      <c r="A10" s="60">
        <v>107</v>
      </c>
      <c r="B10" s="62">
        <v>1981320</v>
      </c>
      <c r="C10" s="62">
        <v>1981320</v>
      </c>
      <c r="D10" s="62">
        <v>1459920</v>
      </c>
      <c r="E10" s="62">
        <v>1459920</v>
      </c>
    </row>
    <row r="11" spans="1:5" x14ac:dyDescent="0.25">
      <c r="A11" s="60">
        <v>108</v>
      </c>
      <c r="B11" s="62">
        <v>1805040</v>
      </c>
      <c r="C11" s="62">
        <v>1805040</v>
      </c>
      <c r="D11" s="62">
        <v>1281840</v>
      </c>
      <c r="E11" s="62">
        <v>1281840</v>
      </c>
    </row>
    <row r="12" spans="1:5" x14ac:dyDescent="0.25">
      <c r="A12" s="60">
        <v>109</v>
      </c>
      <c r="B12" s="62">
        <v>866250</v>
      </c>
      <c r="C12" s="62">
        <v>866250</v>
      </c>
      <c r="D12" s="62">
        <v>603750</v>
      </c>
      <c r="E12" s="62">
        <v>603750</v>
      </c>
    </row>
    <row r="13" spans="1:5" x14ac:dyDescent="0.25">
      <c r="A13" s="60">
        <v>110</v>
      </c>
      <c r="B13" s="62">
        <v>395100</v>
      </c>
      <c r="C13" s="62">
        <v>395100</v>
      </c>
      <c r="D13" s="62">
        <v>763860</v>
      </c>
      <c r="E13" s="62">
        <v>921900</v>
      </c>
    </row>
    <row r="14" spans="1:5" x14ac:dyDescent="0.25">
      <c r="A14" s="60" t="s">
        <v>124</v>
      </c>
      <c r="B14" s="62">
        <v>1348282</v>
      </c>
      <c r="C14" s="62">
        <v>1323082</v>
      </c>
      <c r="D14" s="62">
        <v>1180848</v>
      </c>
      <c r="E14" s="62">
        <v>1118252</v>
      </c>
    </row>
    <row r="17" spans="1:9" x14ac:dyDescent="0.25">
      <c r="A17" s="59" t="s">
        <v>123</v>
      </c>
      <c r="B17" s="26" t="s">
        <v>125</v>
      </c>
      <c r="C17" s="26" t="s">
        <v>126</v>
      </c>
      <c r="D17" s="26" t="s">
        <v>127</v>
      </c>
      <c r="E17" s="26" t="s">
        <v>128</v>
      </c>
      <c r="F17" s="26" t="s">
        <v>133</v>
      </c>
      <c r="G17" s="26" t="s">
        <v>134</v>
      </c>
      <c r="H17" s="26" t="s">
        <v>135</v>
      </c>
      <c r="I17" s="26" t="s">
        <v>136</v>
      </c>
    </row>
    <row r="18" spans="1:9" x14ac:dyDescent="0.25">
      <c r="A18" s="60" t="s">
        <v>76</v>
      </c>
      <c r="B18" s="62">
        <v>1260000</v>
      </c>
      <c r="C18" s="62">
        <v>1008000</v>
      </c>
      <c r="D18" s="62">
        <v>1159200</v>
      </c>
      <c r="E18" s="62">
        <v>806400</v>
      </c>
      <c r="F18" s="62">
        <v>756000</v>
      </c>
      <c r="G18" s="62">
        <v>1134000</v>
      </c>
      <c r="H18" s="62">
        <v>1184400</v>
      </c>
      <c r="I18" s="62">
        <v>1260000</v>
      </c>
    </row>
    <row r="19" spans="1:9" x14ac:dyDescent="0.25">
      <c r="A19" s="60" t="s">
        <v>77</v>
      </c>
      <c r="B19" s="62">
        <v>539000</v>
      </c>
      <c r="C19" s="62">
        <v>539000</v>
      </c>
      <c r="D19" s="62">
        <v>784000</v>
      </c>
      <c r="E19" s="62">
        <v>539000</v>
      </c>
      <c r="F19" s="62">
        <v>539000</v>
      </c>
      <c r="G19" s="62">
        <v>1029000</v>
      </c>
      <c r="H19" s="62">
        <v>539000</v>
      </c>
      <c r="I19" s="62">
        <v>539000</v>
      </c>
    </row>
    <row r="20" spans="1:9" x14ac:dyDescent="0.25">
      <c r="A20" s="60" t="s">
        <v>78</v>
      </c>
      <c r="B20" s="62">
        <v>399000</v>
      </c>
      <c r="C20" s="62">
        <v>399000</v>
      </c>
      <c r="D20" s="62">
        <v>585200</v>
      </c>
      <c r="E20" s="62">
        <v>399000</v>
      </c>
      <c r="F20" s="62">
        <v>399000</v>
      </c>
      <c r="G20" s="62">
        <v>399000</v>
      </c>
      <c r="H20" s="62">
        <v>399000</v>
      </c>
      <c r="I20" s="62">
        <v>399000</v>
      </c>
    </row>
    <row r="21" spans="1:9" x14ac:dyDescent="0.25">
      <c r="A21" s="60" t="s">
        <v>79</v>
      </c>
      <c r="B21" s="62">
        <v>2870000</v>
      </c>
      <c r="C21" s="62">
        <v>2870000</v>
      </c>
      <c r="D21" s="62">
        <v>2583000</v>
      </c>
      <c r="E21" s="62">
        <v>2583000</v>
      </c>
      <c r="F21" s="62">
        <v>2583000</v>
      </c>
      <c r="G21" s="62">
        <v>2870000</v>
      </c>
      <c r="H21" s="62">
        <v>2870000</v>
      </c>
      <c r="I21" s="62">
        <v>2870000</v>
      </c>
    </row>
    <row r="22" spans="1:9" x14ac:dyDescent="0.25">
      <c r="A22" s="60" t="s">
        <v>80</v>
      </c>
      <c r="B22" s="62">
        <v>1106850</v>
      </c>
      <c r="C22" s="62">
        <v>1106850</v>
      </c>
      <c r="D22" s="62">
        <v>1106850</v>
      </c>
      <c r="E22" s="62">
        <v>1106850</v>
      </c>
      <c r="F22" s="62">
        <v>1106850</v>
      </c>
      <c r="G22" s="62">
        <v>1106850</v>
      </c>
      <c r="H22" s="62">
        <v>1106850</v>
      </c>
      <c r="I22" s="62">
        <v>1106850</v>
      </c>
    </row>
    <row r="23" spans="1:9" x14ac:dyDescent="0.25">
      <c r="A23" s="60" t="s">
        <v>81</v>
      </c>
      <c r="B23" s="62">
        <v>2260260</v>
      </c>
      <c r="C23" s="62">
        <v>2260260</v>
      </c>
      <c r="D23" s="62">
        <v>1480860</v>
      </c>
      <c r="E23" s="62">
        <v>1480860</v>
      </c>
      <c r="F23" s="62">
        <v>1740660</v>
      </c>
      <c r="G23" s="62">
        <v>1480860</v>
      </c>
      <c r="H23" s="62">
        <v>2260260</v>
      </c>
      <c r="I23" s="62">
        <v>2260260</v>
      </c>
    </row>
    <row r="24" spans="1:9" x14ac:dyDescent="0.25">
      <c r="A24" s="60" t="s">
        <v>82</v>
      </c>
      <c r="B24" s="62">
        <v>1981320</v>
      </c>
      <c r="C24" s="62">
        <v>1981320</v>
      </c>
      <c r="D24" s="62">
        <v>1459920</v>
      </c>
      <c r="E24" s="62">
        <v>1459920</v>
      </c>
      <c r="F24" s="62">
        <v>1981320</v>
      </c>
      <c r="G24" s="62">
        <v>1459920</v>
      </c>
      <c r="H24" s="62">
        <v>1981320</v>
      </c>
      <c r="I24" s="62">
        <v>1981320</v>
      </c>
    </row>
    <row r="25" spans="1:9" x14ac:dyDescent="0.25">
      <c r="A25" s="60" t="s">
        <v>83</v>
      </c>
      <c r="B25" s="62">
        <v>1805040</v>
      </c>
      <c r="C25" s="62">
        <v>1805040</v>
      </c>
      <c r="D25" s="62">
        <v>1281840</v>
      </c>
      <c r="E25" s="62">
        <v>1281840</v>
      </c>
      <c r="F25" s="62">
        <v>1805040</v>
      </c>
      <c r="G25" s="62">
        <v>1281840</v>
      </c>
      <c r="H25" s="62">
        <v>1805040</v>
      </c>
      <c r="I25" s="62">
        <v>1805040</v>
      </c>
    </row>
    <row r="26" spans="1:9" x14ac:dyDescent="0.25">
      <c r="A26" s="60" t="s">
        <v>84</v>
      </c>
      <c r="B26" s="62">
        <v>866250</v>
      </c>
      <c r="C26" s="62">
        <v>866250</v>
      </c>
      <c r="D26" s="62">
        <v>603750</v>
      </c>
      <c r="E26" s="62">
        <v>603750</v>
      </c>
      <c r="F26" s="62">
        <v>866250</v>
      </c>
      <c r="G26" s="62">
        <v>866250</v>
      </c>
      <c r="H26" s="62">
        <v>866250</v>
      </c>
      <c r="I26" s="62">
        <v>866250</v>
      </c>
    </row>
    <row r="27" spans="1:9" x14ac:dyDescent="0.25">
      <c r="A27" s="60" t="s">
        <v>85</v>
      </c>
      <c r="B27" s="62">
        <v>395100</v>
      </c>
      <c r="C27" s="62">
        <v>395100</v>
      </c>
      <c r="D27" s="62">
        <v>763860</v>
      </c>
      <c r="E27" s="62">
        <v>921900</v>
      </c>
      <c r="F27" s="62">
        <v>395100</v>
      </c>
      <c r="G27" s="62">
        <v>526800</v>
      </c>
      <c r="H27" s="62">
        <v>395100</v>
      </c>
      <c r="I27" s="62">
        <v>395100</v>
      </c>
    </row>
    <row r="28" spans="1:9" x14ac:dyDescent="0.25">
      <c r="A28" s="60" t="s">
        <v>124</v>
      </c>
      <c r="B28" s="62">
        <v>13482820</v>
      </c>
      <c r="C28" s="62">
        <v>13230820</v>
      </c>
      <c r="D28" s="62">
        <v>11808480</v>
      </c>
      <c r="E28" s="62">
        <v>11182520</v>
      </c>
      <c r="F28" s="62">
        <v>12172220</v>
      </c>
      <c r="G28" s="62">
        <v>12154520</v>
      </c>
      <c r="H28" s="62">
        <v>13407220</v>
      </c>
      <c r="I28" s="62">
        <v>13482820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EB6D-C37A-45F2-83A2-18FEDFD342B6}">
  <dimension ref="A1:K12"/>
  <sheetViews>
    <sheetView workbookViewId="0">
      <selection sqref="A1:K12"/>
    </sheetView>
  </sheetViews>
  <sheetFormatPr defaultRowHeight="15" x14ac:dyDescent="0.25"/>
  <cols>
    <col min="1" max="1" width="15.85546875" bestFit="1" customWidth="1"/>
    <col min="2" max="2" width="10.5703125" bestFit="1" customWidth="1"/>
    <col min="3" max="10" width="15.28515625" bestFit="1" customWidth="1"/>
    <col min="11" max="11" width="16.28515625" bestFit="1" customWidth="1"/>
  </cols>
  <sheetData>
    <row r="1" spans="1:11" s="30" customFormat="1" ht="15.75" x14ac:dyDescent="0.25">
      <c r="A1" s="29" t="s">
        <v>68</v>
      </c>
      <c r="B1" s="29" t="s">
        <v>108</v>
      </c>
      <c r="C1" s="29" t="s">
        <v>97</v>
      </c>
      <c r="D1" s="29" t="s">
        <v>98</v>
      </c>
      <c r="E1" s="29" t="s">
        <v>99</v>
      </c>
      <c r="F1" s="29" t="s">
        <v>100</v>
      </c>
      <c r="G1" s="29" t="s">
        <v>101</v>
      </c>
      <c r="H1" s="29" t="s">
        <v>102</v>
      </c>
      <c r="I1" s="29" t="s">
        <v>103</v>
      </c>
      <c r="J1" s="29" t="s">
        <v>104</v>
      </c>
      <c r="K1" s="29" t="s">
        <v>111</v>
      </c>
    </row>
    <row r="2" spans="1:11" x14ac:dyDescent="0.25">
      <c r="A2" s="18" t="s">
        <v>76</v>
      </c>
      <c r="B2" s="18">
        <v>101</v>
      </c>
      <c r="C2" s="28">
        <f>PRODUCT(Producto!$C8,50)</f>
        <v>1260000</v>
      </c>
      <c r="D2" s="28">
        <f>PRODUCT(Producto!$C8,40)</f>
        <v>1008000</v>
      </c>
      <c r="E2" s="28">
        <f>PRODUCT(Producto!$C8,46)</f>
        <v>1159200</v>
      </c>
      <c r="F2" s="28">
        <f>PRODUCT(Producto!$C8,32)</f>
        <v>806400</v>
      </c>
      <c r="G2" s="28">
        <f>PRODUCT(Producto!$C8,30)</f>
        <v>756000</v>
      </c>
      <c r="H2" s="28">
        <f>PRODUCT(Producto!$C8,45)</f>
        <v>1134000</v>
      </c>
      <c r="I2" s="28">
        <f>PRODUCT(Producto!$C8,47)</f>
        <v>1184400</v>
      </c>
      <c r="J2" s="28">
        <f>PRODUCT(Producto!$C8,50)</f>
        <v>1260000</v>
      </c>
      <c r="K2" s="31">
        <f>SUM(C2:J2)</f>
        <v>8568000</v>
      </c>
    </row>
    <row r="3" spans="1:11" x14ac:dyDescent="0.25">
      <c r="A3" s="18" t="s">
        <v>77</v>
      </c>
      <c r="B3" s="18">
        <v>102</v>
      </c>
      <c r="C3" s="28">
        <f>PRODUCT(Producto!$C9,22)</f>
        <v>539000</v>
      </c>
      <c r="D3" s="28">
        <f>PRODUCT(Producto!$C9,22)</f>
        <v>539000</v>
      </c>
      <c r="E3" s="28">
        <f>PRODUCT(Producto!$C9,32)</f>
        <v>784000</v>
      </c>
      <c r="F3" s="28">
        <f>PRODUCT(Producto!$C9,22)</f>
        <v>539000</v>
      </c>
      <c r="G3" s="28">
        <f>PRODUCT(Producto!$C9,22)</f>
        <v>539000</v>
      </c>
      <c r="H3" s="28">
        <f>PRODUCT(Producto!$C9,42)</f>
        <v>1029000</v>
      </c>
      <c r="I3" s="28">
        <f>PRODUCT(Producto!$C9,22)</f>
        <v>539000</v>
      </c>
      <c r="J3" s="28">
        <f>PRODUCT(Producto!$C9,22)</f>
        <v>539000</v>
      </c>
      <c r="K3" s="31">
        <f t="shared" ref="K3:K11" si="0">SUM(C3:J3)</f>
        <v>5047000</v>
      </c>
    </row>
    <row r="4" spans="1:11" x14ac:dyDescent="0.25">
      <c r="A4" s="18" t="s">
        <v>78</v>
      </c>
      <c r="B4" s="18">
        <v>103</v>
      </c>
      <c r="C4" s="28">
        <f>PRODUCT(Producto!$C10,15)</f>
        <v>399000</v>
      </c>
      <c r="D4" s="28">
        <f>PRODUCT(Producto!$C10,15)</f>
        <v>399000</v>
      </c>
      <c r="E4" s="28">
        <f>PRODUCT(Producto!$C10,22)</f>
        <v>585200</v>
      </c>
      <c r="F4" s="28">
        <f>PRODUCT(Producto!$C10,15)</f>
        <v>399000</v>
      </c>
      <c r="G4" s="28">
        <f>PRODUCT(Producto!$C10,15)</f>
        <v>399000</v>
      </c>
      <c r="H4" s="28">
        <f>PRODUCT(Producto!$C10,15)</f>
        <v>399000</v>
      </c>
      <c r="I4" s="28">
        <f>PRODUCT(Producto!$C10,15)</f>
        <v>399000</v>
      </c>
      <c r="J4" s="28">
        <f>PRODUCT(Producto!$C10,15)</f>
        <v>399000</v>
      </c>
      <c r="K4" s="31">
        <f t="shared" si="0"/>
        <v>3378200</v>
      </c>
    </row>
    <row r="5" spans="1:11" x14ac:dyDescent="0.25">
      <c r="A5" s="18" t="s">
        <v>79</v>
      </c>
      <c r="B5" s="18">
        <v>104</v>
      </c>
      <c r="C5" s="28">
        <f>PRODUCT(Producto!$C11,100)</f>
        <v>2870000</v>
      </c>
      <c r="D5" s="28">
        <f>PRODUCT(Producto!$C11,100)</f>
        <v>2870000</v>
      </c>
      <c r="E5" s="28">
        <f>PRODUCT(Producto!$C11,90)</f>
        <v>2583000</v>
      </c>
      <c r="F5" s="28">
        <f>PRODUCT(Producto!$C11,90)</f>
        <v>2583000</v>
      </c>
      <c r="G5" s="28">
        <f>PRODUCT(Producto!$C11,90)</f>
        <v>2583000</v>
      </c>
      <c r="H5" s="28">
        <f>PRODUCT(Producto!$C11,100)</f>
        <v>2870000</v>
      </c>
      <c r="I5" s="28">
        <f>PRODUCT(Producto!$C11,100)</f>
        <v>2870000</v>
      </c>
      <c r="J5" s="28">
        <f>PRODUCT(Producto!$C11,100)</f>
        <v>2870000</v>
      </c>
      <c r="K5" s="31">
        <f t="shared" si="0"/>
        <v>22099000</v>
      </c>
    </row>
    <row r="6" spans="1:11" x14ac:dyDescent="0.25">
      <c r="A6" s="18" t="s">
        <v>80</v>
      </c>
      <c r="B6" s="18">
        <v>105</v>
      </c>
      <c r="C6" s="28">
        <f>PRODUCT(Producto!$C12,47)</f>
        <v>1106850</v>
      </c>
      <c r="D6" s="28">
        <f>PRODUCT(Producto!$C12,47)</f>
        <v>1106850</v>
      </c>
      <c r="E6" s="28">
        <f>PRODUCT(Producto!$C12,47)</f>
        <v>1106850</v>
      </c>
      <c r="F6" s="28">
        <f>PRODUCT(Producto!$C12,47)</f>
        <v>1106850</v>
      </c>
      <c r="G6" s="28">
        <f>PRODUCT(Producto!$C12,47)</f>
        <v>1106850</v>
      </c>
      <c r="H6" s="28">
        <f>PRODUCT(Producto!$C12,47)</f>
        <v>1106850</v>
      </c>
      <c r="I6" s="28">
        <f>PRODUCT(Producto!$C12,47)</f>
        <v>1106850</v>
      </c>
      <c r="J6" s="28">
        <f>PRODUCT(Producto!$C12,47)</f>
        <v>1106850</v>
      </c>
      <c r="K6" s="31">
        <f t="shared" si="0"/>
        <v>8854800</v>
      </c>
    </row>
    <row r="7" spans="1:11" x14ac:dyDescent="0.25">
      <c r="A7" s="18" t="s">
        <v>81</v>
      </c>
      <c r="B7" s="18">
        <v>106</v>
      </c>
      <c r="C7" s="28">
        <f>PRODUCT(Producto!$C13,87)</f>
        <v>2260260</v>
      </c>
      <c r="D7" s="28">
        <f>PRODUCT(Producto!$C13,87)</f>
        <v>2260260</v>
      </c>
      <c r="E7" s="28">
        <f>PRODUCT(Producto!$C13,57)</f>
        <v>1480860</v>
      </c>
      <c r="F7" s="28">
        <f>PRODUCT(Producto!$C13,57)</f>
        <v>1480860</v>
      </c>
      <c r="G7" s="28">
        <f>PRODUCT(Producto!$C13,67)</f>
        <v>1740660</v>
      </c>
      <c r="H7" s="28">
        <f>PRODUCT(Producto!$C13,57)</f>
        <v>1480860</v>
      </c>
      <c r="I7" s="28">
        <f>PRODUCT(Producto!$C13,87)</f>
        <v>2260260</v>
      </c>
      <c r="J7" s="28">
        <f>PRODUCT(Producto!$C13,87)</f>
        <v>2260260</v>
      </c>
      <c r="K7" s="31">
        <f t="shared" si="0"/>
        <v>15224280</v>
      </c>
    </row>
    <row r="8" spans="1:11" x14ac:dyDescent="0.25">
      <c r="A8" s="18" t="s">
        <v>82</v>
      </c>
      <c r="B8" s="18">
        <v>107</v>
      </c>
      <c r="C8" s="28">
        <f>PRODUCT(Producto!$C14,76)</f>
        <v>1981320</v>
      </c>
      <c r="D8" s="28">
        <f>PRODUCT(Producto!$C14,76)</f>
        <v>1981320</v>
      </c>
      <c r="E8" s="28">
        <f>PRODUCT(Producto!$C14,56)</f>
        <v>1459920</v>
      </c>
      <c r="F8" s="28">
        <f>PRODUCT(Producto!$C14,56)</f>
        <v>1459920</v>
      </c>
      <c r="G8" s="28">
        <f>PRODUCT(Producto!$C14,76)</f>
        <v>1981320</v>
      </c>
      <c r="H8" s="28">
        <f>PRODUCT(Producto!$C14,56)</f>
        <v>1459920</v>
      </c>
      <c r="I8" s="28">
        <f>PRODUCT(Producto!$C14,76)</f>
        <v>1981320</v>
      </c>
      <c r="J8" s="28">
        <f>PRODUCT(Producto!$C14,76)</f>
        <v>1981320</v>
      </c>
      <c r="K8" s="31">
        <f t="shared" si="0"/>
        <v>14286360</v>
      </c>
    </row>
    <row r="9" spans="1:11" x14ac:dyDescent="0.25">
      <c r="A9" s="18" t="s">
        <v>83</v>
      </c>
      <c r="B9" s="18">
        <v>108</v>
      </c>
      <c r="C9" s="28">
        <f>PRODUCT(Producto!$C15,69)</f>
        <v>1805040</v>
      </c>
      <c r="D9" s="28">
        <f>PRODUCT(Producto!$C15,69)</f>
        <v>1805040</v>
      </c>
      <c r="E9" s="28">
        <f>PRODUCT(Producto!$C15,49)</f>
        <v>1281840</v>
      </c>
      <c r="F9" s="28">
        <f>PRODUCT(Producto!$C15,49)</f>
        <v>1281840</v>
      </c>
      <c r="G9" s="28">
        <f>PRODUCT(Producto!$C15,69)</f>
        <v>1805040</v>
      </c>
      <c r="H9" s="28">
        <f>PRODUCT(Producto!$C15,49)</f>
        <v>1281840</v>
      </c>
      <c r="I9" s="28">
        <f>PRODUCT(Producto!$C15,69)</f>
        <v>1805040</v>
      </c>
      <c r="J9" s="28">
        <f>PRODUCT(Producto!$C15,69)</f>
        <v>1805040</v>
      </c>
      <c r="K9" s="31">
        <f t="shared" si="0"/>
        <v>12870720</v>
      </c>
    </row>
    <row r="10" spans="1:11" x14ac:dyDescent="0.25">
      <c r="A10" s="18" t="s">
        <v>84</v>
      </c>
      <c r="B10" s="18">
        <v>109</v>
      </c>
      <c r="C10" s="28">
        <f>PRODUCT(Producto!$C16,33)</f>
        <v>866250</v>
      </c>
      <c r="D10" s="28">
        <f>PRODUCT(Producto!$C16,33)</f>
        <v>866250</v>
      </c>
      <c r="E10" s="28">
        <f>PRODUCT(Producto!$C16,23)</f>
        <v>603750</v>
      </c>
      <c r="F10" s="28">
        <f>PRODUCT(Producto!$C16,23)</f>
        <v>603750</v>
      </c>
      <c r="G10" s="28">
        <f>PRODUCT(Producto!$C16,33)</f>
        <v>866250</v>
      </c>
      <c r="H10" s="28">
        <f>PRODUCT(Producto!$C16,33)</f>
        <v>866250</v>
      </c>
      <c r="I10" s="28">
        <f>PRODUCT(Producto!$C16,33)</f>
        <v>866250</v>
      </c>
      <c r="J10" s="28">
        <f>PRODUCT(Producto!$C16,33)</f>
        <v>866250</v>
      </c>
      <c r="K10" s="31">
        <f t="shared" si="0"/>
        <v>6405000</v>
      </c>
    </row>
    <row r="11" spans="1:11" x14ac:dyDescent="0.25">
      <c r="A11" s="18" t="s">
        <v>85</v>
      </c>
      <c r="B11" s="18">
        <v>110</v>
      </c>
      <c r="C11" s="28">
        <f>PRODUCT(Producto!$C17,15)</f>
        <v>395100</v>
      </c>
      <c r="D11" s="28">
        <f>PRODUCT(Producto!$C17,15)</f>
        <v>395100</v>
      </c>
      <c r="E11" s="28">
        <f>PRODUCT(Producto!$C17,29)</f>
        <v>763860</v>
      </c>
      <c r="F11" s="28">
        <f>PRODUCT(Producto!$C17,35)</f>
        <v>921900</v>
      </c>
      <c r="G11" s="28">
        <f>PRODUCT(Producto!$C17,15)</f>
        <v>395100</v>
      </c>
      <c r="H11" s="28">
        <f>PRODUCT(Producto!$C17,20)</f>
        <v>526800</v>
      </c>
      <c r="I11" s="28">
        <f>PRODUCT(Producto!$C17,15)</f>
        <v>395100</v>
      </c>
      <c r="J11" s="28">
        <f>PRODUCT(Producto!$C17,15)</f>
        <v>395100</v>
      </c>
      <c r="K11" s="31">
        <f t="shared" si="0"/>
        <v>4188060</v>
      </c>
    </row>
    <row r="12" spans="1:11" ht="15.75" x14ac:dyDescent="0.25">
      <c r="A12" s="41" t="s">
        <v>110</v>
      </c>
      <c r="B12" s="42"/>
      <c r="C12" s="31">
        <f>SUM(C2:C11)</f>
        <v>13482820</v>
      </c>
      <c r="D12" s="31">
        <f t="shared" ref="D12:J12" si="1">SUM(D2:D11)</f>
        <v>13230820</v>
      </c>
      <c r="E12" s="31">
        <f t="shared" si="1"/>
        <v>11808480</v>
      </c>
      <c r="F12" s="31">
        <f t="shared" si="1"/>
        <v>11182520</v>
      </c>
      <c r="G12" s="31">
        <f t="shared" si="1"/>
        <v>12172220</v>
      </c>
      <c r="H12" s="31">
        <f t="shared" si="1"/>
        <v>12154520</v>
      </c>
      <c r="I12" s="31">
        <f t="shared" si="1"/>
        <v>13407220</v>
      </c>
      <c r="J12" s="31">
        <f t="shared" si="1"/>
        <v>13482820</v>
      </c>
      <c r="K12" s="18"/>
    </row>
  </sheetData>
  <mergeCells count="1">
    <mergeCell ref="A12:B12"/>
  </mergeCells>
  <phoneticPr fontId="1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79E-BEE4-490B-9314-0B93CBF043D7}">
  <dimension ref="A3:F39"/>
  <sheetViews>
    <sheetView showWhiteSpace="0" view="pageLayout" topLeftCell="A25" zoomScaleNormal="100" workbookViewId="0">
      <selection activeCell="B15" sqref="B15:C15"/>
    </sheetView>
  </sheetViews>
  <sheetFormatPr defaultRowHeight="15" x14ac:dyDescent="0.25"/>
  <cols>
    <col min="2" max="2" width="8.7109375" customWidth="1"/>
    <col min="3" max="3" width="23.7109375" customWidth="1"/>
    <col min="4" max="4" width="10.5703125" customWidth="1"/>
    <col min="5" max="5" width="20.7109375" customWidth="1"/>
    <col min="6" max="6" width="14.7109375" bestFit="1" customWidth="1"/>
  </cols>
  <sheetData>
    <row r="3" spans="1:6" ht="39.75" customHeight="1" x14ac:dyDescent="0.25"/>
    <row r="5" spans="1:6" ht="30.75" customHeight="1" x14ac:dyDescent="0.25">
      <c r="A5" s="45" t="s">
        <v>56</v>
      </c>
      <c r="B5" s="46"/>
      <c r="C5" s="3"/>
      <c r="E5" s="4"/>
      <c r="F5" s="7" t="s">
        <v>57</v>
      </c>
    </row>
    <row r="6" spans="1:6" ht="15.75" x14ac:dyDescent="0.25">
      <c r="A6" s="5" t="s">
        <v>86</v>
      </c>
      <c r="B6" s="3"/>
      <c r="C6" s="6"/>
      <c r="E6" s="3"/>
      <c r="F6" s="17">
        <f ca="1">TODAY()</f>
        <v>44663</v>
      </c>
    </row>
    <row r="7" spans="1:6" ht="15.75" x14ac:dyDescent="0.25">
      <c r="A7" s="5" t="s">
        <v>67</v>
      </c>
      <c r="B7" s="3"/>
      <c r="C7" s="8"/>
      <c r="E7" s="3"/>
      <c r="F7" s="7" t="s">
        <v>58</v>
      </c>
    </row>
    <row r="8" spans="1:6" ht="15.75" x14ac:dyDescent="0.25">
      <c r="A8" s="16" t="s">
        <v>87</v>
      </c>
      <c r="B8" s="3"/>
      <c r="C8" s="6"/>
      <c r="E8" s="3"/>
      <c r="F8" s="9">
        <v>108</v>
      </c>
    </row>
    <row r="9" spans="1:6" ht="15.75" x14ac:dyDescent="0.25">
      <c r="A9" s="16" t="s">
        <v>88</v>
      </c>
      <c r="B9" s="3"/>
      <c r="C9" s="9"/>
      <c r="E9" s="3"/>
    </row>
    <row r="10" spans="1:6" ht="15.75" x14ac:dyDescent="0.25">
      <c r="A10" s="5"/>
      <c r="B10" s="3"/>
      <c r="C10" s="3"/>
      <c r="E10" s="6"/>
    </row>
    <row r="11" spans="1:6" x14ac:dyDescent="0.25">
      <c r="A11" s="10"/>
      <c r="B11" s="15"/>
      <c r="C11" s="15"/>
      <c r="E11" s="15"/>
    </row>
    <row r="12" spans="1:6" ht="15.75" x14ac:dyDescent="0.25">
      <c r="A12" s="11"/>
      <c r="B12" s="3"/>
      <c r="C12" s="11"/>
      <c r="E12" s="12"/>
      <c r="F12" s="12"/>
    </row>
    <row r="13" spans="1:6" ht="15.75" x14ac:dyDescent="0.25">
      <c r="A13" s="3"/>
      <c r="B13" s="3"/>
      <c r="C13" s="3"/>
      <c r="E13" s="3"/>
      <c r="F13" s="3"/>
    </row>
    <row r="14" spans="1:6" x14ac:dyDescent="0.25">
      <c r="A14" s="1" t="s">
        <v>0</v>
      </c>
      <c r="B14" s="43">
        <v>1057332101</v>
      </c>
      <c r="C14" s="44"/>
      <c r="E14" s="13"/>
      <c r="F14" s="13"/>
    </row>
    <row r="15" spans="1:6" x14ac:dyDescent="0.25">
      <c r="A15" s="1" t="s">
        <v>1</v>
      </c>
      <c r="B15" s="47" t="str">
        <f>CONCATENATE(VLOOKUP($B$14,clientes,2,FALSE)," ",(VLOOKUP(B14,clientes,3,FALSE)))</f>
        <v>evelyn sabio</v>
      </c>
      <c r="C15" s="48"/>
      <c r="E15" s="13"/>
      <c r="F15" s="13"/>
    </row>
    <row r="16" spans="1:6" x14ac:dyDescent="0.25">
      <c r="A16" s="1" t="s">
        <v>4</v>
      </c>
      <c r="B16" s="47" t="str">
        <f>VLOOKUP($B$14,clientes,5,FALSE)</f>
        <v>Santa Marta</v>
      </c>
      <c r="C16" s="48"/>
      <c r="E16" s="13"/>
      <c r="F16" s="13"/>
    </row>
    <row r="17" spans="1:6" x14ac:dyDescent="0.25">
      <c r="A17" s="1" t="s">
        <v>89</v>
      </c>
      <c r="B17" s="47">
        <f>VLOOKUP($B$14,clientes,4,FALSE)</f>
        <v>3127641853</v>
      </c>
      <c r="C17" s="47"/>
      <c r="E17" s="13"/>
      <c r="F17" s="13"/>
    </row>
    <row r="18" spans="1:6" x14ac:dyDescent="0.25">
      <c r="A18" s="1" t="s">
        <v>90</v>
      </c>
      <c r="B18" s="47" t="str">
        <f>VLOOKUP($B$14,clientes,6,FALSE)</f>
        <v>evelynsabio@correo.com</v>
      </c>
      <c r="C18" s="47"/>
      <c r="E18" s="14"/>
      <c r="F18" s="14"/>
    </row>
    <row r="19" spans="1:6" x14ac:dyDescent="0.25">
      <c r="B19" s="14"/>
      <c r="C19" s="13"/>
      <c r="D19" s="9"/>
      <c r="E19" s="9"/>
      <c r="F19" s="9"/>
    </row>
    <row r="20" spans="1:6" ht="15.75" x14ac:dyDescent="0.25">
      <c r="B20" s="3"/>
      <c r="C20" s="3"/>
      <c r="D20" s="3"/>
      <c r="E20" s="3"/>
      <c r="F20" s="3"/>
    </row>
    <row r="21" spans="1:6" x14ac:dyDescent="0.25">
      <c r="A21" s="22" t="s">
        <v>35</v>
      </c>
      <c r="B21" s="51" t="s">
        <v>68</v>
      </c>
      <c r="C21" s="52"/>
      <c r="D21" s="21" t="s">
        <v>59</v>
      </c>
      <c r="E21" s="21" t="s">
        <v>60</v>
      </c>
      <c r="F21" s="21" t="s">
        <v>61</v>
      </c>
    </row>
    <row r="22" spans="1:6" x14ac:dyDescent="0.25">
      <c r="A22" s="18">
        <v>121101</v>
      </c>
      <c r="B22" s="49" t="str">
        <f>VLOOKUP($A22,productos,2,FALSE)</f>
        <v>Leche Anacafe14</v>
      </c>
      <c r="C22" s="50"/>
      <c r="D22" s="18">
        <v>2</v>
      </c>
      <c r="E22" s="23">
        <f t="shared" ref="E22:E32" si="0">VLOOKUP(A22,productos,3,FALSE)</f>
        <v>25200</v>
      </c>
      <c r="F22" s="23">
        <f t="shared" ref="F22:F32" si="1">D22*E22</f>
        <v>50400</v>
      </c>
    </row>
    <row r="23" spans="1:6" x14ac:dyDescent="0.25">
      <c r="A23" s="18">
        <v>121102</v>
      </c>
      <c r="B23" s="49" t="str">
        <f t="shared" ref="B23:B32" si="2">VLOOKUP(A23,productos,2,FALSE)</f>
        <v>Leche Batian</v>
      </c>
      <c r="C23" s="50"/>
      <c r="D23" s="18">
        <v>9</v>
      </c>
      <c r="E23" s="23">
        <f t="shared" si="0"/>
        <v>24500</v>
      </c>
      <c r="F23" s="23">
        <f t="shared" si="1"/>
        <v>220500</v>
      </c>
    </row>
    <row r="24" spans="1:6" x14ac:dyDescent="0.25">
      <c r="A24" s="18">
        <v>121108</v>
      </c>
      <c r="B24" s="49" t="str">
        <f t="shared" si="2"/>
        <v>Leche Evaluna</v>
      </c>
      <c r="C24" s="50"/>
      <c r="D24" s="18">
        <v>7</v>
      </c>
      <c r="E24" s="23">
        <f t="shared" si="0"/>
        <v>26160</v>
      </c>
      <c r="F24" s="23">
        <f t="shared" si="1"/>
        <v>183120</v>
      </c>
    </row>
    <row r="25" spans="1:6" x14ac:dyDescent="0.25">
      <c r="A25" s="18">
        <v>121110</v>
      </c>
      <c r="B25" s="49" t="str">
        <f t="shared" si="2"/>
        <v>Leche Geisha</v>
      </c>
      <c r="C25" s="50"/>
      <c r="D25" s="18">
        <v>3</v>
      </c>
      <c r="E25" s="23">
        <f t="shared" si="0"/>
        <v>26340</v>
      </c>
      <c r="F25" s="23">
        <f t="shared" si="1"/>
        <v>79020</v>
      </c>
    </row>
    <row r="26" spans="1:6" x14ac:dyDescent="0.25">
      <c r="A26" s="18">
        <v>121105</v>
      </c>
      <c r="B26" s="49" t="str">
        <f t="shared" si="2"/>
        <v>Leche Catisic</v>
      </c>
      <c r="C26" s="50"/>
      <c r="D26" s="18">
        <v>2</v>
      </c>
      <c r="E26" s="23">
        <f t="shared" si="0"/>
        <v>23550</v>
      </c>
      <c r="F26" s="23">
        <f t="shared" si="1"/>
        <v>47100</v>
      </c>
    </row>
    <row r="27" spans="1:6" x14ac:dyDescent="0.25">
      <c r="A27" s="18">
        <v>121106</v>
      </c>
      <c r="B27" s="49" t="str">
        <f t="shared" si="2"/>
        <v>Leche Catuai</v>
      </c>
      <c r="C27" s="50"/>
      <c r="D27" s="18">
        <v>5</v>
      </c>
      <c r="E27" s="23">
        <f t="shared" si="0"/>
        <v>25980</v>
      </c>
      <c r="F27" s="23">
        <f t="shared" si="1"/>
        <v>129900</v>
      </c>
    </row>
    <row r="28" spans="1:6" x14ac:dyDescent="0.25">
      <c r="A28" s="18">
        <v>121109</v>
      </c>
      <c r="B28" s="49" t="str">
        <f t="shared" si="2"/>
        <v>Leche Fronton</v>
      </c>
      <c r="C28" s="50"/>
      <c r="D28" s="18">
        <v>2</v>
      </c>
      <c r="E28" s="23">
        <f t="shared" si="0"/>
        <v>26250</v>
      </c>
      <c r="F28" s="23">
        <f t="shared" si="1"/>
        <v>52500</v>
      </c>
    </row>
    <row r="29" spans="1:6" x14ac:dyDescent="0.25">
      <c r="A29" s="18"/>
      <c r="B29" s="49" t="e">
        <f t="shared" si="2"/>
        <v>#N/A</v>
      </c>
      <c r="C29" s="50"/>
      <c r="D29" s="18"/>
      <c r="E29" s="23" t="e">
        <f t="shared" si="0"/>
        <v>#N/A</v>
      </c>
      <c r="F29" s="23" t="e">
        <f t="shared" si="1"/>
        <v>#N/A</v>
      </c>
    </row>
    <row r="30" spans="1:6" x14ac:dyDescent="0.25">
      <c r="A30" s="18"/>
      <c r="B30" s="49" t="e">
        <f t="shared" si="2"/>
        <v>#N/A</v>
      </c>
      <c r="C30" s="50"/>
      <c r="D30" s="18"/>
      <c r="E30" s="23" t="e">
        <f t="shared" si="0"/>
        <v>#N/A</v>
      </c>
      <c r="F30" s="23" t="e">
        <f t="shared" si="1"/>
        <v>#N/A</v>
      </c>
    </row>
    <row r="31" spans="1:6" x14ac:dyDescent="0.25">
      <c r="A31" s="18"/>
      <c r="B31" s="49" t="e">
        <f t="shared" si="2"/>
        <v>#N/A</v>
      </c>
      <c r="C31" s="50"/>
      <c r="D31" s="18"/>
      <c r="E31" s="23" t="e">
        <f t="shared" si="0"/>
        <v>#N/A</v>
      </c>
      <c r="F31" s="23" t="e">
        <f t="shared" si="1"/>
        <v>#N/A</v>
      </c>
    </row>
    <row r="32" spans="1:6" x14ac:dyDescent="0.25">
      <c r="A32" s="18"/>
      <c r="B32" s="49" t="e">
        <f t="shared" si="2"/>
        <v>#N/A</v>
      </c>
      <c r="C32" s="50"/>
      <c r="D32" s="18"/>
      <c r="E32" s="23" t="e">
        <f t="shared" si="0"/>
        <v>#N/A</v>
      </c>
      <c r="F32" s="23" t="e">
        <f t="shared" si="1"/>
        <v>#N/A</v>
      </c>
    </row>
    <row r="33" spans="2:6" x14ac:dyDescent="0.25">
      <c r="B33" s="19"/>
      <c r="C33" s="19"/>
      <c r="D33" s="19"/>
      <c r="E33" s="18" t="s">
        <v>62</v>
      </c>
      <c r="F33" s="23">
        <f>SUMIF(F22:F32,"&lt;&gt;#N/A")</f>
        <v>762540</v>
      </c>
    </row>
    <row r="34" spans="2:6" x14ac:dyDescent="0.25">
      <c r="B34" s="19"/>
      <c r="C34" s="25" t="s">
        <v>91</v>
      </c>
      <c r="D34" s="24">
        <v>10</v>
      </c>
      <c r="E34" s="18" t="s">
        <v>63</v>
      </c>
      <c r="F34" s="23">
        <f>((D34*F33)/100)</f>
        <v>76254</v>
      </c>
    </row>
    <row r="35" spans="2:6" x14ac:dyDescent="0.25">
      <c r="B35" s="19"/>
      <c r="C35" s="25" t="s">
        <v>93</v>
      </c>
      <c r="D35">
        <v>102</v>
      </c>
      <c r="E35" s="18" t="s">
        <v>64</v>
      </c>
      <c r="F35" s="23">
        <f>F33-F34</f>
        <v>686286</v>
      </c>
    </row>
    <row r="36" spans="2:6" x14ac:dyDescent="0.25">
      <c r="B36" s="19"/>
      <c r="C36" s="19"/>
      <c r="D36" s="19"/>
      <c r="E36" s="18" t="s">
        <v>65</v>
      </c>
      <c r="F36" s="23">
        <v>25000</v>
      </c>
    </row>
    <row r="37" spans="2:6" x14ac:dyDescent="0.25">
      <c r="B37" s="19"/>
      <c r="C37" s="19"/>
      <c r="D37" s="19"/>
      <c r="E37" s="18" t="s">
        <v>66</v>
      </c>
      <c r="F37" s="23">
        <f>SUM(F35,F36)</f>
        <v>711286</v>
      </c>
    </row>
    <row r="39" spans="2:6" x14ac:dyDescent="0.25">
      <c r="B39" t="s">
        <v>69</v>
      </c>
    </row>
  </sheetData>
  <mergeCells count="18">
    <mergeCell ref="B18:C18"/>
    <mergeCell ref="B32:C32"/>
    <mergeCell ref="B21:C21"/>
    <mergeCell ref="B27:C27"/>
    <mergeCell ref="B28:C28"/>
    <mergeCell ref="B29:C29"/>
    <mergeCell ref="B30:C30"/>
    <mergeCell ref="B31:C31"/>
    <mergeCell ref="B22:C22"/>
    <mergeCell ref="B23:C23"/>
    <mergeCell ref="B24:C24"/>
    <mergeCell ref="B26:C26"/>
    <mergeCell ref="B25:C25"/>
    <mergeCell ref="B14:C14"/>
    <mergeCell ref="A5:B5"/>
    <mergeCell ref="B15:C15"/>
    <mergeCell ref="B16:C16"/>
    <mergeCell ref="B17:C17"/>
  </mergeCells>
  <conditionalFormatting sqref="B15">
    <cfRule type="containsErrors" dxfId="40" priority="6">
      <formula>ISERROR(B15)</formula>
    </cfRule>
  </conditionalFormatting>
  <conditionalFormatting sqref="B16:B18">
    <cfRule type="containsErrors" dxfId="39" priority="5">
      <formula>ISERROR(B16)</formula>
    </cfRule>
  </conditionalFormatting>
  <conditionalFormatting sqref="B28:C32">
    <cfRule type="containsErrors" dxfId="38" priority="4">
      <formula>ISERROR(B28)</formula>
    </cfRule>
  </conditionalFormatting>
  <conditionalFormatting sqref="E29:E32">
    <cfRule type="containsErrors" dxfId="37" priority="3">
      <formula>ISERROR(E29)</formula>
    </cfRule>
  </conditionalFormatting>
  <conditionalFormatting sqref="B22:F32">
    <cfRule type="containsErrors" dxfId="36" priority="2">
      <formula>ISERROR(B22)</formula>
    </cfRule>
  </conditionalFormatting>
  <conditionalFormatting sqref="F33:F37">
    <cfRule type="containsErrors" dxfId="35" priority="1">
      <formula>ISERROR(F33)</formula>
    </cfRule>
  </conditionalFormatting>
  <hyperlinks>
    <hyperlink ref="A8" r:id="rId1" xr:uid="{7B8E569E-2B52-4C91-88B0-1492BD4C2B63}"/>
  </hyperlinks>
  <pageMargins left="0.7" right="0.7" top="0.75" bottom="0.75" header="0.3" footer="0.3"/>
  <pageSetup orientation="portrait" r:id="rId2"/>
  <headerFooter>
    <oddHeader>&amp;L&amp;"-,Bold"LPG S.A.
Dosquebradas, Risaralda
www.lpg.com.co
lpg@lpg.com&amp;C&amp;D&amp;R&amp;G</oddHeader>
  </headerFooter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78EB-6AEF-4D61-BEF5-37F59478A9E5}">
  <sheetPr>
    <pageSetUpPr fitToPage="1"/>
  </sheetPr>
  <dimension ref="A1:G50"/>
  <sheetViews>
    <sheetView topLeftCell="A4" workbookViewId="0">
      <selection activeCell="C37" sqref="C37"/>
    </sheetView>
  </sheetViews>
  <sheetFormatPr defaultRowHeight="15" x14ac:dyDescent="0.25"/>
  <cols>
    <col min="1" max="1" width="12" bestFit="1" customWidth="1"/>
    <col min="2" max="2" width="19" bestFit="1" customWidth="1"/>
    <col min="3" max="3" width="17.85546875" bestFit="1" customWidth="1"/>
    <col min="4" max="4" width="17.5703125" bestFit="1" customWidth="1"/>
    <col min="5" max="5" width="15.28515625" bestFit="1" customWidth="1"/>
    <col min="6" max="6" width="11.7109375" customWidth="1"/>
  </cols>
  <sheetData>
    <row r="1" spans="1:7" ht="18.75" x14ac:dyDescent="0.3">
      <c r="A1" s="57" t="s">
        <v>120</v>
      </c>
      <c r="B1" s="57"/>
      <c r="C1" s="57"/>
      <c r="D1" s="57"/>
      <c r="E1" s="57"/>
      <c r="F1" s="57"/>
      <c r="G1" s="57"/>
    </row>
    <row r="2" spans="1:7" ht="15.95" customHeight="1" x14ac:dyDescent="0.25">
      <c r="A2" s="38"/>
      <c r="B2" s="38"/>
      <c r="C2" s="38"/>
      <c r="D2" s="38"/>
      <c r="E2" s="38"/>
      <c r="F2" s="38"/>
      <c r="G2" s="38"/>
    </row>
    <row r="3" spans="1:7" x14ac:dyDescent="0.25">
      <c r="A3" s="55" t="s">
        <v>121</v>
      </c>
      <c r="B3" s="55"/>
      <c r="C3" s="55"/>
      <c r="D3" s="55"/>
      <c r="E3" s="55"/>
      <c r="F3" s="55"/>
      <c r="G3" s="55"/>
    </row>
    <row r="4" spans="1:7" x14ac:dyDescent="0.25">
      <c r="A4" s="39" t="s">
        <v>95</v>
      </c>
      <c r="B4" s="39" t="s">
        <v>96</v>
      </c>
    </row>
    <row r="5" spans="1:7" x14ac:dyDescent="0.25">
      <c r="A5" s="18" t="s">
        <v>97</v>
      </c>
      <c r="B5" s="28">
        <f>HLOOKUP(A5,Ventas!$C$1:$J$12,12,FALSE)</f>
        <v>13482820</v>
      </c>
    </row>
    <row r="6" spans="1:7" x14ac:dyDescent="0.25">
      <c r="A6" s="18" t="s">
        <v>98</v>
      </c>
      <c r="B6" s="28">
        <f>HLOOKUP(A6,Ventas!$C$1:$J$12,12,FALSE)</f>
        <v>13230820</v>
      </c>
    </row>
    <row r="7" spans="1:7" x14ac:dyDescent="0.25">
      <c r="A7" s="18" t="s">
        <v>99</v>
      </c>
      <c r="B7" s="28">
        <f>HLOOKUP(A7,Ventas!$C$1:$J$12,12,FALSE)</f>
        <v>11808480</v>
      </c>
    </row>
    <row r="8" spans="1:7" x14ac:dyDescent="0.25">
      <c r="A8" s="18" t="s">
        <v>100</v>
      </c>
      <c r="B8" s="28">
        <f>HLOOKUP(A8,Ventas!$C$1:$J$12,12,FALSE)</f>
        <v>11182520</v>
      </c>
    </row>
    <row r="9" spans="1:7" x14ac:dyDescent="0.25">
      <c r="A9" s="18" t="s">
        <v>101</v>
      </c>
      <c r="B9" s="28">
        <f>HLOOKUP(A9,Ventas!$C$1:$J$12,12,FALSE)</f>
        <v>12172220</v>
      </c>
    </row>
    <row r="10" spans="1:7" x14ac:dyDescent="0.25">
      <c r="A10" s="18" t="s">
        <v>102</v>
      </c>
      <c r="B10" s="28">
        <f>HLOOKUP(A10,Ventas!$C$1:$J$12,12,FALSE)</f>
        <v>12154520</v>
      </c>
    </row>
    <row r="11" spans="1:7" x14ac:dyDescent="0.25">
      <c r="A11" s="18" t="s">
        <v>103</v>
      </c>
      <c r="B11" s="28">
        <f>HLOOKUP(A11,Ventas!$C$1:$J$12,12,FALSE)</f>
        <v>13407220</v>
      </c>
    </row>
    <row r="12" spans="1:7" x14ac:dyDescent="0.25">
      <c r="A12" s="18" t="s">
        <v>104</v>
      </c>
      <c r="B12" s="28">
        <f>HLOOKUP(A12,Ventas!$C$1:$J$12,12,FALSE)</f>
        <v>13482820</v>
      </c>
    </row>
    <row r="13" spans="1:7" x14ac:dyDescent="0.25">
      <c r="A13" s="27" t="s">
        <v>105</v>
      </c>
      <c r="B13" s="28">
        <f>SUM(B5:B12)</f>
        <v>100921420</v>
      </c>
    </row>
    <row r="14" spans="1:7" x14ac:dyDescent="0.25">
      <c r="A14" s="33" t="s">
        <v>112</v>
      </c>
      <c r="B14" s="31">
        <f>AVERAGE(B5:B12)</f>
        <v>12615177.5</v>
      </c>
    </row>
    <row r="15" spans="1:7" x14ac:dyDescent="0.25">
      <c r="A15" s="33" t="s">
        <v>113</v>
      </c>
      <c r="B15" s="31">
        <f>MAX(B5:B12)</f>
        <v>13482820</v>
      </c>
    </row>
    <row r="16" spans="1:7" x14ac:dyDescent="0.25">
      <c r="A16" s="33" t="s">
        <v>114</v>
      </c>
      <c r="B16" s="31">
        <f>MIN(B5:B12)</f>
        <v>11182520</v>
      </c>
    </row>
    <row r="17" spans="1:7" x14ac:dyDescent="0.25">
      <c r="A17" s="32"/>
    </row>
    <row r="18" spans="1:7" x14ac:dyDescent="0.25">
      <c r="A18" s="56" t="s">
        <v>115</v>
      </c>
      <c r="B18" s="56"/>
      <c r="C18" s="56"/>
      <c r="D18" s="56"/>
      <c r="E18" s="37"/>
      <c r="F18" s="37"/>
    </row>
    <row r="19" spans="1:7" x14ac:dyDescent="0.25">
      <c r="A19" s="34"/>
      <c r="B19" s="34"/>
      <c r="C19" s="34"/>
      <c r="D19" s="34"/>
      <c r="E19" s="34"/>
      <c r="F19" s="34"/>
    </row>
    <row r="20" spans="1:7" x14ac:dyDescent="0.25">
      <c r="A20" s="55" t="s">
        <v>119</v>
      </c>
      <c r="B20" s="55"/>
      <c r="C20" s="55"/>
      <c r="D20" s="55"/>
      <c r="E20" s="55"/>
      <c r="F20" s="55"/>
      <c r="G20" s="55"/>
    </row>
    <row r="22" spans="1:7" x14ac:dyDescent="0.25">
      <c r="A22" s="18" t="s">
        <v>35</v>
      </c>
      <c r="B22" s="18" t="s">
        <v>106</v>
      </c>
      <c r="C22" s="18" t="s">
        <v>109</v>
      </c>
      <c r="D22" s="19"/>
      <c r="E22" s="19"/>
    </row>
    <row r="23" spans="1:7" ht="15.75" customHeight="1" x14ac:dyDescent="0.25">
      <c r="A23" s="18">
        <v>101</v>
      </c>
      <c r="B23" s="18" t="str">
        <f>CONCATENATE(VLOOKUP(A23,Vendedores!$A$7:$E$17,3,FALSE), " ", VLOOKUP(A23,Vendedores!$A$7:$E$17,4,FALSE))</f>
        <v>lucas gomez</v>
      </c>
      <c r="C23" s="28">
        <f>VLOOKUP(A23,Vendedores!A7:E17,5,FALSE)</f>
        <v>8568000</v>
      </c>
      <c r="D23" s="19"/>
      <c r="E23" s="19"/>
    </row>
    <row r="24" spans="1:7" x14ac:dyDescent="0.25">
      <c r="A24" s="18">
        <v>102</v>
      </c>
      <c r="B24" s="18" t="str">
        <f>CONCATENATE(VLOOKUP(A24,Vendedores!$A$7:$E$17,3,FALSE), " ", VLOOKUP(A24,Vendedores!$A$7:$E$17,4,FALSE))</f>
        <v>andrea cortes</v>
      </c>
      <c r="C24" s="28">
        <f>VLOOKUP(A24,Vendedores!A8:E18,5,FALSE)</f>
        <v>5047000</v>
      </c>
      <c r="D24" s="19"/>
      <c r="E24" s="19"/>
    </row>
    <row r="25" spans="1:7" x14ac:dyDescent="0.25">
      <c r="A25" s="18">
        <v>103</v>
      </c>
      <c r="B25" s="18" t="str">
        <f>CONCATENATE(VLOOKUP(A25,Vendedores!$A$7:$E$17,3,FALSE), " ", VLOOKUP(A25,Vendedores!$A$7:$E$17,4,FALSE))</f>
        <v>andres grajales</v>
      </c>
      <c r="C25" s="28">
        <f>VLOOKUP(A25,Vendedores!A9:E19,5,FALSE)</f>
        <v>3378200</v>
      </c>
      <c r="D25" s="19"/>
      <c r="E25" s="19"/>
    </row>
    <row r="26" spans="1:7" x14ac:dyDescent="0.25">
      <c r="A26" s="18">
        <v>104</v>
      </c>
      <c r="B26" s="18" t="str">
        <f>CONCATENATE(VLOOKUP(A26,Vendedores!$A$7:$E$17,3,FALSE), " ", VLOOKUP(A26,Vendedores!$A$7:$E$17,4,FALSE))</f>
        <v>carlos carrillo</v>
      </c>
      <c r="C26" s="28">
        <f>VLOOKUP(A26,Vendedores!A10:E20,5,FALSE)</f>
        <v>22099000</v>
      </c>
      <c r="D26" s="19"/>
      <c r="E26" s="19"/>
    </row>
    <row r="27" spans="1:7" x14ac:dyDescent="0.25">
      <c r="A27" s="18">
        <v>105</v>
      </c>
      <c r="B27" s="18" t="str">
        <f>CONCATENATE(VLOOKUP(A27,Vendedores!$A$7:$E$17,3,FALSE), " ", VLOOKUP(A27,Vendedores!$A$7:$E$17,4,FALSE))</f>
        <v>carla ortiz</v>
      </c>
      <c r="C27" s="28">
        <f>VLOOKUP(A27,Vendedores!A11:E21,5,FALSE)</f>
        <v>8854800</v>
      </c>
      <c r="D27" s="19"/>
      <c r="E27" s="19"/>
    </row>
    <row r="28" spans="1:7" x14ac:dyDescent="0.25">
      <c r="A28" s="18">
        <v>106</v>
      </c>
      <c r="B28" s="18" t="str">
        <f>CONCATENATE(VLOOKUP(A28,Vendedores!$A$7:$E$17,3,FALSE), " ", VLOOKUP(A28,Vendedores!$A$7:$E$17,4,FALSE))</f>
        <v>felipe barazarte</v>
      </c>
      <c r="C28" s="28">
        <f>VLOOKUP(A28,Vendedores!A12:E22,5,FALSE)</f>
        <v>15224280</v>
      </c>
      <c r="D28" s="19"/>
      <c r="E28" s="19"/>
    </row>
    <row r="29" spans="1:7" x14ac:dyDescent="0.25">
      <c r="A29" s="18">
        <v>107</v>
      </c>
      <c r="B29" s="18" t="str">
        <f>CONCATENATE(VLOOKUP(A29,Vendedores!$A$7:$E$17,3,FALSE), " ", VLOOKUP(A29,Vendedores!$A$7:$E$17,4,FALSE))</f>
        <v>alejandra berrocal</v>
      </c>
      <c r="C29" s="28">
        <f>VLOOKUP(A29,Vendedores!A13:E23,5,FALSE)</f>
        <v>14286360</v>
      </c>
      <c r="D29" s="19"/>
      <c r="E29" s="19"/>
    </row>
    <row r="30" spans="1:7" x14ac:dyDescent="0.25">
      <c r="A30" s="18">
        <v>108</v>
      </c>
      <c r="B30" s="18" t="str">
        <f>CONCATENATE(VLOOKUP(A30,Vendedores!$A$7:$E$17,3,FALSE), " ", VLOOKUP(A30,Vendedores!$A$7:$E$17,4,FALSE))</f>
        <v>alberta cote</v>
      </c>
      <c r="C30" s="28">
        <f>VLOOKUP(A30,Vendedores!A14:E24,5,FALSE)</f>
        <v>12870720</v>
      </c>
      <c r="D30" s="19"/>
      <c r="E30" s="19"/>
    </row>
    <row r="31" spans="1:7" x14ac:dyDescent="0.25">
      <c r="A31" s="18">
        <v>109</v>
      </c>
      <c r="B31" s="18" t="str">
        <f>CONCATENATE(VLOOKUP(A31,Vendedores!$A$7:$E$17,3,FALSE), " ", VLOOKUP(A31,Vendedores!$A$7:$E$17,4,FALSE))</f>
        <v>alberto fonseca</v>
      </c>
      <c r="C31" s="28">
        <f>VLOOKUP(A31,Vendedores!A15:E25,5,FALSE)</f>
        <v>6405000</v>
      </c>
      <c r="D31" s="19"/>
      <c r="E31" s="19"/>
    </row>
    <row r="32" spans="1:7" x14ac:dyDescent="0.25">
      <c r="A32" s="18">
        <v>110</v>
      </c>
      <c r="B32" s="18" t="str">
        <f>CONCATENATE(VLOOKUP(A32,Vendedores!$A$7:$E$17,3,FALSE), " ", VLOOKUP(A32,Vendedores!$A$7:$E$17,4,FALSE))</f>
        <v>juana valle</v>
      </c>
      <c r="C32" s="28">
        <f>VLOOKUP(A32,Vendedores!A16:E26,5,FALSE)</f>
        <v>4188060</v>
      </c>
      <c r="D32" s="19"/>
      <c r="E32" s="19"/>
    </row>
    <row r="33" spans="1:7" x14ac:dyDescent="0.25">
      <c r="A33" s="19"/>
      <c r="B33" s="19"/>
      <c r="C33" s="35"/>
      <c r="D33" s="19"/>
      <c r="E33" s="19"/>
    </row>
    <row r="34" spans="1:7" x14ac:dyDescent="0.25">
      <c r="A34" s="53" t="s">
        <v>107</v>
      </c>
      <c r="B34" s="53"/>
      <c r="C34" s="53"/>
      <c r="D34" s="31" t="str">
        <f>_xlfn.XLOOKUP(MAX(C23:C32),C23:C32,B23:B32," ",0,-1)</f>
        <v>carlos carrillo</v>
      </c>
    </row>
    <row r="36" spans="1:7" x14ac:dyDescent="0.25">
      <c r="A36" s="55" t="s">
        <v>118</v>
      </c>
      <c r="B36" s="55"/>
      <c r="C36" s="55"/>
      <c r="D36" s="55"/>
      <c r="E36" s="55"/>
      <c r="F36" s="55"/>
      <c r="G36" s="55"/>
    </row>
    <row r="38" spans="1:7" ht="15.75" x14ac:dyDescent="0.25">
      <c r="A38" s="29" t="s">
        <v>35</v>
      </c>
      <c r="B38" s="29" t="s">
        <v>36</v>
      </c>
      <c r="C38" s="29" t="s">
        <v>116</v>
      </c>
    </row>
    <row r="39" spans="1:7" x14ac:dyDescent="0.25">
      <c r="A39" s="18">
        <v>121101</v>
      </c>
      <c r="B39" s="18" t="str">
        <f>VLOOKUP(A39,Producto!A7:D17,2,FALSE)</f>
        <v>Leche Anacafe14</v>
      </c>
      <c r="C39" s="28">
        <f>VLOOKUP(B39,Ventas!$A$1:$K$11,11,FALSE)</f>
        <v>8568000</v>
      </c>
    </row>
    <row r="40" spans="1:7" x14ac:dyDescent="0.25">
      <c r="A40" s="18">
        <v>121102</v>
      </c>
      <c r="B40" s="18" t="str">
        <f>VLOOKUP(A40,Producto!A8:D18,2,FALSE)</f>
        <v>Leche Batian</v>
      </c>
      <c r="C40" s="28">
        <f>VLOOKUP(B40,Ventas!$A$1:$K$11,11,FALSE)</f>
        <v>5047000</v>
      </c>
    </row>
    <row r="41" spans="1:7" x14ac:dyDescent="0.25">
      <c r="A41" s="18">
        <v>121103</v>
      </c>
      <c r="B41" s="18" t="str">
        <f>VLOOKUP(A41,Producto!A9:D19,2,FALSE)</f>
        <v>Leche Borbón</v>
      </c>
      <c r="C41" s="28">
        <f>VLOOKUP(B41,Ventas!$A$1:$K$11,11,FALSE)</f>
        <v>3378200</v>
      </c>
    </row>
    <row r="42" spans="1:7" x14ac:dyDescent="0.25">
      <c r="A42" s="18">
        <v>121104</v>
      </c>
      <c r="B42" s="18" t="str">
        <f>VLOOKUP(A42,Producto!A10:D20,2,FALSE)</f>
        <v>Leche Casiopea</v>
      </c>
      <c r="C42" s="28">
        <f>VLOOKUP(B42,Ventas!$A$1:$K$11,11,FALSE)</f>
        <v>22099000</v>
      </c>
    </row>
    <row r="43" spans="1:7" x14ac:dyDescent="0.25">
      <c r="A43" s="18">
        <v>121105</v>
      </c>
      <c r="B43" s="18" t="str">
        <f>VLOOKUP(A43,Producto!A11:D21,2,FALSE)</f>
        <v>Leche Catisic</v>
      </c>
      <c r="C43" s="28">
        <f>VLOOKUP(B43,Ventas!$A$1:$K$11,11,FALSE)</f>
        <v>8854800</v>
      </c>
    </row>
    <row r="44" spans="1:7" x14ac:dyDescent="0.25">
      <c r="A44" s="18">
        <v>121106</v>
      </c>
      <c r="B44" s="18" t="str">
        <f>VLOOKUP(A44,Producto!A12:D22,2,FALSE)</f>
        <v>Leche Catuai</v>
      </c>
      <c r="C44" s="28">
        <f>VLOOKUP(B44,Ventas!$A$1:$K$11,11,FALSE)</f>
        <v>15224280</v>
      </c>
    </row>
    <row r="45" spans="1:7" x14ac:dyDescent="0.25">
      <c r="A45" s="18">
        <v>121107</v>
      </c>
      <c r="B45" s="18" t="str">
        <f>VLOOKUP(A45,Producto!A13:D23,2,FALSE)</f>
        <v>Leche Caturra</v>
      </c>
      <c r="C45" s="28">
        <f>VLOOKUP(B45,Ventas!$A$1:$K$11,11,FALSE)</f>
        <v>14286360</v>
      </c>
    </row>
    <row r="46" spans="1:7" x14ac:dyDescent="0.25">
      <c r="A46" s="18">
        <v>121108</v>
      </c>
      <c r="B46" s="18" t="str">
        <f>VLOOKUP(A46,Producto!A14:D24,2,FALSE)</f>
        <v>Leche Evaluna</v>
      </c>
      <c r="C46" s="28">
        <f>VLOOKUP(B46,Ventas!$A$1:$K$11,11,FALSE)</f>
        <v>12870720</v>
      </c>
    </row>
    <row r="47" spans="1:7" x14ac:dyDescent="0.25">
      <c r="A47" s="18">
        <v>121109</v>
      </c>
      <c r="B47" s="18" t="str">
        <f>VLOOKUP(A47,Producto!A15:D25,2,FALSE)</f>
        <v>Leche Fronton</v>
      </c>
      <c r="C47" s="28">
        <f>VLOOKUP(B47,Ventas!$A$1:$K$11,11,FALSE)</f>
        <v>6405000</v>
      </c>
    </row>
    <row r="48" spans="1:7" x14ac:dyDescent="0.25">
      <c r="A48" s="18">
        <v>121110</v>
      </c>
      <c r="B48" s="18" t="str">
        <f>VLOOKUP(A48,Producto!A16:D26,2,FALSE)</f>
        <v>Leche Geisha</v>
      </c>
      <c r="C48" s="28">
        <f>VLOOKUP(B48,Ventas!$A$1:$K$11,11,FALSE)</f>
        <v>4188060</v>
      </c>
    </row>
    <row r="50" spans="1:3" x14ac:dyDescent="0.25">
      <c r="A50" s="54" t="s">
        <v>117</v>
      </c>
      <c r="B50" s="54"/>
      <c r="C50" s="18" t="str">
        <f>_xlfn.XLOOKUP(MAX(C39:C48),C39:C48,B39:B48," ",0,1)</f>
        <v>Leche Casiopea</v>
      </c>
    </row>
  </sheetData>
  <sortState xmlns:xlrd2="http://schemas.microsoft.com/office/spreadsheetml/2017/richdata2" ref="A39:C48">
    <sortCondition ref="A39:A48"/>
  </sortState>
  <mergeCells count="7">
    <mergeCell ref="A1:G1"/>
    <mergeCell ref="A3:G3"/>
    <mergeCell ref="A34:C34"/>
    <mergeCell ref="A50:B50"/>
    <mergeCell ref="A36:G36"/>
    <mergeCell ref="A20:G20"/>
    <mergeCell ref="A18:D18"/>
  </mergeCells>
  <phoneticPr fontId="17" type="noConversion"/>
  <conditionalFormatting sqref="B5:B12">
    <cfRule type="iconSet" priority="4">
      <iconSet>
        <cfvo type="percent" val="0"/>
        <cfvo type="num" val="12000000"/>
        <cfvo type="num" val="12650000"/>
      </iconSet>
    </cfRule>
  </conditionalFormatting>
  <conditionalFormatting sqref="C23:C33">
    <cfRule type="iconSet" priority="3">
      <iconSet>
        <cfvo type="percent" val="0"/>
        <cfvo type="num" val="5000000"/>
        <cfvo type="num" val="10000000"/>
      </iconSet>
    </cfRule>
  </conditionalFormatting>
  <conditionalFormatting sqref="C39:C48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25" right="0.25" top="0.75" bottom="0.75" header="0.3" footer="0.3"/>
  <pageSetup scale="92" orientation="portrait" r:id="rId1"/>
  <rowBreaks count="2" manualBreakCount="2">
    <brk id="16" max="16383" man="1"/>
    <brk id="37" max="16383" man="1"/>
  </rowBreaks>
  <colBreaks count="1" manualBreakCount="1">
    <brk id="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Presentación</vt:lpstr>
      <vt:lpstr>Clientes</vt:lpstr>
      <vt:lpstr>Producto</vt:lpstr>
      <vt:lpstr>Vendedores</vt:lpstr>
      <vt:lpstr>Tabla_dinamica</vt:lpstr>
      <vt:lpstr>Ventas</vt:lpstr>
      <vt:lpstr>Formato_factura</vt:lpstr>
      <vt:lpstr>Informe</vt:lpstr>
      <vt:lpstr>clientes</vt:lpstr>
      <vt:lpstr>productos</vt:lpstr>
      <vt:lpstr>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Cortes Gomez</dc:creator>
  <cp:lastModifiedBy>Felipe Cortes Gomez</cp:lastModifiedBy>
  <cp:lastPrinted>2022-04-12T15:08:20Z</cp:lastPrinted>
  <dcterms:created xsi:type="dcterms:W3CDTF">2022-04-06T18:25:16Z</dcterms:created>
  <dcterms:modified xsi:type="dcterms:W3CDTF">2022-04-12T15:30:13Z</dcterms:modified>
</cp:coreProperties>
</file>