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elipe\Downloads\"/>
    </mc:Choice>
  </mc:AlternateContent>
  <xr:revisionPtr revIDLastSave="0" documentId="13_ncr:1_{F5394DD6-8D86-4802-960C-0D24A370A03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  <sheet name="Despesas" sheetId="2" r:id="rId2"/>
    <sheet name="Compras Mercadorias" sheetId="6" r:id="rId3"/>
    <sheet name="Controle de Estoque" sheetId="8" r:id="rId4"/>
    <sheet name="Investimentos" sheetId="7" r:id="rId5"/>
    <sheet name="Resultados" sheetId="4" r:id="rId6"/>
    <sheet name="Vendas" sheetId="3" r:id="rId7"/>
    <sheet name="Semana 1" sheetId="9" r:id="rId8"/>
    <sheet name="Analise Semana 1" sheetId="16" r:id="rId9"/>
    <sheet name="Semana 2" sheetId="11" r:id="rId10"/>
    <sheet name="Analise Semana 2" sheetId="17" r:id="rId11"/>
    <sheet name="Semana 3" sheetId="12" r:id="rId12"/>
    <sheet name="Semana 4" sheetId="13" r:id="rId13"/>
    <sheet name="Semana 5" sheetId="14" r:id="rId14"/>
    <sheet name="cálculos" sheetId="5" state="hidden" r:id="rId15"/>
  </sheets>
  <definedNames>
    <definedName name="_xlnm._FilterDatabase" localSheetId="14" hidden="1">cálculos!$J$4:$M$4</definedName>
    <definedName name="_xlnm.Print_Area" localSheetId="5">Resultados!$C$4:$E$25</definedName>
  </definedNames>
  <calcPr calcId="191029"/>
  <pivotCaches>
    <pivotCache cacheId="8" r:id="rId16"/>
    <pivotCache cacheId="19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1" l="1"/>
  <c r="G5" i="11"/>
  <c r="H5" i="11" s="1"/>
  <c r="K5" i="11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G5" i="14"/>
  <c r="H5" i="14" s="1"/>
  <c r="L5" i="14" s="1"/>
  <c r="K5" i="14"/>
  <c r="G6" i="14"/>
  <c r="H6" i="14" s="1"/>
  <c r="L6" i="14" s="1"/>
  <c r="K6" i="14"/>
  <c r="G7" i="14"/>
  <c r="H7" i="14" s="1"/>
  <c r="L7" i="14" s="1"/>
  <c r="K7" i="14"/>
  <c r="G8" i="14"/>
  <c r="H8" i="14" s="1"/>
  <c r="L8" i="14" s="1"/>
  <c r="K8" i="14"/>
  <c r="G9" i="14"/>
  <c r="H9" i="14" s="1"/>
  <c r="L9" i="14" s="1"/>
  <c r="K9" i="14"/>
  <c r="G10" i="14"/>
  <c r="H10" i="14"/>
  <c r="L10" i="14" s="1"/>
  <c r="K10" i="14"/>
  <c r="G11" i="14"/>
  <c r="H11" i="14" s="1"/>
  <c r="L11" i="14" s="1"/>
  <c r="K11" i="14"/>
  <c r="G12" i="14"/>
  <c r="H12" i="14" s="1"/>
  <c r="L12" i="14" s="1"/>
  <c r="K12" i="14"/>
  <c r="E13" i="14"/>
  <c r="G13" i="14"/>
  <c r="H13" i="14" s="1"/>
  <c r="L13" i="14" s="1"/>
  <c r="K13" i="14"/>
  <c r="E14" i="14"/>
  <c r="G14" i="14"/>
  <c r="H14" i="14"/>
  <c r="L14" i="14" s="1"/>
  <c r="K14" i="14"/>
  <c r="E15" i="14"/>
  <c r="G15" i="14"/>
  <c r="H15" i="14" s="1"/>
  <c r="L15" i="14" s="1"/>
  <c r="K15" i="14"/>
  <c r="E16" i="14"/>
  <c r="G16" i="14"/>
  <c r="H16" i="14" s="1"/>
  <c r="L16" i="14" s="1"/>
  <c r="K16" i="14"/>
  <c r="E5" i="9"/>
  <c r="G5" i="9"/>
  <c r="H5" i="9" s="1"/>
  <c r="K5" i="9"/>
  <c r="M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E17" i="4"/>
  <c r="E13" i="4"/>
  <c r="D45" i="3"/>
  <c r="M20" i="13" a="1"/>
  <c r="M20" i="13" s="1"/>
  <c r="M20" i="12" a="1"/>
  <c r="M20" i="12" s="1"/>
  <c r="M21" i="11" a="1"/>
  <c r="M21" i="11" s="1"/>
  <c r="M34" i="9" a="1"/>
  <c r="M34" i="9" s="1"/>
  <c r="D12" i="3"/>
  <c r="D11" i="3"/>
  <c r="C17" i="3"/>
  <c r="E6" i="11"/>
  <c r="E7" i="11"/>
  <c r="E8" i="11"/>
  <c r="E9" i="11"/>
  <c r="E10" i="11"/>
  <c r="E11" i="11"/>
  <c r="E12" i="11"/>
  <c r="E13" i="11"/>
  <c r="E14" i="11"/>
  <c r="E15" i="11"/>
  <c r="E16" i="11"/>
  <c r="E17" i="11"/>
  <c r="M7" i="9"/>
  <c r="M8" i="9"/>
  <c r="M12" i="9"/>
  <c r="M14" i="9"/>
  <c r="M15" i="9"/>
  <c r="M16" i="9"/>
  <c r="M20" i="9"/>
  <c r="M21" i="9"/>
  <c r="M24" i="9"/>
  <c r="M28" i="9"/>
  <c r="M29" i="9"/>
  <c r="M6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G18" i="9"/>
  <c r="G19" i="9"/>
  <c r="H19" i="9" s="1"/>
  <c r="G20" i="9"/>
  <c r="G21" i="9"/>
  <c r="H21" i="9" s="1"/>
  <c r="G22" i="9"/>
  <c r="H22" i="9" s="1"/>
  <c r="G23" i="9"/>
  <c r="H23" i="9" s="1"/>
  <c r="G24" i="9"/>
  <c r="H24" i="9" s="1"/>
  <c r="G25" i="9"/>
  <c r="H25" i="9" s="1"/>
  <c r="G26" i="9"/>
  <c r="H26" i="9" s="1"/>
  <c r="G27" i="9"/>
  <c r="H27" i="9" s="1"/>
  <c r="G28" i="9"/>
  <c r="H28" i="9" s="1"/>
  <c r="G29" i="9"/>
  <c r="H29" i="9" s="1"/>
  <c r="G30" i="9"/>
  <c r="H30" i="9" s="1"/>
  <c r="H18" i="9"/>
  <c r="H20" i="9"/>
  <c r="M16" i="13"/>
  <c r="K16" i="13"/>
  <c r="G16" i="13"/>
  <c r="H16" i="13" s="1"/>
  <c r="L16" i="13" s="1"/>
  <c r="E16" i="13"/>
  <c r="M15" i="13"/>
  <c r="K15" i="13"/>
  <c r="H15" i="13"/>
  <c r="L15" i="13" s="1"/>
  <c r="G15" i="13"/>
  <c r="E15" i="13"/>
  <c r="M14" i="13"/>
  <c r="K14" i="13"/>
  <c r="G14" i="13"/>
  <c r="H14" i="13" s="1"/>
  <c r="L14" i="13" s="1"/>
  <c r="E14" i="13"/>
  <c r="M13" i="13"/>
  <c r="K13" i="13"/>
  <c r="H13" i="13"/>
  <c r="L13" i="13" s="1"/>
  <c r="G13" i="13"/>
  <c r="E13" i="13"/>
  <c r="M12" i="13"/>
  <c r="K12" i="13"/>
  <c r="G12" i="13"/>
  <c r="H12" i="13" s="1"/>
  <c r="L12" i="13" s="1"/>
  <c r="E12" i="13"/>
  <c r="M11" i="13"/>
  <c r="K11" i="13"/>
  <c r="H11" i="13"/>
  <c r="L11" i="13" s="1"/>
  <c r="G11" i="13"/>
  <c r="E11" i="13"/>
  <c r="M10" i="13"/>
  <c r="K10" i="13"/>
  <c r="G10" i="13"/>
  <c r="H10" i="13" s="1"/>
  <c r="L10" i="13" s="1"/>
  <c r="E10" i="13"/>
  <c r="M9" i="13"/>
  <c r="K9" i="13"/>
  <c r="G9" i="13"/>
  <c r="H9" i="13" s="1"/>
  <c r="L9" i="13" s="1"/>
  <c r="M8" i="13"/>
  <c r="K8" i="13"/>
  <c r="G8" i="13"/>
  <c r="H8" i="13" s="1"/>
  <c r="K7" i="13"/>
  <c r="G7" i="13"/>
  <c r="H7" i="13" s="1"/>
  <c r="M6" i="13"/>
  <c r="K6" i="13"/>
  <c r="G6" i="13"/>
  <c r="H6" i="13" s="1"/>
  <c r="K5" i="13"/>
  <c r="M19" i="13" s="1"/>
  <c r="G5" i="13"/>
  <c r="H5" i="13" s="1"/>
  <c r="M16" i="12"/>
  <c r="K16" i="12"/>
  <c r="G16" i="12"/>
  <c r="H16" i="12" s="1"/>
  <c r="L16" i="12" s="1"/>
  <c r="E16" i="12"/>
  <c r="M15" i="12"/>
  <c r="K15" i="12"/>
  <c r="H15" i="12"/>
  <c r="L15" i="12" s="1"/>
  <c r="G15" i="12"/>
  <c r="E15" i="12"/>
  <c r="M14" i="12"/>
  <c r="K14" i="12"/>
  <c r="G14" i="12"/>
  <c r="H14" i="12" s="1"/>
  <c r="L14" i="12" s="1"/>
  <c r="E14" i="12"/>
  <c r="M13" i="12"/>
  <c r="K13" i="12"/>
  <c r="H13" i="12"/>
  <c r="L13" i="12" s="1"/>
  <c r="G13" i="12"/>
  <c r="E13" i="12"/>
  <c r="M12" i="12"/>
  <c r="K12" i="12"/>
  <c r="G12" i="12"/>
  <c r="H12" i="12" s="1"/>
  <c r="L12" i="12" s="1"/>
  <c r="E12" i="12"/>
  <c r="M11" i="12"/>
  <c r="K11" i="12"/>
  <c r="H11" i="12"/>
  <c r="L11" i="12" s="1"/>
  <c r="G11" i="12"/>
  <c r="E11" i="12"/>
  <c r="M10" i="12"/>
  <c r="K10" i="12"/>
  <c r="G10" i="12"/>
  <c r="H10" i="12" s="1"/>
  <c r="L10" i="12" s="1"/>
  <c r="E10" i="12"/>
  <c r="M9" i="12"/>
  <c r="K9" i="12"/>
  <c r="G9" i="12"/>
  <c r="H9" i="12" s="1"/>
  <c r="L9" i="12" s="1"/>
  <c r="M8" i="12"/>
  <c r="K8" i="12"/>
  <c r="G8" i="12"/>
  <c r="H8" i="12" s="1"/>
  <c r="L8" i="12" s="1"/>
  <c r="K7" i="12"/>
  <c r="H7" i="12"/>
  <c r="G7" i="12"/>
  <c r="M6" i="12"/>
  <c r="K6" i="12"/>
  <c r="G6" i="12"/>
  <c r="H6" i="12" s="1"/>
  <c r="L6" i="12" s="1"/>
  <c r="M7" i="12" s="1"/>
  <c r="K5" i="12"/>
  <c r="G5" i="12"/>
  <c r="H5" i="12" s="1"/>
  <c r="L5" i="12" s="1"/>
  <c r="M17" i="11"/>
  <c r="K17" i="11"/>
  <c r="G17" i="11"/>
  <c r="H17" i="11" s="1"/>
  <c r="M16" i="11"/>
  <c r="K16" i="11"/>
  <c r="H16" i="11"/>
  <c r="L16" i="11" s="1"/>
  <c r="G16" i="11"/>
  <c r="M15" i="11"/>
  <c r="K15" i="11"/>
  <c r="G15" i="11"/>
  <c r="H15" i="11" s="1"/>
  <c r="L15" i="11" s="1"/>
  <c r="M14" i="11"/>
  <c r="K14" i="11"/>
  <c r="G14" i="11"/>
  <c r="H14" i="11" s="1"/>
  <c r="L14" i="11" s="1"/>
  <c r="M13" i="11"/>
  <c r="K13" i="11"/>
  <c r="G13" i="11"/>
  <c r="H13" i="11" s="1"/>
  <c r="L13" i="11" s="1"/>
  <c r="M12" i="11"/>
  <c r="K12" i="11"/>
  <c r="H12" i="11"/>
  <c r="L12" i="11" s="1"/>
  <c r="G12" i="11"/>
  <c r="M11" i="11"/>
  <c r="K11" i="11"/>
  <c r="G11" i="11"/>
  <c r="H11" i="11" s="1"/>
  <c r="M10" i="11"/>
  <c r="K10" i="11"/>
  <c r="G10" i="11"/>
  <c r="H10" i="11" s="1"/>
  <c r="M9" i="11"/>
  <c r="K9" i="11"/>
  <c r="G9" i="11"/>
  <c r="H9" i="11" s="1"/>
  <c r="K8" i="11"/>
  <c r="G8" i="11"/>
  <c r="H8" i="11" s="1"/>
  <c r="M7" i="11"/>
  <c r="K7" i="11"/>
  <c r="G7" i="11"/>
  <c r="H7" i="11" s="1"/>
  <c r="K6" i="11"/>
  <c r="G6" i="11"/>
  <c r="H6" i="11" s="1"/>
  <c r="E6" i="9"/>
  <c r="G6" i="9"/>
  <c r="H6" i="9" s="1"/>
  <c r="G7" i="9"/>
  <c r="H7" i="9" s="1"/>
  <c r="G8" i="9"/>
  <c r="H8" i="9" s="1"/>
  <c r="G9" i="9"/>
  <c r="H9" i="9" s="1"/>
  <c r="G10" i="9"/>
  <c r="H10" i="9" s="1"/>
  <c r="G11" i="9"/>
  <c r="H11" i="9" s="1"/>
  <c r="G12" i="9"/>
  <c r="H12" i="9" s="1"/>
  <c r="G13" i="9"/>
  <c r="H13" i="9" s="1"/>
  <c r="G14" i="9"/>
  <c r="H14" i="9" s="1"/>
  <c r="G15" i="9"/>
  <c r="H15" i="9" s="1"/>
  <c r="L15" i="9" s="1"/>
  <c r="G16" i="9"/>
  <c r="H16" i="9" s="1"/>
  <c r="G17" i="9"/>
  <c r="H17" i="9" s="1"/>
  <c r="E7" i="9"/>
  <c r="E8" i="9"/>
  <c r="E9" i="9"/>
  <c r="E10" i="9"/>
  <c r="E11" i="9"/>
  <c r="E12" i="9"/>
  <c r="E13" i="9"/>
  <c r="E14" i="9"/>
  <c r="E15" i="9"/>
  <c r="E16" i="9"/>
  <c r="E17" i="9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E5" i="8"/>
  <c r="G5" i="8" s="1"/>
  <c r="H5" i="8" s="1"/>
  <c r="E6" i="8"/>
  <c r="G6" i="8" s="1"/>
  <c r="H6" i="8" s="1"/>
  <c r="E7" i="8"/>
  <c r="G7" i="8" s="1"/>
  <c r="H7" i="8" s="1"/>
  <c r="E8" i="8"/>
  <c r="E9" i="8"/>
  <c r="E10" i="8"/>
  <c r="E11" i="8"/>
  <c r="E12" i="8"/>
  <c r="E13" i="8"/>
  <c r="G13" i="8" s="1"/>
  <c r="H13" i="8" s="1"/>
  <c r="E14" i="8"/>
  <c r="E15" i="8"/>
  <c r="E16" i="8"/>
  <c r="E17" i="8"/>
  <c r="G17" i="8" s="1"/>
  <c r="H17" i="8" s="1"/>
  <c r="E18" i="8"/>
  <c r="G18" i="8" s="1"/>
  <c r="H18" i="8" s="1"/>
  <c r="E19" i="8"/>
  <c r="G19" i="8" s="1"/>
  <c r="H19" i="8" s="1"/>
  <c r="E20" i="8"/>
  <c r="E21" i="8"/>
  <c r="E22" i="8"/>
  <c r="E23" i="8"/>
  <c r="E24" i="8"/>
  <c r="E25" i="8"/>
  <c r="E26" i="8"/>
  <c r="E27" i="8"/>
  <c r="E28" i="8"/>
  <c r="L5" i="11" l="1"/>
  <c r="M5" i="11" s="1"/>
  <c r="G28" i="8"/>
  <c r="H28" i="8" s="1"/>
  <c r="G16" i="8"/>
  <c r="H16" i="8" s="1"/>
  <c r="G24" i="8"/>
  <c r="H24" i="8" s="1"/>
  <c r="G11" i="8"/>
  <c r="H11" i="8" s="1"/>
  <c r="G25" i="8"/>
  <c r="H25" i="8" s="1"/>
  <c r="G12" i="8"/>
  <c r="H12" i="8" s="1"/>
  <c r="G23" i="8"/>
  <c r="H23" i="8" s="1"/>
  <c r="M20" i="11"/>
  <c r="L11" i="11"/>
  <c r="G22" i="8"/>
  <c r="H22" i="8" s="1"/>
  <c r="G10" i="8"/>
  <c r="H10" i="8" s="1"/>
  <c r="L10" i="11"/>
  <c r="L17" i="11"/>
  <c r="G9" i="8"/>
  <c r="H9" i="8" s="1"/>
  <c r="G20" i="8"/>
  <c r="H20" i="8" s="1"/>
  <c r="G8" i="8"/>
  <c r="H8" i="8" s="1"/>
  <c r="G21" i="8"/>
  <c r="H21" i="8" s="1"/>
  <c r="G15" i="8"/>
  <c r="H15" i="8" s="1"/>
  <c r="G26" i="8"/>
  <c r="H26" i="8" s="1"/>
  <c r="G14" i="8"/>
  <c r="H14" i="8" s="1"/>
  <c r="G27" i="8"/>
  <c r="H27" i="8" s="1"/>
  <c r="M19" i="14"/>
  <c r="L5" i="9"/>
  <c r="L12" i="9"/>
  <c r="L11" i="9"/>
  <c r="M11" i="9" s="1"/>
  <c r="L9" i="9"/>
  <c r="L13" i="9"/>
  <c r="M13" i="9" s="1"/>
  <c r="L25" i="9"/>
  <c r="L22" i="9"/>
  <c r="L6" i="9"/>
  <c r="L6" i="11"/>
  <c r="M19" i="11" s="1"/>
  <c r="L10" i="9"/>
  <c r="M10" i="9" s="1"/>
  <c r="L29" i="9"/>
  <c r="L24" i="9"/>
  <c r="M25" i="9" s="1"/>
  <c r="L23" i="9"/>
  <c r="M23" i="9" s="1"/>
  <c r="L20" i="9"/>
  <c r="L21" i="9"/>
  <c r="L19" i="9"/>
  <c r="M19" i="9" s="1"/>
  <c r="L18" i="9"/>
  <c r="M18" i="9" s="1"/>
  <c r="L30" i="9"/>
  <c r="L27" i="9"/>
  <c r="M27" i="9" s="1"/>
  <c r="L28" i="9"/>
  <c r="L26" i="9"/>
  <c r="M26" i="9" s="1"/>
  <c r="D47" i="3" s="1"/>
  <c r="L17" i="9"/>
  <c r="L16" i="9"/>
  <c r="L5" i="13"/>
  <c r="L6" i="13"/>
  <c r="M7" i="13" s="1"/>
  <c r="L7" i="13"/>
  <c r="L8" i="13"/>
  <c r="L7" i="12"/>
  <c r="M19" i="12"/>
  <c r="L9" i="11"/>
  <c r="L8" i="11"/>
  <c r="L7" i="11"/>
  <c r="M8" i="11" s="1"/>
  <c r="M18" i="13"/>
  <c r="M5" i="13"/>
  <c r="M18" i="12"/>
  <c r="M5" i="12"/>
  <c r="M6" i="11"/>
  <c r="M33" i="9"/>
  <c r="L14" i="9"/>
  <c r="L7" i="9"/>
  <c r="L8" i="9"/>
  <c r="M18" i="14" l="1"/>
  <c r="D13" i="3" s="1"/>
  <c r="D28" i="3"/>
  <c r="E6" i="4" s="1"/>
  <c r="D46" i="3"/>
  <c r="M30" i="9"/>
  <c r="M22" i="9"/>
  <c r="M9" i="9"/>
  <c r="D48" i="3" s="1"/>
  <c r="M17" i="9"/>
  <c r="D44" i="3" s="1"/>
  <c r="D10" i="3"/>
  <c r="M32" i="9"/>
  <c r="D9" i="3" s="1"/>
  <c r="D17" i="3" l="1"/>
  <c r="E5" i="4" s="1"/>
  <c r="E4" i="4" s="1"/>
  <c r="E8" i="4" s="1"/>
  <c r="E9" i="4" s="1"/>
  <c r="D27" i="3"/>
  <c r="E11" i="7"/>
  <c r="I9" i="6"/>
  <c r="I11" i="6"/>
  <c r="I12" i="6"/>
  <c r="I13" i="6"/>
  <c r="I14" i="6"/>
  <c r="I15" i="6"/>
  <c r="I16" i="6"/>
  <c r="I21" i="6"/>
  <c r="I23" i="6"/>
  <c r="I24" i="6"/>
  <c r="I25" i="6"/>
  <c r="I26" i="6"/>
  <c r="I5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I6" i="6"/>
  <c r="I7" i="6"/>
  <c r="I8" i="6"/>
  <c r="I10" i="6"/>
  <c r="I17" i="6"/>
  <c r="I18" i="6"/>
  <c r="I19" i="6"/>
  <c r="I20" i="6"/>
  <c r="I22" i="6"/>
  <c r="I28" i="6" l="1"/>
  <c r="G31" i="2"/>
  <c r="G20" i="2"/>
  <c r="G14" i="2"/>
  <c r="G6" i="2"/>
  <c r="G32" i="2" l="1"/>
  <c r="G33" i="2" s="1"/>
  <c r="E12" i="4"/>
  <c r="E11" i="4" s="1"/>
  <c r="E15" i="4" s="1"/>
  <c r="E21" i="4" s="1"/>
  <c r="E23" i="4" s="1"/>
  <c r="E25" i="4" s="1"/>
  <c r="M6" i="14" l="1"/>
  <c r="M16" i="14" l="1"/>
  <c r="M5" i="14"/>
  <c r="M15" i="14"/>
  <c r="M14" i="14"/>
  <c r="M13" i="14"/>
  <c r="M12" i="14"/>
  <c r="M11" i="14"/>
  <c r="M10" i="14"/>
  <c r="M20" i="14" a="1"/>
  <c r="M20" i="14" s="1"/>
  <c r="M9" i="14"/>
  <c r="M8" i="14"/>
  <c r="M7" i="14"/>
  <c r="D26" i="3" l="1"/>
  <c r="D3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tc={CE0F6415-CD13-47EC-BDE3-51E1676525FF}</author>
    <author>tc={07B7BEF0-D66A-4FB6-96FE-BEF14C144E80}</author>
    <author>tc={AFC1DFA4-D046-4CB4-A8FD-F8DB7A19F475}</author>
    <author>tc={75D8C076-0EF1-4392-A9DE-0D8EF1D155F6}</author>
  </authors>
  <commentList>
    <comment ref="C11" authorId="0" shapeId="0" xr:uid="{CE0F6415-CD13-47EC-BDE3-51E1676525F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de observação</t>
      </text>
    </comment>
    <comment ref="C19" authorId="1" shapeId="0" xr:uid="{07B7BEF0-D66A-4FB6-96FE-BEF14C144E8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de observação</t>
      </text>
    </comment>
    <comment ref="C27" authorId="2" shapeId="0" xr:uid="{AFC1DFA4-D046-4CB4-A8FD-F8DB7A19F47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de observação</t>
      </text>
    </comment>
    <comment ref="B29" authorId="3" shapeId="0" xr:uid="{75D8C076-0EF1-4392-A9DE-0D8EF1D155F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de observação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tc={FCDDF039-C313-42D8-8AE5-483ADC5BD1E2}</author>
    <author>tc={AB2E9DDD-FDC5-4B2A-B681-41EB618C25F1}</author>
  </authors>
  <commentList>
    <comment ref="B7" authorId="0" shapeId="0" xr:uid="{FCDDF039-C313-42D8-8AE5-483ADC5BD1E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Exemplos: Carrinhos, Balanças, Cortadores e Maquinários, etc.</t>
      </text>
    </comment>
    <comment ref="B8" authorId="1" shapeId="0" xr:uid="{AB2E9DDD-FDC5-4B2A-B681-41EB618C25F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Exemplos: Estantes, Prateleiras, etc.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tc={688CC396-54B3-4429-A407-C250A9FC57C5}</author>
    <author>tc={D2C5CB48-3931-4330-9A4A-1301F29F2859}</author>
  </authors>
  <commentList>
    <comment ref="C8" authorId="0" shapeId="0" xr:uid="{688CC396-54B3-4429-A407-C250A9FC57C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 considerado 15%</t>
      </text>
    </comment>
    <comment ref="C23" authorId="1" shapeId="0" xr:uid="{D2C5CB48-3931-4330-9A4A-1301F29F285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 considerado 30%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<sst xmlns="http://schemas.openxmlformats.org/spreadsheetml/2006/main" count="413" uniqueCount="154">
  <si>
    <t>Manutenção de Equipamentos</t>
  </si>
  <si>
    <t>Impostos</t>
  </si>
  <si>
    <t>Limpeza</t>
  </si>
  <si>
    <t>Aluguel Loja</t>
  </si>
  <si>
    <t>Seguros</t>
  </si>
  <si>
    <t>Outros</t>
  </si>
  <si>
    <t>Salários</t>
  </si>
  <si>
    <t>Bonificações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</si>
  <si>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</si>
  <si>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</si>
  <si>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</si>
  <si>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</si>
  <si>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</si>
  <si>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</si>
  <si>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</si>
  <si>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</si>
  <si>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</si>
  <si>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</si>
  <si>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</si>
  <si>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</si>
  <si>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</si>
  <si>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</si>
  <si>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</si>
  <si>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</si>
  <si>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</si>
  <si>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</si>
  <si>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</si>
  <si>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</si>
  <si>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</si>
  <si>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</si>
  <si>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</si>
  <si>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</si>
  <si>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</si>
  <si>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</si>
  <si>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</si>
  <si>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</si>
  <si>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</si>
  <si>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Despesas</t>
  </si>
  <si>
    <t>Data</t>
  </si>
  <si>
    <t>Observação</t>
  </si>
  <si>
    <t>Valor Final</t>
  </si>
  <si>
    <t>Valor Intermediário</t>
  </si>
  <si>
    <t>Funcionários</t>
  </si>
  <si>
    <t>Vales (Refeição e Transporte)</t>
  </si>
  <si>
    <t>Água</t>
  </si>
  <si>
    <t>Energia</t>
  </si>
  <si>
    <t>Gás</t>
  </si>
  <si>
    <t>Telefone</t>
  </si>
  <si>
    <t>Despesas Funcionamento</t>
  </si>
  <si>
    <t>Férias, Licença Maternidade</t>
  </si>
  <si>
    <t>Total de Despesas Funcionamento</t>
  </si>
  <si>
    <t>Compras Mercadorias</t>
  </si>
  <si>
    <t>Fornecedor</t>
  </si>
  <si>
    <t>Mercadoria</t>
  </si>
  <si>
    <t>Medida</t>
  </si>
  <si>
    <t>Quantidade</t>
  </si>
  <si>
    <t>Preço Unitario</t>
  </si>
  <si>
    <t>Desconto</t>
  </si>
  <si>
    <t>Valor</t>
  </si>
  <si>
    <t>Valor Pago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</si>
  <si>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</si>
  <si>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</si>
  <si>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</si>
  <si>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</si>
  <si>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</si>
  <si>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</si>
  <si>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</si>
  <si>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</si>
  <si>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</si>
  <si>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</si>
  <si>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</si>
  <si>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</si>
  <si>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</si>
  <si>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</si>
  <si>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Regiões de Entrega</t>
  </si>
  <si>
    <t>Preço de Entrega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</si>
  <si>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</si>
  <si>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</si>
  <si>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</si>
  <si>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</si>
  <si>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</si>
  <si>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</si>
  <si>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</si>
  <si>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</si>
  <si>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</si>
  <si>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</si>
  <si>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 de Mercadorias</t>
  </si>
  <si>
    <t>Total de Despesas</t>
  </si>
  <si>
    <t>Investimentos</t>
  </si>
  <si>
    <t>Investimento</t>
  </si>
  <si>
    <t>Descrição</t>
  </si>
  <si>
    <t>Investimento inicial</t>
  </si>
  <si>
    <t>Documentação, Sistema de Informação, Estrutura inicial, Sistema de Refrigeração, Equipamentos</t>
  </si>
  <si>
    <t>Controle de Estoque</t>
  </si>
  <si>
    <t>Produto</t>
  </si>
  <si>
    <t>Quantidade Inicial</t>
  </si>
  <si>
    <t>Quantidade Comprada</t>
  </si>
  <si>
    <t>Quantidade Vendida</t>
  </si>
  <si>
    <t>Quantidade Atual</t>
  </si>
  <si>
    <t>Situação</t>
  </si>
  <si>
    <t>Data da última compra</t>
  </si>
  <si>
    <t>Vendas Semana 1</t>
  </si>
  <si>
    <t>Id da Venda</t>
  </si>
  <si>
    <t>Subtotal</t>
  </si>
  <si>
    <t>Valor de Entrega</t>
  </si>
  <si>
    <t>Total</t>
  </si>
  <si>
    <t>Total para Cliente</t>
  </si>
  <si>
    <t>Entrega</t>
  </si>
  <si>
    <t>Centro</t>
  </si>
  <si>
    <t>Loja</t>
  </si>
  <si>
    <t>Zona Norte</t>
  </si>
  <si>
    <t>Zona Oeste</t>
  </si>
  <si>
    <t>Zona Sul</t>
  </si>
  <si>
    <t>Receita de Vendas na Semana</t>
  </si>
  <si>
    <t>Receita de Entregas</t>
  </si>
  <si>
    <t>Vendas Semana 2</t>
  </si>
  <si>
    <t>Vendas Semana 3</t>
  </si>
  <si>
    <t>Vendas Semana 4</t>
  </si>
  <si>
    <t>Vendas Semana 5</t>
  </si>
  <si>
    <t>Ticket Médio</t>
  </si>
  <si>
    <t>Quantidade de Venda Por Região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</si>
  <si>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</si>
  <si>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</si>
  <si>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</si>
  <si>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</si>
  <si>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</si>
  <si>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Julho</t>
  </si>
  <si>
    <t>Vendas por entrega (%)</t>
  </si>
  <si>
    <t>Vendas por entrega (R$)</t>
  </si>
  <si>
    <t>Receita Entregas (R$)</t>
  </si>
  <si>
    <t>Número de Vendas</t>
  </si>
  <si>
    <t>Número de vendas</t>
  </si>
  <si>
    <t>Resultados</t>
  </si>
  <si>
    <t>Total de Receitas</t>
  </si>
  <si>
    <t>Receita Liquida</t>
  </si>
  <si>
    <t>Imposto sobre a Receita</t>
  </si>
  <si>
    <t>Resultado Bruto</t>
  </si>
  <si>
    <t>Depreciação e Amortização</t>
  </si>
  <si>
    <t>Resultado antes do imposto</t>
  </si>
  <si>
    <t>Imposto</t>
  </si>
  <si>
    <t>Resultado Líquido</t>
  </si>
  <si>
    <t>Receita Mercadorias</t>
  </si>
  <si>
    <t>Receita das Entregas</t>
  </si>
  <si>
    <t>Despesas Mercadorias</t>
  </si>
  <si>
    <t>Total Investimentos</t>
  </si>
  <si>
    <t>Vendas</t>
  </si>
  <si>
    <t>Equipamentos</t>
  </si>
  <si>
    <t>Estrutura</t>
  </si>
  <si>
    <t>Rótulos de Linha</t>
  </si>
  <si>
    <t>Total Geral</t>
  </si>
  <si>
    <t>Soma de Total</t>
  </si>
  <si>
    <t>Soma de Valor de Entrega</t>
  </si>
  <si>
    <t>Soma de Quantidade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</si>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</sst>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8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8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left" vertical="center"/>
    </xf>
    <xf numFmtId="44" fontId="0" fillId="0" borderId="0" xfId="1" applyFont="1"/>
    <xf numFmtId="0" fontId="4" fillId="0" borderId="0" xfId="0" applyFont="1"/>
    <xf numFmtId="44" fontId="4" fillId="0" borderId="0" xfId="0" applyNumberFormat="1" applyFont="1"/>
    <xf numFmtId="9" fontId="0" fillId="0" borderId="0" xfId="2" applyFont="1"/>
    <xf numFmtId="14" fontId="0" fillId="0" borderId="0" xfId="0" applyNumberFormat="1"/>
    <xf numFmtId="0" fontId="2" fillId="0" borderId="0" xfId="0" applyFont="1"/>
    <xf numFmtId="0" fontId="4" fillId="0" borderId="1" xfId="0" applyFont="1" applyBorder="1"/>
    <xf numFmtId="44" fontId="4" fillId="0" borderId="1" xfId="0" applyNumberFormat="1" applyFont="1" applyBorder="1"/>
    <xf numFmtId="0" fontId="4" fillId="0" borderId="2" xfId="0" applyFont="1" applyBorder="1"/>
    <xf numFmtId="44" fontId="4" fillId="0" borderId="2" xfId="0" applyNumberFormat="1" applyFont="1" applyBorder="1"/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/>
    <xf numFmtId="0" fontId="3" fillId="4" borderId="0" xfId="0" applyFont="1" applyFill="1" applyAlignment="1">
      <alignment horizontal="left" vertical="center"/>
    </xf>
    <xf numFmtId="0" fontId="0" fillId="4" borderId="0" xfId="0" applyFill="1"/>
    <xf numFmtId="0" fontId="0" fillId="0" borderId="3" xfId="0" applyBorder="1"/>
    <xf numFmtId="0" fontId="6" fillId="0" borderId="4" xfId="0" applyFont="1" applyBorder="1"/>
    <xf numFmtId="44" fontId="6" fillId="0" borderId="4" xfId="0" applyNumberFormat="1" applyFont="1" applyBorder="1"/>
    <xf numFmtId="0" fontId="6" fillId="0" borderId="2" xfId="0" applyFont="1" applyBorder="1"/>
    <xf numFmtId="44" fontId="6" fillId="0" borderId="2" xfId="0" applyNumberFormat="1" applyFont="1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0" borderId="0" xfId="0" applyFont="1"/>
    <xf numFmtId="0" fontId="7" fillId="0" borderId="5" xfId="0" applyFont="1" applyBorder="1"/>
    <xf numFmtId="44" fontId="7" fillId="0" borderId="5" xfId="0" applyNumberFormat="1" applyFont="1" applyBorder="1"/>
    <xf numFmtId="0" fontId="7" fillId="0" borderId="14" xfId="0" applyFont="1" applyBorder="1"/>
    <xf numFmtId="44" fontId="7" fillId="0" borderId="14" xfId="0" applyNumberFormat="1" applyFont="1" applyBorder="1"/>
    <xf numFmtId="44" fontId="7" fillId="0" borderId="14" xfId="1" applyFont="1" applyBorder="1"/>
    <xf numFmtId="0" fontId="7" fillId="0" borderId="15" xfId="0" applyFont="1" applyBorder="1"/>
    <xf numFmtId="44" fontId="7" fillId="0" borderId="15" xfId="1" applyFont="1" applyBorder="1"/>
    <xf numFmtId="0" fontId="9" fillId="0" borderId="0" xfId="0" applyFont="1"/>
    <xf numFmtId="44" fontId="9" fillId="0" borderId="0" xfId="0" applyNumberFormat="1" applyFont="1"/>
    <xf numFmtId="0" fontId="6" fillId="0" borderId="5" xfId="0" applyFont="1" applyBorder="1" applyAlignment="1">
      <alignment horizontal="right"/>
    </xf>
    <xf numFmtId="9" fontId="7" fillId="0" borderId="5" xfId="2" applyFont="1" applyBorder="1"/>
    <xf numFmtId="0" fontId="7" fillId="0" borderId="0" xfId="0" applyFont="1"/>
    <xf numFmtId="0" fontId="10" fillId="0" borderId="5" xfId="0" applyFont="1" applyBorder="1"/>
    <xf numFmtId="44" fontId="10" fillId="0" borderId="5" xfId="0" applyNumberFormat="1" applyFont="1" applyBorder="1"/>
    <xf numFmtId="0" fontId="10" fillId="0" borderId="0" xfId="0" applyFont="1"/>
    <xf numFmtId="0" fontId="10" fillId="0" borderId="14" xfId="0" applyFont="1" applyBorder="1"/>
    <xf numFmtId="44" fontId="10" fillId="0" borderId="14" xfId="0" applyNumberFormat="1" applyFont="1" applyBorder="1"/>
    <xf numFmtId="44" fontId="10" fillId="0" borderId="0" xfId="0" applyNumberFormat="1" applyFont="1"/>
    <xf numFmtId="0" fontId="10" fillId="0" borderId="16" xfId="0" applyFont="1" applyBorder="1"/>
    <xf numFmtId="44" fontId="10" fillId="0" borderId="16" xfId="0" applyNumberFormat="1" applyFont="1" applyBorder="1"/>
    <xf numFmtId="0" fontId="10" fillId="0" borderId="17" xfId="0" applyFont="1" applyBorder="1"/>
    <xf numFmtId="44" fontId="10" fillId="0" borderId="17" xfId="0" applyNumberFormat="1" applyFont="1" applyBorder="1"/>
    <xf numFmtId="0" fontId="10" fillId="0" borderId="3" xfId="0" applyFont="1" applyBorder="1"/>
    <xf numFmtId="44" fontId="10" fillId="0" borderId="3" xfId="0" applyNumberFormat="1" applyFont="1" applyBorder="1"/>
    <xf numFmtId="0" fontId="0" fillId="0" borderId="0" xfId="0" applyNumberFormat="1"/>
    <xf numFmtId="44" fontId="0" fillId="0" borderId="0" xfId="1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52">
    <dxf>
      <font>
        <color theme="9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theme="9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Vendas!$C$9:$C$13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Vendas!$D$9:$D$13</c:f>
              <c:numCache>
                <c:formatCode>_("R$"* #,##0.00_);_("R$"* \(#,##0.00\);_("R$"* "-"??_);_(@_)</c:formatCode>
                <c:ptCount val="5"/>
                <c:pt idx="0">
                  <c:v>670.84630000000016</c:v>
                </c:pt>
                <c:pt idx="1">
                  <c:v>99.3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6B-4BC2-97A3-08A801D43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18028447"/>
        <c:axId val="635759487"/>
      </c:barChart>
      <c:catAx>
        <c:axId val="31802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759487"/>
        <c:crosses val="autoZero"/>
        <c:auto val="1"/>
        <c:lblAlgn val="ctr"/>
        <c:lblOffset val="100"/>
        <c:noMultiLvlLbl val="0"/>
      </c:catAx>
      <c:valAx>
        <c:axId val="635759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802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Vendas!$C$27:$C$28</c:f>
              <c:strCache>
                <c:ptCount val="2"/>
                <c:pt idx="0">
                  <c:v>Vendas por entrega (R$)</c:v>
                </c:pt>
                <c:pt idx="1">
                  <c:v>Receita Entregas (R$)</c:v>
                </c:pt>
              </c:strCache>
            </c:strRef>
          </c:cat>
          <c:val>
            <c:numRef>
              <c:f>Vendas!$D$27:$D$28</c:f>
              <c:numCache>
                <c:formatCode>_("R$"* #,##0.00_);_("R$"* \(#,##0.00\);_("R$"* "-"??_);_(@_)</c:formatCode>
                <c:ptCount val="2"/>
                <c:pt idx="0">
                  <c:v>443.75630000000007</c:v>
                </c:pt>
                <c:pt idx="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2-4CB7-9CFB-E8581D0DD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31497727"/>
        <c:axId val="1611070559"/>
      </c:barChart>
      <c:catAx>
        <c:axId val="314977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070559"/>
        <c:crosses val="autoZero"/>
        <c:auto val="1"/>
        <c:lblAlgn val="ctr"/>
        <c:lblOffset val="100"/>
        <c:noMultiLvlLbl val="0"/>
      </c:catAx>
      <c:valAx>
        <c:axId val="1611070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497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289-4453-9090-672DD945E2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289-4453-9090-672DD945E2A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289-4453-9090-672DD945E2A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289-4453-9090-672DD945E2A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289-4453-9090-672DD945E2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Vendas!$C$44:$C$48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Vendas!$D$44:$D$48</c:f>
              <c:numCache>
                <c:formatCode>General</c:formatCode>
                <c:ptCount val="5"/>
                <c:pt idx="0">
                  <c:v>7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B-4C3F-A987-67A1BED2317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mpras Mercadorias'!A1"/><Relationship Id="rId7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jpeg"/><Relationship Id="rId6" Type="http://schemas.openxmlformats.org/officeDocument/2006/relationships/hyperlink" Target="#Resultad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mpras Mercadorias'!A1"/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Estoque'!A1"/><Relationship Id="rId2" Type="http://schemas.openxmlformats.org/officeDocument/2006/relationships/hyperlink" Target="#Despesas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Semana 2'!A1"/><Relationship Id="rId3" Type="http://schemas.openxmlformats.org/officeDocument/2006/relationships/chart" Target="../charts/chart3.xml"/><Relationship Id="rId7" Type="http://schemas.openxmlformats.org/officeDocument/2006/relationships/hyperlink" Target="#'Semana 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Vendas!B55"/><Relationship Id="rId11" Type="http://schemas.openxmlformats.org/officeDocument/2006/relationships/hyperlink" Target="#'Semana 5'!A1"/><Relationship Id="rId5" Type="http://schemas.openxmlformats.org/officeDocument/2006/relationships/hyperlink" Target="#Despesas!A1"/><Relationship Id="rId10" Type="http://schemas.openxmlformats.org/officeDocument/2006/relationships/hyperlink" Target="#'Semana 4'!A1"/><Relationship Id="rId4" Type="http://schemas.openxmlformats.org/officeDocument/2006/relationships/hyperlink" Target="#Menu!A1"/><Relationship Id="rId9" Type="http://schemas.openxmlformats.org/officeDocument/2006/relationships/hyperlink" Target="#'Semana 3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Semana 1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Semana 2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30</xdr:col>
      <xdr:colOff>552450</xdr:colOff>
      <xdr:row>54</xdr:row>
      <xdr:rowOff>19050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2A273180-16A3-A63C-6C1A-3A4621CDC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840450" cy="10306050"/>
        </a:xfrm>
        <a:prstGeom prst="rect">
          <a:avLst/>
        </a:prstGeom>
      </xdr:spPr>
    </xdr:pic>
    <xdr:clientData/>
  </xdr:twoCellAnchor>
  <xdr:twoCellAnchor>
    <xdr:from>
      <xdr:col>0</xdr:col>
      <xdr:colOff>552450</xdr:colOff>
      <xdr:row>32</xdr:row>
      <xdr:rowOff>161925</xdr:rowOff>
    </xdr:from>
    <xdr:to>
      <xdr:col>5</xdr:col>
      <xdr:colOff>66675</xdr:colOff>
      <xdr:row>36</xdr:row>
      <xdr:rowOff>171450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06C069-A781-D606-5E4D-1E3318FA161E}"/>
            </a:ext>
          </a:extLst>
        </xdr:cNvPr>
        <xdr:cNvSpPr/>
      </xdr:nvSpPr>
      <xdr:spPr>
        <a:xfrm>
          <a:off x="552450" y="6257925"/>
          <a:ext cx="2562225" cy="771525"/>
        </a:xfrm>
        <a:prstGeom prst="round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1"/>
              </a:solidFill>
            </a:rPr>
            <a:t>Despesas</a:t>
          </a:r>
        </a:p>
        <a:p>
          <a:pPr algn="l"/>
          <a:endParaRPr lang="pt-BR" sz="1100"/>
        </a:p>
      </xdr:txBody>
    </xdr:sp>
    <xdr:clientData/>
  </xdr:twoCellAnchor>
  <xdr:twoCellAnchor>
    <xdr:from>
      <xdr:col>5</xdr:col>
      <xdr:colOff>504825</xdr:colOff>
      <xdr:row>32</xdr:row>
      <xdr:rowOff>161925</xdr:rowOff>
    </xdr:from>
    <xdr:to>
      <xdr:col>10</xdr:col>
      <xdr:colOff>19050</xdr:colOff>
      <xdr:row>36</xdr:row>
      <xdr:rowOff>171450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8DC99-91C2-4733-BC06-3B1E5A8F543E}"/>
            </a:ext>
          </a:extLst>
        </xdr:cNvPr>
        <xdr:cNvSpPr/>
      </xdr:nvSpPr>
      <xdr:spPr>
        <a:xfrm>
          <a:off x="3552825" y="6257925"/>
          <a:ext cx="2562225" cy="771525"/>
        </a:xfrm>
        <a:prstGeom prst="round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1"/>
              </a:solidFill>
            </a:rPr>
            <a:t>Compras de Mercadorias</a:t>
          </a:r>
        </a:p>
        <a:p>
          <a:pPr algn="l"/>
          <a:endParaRPr lang="pt-BR" sz="1100"/>
        </a:p>
      </xdr:txBody>
    </xdr:sp>
    <xdr:clientData/>
  </xdr:twoCellAnchor>
  <xdr:twoCellAnchor>
    <xdr:from>
      <xdr:col>10</xdr:col>
      <xdr:colOff>333375</xdr:colOff>
      <xdr:row>32</xdr:row>
      <xdr:rowOff>161925</xdr:rowOff>
    </xdr:from>
    <xdr:to>
      <xdr:col>14</xdr:col>
      <xdr:colOff>457200</xdr:colOff>
      <xdr:row>36</xdr:row>
      <xdr:rowOff>171450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A968B4F-E3E4-40B1-B55C-03511548321F}"/>
            </a:ext>
          </a:extLst>
        </xdr:cNvPr>
        <xdr:cNvSpPr/>
      </xdr:nvSpPr>
      <xdr:spPr>
        <a:xfrm>
          <a:off x="6429375" y="6257925"/>
          <a:ext cx="2562225" cy="771525"/>
        </a:xfrm>
        <a:prstGeom prst="round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1"/>
              </a:solidFill>
            </a:rPr>
            <a:t>Investimentos</a:t>
          </a:r>
        </a:p>
        <a:p>
          <a:pPr algn="l"/>
          <a:endParaRPr lang="pt-BR" sz="1100"/>
        </a:p>
      </xdr:txBody>
    </xdr:sp>
    <xdr:clientData/>
  </xdr:twoCellAnchor>
  <xdr:twoCellAnchor>
    <xdr:from>
      <xdr:col>15</xdr:col>
      <xdr:colOff>28575</xdr:colOff>
      <xdr:row>32</xdr:row>
      <xdr:rowOff>152400</xdr:rowOff>
    </xdr:from>
    <xdr:to>
      <xdr:col>19</xdr:col>
      <xdr:colOff>152400</xdr:colOff>
      <xdr:row>36</xdr:row>
      <xdr:rowOff>161925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913ABDB-64F1-4C1F-BD67-4229DDC337FA}"/>
            </a:ext>
          </a:extLst>
        </xdr:cNvPr>
        <xdr:cNvSpPr/>
      </xdr:nvSpPr>
      <xdr:spPr>
        <a:xfrm>
          <a:off x="9172575" y="6248400"/>
          <a:ext cx="2562225" cy="771525"/>
        </a:xfrm>
        <a:prstGeom prst="round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1"/>
              </a:solidFill>
            </a:rPr>
            <a:t>Controle de Estoque</a:t>
          </a:r>
        </a:p>
        <a:p>
          <a:pPr algn="l"/>
          <a:endParaRPr lang="pt-BR" sz="1100"/>
        </a:p>
      </xdr:txBody>
    </xdr:sp>
    <xdr:clientData/>
  </xdr:twoCellAnchor>
  <xdr:twoCellAnchor>
    <xdr:from>
      <xdr:col>24</xdr:col>
      <xdr:colOff>209550</xdr:colOff>
      <xdr:row>32</xdr:row>
      <xdr:rowOff>152400</xdr:rowOff>
    </xdr:from>
    <xdr:to>
      <xdr:col>28</xdr:col>
      <xdr:colOff>333375</xdr:colOff>
      <xdr:row>36</xdr:row>
      <xdr:rowOff>161925</xdr:rowOff>
    </xdr:to>
    <xdr:sp macro="" textlink="">
      <xdr:nvSpPr>
        <xdr:cNvPr id="7" name="Retângulo: Cantos Arredondado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4F6C55-3AAA-4AFF-8ABD-961446C830EB}"/>
            </a:ext>
          </a:extLst>
        </xdr:cNvPr>
        <xdr:cNvSpPr/>
      </xdr:nvSpPr>
      <xdr:spPr>
        <a:xfrm>
          <a:off x="14839950" y="6248400"/>
          <a:ext cx="2562225" cy="771525"/>
        </a:xfrm>
        <a:prstGeom prst="round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1"/>
              </a:solidFill>
            </a:rPr>
            <a:t>Resultados</a:t>
          </a:r>
        </a:p>
        <a:p>
          <a:pPr algn="l"/>
          <a:endParaRPr lang="pt-BR" sz="1100"/>
        </a:p>
      </xdr:txBody>
    </xdr:sp>
    <xdr:clientData/>
  </xdr:twoCellAnchor>
  <xdr:twoCellAnchor>
    <xdr:from>
      <xdr:col>19</xdr:col>
      <xdr:colOff>457200</xdr:colOff>
      <xdr:row>32</xdr:row>
      <xdr:rowOff>152400</xdr:rowOff>
    </xdr:from>
    <xdr:to>
      <xdr:col>23</xdr:col>
      <xdr:colOff>581025</xdr:colOff>
      <xdr:row>36</xdr:row>
      <xdr:rowOff>161925</xdr:rowOff>
    </xdr:to>
    <xdr:sp macro="" textlink="">
      <xdr:nvSpPr>
        <xdr:cNvPr id="8" name="Retângulo: Cantos Arredondado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1D1A326-638F-47E3-8FAC-7C442EA39F55}"/>
            </a:ext>
          </a:extLst>
        </xdr:cNvPr>
        <xdr:cNvSpPr/>
      </xdr:nvSpPr>
      <xdr:spPr>
        <a:xfrm>
          <a:off x="12039600" y="6248400"/>
          <a:ext cx="2562225" cy="771525"/>
        </a:xfrm>
        <a:prstGeom prst="round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1"/>
              </a:solidFill>
            </a:rPr>
            <a:t>Vendas</a:t>
          </a:r>
        </a:p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600076</xdr:colOff>
      <xdr:row>1</xdr:row>
      <xdr:rowOff>38100</xdr:rowOff>
    </xdr:from>
    <xdr:to>
      <xdr:col>14</xdr:col>
      <xdr:colOff>390526</xdr:colOff>
      <xdr:row>1</xdr:row>
      <xdr:rowOff>323850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7B4BA5-7DAB-C21C-3027-6D04F12CD9EB}"/>
            </a:ext>
          </a:extLst>
        </xdr:cNvPr>
        <xdr:cNvSpPr/>
      </xdr:nvSpPr>
      <xdr:spPr>
        <a:xfrm>
          <a:off x="16097251" y="228600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8</xdr:col>
      <xdr:colOff>561976</xdr:colOff>
      <xdr:row>1</xdr:row>
      <xdr:rowOff>38100</xdr:rowOff>
    </xdr:from>
    <xdr:to>
      <xdr:col>11</xdr:col>
      <xdr:colOff>352426</xdr:colOff>
      <xdr:row>1</xdr:row>
      <xdr:rowOff>323850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B299FF5-8B4F-4ABC-B3E6-CC9A6011EE40}"/>
            </a:ext>
          </a:extLst>
        </xdr:cNvPr>
        <xdr:cNvSpPr/>
      </xdr:nvSpPr>
      <xdr:spPr>
        <a:xfrm>
          <a:off x="14230351" y="228600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6</xdr:col>
      <xdr:colOff>628651</xdr:colOff>
      <xdr:row>1</xdr:row>
      <xdr:rowOff>38100</xdr:rowOff>
    </xdr:from>
    <xdr:to>
      <xdr:col>8</xdr:col>
      <xdr:colOff>314326</xdr:colOff>
      <xdr:row>1</xdr:row>
      <xdr:rowOff>323850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11014B5-EC5B-4D3D-B6D2-A55A6894689B}"/>
            </a:ext>
          </a:extLst>
        </xdr:cNvPr>
        <xdr:cNvSpPr/>
      </xdr:nvSpPr>
      <xdr:spPr>
        <a:xfrm>
          <a:off x="12363451" y="228600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276225</xdr:colOff>
      <xdr:row>1</xdr:row>
      <xdr:rowOff>38100</xdr:rowOff>
    </xdr:from>
    <xdr:to>
      <xdr:col>18</xdr:col>
      <xdr:colOff>66675</xdr:colOff>
      <xdr:row>1</xdr:row>
      <xdr:rowOff>323850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4DACEA-25B6-4BC7-AA21-24360C6F5393}"/>
            </a:ext>
          </a:extLst>
        </xdr:cNvPr>
        <xdr:cNvSpPr/>
      </xdr:nvSpPr>
      <xdr:spPr>
        <a:xfrm>
          <a:off x="15935325" y="228600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12</xdr:col>
      <xdr:colOff>238125</xdr:colOff>
      <xdr:row>1</xdr:row>
      <xdr:rowOff>38100</xdr:rowOff>
    </xdr:from>
    <xdr:to>
      <xdr:col>15</xdr:col>
      <xdr:colOff>28575</xdr:colOff>
      <xdr:row>1</xdr:row>
      <xdr:rowOff>323850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649ACB6-D2D9-4FB3-95F7-CF493E7E1A6D}"/>
            </a:ext>
          </a:extLst>
        </xdr:cNvPr>
        <xdr:cNvSpPr/>
      </xdr:nvSpPr>
      <xdr:spPr>
        <a:xfrm>
          <a:off x="14068425" y="228600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9</xdr:col>
      <xdr:colOff>200025</xdr:colOff>
      <xdr:row>1</xdr:row>
      <xdr:rowOff>38100</xdr:rowOff>
    </xdr:from>
    <xdr:to>
      <xdr:col>11</xdr:col>
      <xdr:colOff>600075</xdr:colOff>
      <xdr:row>1</xdr:row>
      <xdr:rowOff>323850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65F78E-CEC0-4A5D-8245-F45B582CDDB4}"/>
            </a:ext>
          </a:extLst>
        </xdr:cNvPr>
        <xdr:cNvSpPr/>
      </xdr:nvSpPr>
      <xdr:spPr>
        <a:xfrm>
          <a:off x="12201525" y="228600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Controle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9</xdr:col>
      <xdr:colOff>95250</xdr:colOff>
      <xdr:row>3</xdr:row>
      <xdr:rowOff>123825</xdr:rowOff>
    </xdr:from>
    <xdr:to>
      <xdr:col>11</xdr:col>
      <xdr:colOff>495300</xdr:colOff>
      <xdr:row>5</xdr:row>
      <xdr:rowOff>28575</xdr:rowOff>
    </xdr:to>
    <xdr:sp macro="[0]!Inserir_Compr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1851C47-1059-4BB0-A806-1F3C902B1464}"/>
            </a:ext>
          </a:extLst>
        </xdr:cNvPr>
        <xdr:cNvSpPr/>
      </xdr:nvSpPr>
      <xdr:spPr>
        <a:xfrm>
          <a:off x="12096750" y="1057275"/>
          <a:ext cx="1619250" cy="2857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1019175</xdr:colOff>
      <xdr:row>5</xdr:row>
      <xdr:rowOff>23812</xdr:rowOff>
    </xdr:from>
    <xdr:to>
      <xdr:col>10</xdr:col>
      <xdr:colOff>476250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9C1C31-5E76-EF3E-232E-B24DCB8C6A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352426</xdr:colOff>
      <xdr:row>23</xdr:row>
      <xdr:rowOff>66674</xdr:rowOff>
    </xdr:from>
    <xdr:to>
      <xdr:col>10</xdr:col>
      <xdr:colOff>866775</xdr:colOff>
      <xdr:row>35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8D45C0D-4A9D-D51D-AC0C-925759D558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742950</xdr:colOff>
      <xdr:row>38</xdr:row>
      <xdr:rowOff>52387</xdr:rowOff>
    </xdr:from>
    <xdr:to>
      <xdr:col>10</xdr:col>
      <xdr:colOff>276225</xdr:colOff>
      <xdr:row>50</xdr:row>
      <xdr:rowOff>176212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C4CCDF4-5A14-BBBE-E415-AE8D50A1FA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28575</xdr:colOff>
      <xdr:row>1</xdr:row>
      <xdr:rowOff>38100</xdr:rowOff>
    </xdr:from>
    <xdr:to>
      <xdr:col>20</xdr:col>
      <xdr:colOff>428625</xdr:colOff>
      <xdr:row>1</xdr:row>
      <xdr:rowOff>323850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7BFD587-2472-463C-856E-BAE7813B801C}"/>
            </a:ext>
          </a:extLst>
        </xdr:cNvPr>
        <xdr:cNvSpPr/>
      </xdr:nvSpPr>
      <xdr:spPr>
        <a:xfrm>
          <a:off x="15792450" y="228600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14</xdr:col>
      <xdr:colOff>600075</xdr:colOff>
      <xdr:row>1</xdr:row>
      <xdr:rowOff>38100</xdr:rowOff>
    </xdr:from>
    <xdr:to>
      <xdr:col>17</xdr:col>
      <xdr:colOff>390525</xdr:colOff>
      <xdr:row>1</xdr:row>
      <xdr:rowOff>323850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ACF1D73-47E2-4405-846D-4533388C82B3}"/>
            </a:ext>
          </a:extLst>
        </xdr:cNvPr>
        <xdr:cNvSpPr/>
      </xdr:nvSpPr>
      <xdr:spPr>
        <a:xfrm>
          <a:off x="13925550" y="228600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11</xdr:col>
      <xdr:colOff>561975</xdr:colOff>
      <xdr:row>1</xdr:row>
      <xdr:rowOff>38100</xdr:rowOff>
    </xdr:from>
    <xdr:to>
      <xdr:col>14</xdr:col>
      <xdr:colOff>352425</xdr:colOff>
      <xdr:row>1</xdr:row>
      <xdr:rowOff>323850</xdr:rowOff>
    </xdr:to>
    <xdr:sp macro="" textlink="">
      <xdr:nvSpPr>
        <xdr:cNvPr id="7" name="Retângulo: Cantos Arredondado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7B3BE97-DB33-427F-B5ED-83BE4C229A54}"/>
            </a:ext>
          </a:extLst>
        </xdr:cNvPr>
        <xdr:cNvSpPr/>
      </xdr:nvSpPr>
      <xdr:spPr>
        <a:xfrm>
          <a:off x="12058650" y="228600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Ir para semanas</a:t>
          </a:r>
        </a:p>
      </xdr:txBody>
    </xdr:sp>
    <xdr:clientData/>
  </xdr:twoCellAnchor>
  <xdr:twoCellAnchor>
    <xdr:from>
      <xdr:col>2</xdr:col>
      <xdr:colOff>123825</xdr:colOff>
      <xdr:row>53</xdr:row>
      <xdr:rowOff>0</xdr:rowOff>
    </xdr:from>
    <xdr:to>
      <xdr:col>2</xdr:col>
      <xdr:colOff>1743075</xdr:colOff>
      <xdr:row>54</xdr:row>
      <xdr:rowOff>95250</xdr:rowOff>
    </xdr:to>
    <xdr:sp macro="" textlink="">
      <xdr:nvSpPr>
        <xdr:cNvPr id="8" name="Retângulo: Cantos Arredondado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C79E15E-E5F4-4C9A-82B3-769942E2429D}"/>
            </a:ext>
          </a:extLst>
        </xdr:cNvPr>
        <xdr:cNvSpPr/>
      </xdr:nvSpPr>
      <xdr:spPr>
        <a:xfrm>
          <a:off x="1704975" y="11325225"/>
          <a:ext cx="1619250" cy="285750"/>
        </a:xfrm>
        <a:prstGeom prst="round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/>
              </a:solidFill>
            </a:rPr>
            <a:t>Semana 1</a:t>
          </a:r>
        </a:p>
      </xdr:txBody>
    </xdr:sp>
    <xdr:clientData/>
  </xdr:twoCellAnchor>
  <xdr:twoCellAnchor>
    <xdr:from>
      <xdr:col>2</xdr:col>
      <xdr:colOff>1914525</xdr:colOff>
      <xdr:row>53</xdr:row>
      <xdr:rowOff>9525</xdr:rowOff>
    </xdr:from>
    <xdr:to>
      <xdr:col>3</xdr:col>
      <xdr:colOff>1476375</xdr:colOff>
      <xdr:row>54</xdr:row>
      <xdr:rowOff>104775</xdr:rowOff>
    </xdr:to>
    <xdr:sp macro="" textlink="">
      <xdr:nvSpPr>
        <xdr:cNvPr id="9" name="Retângulo: Cantos Arredondados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2240D33-1719-4E33-8798-7F3A2D9ECC6E}"/>
            </a:ext>
          </a:extLst>
        </xdr:cNvPr>
        <xdr:cNvSpPr/>
      </xdr:nvSpPr>
      <xdr:spPr>
        <a:xfrm>
          <a:off x="3495675" y="11334750"/>
          <a:ext cx="1619250" cy="285750"/>
        </a:xfrm>
        <a:prstGeom prst="round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/>
              </a:solidFill>
            </a:rPr>
            <a:t>Semana 2</a:t>
          </a:r>
        </a:p>
      </xdr:txBody>
    </xdr:sp>
    <xdr:clientData/>
  </xdr:twoCellAnchor>
  <xdr:twoCellAnchor>
    <xdr:from>
      <xdr:col>4</xdr:col>
      <xdr:colOff>66675</xdr:colOff>
      <xdr:row>53</xdr:row>
      <xdr:rowOff>9525</xdr:rowOff>
    </xdr:from>
    <xdr:to>
      <xdr:col>6</xdr:col>
      <xdr:colOff>276225</xdr:colOff>
      <xdr:row>54</xdr:row>
      <xdr:rowOff>104775</xdr:rowOff>
    </xdr:to>
    <xdr:sp macro="" textlink="">
      <xdr:nvSpPr>
        <xdr:cNvPr id="10" name="Retângulo: Cantos Arredondado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427AFAB-59E6-48E5-B3F2-2B7309AB8FF6}"/>
            </a:ext>
          </a:extLst>
        </xdr:cNvPr>
        <xdr:cNvSpPr/>
      </xdr:nvSpPr>
      <xdr:spPr>
        <a:xfrm>
          <a:off x="5229225" y="11334750"/>
          <a:ext cx="1619250" cy="285750"/>
        </a:xfrm>
        <a:prstGeom prst="round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/>
              </a:solidFill>
            </a:rPr>
            <a:t>Semana 3</a:t>
          </a:r>
        </a:p>
      </xdr:txBody>
    </xdr:sp>
    <xdr:clientData/>
  </xdr:twoCellAnchor>
  <xdr:twoCellAnchor>
    <xdr:from>
      <xdr:col>6</xdr:col>
      <xdr:colOff>447675</xdr:colOff>
      <xdr:row>53</xdr:row>
      <xdr:rowOff>19050</xdr:rowOff>
    </xdr:from>
    <xdr:to>
      <xdr:col>8</xdr:col>
      <xdr:colOff>9525</xdr:colOff>
      <xdr:row>54</xdr:row>
      <xdr:rowOff>114300</xdr:rowOff>
    </xdr:to>
    <xdr:sp macro="" textlink="">
      <xdr:nvSpPr>
        <xdr:cNvPr id="11" name="Retângulo: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614F3F6-C166-4D0A-97DE-BB6E22C7214E}"/>
            </a:ext>
          </a:extLst>
        </xdr:cNvPr>
        <xdr:cNvSpPr/>
      </xdr:nvSpPr>
      <xdr:spPr>
        <a:xfrm>
          <a:off x="7019925" y="11344275"/>
          <a:ext cx="1619250" cy="285750"/>
        </a:xfrm>
        <a:prstGeom prst="round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/>
              </a:solidFill>
            </a:rPr>
            <a:t>Semana 4</a:t>
          </a:r>
        </a:p>
      </xdr:txBody>
    </xdr:sp>
    <xdr:clientData/>
  </xdr:twoCellAnchor>
  <xdr:twoCellAnchor>
    <xdr:from>
      <xdr:col>8</xdr:col>
      <xdr:colOff>171450</xdr:colOff>
      <xdr:row>53</xdr:row>
      <xdr:rowOff>19050</xdr:rowOff>
    </xdr:from>
    <xdr:to>
      <xdr:col>9</xdr:col>
      <xdr:colOff>876300</xdr:colOff>
      <xdr:row>54</xdr:row>
      <xdr:rowOff>114300</xdr:rowOff>
    </xdr:to>
    <xdr:sp macro="" textlink="">
      <xdr:nvSpPr>
        <xdr:cNvPr id="12" name="Retângulo: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E3FF463-369B-4B38-9743-F27D936F6848}"/>
            </a:ext>
          </a:extLst>
        </xdr:cNvPr>
        <xdr:cNvSpPr/>
      </xdr:nvSpPr>
      <xdr:spPr>
        <a:xfrm>
          <a:off x="8801100" y="11344275"/>
          <a:ext cx="1619250" cy="285750"/>
        </a:xfrm>
        <a:prstGeom prst="round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/>
              </a:solidFill>
            </a:rPr>
            <a:t>Semana 5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7</xdr:row>
      <xdr:rowOff>152400</xdr:rowOff>
    </xdr:from>
    <xdr:to>
      <xdr:col>16</xdr:col>
      <xdr:colOff>238125</xdr:colOff>
      <xdr:row>9</xdr:row>
      <xdr:rowOff>57150</xdr:rowOff>
    </xdr:to>
    <xdr:sp macro="[0]!Excluir_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AC2544F-166E-412E-AFBC-2098C16B02CC}"/>
            </a:ext>
          </a:extLst>
        </xdr:cNvPr>
        <xdr:cNvSpPr/>
      </xdr:nvSpPr>
      <xdr:spPr>
        <a:xfrm>
          <a:off x="12839700" y="1847850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Excluir</a:t>
          </a:r>
          <a:r>
            <a:rPr lang="pt-BR" sz="1100" baseline="0">
              <a:solidFill>
                <a:schemeClr val="bg1"/>
              </a:solidFill>
            </a:rPr>
            <a:t> registro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457200</xdr:colOff>
      <xdr:row>5</xdr:row>
      <xdr:rowOff>104775</xdr:rowOff>
    </xdr:from>
    <xdr:to>
      <xdr:col>16</xdr:col>
      <xdr:colOff>247650</xdr:colOff>
      <xdr:row>7</xdr:row>
      <xdr:rowOff>9525</xdr:rowOff>
    </xdr:to>
    <xdr:sp macro="[0]!Nova_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5003D09-54B9-4091-A4BB-C78F77896B5F}"/>
            </a:ext>
          </a:extLst>
        </xdr:cNvPr>
        <xdr:cNvSpPr/>
      </xdr:nvSpPr>
      <xdr:spPr>
        <a:xfrm>
          <a:off x="12849225" y="1419225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Nova venda</a:t>
          </a:r>
        </a:p>
      </xdr:txBody>
    </xdr:sp>
    <xdr:clientData/>
  </xdr:twoCellAnchor>
  <xdr:twoCellAnchor>
    <xdr:from>
      <xdr:col>13</xdr:col>
      <xdr:colOff>457200</xdr:colOff>
      <xdr:row>10</xdr:row>
      <xdr:rowOff>0</xdr:rowOff>
    </xdr:from>
    <xdr:to>
      <xdr:col>16</xdr:col>
      <xdr:colOff>247650</xdr:colOff>
      <xdr:row>11</xdr:row>
      <xdr:rowOff>95250</xdr:rowOff>
    </xdr:to>
    <xdr:sp macro="[0]!Inserir_Produt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A54E3C6-C309-4160-9E76-9C508284871A}"/>
            </a:ext>
          </a:extLst>
        </xdr:cNvPr>
        <xdr:cNvSpPr/>
      </xdr:nvSpPr>
      <xdr:spPr>
        <a:xfrm>
          <a:off x="12849225" y="2266950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16</xdr:col>
      <xdr:colOff>304800</xdr:colOff>
      <xdr:row>1</xdr:row>
      <xdr:rowOff>47625</xdr:rowOff>
    </xdr:from>
    <xdr:to>
      <xdr:col>19</xdr:col>
      <xdr:colOff>95250</xdr:colOff>
      <xdr:row>1</xdr:row>
      <xdr:rowOff>333375</xdr:rowOff>
    </xdr:to>
    <xdr:sp macro="" textlink="">
      <xdr:nvSpPr>
        <xdr:cNvPr id="9" name="Retângulo: Cantos Arredondados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075B1F-190E-4C72-BAC8-9E4C27B7E7E0}"/>
            </a:ext>
          </a:extLst>
        </xdr:cNvPr>
        <xdr:cNvSpPr/>
      </xdr:nvSpPr>
      <xdr:spPr>
        <a:xfrm>
          <a:off x="14525625" y="238125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266700</xdr:colOff>
      <xdr:row>1</xdr:row>
      <xdr:rowOff>47625</xdr:rowOff>
    </xdr:from>
    <xdr:to>
      <xdr:col>16</xdr:col>
      <xdr:colOff>57150</xdr:colOff>
      <xdr:row>1</xdr:row>
      <xdr:rowOff>333375</xdr:rowOff>
    </xdr:to>
    <xdr:sp macro="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6C4B8C4-E08A-4EEC-9E72-AF0C1A21683E}"/>
            </a:ext>
          </a:extLst>
        </xdr:cNvPr>
        <xdr:cNvSpPr/>
      </xdr:nvSpPr>
      <xdr:spPr>
        <a:xfrm>
          <a:off x="12658725" y="238125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12</xdr:row>
      <xdr:rowOff>123825</xdr:rowOff>
    </xdr:from>
    <xdr:to>
      <xdr:col>6</xdr:col>
      <xdr:colOff>447675</xdr:colOff>
      <xdr:row>14</xdr:row>
      <xdr:rowOff>28575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77BD56-6239-4F9F-ADEC-EA8C82A3A89E}"/>
            </a:ext>
          </a:extLst>
        </xdr:cNvPr>
        <xdr:cNvSpPr/>
      </xdr:nvSpPr>
      <xdr:spPr>
        <a:xfrm>
          <a:off x="4762500" y="2409825"/>
          <a:ext cx="1619250" cy="285750"/>
        </a:xfrm>
        <a:prstGeom prst="round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/>
              </a:solidFill>
            </a:rPr>
            <a:t>Semana 1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228600</xdr:colOff>
      <xdr:row>5</xdr:row>
      <xdr:rowOff>28575</xdr:rowOff>
    </xdr:from>
    <xdr:to>
      <xdr:col>16</xdr:col>
      <xdr:colOff>19050</xdr:colOff>
      <xdr:row>6</xdr:row>
      <xdr:rowOff>123825</xdr:rowOff>
    </xdr:to>
    <xdr:sp macro="[0]!Excluir_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D74CEE3-F9F5-410B-9BFE-DD5B51811CCF}"/>
            </a:ext>
          </a:extLst>
        </xdr:cNvPr>
        <xdr:cNvSpPr/>
      </xdr:nvSpPr>
      <xdr:spPr>
        <a:xfrm>
          <a:off x="13125450" y="1343025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Excluir</a:t>
          </a:r>
          <a:r>
            <a:rPr lang="pt-BR" sz="1100" baseline="0">
              <a:solidFill>
                <a:schemeClr val="bg1"/>
              </a:solidFill>
            </a:rPr>
            <a:t> registro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238125</xdr:colOff>
      <xdr:row>2</xdr:row>
      <xdr:rowOff>371475</xdr:rowOff>
    </xdr:from>
    <xdr:to>
      <xdr:col>16</xdr:col>
      <xdr:colOff>28575</xdr:colOff>
      <xdr:row>4</xdr:row>
      <xdr:rowOff>76200</xdr:rowOff>
    </xdr:to>
    <xdr:sp macro="[0]!Nova_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B5AD842-3913-4D4A-B5C0-D69EE224ABE3}"/>
            </a:ext>
          </a:extLst>
        </xdr:cNvPr>
        <xdr:cNvSpPr/>
      </xdr:nvSpPr>
      <xdr:spPr>
        <a:xfrm>
          <a:off x="13134975" y="914400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Nova venda</a:t>
          </a:r>
        </a:p>
      </xdr:txBody>
    </xdr:sp>
    <xdr:clientData/>
  </xdr:twoCellAnchor>
  <xdr:twoCellAnchor>
    <xdr:from>
      <xdr:col>13</xdr:col>
      <xdr:colOff>238125</xdr:colOff>
      <xdr:row>7</xdr:row>
      <xdr:rowOff>66675</xdr:rowOff>
    </xdr:from>
    <xdr:to>
      <xdr:col>16</xdr:col>
      <xdr:colOff>28575</xdr:colOff>
      <xdr:row>8</xdr:row>
      <xdr:rowOff>161925</xdr:rowOff>
    </xdr:to>
    <xdr:sp macro="[0]!Inserir_Produ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1DAD9DF-A0A6-4293-8668-B5DEC54470AC}"/>
            </a:ext>
          </a:extLst>
        </xdr:cNvPr>
        <xdr:cNvSpPr/>
      </xdr:nvSpPr>
      <xdr:spPr>
        <a:xfrm>
          <a:off x="13134975" y="1762125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15</xdr:col>
      <xdr:colOff>180975</xdr:colOff>
      <xdr:row>1</xdr:row>
      <xdr:rowOff>38100</xdr:rowOff>
    </xdr:from>
    <xdr:to>
      <xdr:col>17</xdr:col>
      <xdr:colOff>581025</xdr:colOff>
      <xdr:row>1</xdr:row>
      <xdr:rowOff>323850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5A8ADF-D66A-4CF9-B8D4-A7FECED5E2E7}"/>
            </a:ext>
          </a:extLst>
        </xdr:cNvPr>
        <xdr:cNvSpPr/>
      </xdr:nvSpPr>
      <xdr:spPr>
        <a:xfrm>
          <a:off x="14297025" y="228600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12</xdr:col>
      <xdr:colOff>781050</xdr:colOff>
      <xdr:row>1</xdr:row>
      <xdr:rowOff>38100</xdr:rowOff>
    </xdr:from>
    <xdr:to>
      <xdr:col>14</xdr:col>
      <xdr:colOff>542925</xdr:colOff>
      <xdr:row>1</xdr:row>
      <xdr:rowOff>323850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0A99617-7EFB-4C8C-867E-800406EEF282}"/>
            </a:ext>
          </a:extLst>
        </xdr:cNvPr>
        <xdr:cNvSpPr/>
      </xdr:nvSpPr>
      <xdr:spPr>
        <a:xfrm>
          <a:off x="12430125" y="228600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790575</xdr:colOff>
      <xdr:row>13</xdr:row>
      <xdr:rowOff>152400</xdr:rowOff>
    </xdr:from>
    <xdr:to>
      <xdr:col>5</xdr:col>
      <xdr:colOff>285750</xdr:colOff>
      <xdr:row>15</xdr:row>
      <xdr:rowOff>57150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2E06B-7458-4171-8398-DB4158C79707}"/>
            </a:ext>
          </a:extLst>
        </xdr:cNvPr>
        <xdr:cNvSpPr/>
      </xdr:nvSpPr>
      <xdr:spPr>
        <a:xfrm>
          <a:off x="3305175" y="2628900"/>
          <a:ext cx="1619250" cy="285750"/>
        </a:xfrm>
        <a:prstGeom prst="round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/>
              </a:solidFill>
            </a:rPr>
            <a:t>Semana 2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5</xdr:row>
      <xdr:rowOff>28575</xdr:rowOff>
    </xdr:from>
    <xdr:to>
      <xdr:col>16</xdr:col>
      <xdr:colOff>114300</xdr:colOff>
      <xdr:row>6</xdr:row>
      <xdr:rowOff>123825</xdr:rowOff>
    </xdr:to>
    <xdr:sp macro="[0]!Excluir_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3120B92-84ED-4CDF-A9EF-C86E6A957B7C}"/>
            </a:ext>
          </a:extLst>
        </xdr:cNvPr>
        <xdr:cNvSpPr/>
      </xdr:nvSpPr>
      <xdr:spPr>
        <a:xfrm>
          <a:off x="13087350" y="1343025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Excluir</a:t>
          </a:r>
          <a:r>
            <a:rPr lang="pt-BR" sz="1100" baseline="0">
              <a:solidFill>
                <a:schemeClr val="bg1"/>
              </a:solidFill>
            </a:rPr>
            <a:t> registro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333375</xdr:colOff>
      <xdr:row>2</xdr:row>
      <xdr:rowOff>371475</xdr:rowOff>
    </xdr:from>
    <xdr:to>
      <xdr:col>16</xdr:col>
      <xdr:colOff>123825</xdr:colOff>
      <xdr:row>4</xdr:row>
      <xdr:rowOff>76200</xdr:rowOff>
    </xdr:to>
    <xdr:sp macro="[0]!Nova_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546EE20-6573-4499-831D-ACA66A15C23C}"/>
            </a:ext>
          </a:extLst>
        </xdr:cNvPr>
        <xdr:cNvSpPr/>
      </xdr:nvSpPr>
      <xdr:spPr>
        <a:xfrm>
          <a:off x="13096875" y="914400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Nova venda</a:t>
          </a:r>
        </a:p>
      </xdr:txBody>
    </xdr:sp>
    <xdr:clientData/>
  </xdr:twoCellAnchor>
  <xdr:twoCellAnchor>
    <xdr:from>
      <xdr:col>13</xdr:col>
      <xdr:colOff>333375</xdr:colOff>
      <xdr:row>7</xdr:row>
      <xdr:rowOff>66675</xdr:rowOff>
    </xdr:from>
    <xdr:to>
      <xdr:col>16</xdr:col>
      <xdr:colOff>123825</xdr:colOff>
      <xdr:row>8</xdr:row>
      <xdr:rowOff>161925</xdr:rowOff>
    </xdr:to>
    <xdr:sp macro="[0]!Inserir_Produ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4F3FE1D-00A0-4BAD-A232-FAC450E99550}"/>
            </a:ext>
          </a:extLst>
        </xdr:cNvPr>
        <xdr:cNvSpPr/>
      </xdr:nvSpPr>
      <xdr:spPr>
        <a:xfrm>
          <a:off x="13096875" y="1762125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16</xdr:col>
      <xdr:colOff>571500</xdr:colOff>
      <xdr:row>1</xdr:row>
      <xdr:rowOff>28575</xdr:rowOff>
    </xdr:from>
    <xdr:to>
      <xdr:col>19</xdr:col>
      <xdr:colOff>361950</xdr:colOff>
      <xdr:row>1</xdr:row>
      <xdr:rowOff>314325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649672-00B1-4A96-9A37-22CBAE6BBCEA}"/>
            </a:ext>
          </a:extLst>
        </xdr:cNvPr>
        <xdr:cNvSpPr/>
      </xdr:nvSpPr>
      <xdr:spPr>
        <a:xfrm>
          <a:off x="15163800" y="219075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533400</xdr:colOff>
      <xdr:row>1</xdr:row>
      <xdr:rowOff>28575</xdr:rowOff>
    </xdr:from>
    <xdr:to>
      <xdr:col>16</xdr:col>
      <xdr:colOff>323850</xdr:colOff>
      <xdr:row>1</xdr:row>
      <xdr:rowOff>314325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7117BC-89D9-4FA9-A9F9-A2A05A147024}"/>
            </a:ext>
          </a:extLst>
        </xdr:cNvPr>
        <xdr:cNvSpPr/>
      </xdr:nvSpPr>
      <xdr:spPr>
        <a:xfrm>
          <a:off x="13296900" y="219075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4</xdr:row>
      <xdr:rowOff>180975</xdr:rowOff>
    </xdr:from>
    <xdr:to>
      <xdr:col>15</xdr:col>
      <xdr:colOff>542925</xdr:colOff>
      <xdr:row>6</xdr:row>
      <xdr:rowOff>85725</xdr:rowOff>
    </xdr:to>
    <xdr:sp macro="[0]!Excluir_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934D8B1-D8D2-4345-B8FE-E4673E91D124}"/>
            </a:ext>
          </a:extLst>
        </xdr:cNvPr>
        <xdr:cNvSpPr/>
      </xdr:nvSpPr>
      <xdr:spPr>
        <a:xfrm>
          <a:off x="12906375" y="1304925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Excluir</a:t>
          </a:r>
          <a:r>
            <a:rPr lang="pt-BR" sz="1100" baseline="0">
              <a:solidFill>
                <a:schemeClr val="bg1"/>
              </a:solidFill>
            </a:rPr>
            <a:t> registro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152400</xdr:colOff>
      <xdr:row>2</xdr:row>
      <xdr:rowOff>333375</xdr:rowOff>
    </xdr:from>
    <xdr:to>
      <xdr:col>15</xdr:col>
      <xdr:colOff>552450</xdr:colOff>
      <xdr:row>4</xdr:row>
      <xdr:rowOff>38100</xdr:rowOff>
    </xdr:to>
    <xdr:sp macro="[0]!Nova_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10FD017-5EB7-41EE-A74A-51DEDD856387}"/>
            </a:ext>
          </a:extLst>
        </xdr:cNvPr>
        <xdr:cNvSpPr/>
      </xdr:nvSpPr>
      <xdr:spPr>
        <a:xfrm>
          <a:off x="12915900" y="876300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Nova venda</a:t>
          </a:r>
        </a:p>
      </xdr:txBody>
    </xdr:sp>
    <xdr:clientData/>
  </xdr:twoCellAnchor>
  <xdr:twoCellAnchor>
    <xdr:from>
      <xdr:col>13</xdr:col>
      <xdr:colOff>152400</xdr:colOff>
      <xdr:row>7</xdr:row>
      <xdr:rowOff>28575</xdr:rowOff>
    </xdr:from>
    <xdr:to>
      <xdr:col>15</xdr:col>
      <xdr:colOff>552450</xdr:colOff>
      <xdr:row>8</xdr:row>
      <xdr:rowOff>123825</xdr:rowOff>
    </xdr:to>
    <xdr:sp macro="[0]!Inserir_Produ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B507678-C22F-4308-BB5E-ABAB83BFB133}"/>
            </a:ext>
          </a:extLst>
        </xdr:cNvPr>
        <xdr:cNvSpPr/>
      </xdr:nvSpPr>
      <xdr:spPr>
        <a:xfrm>
          <a:off x="12915900" y="1724025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17</xdr:col>
      <xdr:colOff>57150</xdr:colOff>
      <xdr:row>1</xdr:row>
      <xdr:rowOff>47625</xdr:rowOff>
    </xdr:from>
    <xdr:to>
      <xdr:col>19</xdr:col>
      <xdr:colOff>457200</xdr:colOff>
      <xdr:row>1</xdr:row>
      <xdr:rowOff>333375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29A69E-A278-4B6E-8004-3B8277C88313}"/>
            </a:ext>
          </a:extLst>
        </xdr:cNvPr>
        <xdr:cNvSpPr/>
      </xdr:nvSpPr>
      <xdr:spPr>
        <a:xfrm>
          <a:off x="15259050" y="238125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14</xdr:col>
      <xdr:colOff>19050</xdr:colOff>
      <xdr:row>1</xdr:row>
      <xdr:rowOff>47625</xdr:rowOff>
    </xdr:from>
    <xdr:to>
      <xdr:col>16</xdr:col>
      <xdr:colOff>419100</xdr:colOff>
      <xdr:row>1</xdr:row>
      <xdr:rowOff>333375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94DE7F6-534C-45A0-8FB2-780B34BC95EC}"/>
            </a:ext>
          </a:extLst>
        </xdr:cNvPr>
        <xdr:cNvSpPr/>
      </xdr:nvSpPr>
      <xdr:spPr>
        <a:xfrm>
          <a:off x="13392150" y="238125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114300</xdr:colOff>
      <xdr:row>5</xdr:row>
      <xdr:rowOff>19050</xdr:rowOff>
    </xdr:from>
    <xdr:to>
      <xdr:col>15</xdr:col>
      <xdr:colOff>514350</xdr:colOff>
      <xdr:row>6</xdr:row>
      <xdr:rowOff>114300</xdr:rowOff>
    </xdr:to>
    <xdr:sp macro="[0]!Excluir_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859B5AA-400D-4E3B-94F5-724459D2A296}"/>
            </a:ext>
          </a:extLst>
        </xdr:cNvPr>
        <xdr:cNvSpPr/>
      </xdr:nvSpPr>
      <xdr:spPr>
        <a:xfrm>
          <a:off x="12877800" y="1333500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Excluir</a:t>
          </a:r>
          <a:r>
            <a:rPr lang="pt-BR" sz="1100" baseline="0">
              <a:solidFill>
                <a:schemeClr val="bg1"/>
              </a:solidFill>
            </a:rPr>
            <a:t> registro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123825</xdr:colOff>
      <xdr:row>2</xdr:row>
      <xdr:rowOff>361950</xdr:rowOff>
    </xdr:from>
    <xdr:to>
      <xdr:col>15</xdr:col>
      <xdr:colOff>523875</xdr:colOff>
      <xdr:row>4</xdr:row>
      <xdr:rowOff>66675</xdr:rowOff>
    </xdr:to>
    <xdr:sp macro="[0]!Nova_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545B97A-7C32-41A6-8C11-1B8F1C477E9B}"/>
            </a:ext>
          </a:extLst>
        </xdr:cNvPr>
        <xdr:cNvSpPr/>
      </xdr:nvSpPr>
      <xdr:spPr>
        <a:xfrm>
          <a:off x="12887325" y="904875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Nova venda</a:t>
          </a:r>
        </a:p>
      </xdr:txBody>
    </xdr:sp>
    <xdr:clientData/>
  </xdr:twoCellAnchor>
  <xdr:twoCellAnchor>
    <xdr:from>
      <xdr:col>13</xdr:col>
      <xdr:colOff>123825</xdr:colOff>
      <xdr:row>7</xdr:row>
      <xdr:rowOff>57150</xdr:rowOff>
    </xdr:from>
    <xdr:to>
      <xdr:col>15</xdr:col>
      <xdr:colOff>523875</xdr:colOff>
      <xdr:row>8</xdr:row>
      <xdr:rowOff>152400</xdr:rowOff>
    </xdr:to>
    <xdr:sp macro="[0]!Inserir_Produ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754E095-8A12-4BE5-A86D-BB25FBA57420}"/>
            </a:ext>
          </a:extLst>
        </xdr:cNvPr>
        <xdr:cNvSpPr/>
      </xdr:nvSpPr>
      <xdr:spPr>
        <a:xfrm>
          <a:off x="12887325" y="1752600"/>
          <a:ext cx="1619250" cy="28575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16</xdr:col>
      <xdr:colOff>276225</xdr:colOff>
      <xdr:row>1</xdr:row>
      <xdr:rowOff>47625</xdr:rowOff>
    </xdr:from>
    <xdr:to>
      <xdr:col>19</xdr:col>
      <xdr:colOff>66675</xdr:colOff>
      <xdr:row>1</xdr:row>
      <xdr:rowOff>333375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6BA4BE-8CB9-4008-A32F-C8D65C7AD3F5}"/>
            </a:ext>
          </a:extLst>
        </xdr:cNvPr>
        <xdr:cNvSpPr/>
      </xdr:nvSpPr>
      <xdr:spPr>
        <a:xfrm>
          <a:off x="14868525" y="238125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238125</xdr:colOff>
      <xdr:row>1</xdr:row>
      <xdr:rowOff>47625</xdr:rowOff>
    </xdr:from>
    <xdr:to>
      <xdr:col>16</xdr:col>
      <xdr:colOff>28575</xdr:colOff>
      <xdr:row>1</xdr:row>
      <xdr:rowOff>333375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34F24C-2414-4353-A844-CADD0ED960CE}"/>
            </a:ext>
          </a:extLst>
        </xdr:cNvPr>
        <xdr:cNvSpPr/>
      </xdr:nvSpPr>
      <xdr:spPr>
        <a:xfrm>
          <a:off x="13001625" y="238125"/>
          <a:ext cx="1619250" cy="28575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elipe Duarte" id="{DCEACD80-928D-4AAD-8FA3-3CF4D8FD12DA}" userId="272a11af2a244df6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" refreshedDate="45307.336841550925" createdVersion="8" refreshedVersion="8" minRefreshableVersion="3" recordCount="26" xr:uid="{97CC35DE-AFF0-4810-B5FB-D2055B50D8C7}">
  <cacheSource type="worksheet">
    <worksheetSource name="Tabela5"/>
  </cacheSource>
  <cacheFields count="12">
    <cacheField name="Id da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s" numFmtId="0">
      <sharedItems count="14">
        <s v="Centro"/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</sharedItems>
    </cacheField>
    <cacheField name="Medida" numFmtId="0">
      <sharedItems/>
    </cacheField>
    <cacheField name="Quantidade" numFmtId="0">
      <sharedItems containsString="0" containsBlank="1" containsNumber="1" minValue="1" maxValue="24"/>
    </cacheField>
    <cacheField name="Preço Unitario" numFmtId="44">
      <sharedItems containsSemiMixedTypes="0" containsString="0" containsNumber="1" minValue="0" maxValue="25.9"/>
    </cacheField>
    <cacheField name="Subtotal" numFmtId="44">
      <sharedItems containsSemiMixedTypes="0" containsString="0" containsNumber="1" minValue="0" maxValue="159"/>
    </cacheField>
    <cacheField name="Desconto" numFmtId="9">
      <sharedItems containsString="0" containsBlank="1" containsNumber="1" minValue="0.03" maxValue="0.03"/>
    </cacheField>
    <cacheField name="Entrega" numFmtId="0">
      <sharedItems count="4">
        <s v="Zona Sul"/>
        <s v="Loja"/>
        <s v="Zona Norte"/>
        <s v="Zona Oeste"/>
      </sharedItems>
    </cacheField>
    <cacheField name="Valor de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" maxValue="159"/>
    </cacheField>
    <cacheField name="Total para Cliente" numFmtId="44">
      <sharedItems containsMixedTypes="1" containsNumber="1" minValue="2.19" maxValue="230.32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" refreshedDate="45307.342588425927" createdVersion="8" refreshedVersion="8" minRefreshableVersion="3" recordCount="13" xr:uid="{73D8E028-34D8-4FF7-963F-C0765EB43A6D}">
  <cacheSource type="worksheet">
    <worksheetSource name="Tabela57"/>
  </cacheSource>
  <cacheFields count="12">
    <cacheField name="Id da Venda" numFmtId="0">
      <sharedItems containsString="0" containsBlank="1" containsNumber="1" containsInteger="1" minValue="100" maxValue="101"/>
    </cacheField>
    <cacheField name="Data" numFmtId="14">
      <sharedItems containsNonDate="0" containsDate="1" containsString="0" containsBlank="1" minDate="2015-05-15T00:00:00" maxDate="2024-01-17T00:00:00" count="3">
        <d v="2024-01-16T00:00:00"/>
        <d v="2015-05-15T00:00:00"/>
        <m/>
      </sharedItems>
    </cacheField>
    <cacheField name="Produtos" numFmtId="0">
      <sharedItems containsBlank="1" count="3">
        <s v="Vinho"/>
        <s v="Vodka"/>
        <m/>
      </sharedItems>
    </cacheField>
    <cacheField name="Medida" numFmtId="0">
      <sharedItems/>
    </cacheField>
    <cacheField name="Quantidade" numFmtId="0">
      <sharedItems containsString="0" containsBlank="1" containsNumber="1" containsInteger="1" minValue="1" maxValue="1"/>
    </cacheField>
    <cacheField name="Preço Unitario" numFmtId="44">
      <sharedItems containsSemiMixedTypes="0" containsString="0" containsNumber="1" minValue="0" maxValue="54.9"/>
    </cacheField>
    <cacheField name="Subtotal" numFmtId="44">
      <sharedItems containsSemiMixedTypes="0" containsString="0" containsNumber="1" minValue="0" maxValue="54.9"/>
    </cacheField>
    <cacheField name="Desconto" numFmtId="9">
      <sharedItems containsNonDate="0" containsString="0" containsBlank="1"/>
    </cacheField>
    <cacheField name="Entrega" numFmtId="0">
      <sharedItems containsBlank="1" count="3">
        <s v="Zona Sul"/>
        <s v="Zona Oeste"/>
        <m/>
      </sharedItems>
    </cacheField>
    <cacheField name="Valor de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" maxValue="62.9"/>
    </cacheField>
    <cacheField name="Total para Cliente" numFmtId="44">
      <sharedItems containsMixedTypes="1" containsNumber="1" minValue="36.4" maxValue="62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13"/>
    <x v="0"/>
    <x v="0"/>
    <s v=""/>
    <m/>
    <n v="0"/>
    <n v="0"/>
    <m/>
    <x v="0"/>
    <n v="0"/>
    <n v="0"/>
    <s v=""/>
  </r>
  <r>
    <n v="13"/>
    <x v="0"/>
    <x v="1"/>
    <s v="Pacote"/>
    <n v="10"/>
    <n v="1.1499999999999999"/>
    <n v="11.5"/>
    <m/>
    <x v="0"/>
    <n v="0"/>
    <n v="11.5"/>
    <s v=""/>
  </r>
  <r>
    <n v="13"/>
    <x v="0"/>
    <x v="2"/>
    <s v="Pacote"/>
    <n v="1"/>
    <n v="0.79"/>
    <n v="0.79"/>
    <n v="0.03"/>
    <x v="0"/>
    <n v="0"/>
    <n v="0.76629999999999998"/>
    <s v=""/>
  </r>
  <r>
    <n v="13"/>
    <x v="0"/>
    <x v="3"/>
    <s v="Kg"/>
    <n v="10"/>
    <n v="15.9"/>
    <n v="159"/>
    <m/>
    <x v="0"/>
    <n v="0"/>
    <n v="159"/>
    <s v=""/>
  </r>
  <r>
    <n v="13"/>
    <x v="0"/>
    <x v="4"/>
    <s v="Lata"/>
    <n v="24"/>
    <n v="2.19"/>
    <n v="52.56"/>
    <m/>
    <x v="0"/>
    <n v="6.5"/>
    <n v="59.06"/>
    <n v="230.3263"/>
  </r>
  <r>
    <n v="12"/>
    <x v="1"/>
    <x v="4"/>
    <s v="Lata"/>
    <n v="1"/>
    <n v="2.19"/>
    <n v="2.19"/>
    <m/>
    <x v="1"/>
    <n v="0"/>
    <n v="2.19"/>
    <n v="2.19"/>
  </r>
  <r>
    <n v="11"/>
    <x v="1"/>
    <x v="4"/>
    <s v="Lata"/>
    <n v="10"/>
    <n v="2.19"/>
    <n v="21.9"/>
    <m/>
    <x v="1"/>
    <n v="0"/>
    <n v="21.9"/>
    <n v="21.9"/>
  </r>
  <r>
    <n v="10"/>
    <x v="1"/>
    <x v="5"/>
    <s v="Kg"/>
    <n v="6"/>
    <n v="4.28"/>
    <n v="25.68"/>
    <m/>
    <x v="1"/>
    <n v="0"/>
    <n v="25.68"/>
    <s v=""/>
  </r>
  <r>
    <n v="10"/>
    <x v="1"/>
    <x v="6"/>
    <s v="Litro"/>
    <n v="4"/>
    <n v="2.39"/>
    <n v="9.56"/>
    <m/>
    <x v="1"/>
    <n v="0"/>
    <n v="9.56"/>
    <n v="35.24"/>
  </r>
  <r>
    <n v="9"/>
    <x v="2"/>
    <x v="7"/>
    <s v="Unidade"/>
    <n v="5"/>
    <n v="2.89"/>
    <n v="14.450000000000001"/>
    <m/>
    <x v="1"/>
    <n v="0"/>
    <n v="14.450000000000001"/>
    <s v=""/>
  </r>
  <r>
    <n v="9"/>
    <x v="2"/>
    <x v="8"/>
    <s v="Kg"/>
    <n v="2"/>
    <n v="9.58"/>
    <n v="19.16"/>
    <m/>
    <x v="1"/>
    <n v="0"/>
    <n v="19.16"/>
    <s v=""/>
  </r>
  <r>
    <n v="9"/>
    <x v="2"/>
    <x v="9"/>
    <s v="Kg"/>
    <n v="1.5"/>
    <n v="25.9"/>
    <n v="38.849999999999994"/>
    <m/>
    <x v="1"/>
    <n v="0"/>
    <n v="38.849999999999994"/>
    <s v=""/>
  </r>
  <r>
    <n v="9"/>
    <x v="2"/>
    <x v="5"/>
    <s v="Kg"/>
    <n v="4"/>
    <n v="4.28"/>
    <n v="17.12"/>
    <m/>
    <x v="1"/>
    <n v="0"/>
    <n v="17.12"/>
    <n v="89.58"/>
  </r>
  <r>
    <n v="8"/>
    <x v="2"/>
    <x v="4"/>
    <s v="Lata"/>
    <n v="20"/>
    <n v="2.19"/>
    <n v="43.8"/>
    <m/>
    <x v="0"/>
    <n v="6.5"/>
    <n v="50.3"/>
    <n v="50.3"/>
  </r>
  <r>
    <n v="7"/>
    <x v="2"/>
    <x v="4"/>
    <s v="Lata"/>
    <n v="20"/>
    <n v="2.19"/>
    <n v="43.8"/>
    <m/>
    <x v="1"/>
    <n v="0"/>
    <n v="43.8"/>
    <n v="43.8"/>
  </r>
  <r>
    <n v="6"/>
    <x v="2"/>
    <x v="2"/>
    <s v="Pacote"/>
    <n v="2"/>
    <n v="0.79"/>
    <n v="1.58"/>
    <m/>
    <x v="1"/>
    <n v="0"/>
    <n v="1.58"/>
    <s v=""/>
  </r>
  <r>
    <n v="6"/>
    <x v="2"/>
    <x v="3"/>
    <s v="Kg"/>
    <n v="6"/>
    <n v="15.9"/>
    <n v="95.4"/>
    <m/>
    <x v="1"/>
    <n v="0"/>
    <n v="95.4"/>
    <s v=""/>
  </r>
  <r>
    <n v="6"/>
    <x v="2"/>
    <x v="4"/>
    <s v="Lata"/>
    <n v="12"/>
    <n v="2.19"/>
    <n v="26.28"/>
    <m/>
    <x v="1"/>
    <n v="0"/>
    <n v="26.28"/>
    <n v="123.26"/>
  </r>
  <r>
    <n v="5"/>
    <x v="3"/>
    <x v="10"/>
    <s v="Unidade"/>
    <n v="3"/>
    <n v="2.99"/>
    <n v="8.9700000000000006"/>
    <m/>
    <x v="0"/>
    <n v="6.5"/>
    <n v="15.47"/>
    <n v="15.47"/>
  </r>
  <r>
    <n v="4"/>
    <x v="3"/>
    <x v="11"/>
    <s v="Pacote"/>
    <n v="2"/>
    <n v="1.99"/>
    <n v="3.98"/>
    <m/>
    <x v="2"/>
    <n v="0"/>
    <n v="3.98"/>
    <s v=""/>
  </r>
  <r>
    <n v="4"/>
    <x v="3"/>
    <x v="12"/>
    <s v="Kg"/>
    <n v="5"/>
    <n v="2.4900000000000002"/>
    <n v="12.450000000000001"/>
    <m/>
    <x v="2"/>
    <n v="6.5"/>
    <n v="18.950000000000003"/>
    <n v="22.930000000000003"/>
  </r>
  <r>
    <n v="3"/>
    <x v="3"/>
    <x v="13"/>
    <s v="Litro"/>
    <n v="6"/>
    <n v="1.49"/>
    <n v="8.94"/>
    <m/>
    <x v="3"/>
    <n v="8"/>
    <n v="16.939999999999998"/>
    <n v="16.939999999999998"/>
  </r>
  <r>
    <n v="2"/>
    <x v="3"/>
    <x v="11"/>
    <s v="Pacote"/>
    <n v="1"/>
    <n v="1.99"/>
    <n v="1.99"/>
    <m/>
    <x v="2"/>
    <n v="6.5"/>
    <n v="8.49"/>
    <n v="8.49"/>
  </r>
  <r>
    <n v="1"/>
    <x v="3"/>
    <x v="12"/>
    <s v="Kg"/>
    <n v="2"/>
    <n v="2.4900000000000002"/>
    <n v="4.9800000000000004"/>
    <m/>
    <x v="1"/>
    <n v="0"/>
    <n v="4.9800000000000004"/>
    <s v=""/>
  </r>
  <r>
    <n v="1"/>
    <x v="3"/>
    <x v="1"/>
    <s v="Pacote"/>
    <n v="3"/>
    <n v="1.1499999999999999"/>
    <n v="3.4499999999999997"/>
    <m/>
    <x v="1"/>
    <n v="0"/>
    <n v="3.4499999999999997"/>
    <s v=""/>
  </r>
  <r>
    <n v="1"/>
    <x v="3"/>
    <x v="11"/>
    <s v="Pacote"/>
    <n v="1"/>
    <n v="1.99"/>
    <n v="1.99"/>
    <m/>
    <x v="1"/>
    <n v="0"/>
    <n v="1.99"/>
    <n v="10.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n v="101"/>
    <x v="0"/>
    <x v="0"/>
    <s v="Garrafa"/>
    <n v="1"/>
    <n v="29.9"/>
    <n v="29.9"/>
    <m/>
    <x v="0"/>
    <n v="6.5"/>
    <n v="36.4"/>
    <n v="36.4"/>
  </r>
  <r>
    <n v="100"/>
    <x v="1"/>
    <x v="1"/>
    <s v="Garrafa"/>
    <n v="1"/>
    <n v="54.9"/>
    <n v="54.9"/>
    <m/>
    <x v="1"/>
    <n v="8"/>
    <n v="62.9"/>
    <n v="62.9"/>
  </r>
  <r>
    <m/>
    <x v="2"/>
    <x v="2"/>
    <s v=""/>
    <m/>
    <n v="0"/>
    <n v="0"/>
    <m/>
    <x v="2"/>
    <n v="0"/>
    <n v="0"/>
    <s v=""/>
  </r>
  <r>
    <m/>
    <x v="2"/>
    <x v="2"/>
    <s v=""/>
    <m/>
    <n v="0"/>
    <n v="0"/>
    <m/>
    <x v="2"/>
    <n v="0"/>
    <n v="0"/>
    <s v=""/>
  </r>
  <r>
    <m/>
    <x v="2"/>
    <x v="2"/>
    <s v=""/>
    <m/>
    <n v="0"/>
    <n v="0"/>
    <m/>
    <x v="2"/>
    <n v="0"/>
    <n v="0"/>
    <s v=""/>
  </r>
  <r>
    <m/>
    <x v="2"/>
    <x v="2"/>
    <s v=""/>
    <m/>
    <n v="0"/>
    <n v="0"/>
    <m/>
    <x v="2"/>
    <n v="0"/>
    <n v="0"/>
    <s v=""/>
  </r>
  <r>
    <m/>
    <x v="2"/>
    <x v="2"/>
    <s v=""/>
    <m/>
    <n v="0"/>
    <n v="0"/>
    <m/>
    <x v="2"/>
    <n v="0"/>
    <n v="0"/>
    <s v=""/>
  </r>
  <r>
    <m/>
    <x v="2"/>
    <x v="2"/>
    <s v=""/>
    <m/>
    <n v="0"/>
    <n v="0"/>
    <m/>
    <x v="2"/>
    <n v="0"/>
    <n v="0"/>
    <s v=""/>
  </r>
  <r>
    <m/>
    <x v="2"/>
    <x v="2"/>
    <s v=""/>
    <m/>
    <n v="0"/>
    <n v="0"/>
    <m/>
    <x v="2"/>
    <n v="0"/>
    <n v="0"/>
    <s v=""/>
  </r>
  <r>
    <m/>
    <x v="2"/>
    <x v="2"/>
    <s v=""/>
    <m/>
    <n v="0"/>
    <n v="0"/>
    <m/>
    <x v="2"/>
    <n v="0"/>
    <n v="0"/>
    <s v=""/>
  </r>
  <r>
    <m/>
    <x v="2"/>
    <x v="2"/>
    <s v=""/>
    <m/>
    <n v="0"/>
    <n v="0"/>
    <m/>
    <x v="2"/>
    <n v="0"/>
    <n v="0"/>
    <s v=""/>
  </r>
  <r>
    <m/>
    <x v="2"/>
    <x v="2"/>
    <s v=""/>
    <m/>
    <n v="0"/>
    <n v="0"/>
    <m/>
    <x v="2"/>
    <n v="0"/>
    <n v="0"/>
    <s v=""/>
  </r>
  <r>
    <m/>
    <x v="2"/>
    <x v="2"/>
    <s v=""/>
    <m/>
    <n v="0"/>
    <n v="0"/>
    <m/>
    <x v="2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DBE177-FFC0-4E9B-AEB7-D40334CCAE68}" name="Tabela dinâmica3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8" firstHeaderRow="0" firstDataRow="1" firstDataCol="1"/>
  <pivotFields count="12">
    <pivotField showAll="0"/>
    <pivotField numFmtId="14" showAll="0"/>
    <pivotField axis="axisRow" showAll="0">
      <items count="15">
        <item x="10"/>
        <item x="1"/>
        <item x="12"/>
        <item x="11"/>
        <item x="2"/>
        <item x="3"/>
        <item x="0"/>
        <item x="4"/>
        <item x="5"/>
        <item x="13"/>
        <item x="7"/>
        <item x="9"/>
        <item x="6"/>
        <item x="8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1"/>
        <item sd="0" x="2"/>
        <item sd="0" x="3"/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0F8A6A-4CDC-4194-A01C-8BAFE1FE2DEB}" name="Tabela dinâmica2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28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15">
        <item x="10"/>
        <item x="1"/>
        <item x="12"/>
        <item x="11"/>
        <item x="2"/>
        <item x="3"/>
        <item x="0"/>
        <item x="4"/>
        <item x="5"/>
        <item x="13"/>
        <item x="7"/>
        <item x="9"/>
        <item x="6"/>
        <item x="8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25">
    <i>
      <x/>
    </i>
    <i r="1">
      <x/>
    </i>
    <i r="1">
      <x v="1"/>
    </i>
    <i r="1">
      <x v="2"/>
    </i>
    <i r="1">
      <x v="3"/>
    </i>
    <i r="1">
      <x v="9"/>
    </i>
    <i>
      <x v="1"/>
    </i>
    <i r="1">
      <x v="4"/>
    </i>
    <i r="1">
      <x v="5"/>
    </i>
    <i r="1">
      <x v="7"/>
    </i>
    <i r="1">
      <x v="8"/>
    </i>
    <i r="1">
      <x v="10"/>
    </i>
    <i r="1">
      <x v="11"/>
    </i>
    <i r="1">
      <x v="13"/>
    </i>
    <i>
      <x v="2"/>
    </i>
    <i r="1">
      <x v="7"/>
    </i>
    <i r="1">
      <x v="8"/>
    </i>
    <i r="1">
      <x v="12"/>
    </i>
    <i>
      <x v="3"/>
    </i>
    <i r="1">
      <x v="1"/>
    </i>
    <i r="1">
      <x v="4"/>
    </i>
    <i r="1">
      <x v="5"/>
    </i>
    <i r="1">
      <x v="6"/>
    </i>
    <i r="1"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B617D2-81FD-4B1B-B226-1257FE9D4BF3}" name="Tabela dinâmica2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10" firstHeaderRow="0" firstDataRow="1" firstDataCol="1"/>
  <pivotFields count="12">
    <pivotField showAll="0"/>
    <pivotField axis="axisRow" numFmtId="14" showAll="0">
      <items count="4">
        <item x="1"/>
        <item x="2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7">
    <i>
      <x/>
    </i>
    <i r="1">
      <x/>
    </i>
    <i>
      <x v="1"/>
    </i>
    <i r="1">
      <x v="1"/>
    </i>
    <i>
      <x v="2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04942D-1161-4B98-A859-2D0B332674DF}" name="Tabela dinâmica3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9" firstHeaderRow="0" firstDataRow="1" firstDataCol="1"/>
  <pivotFields count="12">
    <pivotField showAll="0"/>
    <pivotField numFmtId="14" showAll="0"/>
    <pivotField axis="axisRow" showAll="0">
      <items count="4">
        <item x="1"/>
        <item x="2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4">
        <item sd="0" x="1"/>
        <item x="2"/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6">
    <i>
      <x/>
    </i>
    <i>
      <x v="1"/>
    </i>
    <i r="1">
      <x v="1"/>
    </i>
    <i>
      <x v="2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DF667D-A87E-46B2-8280-7F2717A185A6}" name="Tabela1" displayName="Tabela1" ref="B4:G29" totalsRowShown="0">
  <autoFilter ref="B4:G29" xr:uid="{0DDF667D-A87E-46B2-8280-7F2717A185A6}"/>
  <tableColumns count="6">
    <tableColumn id="1" xr3:uid="{EE49779D-73AD-411A-81B2-FD4AB118D362}" name="Despesas de Funcionamento"/>
    <tableColumn id="2" xr3:uid="{1EE11514-E2DB-4E9A-B4BD-DB42548B010F}" name="Itens Despesas"/>
    <tableColumn id="3" xr3:uid="{87258CB7-76C5-4336-BA11-62BA6BE7A9C0}" name="Data"/>
    <tableColumn id="4" xr3:uid="{F2AFA12F-4485-4406-A731-7F8A2D3571F9}" name="Observação"/>
    <tableColumn id="5" xr3:uid="{9B5E9B51-FFC4-40C7-927A-0B2937159E60}" name="Valor Intermediário" dataCellStyle="Moeda"/>
    <tableColumn id="6" xr3:uid="{427985E8-3074-41D5-89FD-01339F25B488}" name="Valor Final" dataCellStyle="Moeda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56FACBD-7F42-46E0-BD8D-578D5CD1B18A}" name="Tabela2" displayName="Tabela2" ref="B4:I26" totalsRowShown="0">
  <autoFilter ref="B4:I26" xr:uid="{C56FACBD-7F42-46E0-BD8D-578D5CD1B18A}"/>
  <sortState xmlns:xlrd2="http://schemas.microsoft.com/office/spreadsheetml/2017/richdata2" ref="B5:I26">
    <sortCondition descending="1" ref="B4:B26"/>
  </sortState>
  <tableColumns count="8">
    <tableColumn id="1" xr3:uid="{0CDE6F5E-B09B-4CCE-9067-2F020BB8BB58}" name="Data" dataDxfId="51"/>
    <tableColumn id="2" xr3:uid="{73CD4C6B-EF22-467A-9B5A-C473A1A0EAE4}" name="Fornecedor"/>
    <tableColumn id="3" xr3:uid="{8356AC20-2D95-4562-BFF0-20709C685BC6}" name="Mercadoria"/>
    <tableColumn id="4" xr3:uid="{30EA9E70-990D-4B05-AE08-5BB5EFD88571}" name="Medida" dataDxfId="50">
      <calculatedColumnFormula>IFERROR(VLOOKUP(Tabela2[[#This Row],[Mercadoria]],cálculos!$J$5:$M$33,4,FALSE),"")</calculatedColumnFormula>
    </tableColumn>
    <tableColumn id="5" xr3:uid="{9F3D6A17-E497-41C7-81EF-DDD1FF8F1EB9}" name="Quantidade"/>
    <tableColumn id="6" xr3:uid="{8CF3C65B-9867-400C-A407-B60645A85016}" name="Preço Unitario" dataDxfId="15" dataCellStyle="Moeda">
      <calculatedColumnFormula>IFERROR(VLOOKUP(Tabela2[[#This Row],[Mercadoria]],cálculos!$J$5:$M$33,2,FALSE),0)</calculatedColumnFormula>
    </tableColumn>
    <tableColumn id="7" xr3:uid="{0604C488-8863-4301-9971-69DE72814A98}" name="Desconto" dataCellStyle="Porcentagem"/>
    <tableColumn id="8" xr3:uid="{F8D15DDA-83E4-4ADD-98D6-F8F050F2C5BC}" name="Valor Pago" dataDxfId="49" dataCellStyle="Moeda">
      <calculatedColumnFormula>Tabela2[[#This Row],[Quantidade]]*Tabela2[[#This Row],[Preço Unitario]]*(1-Tabela2[[#This Row],[Desconto]])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6433D4-132F-45EA-B08B-330EF3B27791}" name="Tabela4" displayName="Tabela4" ref="B4:H28" totalsRowShown="0">
  <autoFilter ref="B4:H28" xr:uid="{B06433D4-132F-45EA-B08B-330EF3B27791}"/>
  <tableColumns count="7">
    <tableColumn id="1" xr3:uid="{009A77FC-F80F-4C16-9188-8FDB67BBA946}" name="Produto"/>
    <tableColumn id="2" xr3:uid="{59E61E39-C625-4BBA-A237-EFD4C6EC1B53}" name="Data da última compra" dataDxfId="48">
      <calculatedColumnFormula>IFERROR(INDEX(Tabela2[],MATCH(Tabela4[[#This Row],[Produto]],Tabela2[Mercadoria],0),1),"")</calculatedColumnFormula>
    </tableColumn>
    <tableColumn id="3" xr3:uid="{19E5BEAC-C875-4C99-AC0F-2CA8C2090560}" name="Quantidade Inicial"/>
    <tableColumn id="4" xr3:uid="{CCDC04F9-76A0-47B2-80F3-0A1DB8B79653}" name="Quantidade Comprada" dataDxfId="47">
      <calculatedColumnFormula>SUMIF(Tabela2[Mercadoria],Tabela4[[#This Row],[Produto]],Tabela2[Quantidade])</calculatedColumnFormula>
    </tableColumn>
    <tableColumn id="5" xr3:uid="{7F7360E5-B29B-49C4-AE81-1CF93E362B04}" name="Quantidade Vendida" dataDxfId="7">
      <calculatedColumnFormula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calculatedColumnFormula>
    </tableColumn>
    <tableColumn id="6" xr3:uid="{38B2A1D3-3571-44A8-858A-EF333CA26AE9}" name="Quantidade Atual" dataDxfId="46">
      <calculatedColumnFormula>Tabela4[[#This Row],[Quantidade Inicial]]+Tabela4[[#This Row],[Quantidade Comprada]]-Tabela4[[#This Row],[Quantidade Vendida]]</calculatedColumnFormula>
    </tableColumn>
    <tableColumn id="7" xr3:uid="{8314E547-E5FA-415E-9736-FB8C41986777}" name="Situação" dataDxfId="45">
      <calculatedColumnFormula>IF(Tabela4[[#This Row],[Quantidade Atual]]&lt;50,IF(Tabela4[[#This Row],[Quantidade Atual]]&lt;21,"Comprar","Atenção"),"OK")</calculatedColumnFormula>
    </tableColumn>
  </tableColumns>
  <tableStyleInfo name="TableStyleMedium4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F73C0A-86AD-497A-92A6-43713F675FD3}" name="Tabela3" displayName="Tabela3" ref="B4:E9" totalsRowShown="0">
  <autoFilter ref="B4:E9" xr:uid="{C5F73C0A-86AD-497A-92A6-43713F675FD3}"/>
  <tableColumns count="4">
    <tableColumn id="1" xr3:uid="{97816E88-9A7B-4CC7-BCEE-2304978DE29E}" name="Investimento"/>
    <tableColumn id="2" xr3:uid="{60CC9F67-3F70-416A-B4BF-E0C7068673AC}" name="Data" dataDxfId="44"/>
    <tableColumn id="3" xr3:uid="{8C1E2250-BFAF-4A1A-AD75-FBDC098001B2}" name="Descrição" dataDxfId="43"/>
    <tableColumn id="4" xr3:uid="{478DB62C-AA44-4AA9-8838-4AEE961F14F4}" name="Valor" dataCellStyle="Mo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7AC521-535B-420C-92A2-07300847AB3B}" name="Tabela5" displayName="Tabela5" ref="B4:M30" totalsRowShown="0">
  <autoFilter ref="B4:M30" xr:uid="{DA7AC521-535B-420C-92A2-07300847AB3B}"/>
  <sortState xmlns:xlrd2="http://schemas.microsoft.com/office/spreadsheetml/2017/richdata2" ref="B5:M30">
    <sortCondition descending="1" ref="B4:B30"/>
  </sortState>
  <tableColumns count="12">
    <tableColumn id="1" xr3:uid="{BE35FECC-0AAE-49D7-B478-E5EFA06BB06B}" name="Id da Venda"/>
    <tableColumn id="2" xr3:uid="{AB6FFF1F-F332-45DC-B041-728C58B43681}" name="Data" dataDxfId="42"/>
    <tableColumn id="3" xr3:uid="{77F97BE9-6E7E-4476-9CDB-16A8D39448BF}" name="Produtos"/>
    <tableColumn id="4" xr3:uid="{F446AC04-F70F-44E4-A530-AD287CF1E7B5}" name="Medida" dataDxfId="41">
      <calculatedColumnFormula>IFERROR(VLOOKUP(Tabela5[[#This Row],[Produtos]],cálculos!$J$5:$M$33,4,FALSE),"")</calculatedColumnFormula>
    </tableColumn>
    <tableColumn id="5" xr3:uid="{4B2EDB34-B4B8-49B7-A149-FC8342F60389}" name="Quantidade"/>
    <tableColumn id="6" xr3:uid="{98FFF442-CBCF-4960-BEBA-9E9BE4C75FB7}" name="Preço Unitario" dataDxfId="40" dataCellStyle="Moeda">
      <calculatedColumnFormula>IFERROR(VLOOKUP(Tabela5[[#This Row],[Produtos]],cálculos!$J$5:$M$33,3,FALSE),0)</calculatedColumnFormula>
    </tableColumn>
    <tableColumn id="7" xr3:uid="{97F84E10-2A8E-428C-AFD6-9CB82A723AEE}" name="Subtotal" dataDxfId="39" dataCellStyle="Moeda">
      <calculatedColumnFormula>Tabela5[[#This Row],[Quantidade]]*Tabela5[[#This Row],[Preço Unitario]]</calculatedColumnFormula>
    </tableColumn>
    <tableColumn id="8" xr3:uid="{CE9E1BDB-4269-4FEE-AF5E-B85D8B8202C0}" name="Desconto" dataCellStyle="Porcentagem"/>
    <tableColumn id="9" xr3:uid="{A1FF60D3-642E-44BE-99AD-DA72C42C229C}" name="Entrega"/>
    <tableColumn id="10" xr3:uid="{D8BAE3FD-5B84-4DFF-AA85-0F480DEEAB20}" name="Valor de Entrega" dataDxfId="14" dataCellStyle="Moeda">
      <calculatedColumnFormula>IFERROR(IF(Tabela5[[#This Row],[Id da Venda]]=B6,0,VLOOKUP(Tabela5[[#This Row],[Entrega]],cálculos!$B$5:$C$9,2,FALSE)),0)</calculatedColumnFormula>
    </tableColumn>
    <tableColumn id="11" xr3:uid="{ED2C3911-7C0F-4F3F-97E5-81BDD25D1E36}" name="Total" dataDxfId="38" dataCellStyle="Moeda">
      <calculatedColumnFormula>Tabela5[[#This Row],[Subtotal]]*(1-Tabela5[[#This Row],[Desconto]])+Tabela5[[#This Row],[Valor de Entrega]]</calculatedColumnFormula>
    </tableColumn>
    <tableColumn id="12" xr3:uid="{063F0979-2D30-4A75-BF60-27203BAE5CA4}" name="Total para Cliente" dataDxfId="37" dataCellStyle="Moeda">
      <calculatedColumnFormula>IF(Tabela5[[#This Row],[Id da Venda]]=B6,"",SUMIF(Tabela5[Id da Venda],Tabela5[[#This Row],[Id da Venda]],Tabela5[Total]))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5E2697-133B-4D6F-8549-59BB3688F1F4}" name="Tabela57" displayName="Tabela57" ref="B4:M17" totalsRowShown="0">
  <autoFilter ref="B4:M17" xr:uid="{2B5E2697-133B-4D6F-8549-59BB3688F1F4}"/>
  <tableColumns count="12">
    <tableColumn id="1" xr3:uid="{A95BBA42-4970-47F9-87B2-9619462A2C64}" name="Id da Venda"/>
    <tableColumn id="2" xr3:uid="{B19EAF99-6348-4815-AE2B-F2A77B47D6F6}" name="Data" dataDxfId="36"/>
    <tableColumn id="3" xr3:uid="{692D414B-9705-4388-A8AB-0DB303538460}" name="Produtos"/>
    <tableColumn id="4" xr3:uid="{69B9E99A-83ED-4A4D-B944-D333D2287F15}" name="Medida" dataDxfId="35">
      <calculatedColumnFormula>IFERROR(VLOOKUP(Tabela57[[#This Row],[Produtos]],cálculos!$J$5:$M$33,4,FALSE),"")</calculatedColumnFormula>
    </tableColumn>
    <tableColumn id="5" xr3:uid="{73AEB4B7-DC11-44EC-ACD7-1F56EDD9A1F4}" name="Quantidade"/>
    <tableColumn id="6" xr3:uid="{0E1E92B2-4A86-48C2-B8FF-8A812DCF691F}" name="Preço Unitario" dataDxfId="34" dataCellStyle="Moeda">
      <calculatedColumnFormula>IFERROR(VLOOKUP(Tabela57[[#This Row],[Produtos]],cálculos!$J$5:$M$33,3,FALSE),0)</calculatedColumnFormula>
    </tableColumn>
    <tableColumn id="7" xr3:uid="{ACE4493B-9966-436F-932F-69027304DFCF}" name="Subtotal" dataDxfId="33" dataCellStyle="Moeda">
      <calculatedColumnFormula>Tabela57[[#This Row],[Quantidade]]*Tabela57[[#This Row],[Preço Unitario]]</calculatedColumnFormula>
    </tableColumn>
    <tableColumn id="8" xr3:uid="{AE480B3B-5E3A-450A-863F-3F8EA8BA9EF4}" name="Desconto" dataCellStyle="Porcentagem"/>
    <tableColumn id="9" xr3:uid="{21E3A08D-A02D-45E3-9D3D-86D3533B7CEC}" name="Entrega"/>
    <tableColumn id="10" xr3:uid="{18872144-8F3E-4C74-8E46-B94EE8B48422}" name="Valor de Entrega" dataDxfId="32" dataCellStyle="Moeda">
      <calculatedColumnFormula>IFERROR(VLOOKUP(Tabela57[[#This Row],[Entrega]],cálculos!$B$5:$C$9,2,FALSE),0)</calculatedColumnFormula>
    </tableColumn>
    <tableColumn id="11" xr3:uid="{4EC8AB5E-03A6-470A-8B54-A4671A404A16}" name="Total" dataDxfId="31" dataCellStyle="Moeda">
      <calculatedColumnFormula>Tabela57[[#This Row],[Subtotal]]*(1-Tabela57[[#This Row],[Desconto]])+Tabela57[[#This Row],[Valor de Entrega]]</calculatedColumnFormula>
    </tableColumn>
    <tableColumn id="12" xr3:uid="{3D7824FE-F212-4A29-B788-DD3776D4B9EF}" name="Total para Cliente" dataDxfId="30" dataCellStyle="Moeda">
      <calculatedColumnFormula>IF(Tabela57[[#This Row],[Id da Venda]]=B6,"",SUMIF(Tabela57[Id da Venda],Tabela57[[#This Row],[Id da Venda]],Tabela57[Total]))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E7301F-7511-4AF2-8FA1-B42471ABFB45}" name="Tabela578" displayName="Tabela578" ref="B4:M16" totalsRowShown="0">
  <autoFilter ref="B4:M16" xr:uid="{29E7301F-7511-4AF2-8FA1-B42471ABFB45}"/>
  <tableColumns count="12">
    <tableColumn id="1" xr3:uid="{C80872CA-C4E9-484D-8FC5-E47B9B7AE601}" name="Id da Venda"/>
    <tableColumn id="2" xr3:uid="{3BA87B3B-941C-47B2-A13C-393774097B71}" name="Data" dataDxfId="29"/>
    <tableColumn id="3" xr3:uid="{C7C2E245-5D5B-430B-A5E1-07B34CAD595C}" name="Produtos"/>
    <tableColumn id="4" xr3:uid="{36F163D8-CC97-4353-8B50-6EC3458AAAB8}" name="Medida" dataDxfId="28">
      <calculatedColumnFormula>IFERROR(VLOOKUP(Tabela578[[#This Row],[Produtos]],cálculos!$J$5:$M$33,4,FALSE),"")</calculatedColumnFormula>
    </tableColumn>
    <tableColumn id="5" xr3:uid="{B53AC3EF-BD43-499D-A56D-44076BB5364E}" name="Quantidade"/>
    <tableColumn id="6" xr3:uid="{FF518397-21E9-4A7E-A17E-959019845C0E}" name="Preço Unitario" dataDxfId="27" dataCellStyle="Moeda">
      <calculatedColumnFormula>IFERROR(VLOOKUP(Tabela578[[#This Row],[Produtos]],cálculos!$J$5:$M$33,3,FALSE),0)</calculatedColumnFormula>
    </tableColumn>
    <tableColumn id="7" xr3:uid="{683B3705-68B2-4358-AC8E-897066BB17E9}" name="Subtotal" dataDxfId="26" dataCellStyle="Moeda">
      <calculatedColumnFormula>Tabela578[[#This Row],[Quantidade]]*Tabela578[[#This Row],[Preço Unitario]]</calculatedColumnFormula>
    </tableColumn>
    <tableColumn id="8" xr3:uid="{48719E77-B14C-4649-A510-F490A79A6C4C}" name="Desconto" dataCellStyle="Porcentagem"/>
    <tableColumn id="9" xr3:uid="{5E79A46B-DB8D-4028-908D-1BFC9E211396}" name="Entrega"/>
    <tableColumn id="10" xr3:uid="{5B0CD627-9206-4114-BE65-5A1998F4D078}" name="Valor de Entrega" dataDxfId="25" dataCellStyle="Moeda">
      <calculatedColumnFormula>IFERROR(VLOOKUP(Tabela578[[#This Row],[Entrega]],cálculos!$B$5:$C$9,2,FALSE),0)</calculatedColumnFormula>
    </tableColumn>
    <tableColumn id="11" xr3:uid="{07724EC6-DC59-4D0D-919F-8EF9D846A697}" name="Total" dataDxfId="24" dataCellStyle="Moeda">
      <calculatedColumnFormula>Tabela578[[#This Row],[Subtotal]]*(1-Tabela578[[#This Row],[Desconto]])+Tabela578[[#This Row],[Valor de Entrega]]</calculatedColumnFormula>
    </tableColumn>
    <tableColumn id="12" xr3:uid="{2942A4CD-8E74-4765-AFB1-504B2A2714A1}" name="Total para Cliente" dataDxfId="23" dataCellStyle="Moeda">
      <calculatedColumnFormula>IF(Tabela578[[#This Row],[Id da Venda]]=B6,"",SUMIF(Tabela578[Id da Venda],Tabela578[[#This Row],[Id da Venda]],Tabela578[Total]))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C1611C-038D-49CF-B6BA-98A82ECD9E5E}" name="Tabela579" displayName="Tabela579" ref="B4:M16" totalsRowShown="0">
  <autoFilter ref="B4:M16" xr:uid="{58C1611C-038D-49CF-B6BA-98A82ECD9E5E}"/>
  <tableColumns count="12">
    <tableColumn id="1" xr3:uid="{53E6D946-4EF0-4F5B-946A-C11A2D31AB7D}" name="Id da Venda"/>
    <tableColumn id="2" xr3:uid="{2061F3AD-41A0-4CD0-AEA1-AE7C7453527F}" name="Data" dataDxfId="22"/>
    <tableColumn id="3" xr3:uid="{A80D7996-3AF8-446C-8D1B-42282B6FAEBD}" name="Produtos"/>
    <tableColumn id="4" xr3:uid="{3AE62C8F-5EF0-4CE3-B245-D2DF5A3C6213}" name="Medida" dataDxfId="21">
      <calculatedColumnFormula>IFERROR(VLOOKUP(Tabela579[[#This Row],[Produtos]],cálculos!$J$5:$M$33,4,FALSE),"")</calculatedColumnFormula>
    </tableColumn>
    <tableColumn id="5" xr3:uid="{D6C74ACA-980E-44A1-BAB4-25786806248F}" name="Quantidade"/>
    <tableColumn id="6" xr3:uid="{EF358DAE-8F60-4B5E-BCCA-12122CF0688D}" name="Preço Unitario" dataDxfId="20" dataCellStyle="Moeda">
      <calculatedColumnFormula>IFERROR(VLOOKUP(Tabela579[[#This Row],[Produtos]],cálculos!$J$5:$M$33,3,FALSE),0)</calculatedColumnFormula>
    </tableColumn>
    <tableColumn id="7" xr3:uid="{1D9FCDA4-C237-40D2-B561-180E9FEFAA46}" name="Subtotal" dataDxfId="19" dataCellStyle="Moeda">
      <calculatedColumnFormula>Tabela579[[#This Row],[Quantidade]]*Tabela579[[#This Row],[Preço Unitario]]</calculatedColumnFormula>
    </tableColumn>
    <tableColumn id="8" xr3:uid="{42FB96F5-2620-44A1-805B-339B4CA276A7}" name="Desconto" dataCellStyle="Porcentagem"/>
    <tableColumn id="9" xr3:uid="{706DF1A8-2B4C-432B-90D7-52EE3CFCCE13}" name="Entrega"/>
    <tableColumn id="10" xr3:uid="{55C64ADF-FA19-4C52-B6BC-466E05F05EA0}" name="Valor de Entrega" dataDxfId="18" dataCellStyle="Moeda">
      <calculatedColumnFormula>IFERROR(VLOOKUP(Tabela579[[#This Row],[Entrega]],cálculos!$B$5:$C$9,2,FALSE),0)</calculatedColumnFormula>
    </tableColumn>
    <tableColumn id="11" xr3:uid="{47F29170-74A1-4FF6-A93D-1422A9E1F383}" name="Total" dataDxfId="17" dataCellStyle="Moeda">
      <calculatedColumnFormula>Tabela579[[#This Row],[Subtotal]]*(1-Tabela579[[#This Row],[Desconto]])+Tabela579[[#This Row],[Valor de Entrega]]</calculatedColumnFormula>
    </tableColumn>
    <tableColumn id="12" xr3:uid="{7CD2D50D-C6C5-4ED1-BFCE-096512675D2C}" name="Total para Cliente" dataDxfId="16" dataCellStyle="Moeda">
      <calculatedColumnFormula>IF(Tabela579[[#This Row],[Id da Venda]]=B6,"",SUMIF(Tabela579[Id da Venda],Tabela579[[#This Row],[Id da Venda]],Tabela579[Total]))</calculatedColumnFormula>
    </tableColumn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597F4D-FCC6-4B48-A32B-471461628F92}" name="Tabela5710" displayName="Tabela5710" ref="B4:M16" totalsRowShown="0">
  <autoFilter ref="B4:M16" xr:uid="{D2597F4D-FCC6-4B48-A32B-471461628F92}"/>
  <tableColumns count="12">
    <tableColumn id="1" xr3:uid="{95E66CCB-443D-4E9F-BF0D-6EC20ED69D6B}" name="Id da Venda"/>
    <tableColumn id="2" xr3:uid="{399F58A1-C888-4344-B56B-4F4AA8AE50E0}" name="Data"/>
    <tableColumn id="3" xr3:uid="{42BF55D7-03D0-42C8-92C9-D642D1FCFB9E}" name="Produtos"/>
    <tableColumn id="4" xr3:uid="{86F61224-A043-4B7E-A855-BE584A535FA9}" name="Medida" dataDxfId="13">
      <calculatedColumnFormula>IFERROR(VLOOKUP(Tabela5710[[#This Row],[Produtos]],cálculos!$J$5:$M$33,4,FALSE),"")</calculatedColumnFormula>
    </tableColumn>
    <tableColumn id="5" xr3:uid="{2A262CB4-EB41-4DF9-8F25-CB3F6137A48A}" name="Quantidade"/>
    <tableColumn id="6" xr3:uid="{17505C0A-6FBF-498B-8ED8-94E3AE25872D}" name="Preço Unitario" dataDxfId="12" dataCellStyle="Moeda">
      <calculatedColumnFormula>IFERROR(VLOOKUP(Tabela5710[[#This Row],[Produtos]],cálculos!$J$5:$M$33,3,FALSE),0)</calculatedColumnFormula>
    </tableColumn>
    <tableColumn id="7" xr3:uid="{02235A09-6D10-4564-B621-79BEFEEECE15}" name="Subtotal" dataDxfId="11" dataCellStyle="Moeda">
      <calculatedColumnFormula>Tabela5710[[#This Row],[Quantidade]]*Tabela5710[[#This Row],[Preço Unitario]]</calculatedColumnFormula>
    </tableColumn>
    <tableColumn id="8" xr3:uid="{D80B1ED1-5D1F-4E64-A223-7FBA96492FAB}" name="Desconto" dataCellStyle="Porcentagem"/>
    <tableColumn id="9" xr3:uid="{8A48427D-08C0-4576-BDAE-B3022EAE7358}" name="Entrega"/>
    <tableColumn id="10" xr3:uid="{3E5E2D74-9EA0-4364-87A0-E9B0B7AC0D0F}" name="Valor de Entrega" dataDxfId="10" dataCellStyle="Moeda">
      <calculatedColumnFormula>IFERROR(VLOOKUP(Tabela5710[[#This Row],[Entrega]],cálculos!$B$5:$C$9,2,FALSE),0)</calculatedColumnFormula>
    </tableColumn>
    <tableColumn id="11" xr3:uid="{8F97C5C3-5EBA-4ECA-9BC0-B653BD6CB1A6}" name="Total" dataDxfId="9" dataCellStyle="Moeda">
      <calculatedColumnFormula>Tabela5710[[#This Row],[Subtotal]]*(1-Tabela5710[[#This Row],[Desconto]])+Tabela5710[[#This Row],[Valor de Entrega]]</calculatedColumnFormula>
    </tableColumn>
    <tableColumn id="12" xr3:uid="{04EDC8CA-179F-4C6B-8BD0-53F939E271FD}" name="Total para Cliente" dataDxfId="8" dataCellStyle="Moeda">
      <calculatedColumnFormula>IF(Tabela5710[[#This Row],[Id da Venda]]=B6,"",SUMIF(Tabela5710[Id da Venda],Tabela5710[[#This Row],[Id da Venda]],Tabela5710[Total]))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1" dT="2024-01-15T12:10:59.11" personId="{DCEACD80-928D-4AAD-8FA3-3CF4D8FD12DA}" id="{CE0F6415-CD13-47EC-BDE3-51E1676525FF}">
    <text>Colocar descrição da despesa na coluna de observação</text>
  </threadedComment>
  <threadedComment ref="C19" dT="2024-01-15T12:10:59.11" personId="{DCEACD80-928D-4AAD-8FA3-3CF4D8FD12DA}" id="{07B7BEF0-D66A-4FB6-96FE-BEF14C144E80}">
    <text>Colocar descrição da despesa na coluna de observação</text>
  </threadedComment>
  <threadedComment ref="C27" dT="2024-01-15T12:10:59.11" personId="{DCEACD80-928D-4AAD-8FA3-3CF4D8FD12DA}" id="{AFC1DFA4-D046-4CB4-A8FD-F8DB7A19F475}">
    <text>Colocar descrição da despesa na coluna de observação</text>
  </threadedComment>
  <threadedComment ref="B29" dT="2024-01-15T12:11:42.02" personId="{DCEACD80-928D-4AAD-8FA3-3CF4D8FD12DA}" id="{75D8C076-0EF1-4392-A9DE-0D8EF1D155F6}">
    <text>Colocar descrição da despesa na coluna de observação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7" dT="2024-01-15T12:27:27.13" personId="{DCEACD80-928D-4AAD-8FA3-3CF4D8FD12DA}" id="{FCDDF039-C313-42D8-8AE5-483ADC5BD1E2}">
    <text>Exemplos: Carrinhos, Balanças, Cortadores e Maquinários, etc.</text>
  </threadedComment>
  <threadedComment ref="B8" dT="2024-01-15T12:28:01.68" personId="{DCEACD80-928D-4AAD-8FA3-3CF4D8FD12DA}" id="{AB2E9DDD-FDC5-4B2A-B681-41EB618C25F1}">
    <text>Exemplos: Estantes, Prateleiras, etc.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8" dT="2024-01-15T12:25:57.96" personId="{DCEACD80-928D-4AAD-8FA3-3CF4D8FD12DA}" id="{688CC396-54B3-4429-A407-C250A9FC57C5}">
    <text>Imposto considerado 15%</text>
  </threadedComment>
  <threadedComment ref="C23" dT="2024-01-15T12:26:25.12" personId="{DCEACD80-928D-4AAD-8FA3-3CF4D8FD12DA}" id="{D2C5CB48-3931-4330-9A4A-1301F29F2859}">
    <text>Imposto considerado 30%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tabSelected="1" topLeftCell="A4" zoomScaleNormal="10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G33"/>
  <sheetViews>
    <sheetView showGridLines="0" workbookViewId="0"/>
  </sheetViews>
  <sheetFormatPr defaultRowHeight="15" x14ac:dyDescent="0.25"/>
  <cols>
    <col min="2" max="3" width="51.42578125" bestFit="1" customWidth="1"/>
    <col min="4" max="4" width="13.140625" customWidth="1"/>
    <col min="5" max="5" width="26.85546875" customWidth="1"/>
    <col min="6" max="6" width="24" customWidth="1"/>
    <col min="7" max="7" width="19.85546875" bestFit="1" customWidth="1"/>
  </cols>
  <sheetData>
    <row r="2" spans="2:7" s="1" customFormat="1" ht="27.95" customHeight="1" x14ac:dyDescent="0.25">
      <c r="B2" s="2" t="s">
        <v>35</v>
      </c>
    </row>
    <row r="3" spans="2:7" ht="30.75" customHeight="1" x14ac:dyDescent="0.25"/>
    <row r="4" spans="2:7" x14ac:dyDescent="0.25">
      <c r="B4" t="s">
        <v>36</v>
      </c>
      <c r="C4" t="s">
        <v>37</v>
      </c>
      <c r="D4" t="s">
        <v>38</v>
      </c>
      <c r="E4" t="s">
        <v>39</v>
      </c>
      <c r="F4" t="s">
        <v>41</v>
      </c>
      <c r="G4" t="s">
        <v>40</v>
      </c>
    </row>
    <row r="5" spans="2:7" x14ac:dyDescent="0.25">
      <c r="B5" t="s">
        <v>3</v>
      </c>
      <c r="F5" s="3"/>
      <c r="G5" s="3">
        <v>1000</v>
      </c>
    </row>
    <row r="6" spans="2:7" x14ac:dyDescent="0.25">
      <c r="B6" t="s">
        <v>42</v>
      </c>
      <c r="F6" s="3"/>
      <c r="G6" s="3">
        <f>SUM(F7:F11)</f>
        <v>17500</v>
      </c>
    </row>
    <row r="7" spans="2:7" x14ac:dyDescent="0.25">
      <c r="C7" t="s">
        <v>6</v>
      </c>
      <c r="F7" s="3">
        <v>10000</v>
      </c>
      <c r="G7" s="3"/>
    </row>
    <row r="8" spans="2:7" x14ac:dyDescent="0.25">
      <c r="C8" t="s">
        <v>7</v>
      </c>
      <c r="F8" s="3">
        <v>500</v>
      </c>
      <c r="G8" s="3"/>
    </row>
    <row r="9" spans="2:7" x14ac:dyDescent="0.25">
      <c r="C9" t="s">
        <v>1</v>
      </c>
      <c r="F9" s="3">
        <v>3000</v>
      </c>
      <c r="G9" s="3"/>
    </row>
    <row r="10" spans="2:7" x14ac:dyDescent="0.25">
      <c r="C10" t="s">
        <v>43</v>
      </c>
      <c r="F10" s="3">
        <v>2500</v>
      </c>
      <c r="G10" s="3"/>
    </row>
    <row r="11" spans="2:7" x14ac:dyDescent="0.25">
      <c r="C11" t="s">
        <v>5</v>
      </c>
      <c r="E11" t="s">
        <v>49</v>
      </c>
      <c r="F11" s="3">
        <v>1500</v>
      </c>
      <c r="G11" s="3"/>
    </row>
    <row r="12" spans="2:7" x14ac:dyDescent="0.25">
      <c r="B12" t="s">
        <v>0</v>
      </c>
      <c r="F12" s="3"/>
      <c r="G12" s="3">
        <v>900</v>
      </c>
    </row>
    <row r="13" spans="2:7" x14ac:dyDescent="0.25">
      <c r="B13" t="s">
        <v>1</v>
      </c>
      <c r="F13" s="3"/>
      <c r="G13" s="3">
        <v>6000</v>
      </c>
    </row>
    <row r="14" spans="2:7" x14ac:dyDescent="0.25">
      <c r="B14" t="s">
        <v>48</v>
      </c>
      <c r="F14" s="3">
        <v>800</v>
      </c>
      <c r="G14" s="3">
        <f>SUM(F14:F18)</f>
        <v>5300</v>
      </c>
    </row>
    <row r="15" spans="2:7" x14ac:dyDescent="0.25">
      <c r="C15" t="s">
        <v>44</v>
      </c>
      <c r="F15" s="3">
        <v>3200</v>
      </c>
      <c r="G15" s="3"/>
    </row>
    <row r="16" spans="2:7" x14ac:dyDescent="0.25">
      <c r="C16" t="s">
        <v>45</v>
      </c>
      <c r="F16" s="3">
        <v>500</v>
      </c>
      <c r="G16" s="3"/>
    </row>
    <row r="17" spans="2:7" x14ac:dyDescent="0.25">
      <c r="C17" t="s">
        <v>46</v>
      </c>
      <c r="F17" s="3">
        <v>800</v>
      </c>
      <c r="G17" s="3"/>
    </row>
    <row r="18" spans="2:7" x14ac:dyDescent="0.25">
      <c r="C18" t="s">
        <v>47</v>
      </c>
      <c r="F18" s="3">
        <v>0</v>
      </c>
      <c r="G18" s="3"/>
    </row>
    <row r="19" spans="2:7" x14ac:dyDescent="0.25">
      <c r="C19" t="s">
        <v>5</v>
      </c>
      <c r="F19" s="3"/>
      <c r="G19" s="3">
        <v>300</v>
      </c>
    </row>
    <row r="20" spans="2:7" x14ac:dyDescent="0.25">
      <c r="B20" t="s">
        <v>2</v>
      </c>
      <c r="F20" s="3">
        <v>1650</v>
      </c>
      <c r="G20" s="3">
        <f>SUM(F20:F25)</f>
        <v>11950</v>
      </c>
    </row>
    <row r="21" spans="2:7" x14ac:dyDescent="0.25">
      <c r="B21" t="s">
        <v>9</v>
      </c>
      <c r="F21" s="3">
        <v>3000</v>
      </c>
      <c r="G21" s="3"/>
    </row>
    <row r="22" spans="2:7" x14ac:dyDescent="0.25">
      <c r="C22" t="s">
        <v>10</v>
      </c>
      <c r="F22" s="3">
        <v>3000</v>
      </c>
      <c r="G22" s="3"/>
    </row>
    <row r="23" spans="2:7" x14ac:dyDescent="0.25">
      <c r="C23" t="s">
        <v>11</v>
      </c>
      <c r="F23" s="3">
        <v>2700</v>
      </c>
      <c r="G23" s="3"/>
    </row>
    <row r="24" spans="2:7" x14ac:dyDescent="0.25">
      <c r="C24" t="s">
        <v>12</v>
      </c>
      <c r="F24" s="3">
        <v>1500</v>
      </c>
      <c r="G24" s="3"/>
    </row>
    <row r="25" spans="2:7" x14ac:dyDescent="0.25">
      <c r="C25" t="s">
        <v>13</v>
      </c>
      <c r="F25" s="3">
        <v>100</v>
      </c>
      <c r="G25" s="3"/>
    </row>
    <row r="26" spans="2:7" x14ac:dyDescent="0.25">
      <c r="C26" t="s">
        <v>8</v>
      </c>
      <c r="F26" s="3"/>
      <c r="G26" s="3">
        <v>1500</v>
      </c>
    </row>
    <row r="27" spans="2:7" x14ac:dyDescent="0.25">
      <c r="C27" t="s">
        <v>5</v>
      </c>
      <c r="F27" s="3"/>
      <c r="G27" s="3">
        <v>957</v>
      </c>
    </row>
    <row r="28" spans="2:7" x14ac:dyDescent="0.25">
      <c r="B28" t="s">
        <v>4</v>
      </c>
      <c r="F28" s="3"/>
      <c r="G28" s="3"/>
    </row>
    <row r="29" spans="2:7" x14ac:dyDescent="0.25">
      <c r="B29" t="s">
        <v>5</v>
      </c>
      <c r="F29" s="3"/>
      <c r="G29" s="3"/>
    </row>
    <row r="31" spans="2:7" ht="21" x14ac:dyDescent="0.35">
      <c r="B31" s="4" t="s">
        <v>50</v>
      </c>
      <c r="C31" s="4"/>
      <c r="D31" s="4"/>
      <c r="E31" s="4"/>
      <c r="F31" s="4"/>
      <c r="G31" s="5">
        <f>SUM(Tabela1[Valor Final])</f>
        <v>45407</v>
      </c>
    </row>
    <row r="32" spans="2:7" ht="21" x14ac:dyDescent="0.35">
      <c r="B32" s="9" t="s">
        <v>86</v>
      </c>
      <c r="C32" s="9"/>
      <c r="D32" s="9"/>
      <c r="E32" s="9"/>
      <c r="F32" s="9"/>
      <c r="G32" s="10">
        <f>('Compras Mercadorias'!I28)</f>
        <v>13999.922</v>
      </c>
    </row>
    <row r="33" spans="2:7" ht="21" x14ac:dyDescent="0.35">
      <c r="B33" s="11" t="s">
        <v>87</v>
      </c>
      <c r="C33" s="11"/>
      <c r="D33" s="11"/>
      <c r="E33" s="11"/>
      <c r="F33" s="11"/>
      <c r="G33" s="12">
        <f>SUM(G31:G32)</f>
        <v>59406.921999999999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I28"/>
  <sheetViews>
    <sheetView showGridLines="0" workbookViewId="0"/>
  </sheetViews>
  <sheetFormatPr defaultRowHeight="15" x14ac:dyDescent="0.25"/>
  <cols>
    <col min="2" max="2" width="20" customWidth="1"/>
    <col min="3" max="3" width="30.85546875" bestFit="1" customWidth="1"/>
    <col min="4" max="9" width="20" customWidth="1"/>
  </cols>
  <sheetData>
    <row r="2" spans="2:9" s="1" customFormat="1" ht="27.95" customHeight="1" x14ac:dyDescent="0.25">
      <c r="B2" s="2" t="s">
        <v>51</v>
      </c>
    </row>
    <row r="3" spans="2:9" ht="30.75" customHeight="1" x14ac:dyDescent="0.25"/>
    <row r="4" spans="2:9" x14ac:dyDescent="0.25">
      <c r="B4" t="s">
        <v>38</v>
      </c>
      <c r="C4" t="s">
        <v>52</v>
      </c>
      <c r="D4" t="s">
        <v>53</v>
      </c>
      <c r="E4" t="s">
        <v>54</v>
      </c>
      <c r="F4" t="s">
        <v>55</v>
      </c>
      <c r="G4" t="s">
        <v>56</v>
      </c>
      <c r="H4" t="s">
        <v>57</v>
      </c>
      <c r="I4" t="s">
        <v>59</v>
      </c>
    </row>
    <row r="5" spans="2:9" x14ac:dyDescent="0.25">
      <c r="B5" s="7">
        <v>42190</v>
      </c>
      <c r="C5" t="s">
        <v>76</v>
      </c>
      <c r="D5" t="s">
        <v>29</v>
      </c>
      <c r="E5" t="str">
        <f>IFERROR(VLOOKUP(Tabela2[[#This Row],[Mercadoria]],cálculos!$J$5:$M$33,4,FALSE),"")</f>
        <v>Unidade</v>
      </c>
      <c r="F5">
        <v>50</v>
      </c>
      <c r="G5" s="3">
        <f>IFERROR(VLOOKUP(Tabela2[[#This Row],[Mercadoria]],cálculos!$J$5:$M$33,2,FALSE),0)</f>
        <v>2.3660000000000001</v>
      </c>
      <c r="H5" s="6">
        <v>0.05</v>
      </c>
      <c r="I5" s="3">
        <f>Tabela2[[#This Row],[Quantidade]]*Tabela2[[#This Row],[Preço Unitario]]*(1-Tabela2[[#This Row],[Desconto]])</f>
        <v>112.38500000000001</v>
      </c>
    </row>
    <row r="6" spans="2:9" x14ac:dyDescent="0.25">
      <c r="B6" s="7">
        <v>42190</v>
      </c>
      <c r="C6" t="s">
        <v>77</v>
      </c>
      <c r="D6" t="s">
        <v>15</v>
      </c>
      <c r="E6" t="str">
        <f>IFERROR(VLOOKUP(Tabela2[[#This Row],[Mercadoria]],cálculos!$J$5:$M$33,4,FALSE),"")</f>
        <v>Kg</v>
      </c>
      <c r="F6">
        <v>120</v>
      </c>
      <c r="G6" s="3">
        <f>IFERROR(VLOOKUP(Tabela2[[#This Row],[Mercadoria]],cálculos!$J$5:$M$33,2,FALSE),0)</f>
        <v>4.0659999999999998</v>
      </c>
      <c r="H6" s="6"/>
      <c r="I6" s="3">
        <f>Tabela2[[#This Row],[Quantidade]]*Tabela2[[#This Row],[Preço Unitario]]*(1-Tabela2[[#This Row],[Desconto]])</f>
        <v>487.91999999999996</v>
      </c>
    </row>
    <row r="7" spans="2:9" x14ac:dyDescent="0.25">
      <c r="B7" s="7">
        <v>42189</v>
      </c>
      <c r="C7" t="s">
        <v>77</v>
      </c>
      <c r="D7" t="s">
        <v>15</v>
      </c>
      <c r="E7" t="str">
        <f>IFERROR(VLOOKUP(Tabela2[[#This Row],[Mercadoria]],cálculos!$J$5:$M$33,4,FALSE),"")</f>
        <v>Kg</v>
      </c>
      <c r="F7">
        <v>150</v>
      </c>
      <c r="G7" s="3">
        <f>IFERROR(VLOOKUP(Tabela2[[#This Row],[Mercadoria]],cálculos!$J$5:$M$33,2,FALSE),0)</f>
        <v>4.0659999999999998</v>
      </c>
      <c r="H7" s="6"/>
      <c r="I7" s="3">
        <f>Tabela2[[#This Row],[Quantidade]]*Tabela2[[#This Row],[Preço Unitario]]*(1-Tabela2[[#This Row],[Desconto]])</f>
        <v>609.9</v>
      </c>
    </row>
    <row r="8" spans="2:9" x14ac:dyDescent="0.25">
      <c r="B8" s="7">
        <v>42189</v>
      </c>
      <c r="C8" t="s">
        <v>77</v>
      </c>
      <c r="D8" t="s">
        <v>14</v>
      </c>
      <c r="E8" t="str">
        <f>IFERROR(VLOOKUP(Tabela2[[#This Row],[Mercadoria]],cálculos!$J$5:$M$33,4,FALSE),"")</f>
        <v>Kg</v>
      </c>
      <c r="F8">
        <v>150</v>
      </c>
      <c r="G8" s="3">
        <f>IFERROR(VLOOKUP(Tabela2[[#This Row],[Mercadoria]],cálculos!$J$5:$M$33,2,FALSE),0)</f>
        <v>2.3406000000000002</v>
      </c>
      <c r="H8" s="6"/>
      <c r="I8" s="3">
        <f>Tabela2[[#This Row],[Quantidade]]*Tabela2[[#This Row],[Preço Unitario]]*(1-Tabela2[[#This Row],[Desconto]])</f>
        <v>351.09000000000003</v>
      </c>
    </row>
    <row r="9" spans="2:9" x14ac:dyDescent="0.25">
      <c r="B9" s="7">
        <v>42189</v>
      </c>
      <c r="C9" t="s">
        <v>78</v>
      </c>
      <c r="D9" t="s">
        <v>27</v>
      </c>
      <c r="E9" t="str">
        <f>IFERROR(VLOOKUP(Tabela2[[#This Row],[Mercadoria]],cálculos!$J$5:$M$33,4,FALSE),"")</f>
        <v>Lata</v>
      </c>
      <c r="F9">
        <v>100</v>
      </c>
      <c r="G9" s="3">
        <f>IFERROR(VLOOKUP(Tabela2[[#This Row],[Mercadoria]],cálculos!$J$5:$M$33,2,FALSE),0)</f>
        <v>2.1023999999999998</v>
      </c>
      <c r="H9" s="6"/>
      <c r="I9" s="3">
        <f>Tabela2[[#This Row],[Quantidade]]*Tabela2[[#This Row],[Preço Unitario]]*(1-Tabela2[[#This Row],[Desconto]])</f>
        <v>210.23999999999998</v>
      </c>
    </row>
    <row r="10" spans="2:9" x14ac:dyDescent="0.25">
      <c r="B10" s="7">
        <v>42189</v>
      </c>
      <c r="C10" t="s">
        <v>78</v>
      </c>
      <c r="D10" t="s">
        <v>23</v>
      </c>
      <c r="E10" t="str">
        <f>IFERROR(VLOOKUP(Tabela2[[#This Row],[Mercadoria]],cálculos!$J$5:$M$33,4,FALSE),"")</f>
        <v>Litro</v>
      </c>
      <c r="F10">
        <v>200</v>
      </c>
      <c r="G10" s="3">
        <f>IFERROR(VLOOKUP(Tabela2[[#This Row],[Mercadoria]],cálculos!$J$5:$M$33,2,FALSE),0)</f>
        <v>3.2084999999999999</v>
      </c>
      <c r="H10" s="6"/>
      <c r="I10" s="3">
        <f>Tabela2[[#This Row],[Quantidade]]*Tabela2[[#This Row],[Preço Unitario]]*(1-Tabela2[[#This Row],[Desconto]])</f>
        <v>641.69999999999993</v>
      </c>
    </row>
    <row r="11" spans="2:9" x14ac:dyDescent="0.25">
      <c r="B11" s="7">
        <v>42188</v>
      </c>
      <c r="C11" t="s">
        <v>79</v>
      </c>
      <c r="D11" t="s">
        <v>33</v>
      </c>
      <c r="E11" t="str">
        <f>IFERROR(VLOOKUP(Tabela2[[#This Row],[Mercadoria]],cálculos!$J$5:$M$33,4,FALSE),"")</f>
        <v>Maço</v>
      </c>
      <c r="F11">
        <v>100</v>
      </c>
      <c r="G11" s="3">
        <f>IFERROR(VLOOKUP(Tabela2[[#This Row],[Mercadoria]],cálculos!$J$5:$M$33,2,FALSE),0)</f>
        <v>6.3449999999999998</v>
      </c>
      <c r="H11" s="6"/>
      <c r="I11" s="3">
        <f>Tabela2[[#This Row],[Quantidade]]*Tabela2[[#This Row],[Preço Unitario]]*(1-Tabela2[[#This Row],[Desconto]])</f>
        <v>634.5</v>
      </c>
    </row>
    <row r="12" spans="2:9" x14ac:dyDescent="0.25">
      <c r="B12" s="7">
        <v>42188</v>
      </c>
      <c r="C12" t="s">
        <v>80</v>
      </c>
      <c r="D12" t="s">
        <v>32</v>
      </c>
      <c r="E12" t="str">
        <f>IFERROR(VLOOKUP(Tabela2[[#This Row],[Mercadoria]],cálculos!$J$5:$M$33,4,FALSE),"")</f>
        <v>Barra</v>
      </c>
      <c r="F12">
        <v>100</v>
      </c>
      <c r="G12" s="3">
        <f>IFERROR(VLOOKUP(Tabela2[[#This Row],[Mercadoria]],cálculos!$J$5:$M$33,2,FALSE),0)</f>
        <v>4.5409000000000006</v>
      </c>
      <c r="H12" s="6"/>
      <c r="I12" s="3">
        <f>Tabela2[[#This Row],[Quantidade]]*Tabela2[[#This Row],[Preço Unitario]]*(1-Tabela2[[#This Row],[Desconto]])</f>
        <v>454.09000000000003</v>
      </c>
    </row>
    <row r="13" spans="2:9" x14ac:dyDescent="0.25">
      <c r="B13" s="7">
        <v>42188</v>
      </c>
      <c r="C13" t="s">
        <v>77</v>
      </c>
      <c r="D13" t="s">
        <v>15</v>
      </c>
      <c r="E13" t="str">
        <f>IFERROR(VLOOKUP(Tabela2[[#This Row],[Mercadoria]],cálculos!$J$5:$M$33,4,FALSE),"")</f>
        <v>Kg</v>
      </c>
      <c r="F13">
        <v>300</v>
      </c>
      <c r="G13" s="3">
        <f>IFERROR(VLOOKUP(Tabela2[[#This Row],[Mercadoria]],cálculos!$J$5:$M$33,2,FALSE),0)</f>
        <v>4.0659999999999998</v>
      </c>
      <c r="H13" s="6">
        <v>0.03</v>
      </c>
      <c r="I13" s="3">
        <f>Tabela2[[#This Row],[Quantidade]]*Tabela2[[#This Row],[Preço Unitario]]*(1-Tabela2[[#This Row],[Desconto]])</f>
        <v>1183.2059999999999</v>
      </c>
    </row>
    <row r="14" spans="2:9" x14ac:dyDescent="0.25">
      <c r="B14" s="7">
        <v>42188</v>
      </c>
      <c r="C14" t="s">
        <v>77</v>
      </c>
      <c r="D14" t="s">
        <v>26</v>
      </c>
      <c r="E14" t="str">
        <f>IFERROR(VLOOKUP(Tabela2[[#This Row],[Mercadoria]],cálculos!$J$5:$M$33,4,FALSE),"")</f>
        <v>Pacote</v>
      </c>
      <c r="F14">
        <v>50</v>
      </c>
      <c r="G14" s="3">
        <f>IFERROR(VLOOKUP(Tabela2[[#This Row],[Mercadoria]],cálculos!$J$5:$M$33,2,FALSE),0)</f>
        <v>1.0580000000000001</v>
      </c>
      <c r="H14" s="6"/>
      <c r="I14" s="3">
        <f>Tabela2[[#This Row],[Quantidade]]*Tabela2[[#This Row],[Preço Unitario]]*(1-Tabela2[[#This Row],[Desconto]])</f>
        <v>52.900000000000006</v>
      </c>
    </row>
    <row r="15" spans="2:9" x14ac:dyDescent="0.25">
      <c r="B15" s="7">
        <v>42188</v>
      </c>
      <c r="C15" t="s">
        <v>81</v>
      </c>
      <c r="D15" t="s">
        <v>71</v>
      </c>
      <c r="E15" t="str">
        <f>IFERROR(VLOOKUP(Tabela2[[#This Row],[Mercadoria]],cálculos!$J$5:$M$33,4,FALSE),"")</f>
        <v>Unidade</v>
      </c>
      <c r="F15">
        <v>300</v>
      </c>
      <c r="G15" s="3">
        <f>IFERROR(VLOOKUP(Tabela2[[#This Row],[Mercadoria]],cálculos!$J$5:$M$33,2,FALSE),0)</f>
        <v>2.6299000000000001</v>
      </c>
      <c r="H15" s="6"/>
      <c r="I15" s="3">
        <f>Tabela2[[#This Row],[Quantidade]]*Tabela2[[#This Row],[Preço Unitario]]*(1-Tabela2[[#This Row],[Desconto]])</f>
        <v>788.97</v>
      </c>
    </row>
    <row r="16" spans="2:9" x14ac:dyDescent="0.25">
      <c r="B16" s="7">
        <v>42188</v>
      </c>
      <c r="C16" t="s">
        <v>80</v>
      </c>
      <c r="D16" t="s">
        <v>31</v>
      </c>
      <c r="E16" t="str">
        <f>IFERROR(VLOOKUP(Tabela2[[#This Row],[Mercadoria]],cálculos!$J$5:$M$33,4,FALSE),"")</f>
        <v>Pacote</v>
      </c>
      <c r="F16">
        <v>100</v>
      </c>
      <c r="G16" s="3">
        <f>IFERROR(VLOOKUP(Tabela2[[#This Row],[Mercadoria]],cálculos!$J$5:$M$33,2,FALSE),0)</f>
        <v>1.8506999999999998</v>
      </c>
      <c r="H16" s="6"/>
      <c r="I16" s="3">
        <f>Tabela2[[#This Row],[Quantidade]]*Tabela2[[#This Row],[Preço Unitario]]*(1-Tabela2[[#This Row],[Desconto]])</f>
        <v>185.07</v>
      </c>
    </row>
    <row r="17" spans="2:9" x14ac:dyDescent="0.25">
      <c r="B17" s="7">
        <v>42188</v>
      </c>
      <c r="C17" t="s">
        <v>78</v>
      </c>
      <c r="D17" t="s">
        <v>27</v>
      </c>
      <c r="E17" t="str">
        <f>IFERROR(VLOOKUP(Tabela2[[#This Row],[Mercadoria]],cálculos!$J$5:$M$33,4,FALSE),"")</f>
        <v>Lata</v>
      </c>
      <c r="F17">
        <v>100</v>
      </c>
      <c r="G17" s="3">
        <f>IFERROR(VLOOKUP(Tabela2[[#This Row],[Mercadoria]],cálculos!$J$5:$M$33,2,FALSE),0)</f>
        <v>2.1023999999999998</v>
      </c>
      <c r="H17" s="6"/>
      <c r="I17" s="3">
        <f>Tabela2[[#This Row],[Quantidade]]*Tabela2[[#This Row],[Preço Unitario]]*(1-Tabela2[[#This Row],[Desconto]])</f>
        <v>210.23999999999998</v>
      </c>
    </row>
    <row r="18" spans="2:9" x14ac:dyDescent="0.25">
      <c r="B18" s="7">
        <v>42188</v>
      </c>
      <c r="C18" t="s">
        <v>82</v>
      </c>
      <c r="D18" t="s">
        <v>19</v>
      </c>
      <c r="E18" t="str">
        <f>IFERROR(VLOOKUP(Tabela2[[#This Row],[Mercadoria]],cálculos!$J$5:$M$33,4,FALSE),"")</f>
        <v>Kg</v>
      </c>
      <c r="F18">
        <v>110</v>
      </c>
      <c r="G18" s="3">
        <f>IFERROR(VLOOKUP(Tabela2[[#This Row],[Mercadoria]],cálculos!$J$5:$M$33,2,FALSE),0)</f>
        <v>6.4216000000000006</v>
      </c>
      <c r="H18" s="6"/>
      <c r="I18" s="3">
        <f>Tabela2[[#This Row],[Quantidade]]*Tabela2[[#This Row],[Preço Unitario]]*(1-Tabela2[[#This Row],[Desconto]])</f>
        <v>706.37600000000009</v>
      </c>
    </row>
    <row r="19" spans="2:9" x14ac:dyDescent="0.25">
      <c r="B19" s="7">
        <v>42188</v>
      </c>
      <c r="C19" t="s">
        <v>83</v>
      </c>
      <c r="D19" t="s">
        <v>20</v>
      </c>
      <c r="E19" t="str">
        <f>IFERROR(VLOOKUP(Tabela2[[#This Row],[Mercadoria]],cálculos!$J$5:$M$33,4,FALSE),"")</f>
        <v>Kg</v>
      </c>
      <c r="F19">
        <v>50</v>
      </c>
      <c r="G19" s="3">
        <f>IFERROR(VLOOKUP(Tabela2[[#This Row],[Mercadoria]],cálculos!$J$5:$M$33,2,FALSE),0)</f>
        <v>22.226999999999997</v>
      </c>
      <c r="H19" s="6">
        <v>0.1</v>
      </c>
      <c r="I19" s="3">
        <f>Tabela2[[#This Row],[Quantidade]]*Tabela2[[#This Row],[Preço Unitario]]*(1-Tabela2[[#This Row],[Desconto]])</f>
        <v>1000.2149999999999</v>
      </c>
    </row>
    <row r="20" spans="2:9" x14ac:dyDescent="0.25">
      <c r="B20" s="7">
        <v>42187</v>
      </c>
      <c r="C20" t="s">
        <v>77</v>
      </c>
      <c r="D20" t="s">
        <v>14</v>
      </c>
      <c r="E20" t="str">
        <f>IFERROR(VLOOKUP(Tabela2[[#This Row],[Mercadoria]],cálculos!$J$5:$M$33,4,FALSE),"")</f>
        <v>Kg</v>
      </c>
      <c r="F20">
        <v>300</v>
      </c>
      <c r="G20" s="3">
        <f>IFERROR(VLOOKUP(Tabela2[[#This Row],[Mercadoria]],cálculos!$J$5:$M$33,2,FALSE),0)</f>
        <v>2.3406000000000002</v>
      </c>
      <c r="H20" s="6"/>
      <c r="I20" s="3">
        <f>Tabela2[[#This Row],[Quantidade]]*Tabela2[[#This Row],[Preço Unitario]]*(1-Tabela2[[#This Row],[Desconto]])</f>
        <v>702.18000000000006</v>
      </c>
    </row>
    <row r="21" spans="2:9" x14ac:dyDescent="0.25">
      <c r="B21" s="7">
        <v>42187</v>
      </c>
      <c r="C21" t="s">
        <v>76</v>
      </c>
      <c r="D21" t="s">
        <v>17</v>
      </c>
      <c r="E21" t="str">
        <f>IFERROR(VLOOKUP(Tabela2[[#This Row],[Mercadoria]],cálculos!$J$5:$M$33,4,FALSE),"")</f>
        <v>Unidade</v>
      </c>
      <c r="F21">
        <v>150</v>
      </c>
      <c r="G21" s="3">
        <f>IFERROR(VLOOKUP(Tabela2[[#This Row],[Mercadoria]],cálculos!$J$5:$M$33,2,FALSE),0)</f>
        <v>2.8405</v>
      </c>
      <c r="H21" s="6"/>
      <c r="I21" s="3">
        <f>Tabela2[[#This Row],[Quantidade]]*Tabela2[[#This Row],[Preço Unitario]]*(1-Tabela2[[#This Row],[Desconto]])</f>
        <v>426.07499999999999</v>
      </c>
    </row>
    <row r="22" spans="2:9" x14ac:dyDescent="0.25">
      <c r="B22" s="7">
        <v>42187</v>
      </c>
      <c r="C22" t="s">
        <v>84</v>
      </c>
      <c r="D22" t="s">
        <v>24</v>
      </c>
      <c r="E22" t="str">
        <f>IFERROR(VLOOKUP(Tabela2[[#This Row],[Mercadoria]],cálculos!$J$5:$M$33,4,FALSE),"")</f>
        <v>Kg</v>
      </c>
      <c r="F22">
        <v>150</v>
      </c>
      <c r="G22" s="3">
        <f>IFERROR(VLOOKUP(Tabela2[[#This Row],[Mercadoria]],cálculos!$J$5:$M$33,2,FALSE),0)</f>
        <v>3.6309000000000005</v>
      </c>
      <c r="H22" s="6"/>
      <c r="I22" s="3">
        <f>Tabela2[[#This Row],[Quantidade]]*Tabela2[[#This Row],[Preço Unitario]]*(1-Tabela2[[#This Row],[Desconto]])</f>
        <v>544.6350000000001</v>
      </c>
    </row>
    <row r="23" spans="2:9" x14ac:dyDescent="0.25">
      <c r="B23" s="7">
        <v>42187</v>
      </c>
      <c r="C23" t="s">
        <v>85</v>
      </c>
      <c r="D23" t="s">
        <v>18</v>
      </c>
      <c r="E23" t="str">
        <f>IFERROR(VLOOKUP(Tabela2[[#This Row],[Mercadoria]],cálculos!$J$5:$M$33,4,FALSE),"")</f>
        <v>Kg</v>
      </c>
      <c r="F23">
        <v>150</v>
      </c>
      <c r="G23" s="3">
        <f>IFERROR(VLOOKUP(Tabela2[[#This Row],[Mercadoria]],cálculos!$J$5:$M$33,2,FALSE),0)</f>
        <v>14.469000000000001</v>
      </c>
      <c r="H23" s="6"/>
      <c r="I23" s="3">
        <f>Tabela2[[#This Row],[Quantidade]]*Tabela2[[#This Row],[Preço Unitario]]*(1-Tabela2[[#This Row],[Desconto]])</f>
        <v>2170.3500000000004</v>
      </c>
    </row>
    <row r="24" spans="2:9" x14ac:dyDescent="0.25">
      <c r="B24" s="7">
        <v>42187</v>
      </c>
      <c r="C24" t="s">
        <v>78</v>
      </c>
      <c r="D24" t="s">
        <v>27</v>
      </c>
      <c r="E24" t="str">
        <f>IFERROR(VLOOKUP(Tabela2[[#This Row],[Mercadoria]],cálculos!$J$5:$M$33,4,FALSE),"")</f>
        <v>Lata</v>
      </c>
      <c r="F24">
        <v>100</v>
      </c>
      <c r="G24" s="3">
        <f>IFERROR(VLOOKUP(Tabela2[[#This Row],[Mercadoria]],cálculos!$J$5:$M$33,2,FALSE),0)</f>
        <v>2.1023999999999998</v>
      </c>
      <c r="H24" s="6"/>
      <c r="I24" s="3">
        <f>Tabela2[[#This Row],[Quantidade]]*Tabela2[[#This Row],[Preço Unitario]]*(1-Tabela2[[#This Row],[Desconto]])</f>
        <v>210.23999999999998</v>
      </c>
    </row>
    <row r="25" spans="2:9" x14ac:dyDescent="0.25">
      <c r="B25" s="7">
        <v>42187</v>
      </c>
      <c r="C25" t="s">
        <v>78</v>
      </c>
      <c r="D25" t="s">
        <v>22</v>
      </c>
      <c r="E25" t="str">
        <f>IFERROR(VLOOKUP(Tabela2[[#This Row],[Mercadoria]],cálculos!$J$5:$M$33,4,FALSE),"")</f>
        <v>Garrafa</v>
      </c>
      <c r="F25">
        <v>80</v>
      </c>
      <c r="G25" s="3">
        <f>IFERROR(VLOOKUP(Tabela2[[#This Row],[Mercadoria]],cálculos!$J$5:$M$33,2,FALSE),0)</f>
        <v>26.012999999999998</v>
      </c>
      <c r="H25" s="6"/>
      <c r="I25" s="3">
        <f>Tabela2[[#This Row],[Quantidade]]*Tabela2[[#This Row],[Preço Unitario]]*(1-Tabela2[[#This Row],[Desconto]])</f>
        <v>2081.04</v>
      </c>
    </row>
    <row r="26" spans="2:9" x14ac:dyDescent="0.25">
      <c r="B26" s="7">
        <v>42187</v>
      </c>
      <c r="C26" t="s">
        <v>76</v>
      </c>
      <c r="D26" t="s">
        <v>29</v>
      </c>
      <c r="E26" t="str">
        <f>IFERROR(VLOOKUP(Tabela2[[#This Row],[Mercadoria]],cálculos!$J$5:$M$33,4,FALSE),"")</f>
        <v>Unidade</v>
      </c>
      <c r="F26">
        <v>100</v>
      </c>
      <c r="G26" s="3">
        <f>IFERROR(VLOOKUP(Tabela2[[#This Row],[Mercadoria]],cálculos!$J$5:$M$33,2,FALSE),0)</f>
        <v>2.3660000000000001</v>
      </c>
      <c r="H26" s="6"/>
      <c r="I26" s="3">
        <f>Tabela2[[#This Row],[Quantidade]]*Tabela2[[#This Row],[Preço Unitario]]*(1-Tabela2[[#This Row],[Desconto]])</f>
        <v>236.60000000000002</v>
      </c>
    </row>
    <row r="28" spans="2:9" ht="21" x14ac:dyDescent="0.35">
      <c r="B28" s="9" t="s">
        <v>86</v>
      </c>
      <c r="C28" s="9"/>
      <c r="D28" s="9"/>
      <c r="E28" s="9"/>
      <c r="F28" s="9"/>
      <c r="G28" s="9"/>
      <c r="H28" s="9"/>
      <c r="I28" s="10">
        <f>SUM(Tabela2[Valor Pago])</f>
        <v>13999.922</v>
      </c>
    </row>
  </sheetData>
  <phoneticPr fontId="5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4AA72D-241F-432F-92B2-904346140DB2}">
          <x14:formula1>
            <xm:f>cálculos!$J$5:$J$34</xm:f>
          </x14:formula1>
          <xm:sqref>D5:D26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B2:H28"/>
  <sheetViews>
    <sheetView showGridLines="0" workbookViewId="0"/>
  </sheetViews>
  <sheetFormatPr defaultRowHeight="15" x14ac:dyDescent="0.25"/>
  <cols>
    <col min="2" max="2" width="31" bestFit="1" customWidth="1"/>
    <col min="3" max="3" width="22.8554687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2.7109375" customWidth="1"/>
  </cols>
  <sheetData>
    <row r="2" spans="2:8" s="15" customFormat="1" ht="27.95" customHeight="1" x14ac:dyDescent="0.25">
      <c r="B2" s="14" t="s">
        <v>93</v>
      </c>
    </row>
    <row r="3" spans="2:8" ht="30.75" customHeight="1" x14ac:dyDescent="0.25"/>
    <row r="4" spans="2:8" x14ac:dyDescent="0.25">
      <c r="B4" t="s">
        <v>94</v>
      </c>
      <c r="C4" t="s">
        <v>100</v>
      </c>
      <c r="D4" t="s">
        <v>95</v>
      </c>
      <c r="E4" t="s">
        <v>96</v>
      </c>
      <c r="F4" t="s">
        <v>97</v>
      </c>
      <c r="G4" t="s">
        <v>98</v>
      </c>
      <c r="H4" t="s">
        <v>99</v>
      </c>
    </row>
    <row r="5" spans="2:8" x14ac:dyDescent="0.25">
      <c r="B5" t="s">
        <v>17</v>
      </c>
      <c r="C5" s="7">
        <f>IFERROR(INDEX(Tabela2[],MATCH(Tabela4[[#This Row],[Produto]],Tabela2[Mercadoria],0),1),"")</f>
        <v>42187</v>
      </c>
      <c r="D5">
        <v>15</v>
      </c>
      <c r="E5">
        <f>SUMIF(Tabela2[Mercadoria],Tabela4[[#This Row],[Produto]],Tabela2[Quantidade])</f>
        <v>150</v>
      </c>
      <c r="F5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3</v>
      </c>
      <c r="G5">
        <f>Tabela4[[#This Row],[Quantidade Inicial]]+Tabela4[[#This Row],[Quantidade Comprada]]-Tabela4[[#This Row],[Quantidade Vendida]]</f>
        <v>162</v>
      </c>
      <c r="H5" t="str">
        <f>IF(Tabela4[[#This Row],[Quantidade Atual]]&lt;50,IF(Tabela4[[#This Row],[Quantidade Atual]]&lt;21,"Comprar","Atenção"),"OK")</f>
        <v>OK</v>
      </c>
    </row>
    <row r="6" spans="2:8" x14ac:dyDescent="0.25">
      <c r="B6" t="s">
        <v>26</v>
      </c>
      <c r="C6" s="7">
        <f>IFERROR(INDEX(Tabela2[],MATCH(Tabela4[[#This Row],[Produto]],Tabela2[Mercadoria],0),1),"")</f>
        <v>42188</v>
      </c>
      <c r="D6">
        <v>10</v>
      </c>
      <c r="E6">
        <f>SUMIF(Tabela2[Mercadoria],Tabela4[[#This Row],[Produto]],Tabela2[Quantidade])</f>
        <v>50</v>
      </c>
      <c r="F6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13</v>
      </c>
      <c r="G6">
        <f>Tabela4[[#This Row],[Quantidade Inicial]]+Tabela4[[#This Row],[Quantidade Comprada]]-Tabela4[[#This Row],[Quantidade Vendida]]</f>
        <v>47</v>
      </c>
      <c r="H6" t="str">
        <f>IF(Tabela4[[#This Row],[Quantidade Atual]]&lt;50,IF(Tabela4[[#This Row],[Quantidade Atual]]&lt;21,"Comprar","Atenção"),"OK")</f>
        <v>Atenção</v>
      </c>
    </row>
    <row r="7" spans="2:8" x14ac:dyDescent="0.25">
      <c r="B7" t="s">
        <v>14</v>
      </c>
      <c r="C7" s="7">
        <f>IFERROR(INDEX(Tabela2[],MATCH(Tabela4[[#This Row],[Produto]],Tabela2[Mercadoria],0),1),"")</f>
        <v>42189</v>
      </c>
      <c r="D7">
        <v>0</v>
      </c>
      <c r="E7">
        <f>SUMIF(Tabela2[Mercadoria],Tabela4[[#This Row],[Produto]],Tabela2[Quantidade])</f>
        <v>450</v>
      </c>
      <c r="F7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7</v>
      </c>
      <c r="G7">
        <f>Tabela4[[#This Row],[Quantidade Inicial]]+Tabela4[[#This Row],[Quantidade Comprada]]-Tabela4[[#This Row],[Quantidade Vendida]]</f>
        <v>443</v>
      </c>
      <c r="H7" t="str">
        <f>IF(Tabela4[[#This Row],[Quantidade Atual]]&lt;50,IF(Tabela4[[#This Row],[Quantidade Atual]]&lt;21,"Comprar","Atenção"),"OK")</f>
        <v>OK</v>
      </c>
    </row>
    <row r="8" spans="2:8" x14ac:dyDescent="0.25">
      <c r="B8" t="s">
        <v>31</v>
      </c>
      <c r="C8" s="7">
        <f>IFERROR(INDEX(Tabela2[],MATCH(Tabela4[[#This Row],[Produto]],Tabela2[Mercadoria],0),1),"")</f>
        <v>42188</v>
      </c>
      <c r="D8">
        <v>0</v>
      </c>
      <c r="E8">
        <f>SUMIF(Tabela2[Mercadoria],Tabela4[[#This Row],[Produto]],Tabela2[Quantidade])</f>
        <v>100</v>
      </c>
      <c r="F8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4</v>
      </c>
      <c r="G8">
        <f>Tabela4[[#This Row],[Quantidade Inicial]]+Tabela4[[#This Row],[Quantidade Comprada]]-Tabela4[[#This Row],[Quantidade Vendida]]</f>
        <v>96</v>
      </c>
      <c r="H8" t="str">
        <f>IF(Tabela4[[#This Row],[Quantidade Atual]]&lt;50,IF(Tabela4[[#This Row],[Quantidade Atual]]&lt;21,"Comprar","Atenção"),"OK")</f>
        <v>OK</v>
      </c>
    </row>
    <row r="9" spans="2:8" x14ac:dyDescent="0.25">
      <c r="B9" t="s">
        <v>34</v>
      </c>
      <c r="C9" s="7" t="str">
        <f>IFERROR(INDEX(Tabela2[],MATCH(Tabela4[[#This Row],[Produto]],Tabela2[Mercadoria],0),1),"")</f>
        <v/>
      </c>
      <c r="D9">
        <v>150</v>
      </c>
      <c r="E9">
        <f>SUMIF(Tabela2[Mercadoria],Tabela4[[#This Row],[Produto]],Tabela2[Quantidade])</f>
        <v>0</v>
      </c>
      <c r="F9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0</v>
      </c>
      <c r="G9">
        <f>Tabela4[[#This Row],[Quantidade Inicial]]+Tabela4[[#This Row],[Quantidade Comprada]]-Tabela4[[#This Row],[Quantidade Vendida]]</f>
        <v>150</v>
      </c>
      <c r="H9" t="str">
        <f>IF(Tabela4[[#This Row],[Quantidade Atual]]&lt;50,IF(Tabela4[[#This Row],[Quantidade Atual]]&lt;21,"Comprar","Atenção"),"OK")</f>
        <v>OK</v>
      </c>
    </row>
    <row r="10" spans="2:8" x14ac:dyDescent="0.25">
      <c r="B10" t="s">
        <v>30</v>
      </c>
      <c r="C10" s="7" t="str">
        <f>IFERROR(INDEX(Tabela2[],MATCH(Tabela4[[#This Row],[Produto]],Tabela2[Mercadoria],0),1),"")</f>
        <v/>
      </c>
      <c r="D10">
        <v>15</v>
      </c>
      <c r="E10">
        <f>SUMIF(Tabela2[Mercadoria],Tabela4[[#This Row],[Produto]],Tabela2[Quantidade])</f>
        <v>0</v>
      </c>
      <c r="F10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3</v>
      </c>
      <c r="G10">
        <f>Tabela4[[#This Row],[Quantidade Inicial]]+Tabela4[[#This Row],[Quantidade Comprada]]-Tabela4[[#This Row],[Quantidade Vendida]]</f>
        <v>12</v>
      </c>
      <c r="H10" t="str">
        <f>IF(Tabela4[[#This Row],[Quantidade Atual]]&lt;50,IF(Tabela4[[#This Row],[Quantidade Atual]]&lt;21,"Comprar","Atenção"),"OK")</f>
        <v>Comprar</v>
      </c>
    </row>
    <row r="11" spans="2:8" x14ac:dyDescent="0.25">
      <c r="B11" t="s">
        <v>18</v>
      </c>
      <c r="C11" s="7">
        <f>IFERROR(INDEX(Tabela2[],MATCH(Tabela4[[#This Row],[Produto]],Tabela2[Mercadoria],0),1),"")</f>
        <v>42187</v>
      </c>
      <c r="D11">
        <v>25</v>
      </c>
      <c r="E11">
        <f>SUMIF(Tabela2[Mercadoria],Tabela4[[#This Row],[Produto]],Tabela2[Quantidade])</f>
        <v>150</v>
      </c>
      <c r="F11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16</v>
      </c>
      <c r="G11">
        <f>Tabela4[[#This Row],[Quantidade Inicial]]+Tabela4[[#This Row],[Quantidade Comprada]]-Tabela4[[#This Row],[Quantidade Vendida]]</f>
        <v>159</v>
      </c>
      <c r="H11" t="str">
        <f>IF(Tabela4[[#This Row],[Quantidade Atual]]&lt;50,IF(Tabela4[[#This Row],[Quantidade Atual]]&lt;21,"Comprar","Atenção"),"OK")</f>
        <v>OK</v>
      </c>
    </row>
    <row r="12" spans="2:8" x14ac:dyDescent="0.25">
      <c r="B12" t="s">
        <v>24</v>
      </c>
      <c r="C12" s="7">
        <f>IFERROR(INDEX(Tabela2[],MATCH(Tabela4[[#This Row],[Produto]],Tabela2[Mercadoria],0),1),"")</f>
        <v>42187</v>
      </c>
      <c r="D12">
        <v>0</v>
      </c>
      <c r="E12">
        <f>SUMIF(Tabela2[Mercadoria],Tabela4[[#This Row],[Produto]],Tabela2[Quantidade])</f>
        <v>150</v>
      </c>
      <c r="F12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0</v>
      </c>
      <c r="G12">
        <f>Tabela4[[#This Row],[Quantidade Inicial]]+Tabela4[[#This Row],[Quantidade Comprada]]-Tabela4[[#This Row],[Quantidade Vendida]]</f>
        <v>150</v>
      </c>
      <c r="H12" t="str">
        <f>IF(Tabela4[[#This Row],[Quantidade Atual]]&lt;50,IF(Tabela4[[#This Row],[Quantidade Atual]]&lt;21,"Comprar","Atenção"),"OK")</f>
        <v>OK</v>
      </c>
    </row>
    <row r="13" spans="2:8" x14ac:dyDescent="0.25">
      <c r="B13" t="s">
        <v>27</v>
      </c>
      <c r="C13" s="7">
        <f>IFERROR(INDEX(Tabela2[],MATCH(Tabela4[[#This Row],[Produto]],Tabela2[Mercadoria],0),1),"")</f>
        <v>42189</v>
      </c>
      <c r="D13">
        <v>0</v>
      </c>
      <c r="E13">
        <f>SUMIF(Tabela2[Mercadoria],Tabela4[[#This Row],[Produto]],Tabela2[Quantidade])</f>
        <v>300</v>
      </c>
      <c r="F13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87</v>
      </c>
      <c r="G13">
        <f>Tabela4[[#This Row],[Quantidade Inicial]]+Tabela4[[#This Row],[Quantidade Comprada]]-Tabela4[[#This Row],[Quantidade Vendida]]</f>
        <v>213</v>
      </c>
      <c r="H13" t="str">
        <f>IF(Tabela4[[#This Row],[Quantidade Atual]]&lt;50,IF(Tabela4[[#This Row],[Quantidade Atual]]&lt;21,"Comprar","Atenção"),"OK")</f>
        <v>OK</v>
      </c>
    </row>
    <row r="14" spans="2:8" x14ac:dyDescent="0.25">
      <c r="B14" t="s">
        <v>32</v>
      </c>
      <c r="C14" s="7">
        <f>IFERROR(INDEX(Tabela2[],MATCH(Tabela4[[#This Row],[Produto]],Tabela2[Mercadoria],0),1),"")</f>
        <v>42188</v>
      </c>
      <c r="D14">
        <v>30</v>
      </c>
      <c r="E14">
        <f>SUMIF(Tabela2[Mercadoria],Tabela4[[#This Row],[Produto]],Tabela2[Quantidade])</f>
        <v>100</v>
      </c>
      <c r="F14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0</v>
      </c>
      <c r="G14">
        <f>Tabela4[[#This Row],[Quantidade Inicial]]+Tabela4[[#This Row],[Quantidade Comprada]]-Tabela4[[#This Row],[Quantidade Vendida]]</f>
        <v>130</v>
      </c>
      <c r="H14" t="str">
        <f>IF(Tabela4[[#This Row],[Quantidade Atual]]&lt;50,IF(Tabela4[[#This Row],[Quantidade Atual]]&lt;21,"Comprar","Atenção"),"OK")</f>
        <v>OK</v>
      </c>
    </row>
    <row r="15" spans="2:8" x14ac:dyDescent="0.25">
      <c r="B15" t="s">
        <v>33</v>
      </c>
      <c r="C15" s="7">
        <f>IFERROR(INDEX(Tabela2[],MATCH(Tabela4[[#This Row],[Produto]],Tabela2[Mercadoria],0),1),"")</f>
        <v>42188</v>
      </c>
      <c r="D15">
        <v>0</v>
      </c>
      <c r="E15">
        <f>SUMIF(Tabela2[Mercadoria],Tabela4[[#This Row],[Produto]],Tabela2[Quantidade])</f>
        <v>100</v>
      </c>
      <c r="F15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0</v>
      </c>
      <c r="G15">
        <f>Tabela4[[#This Row],[Quantidade Inicial]]+Tabela4[[#This Row],[Quantidade Comprada]]-Tabela4[[#This Row],[Quantidade Vendida]]</f>
        <v>100</v>
      </c>
      <c r="H15" t="str">
        <f>IF(Tabela4[[#This Row],[Quantidade Atual]]&lt;50,IF(Tabela4[[#This Row],[Quantidade Atual]]&lt;21,"Comprar","Atenção"),"OK")</f>
        <v>OK</v>
      </c>
    </row>
    <row r="16" spans="2:8" x14ac:dyDescent="0.25">
      <c r="B16" t="s">
        <v>29</v>
      </c>
      <c r="C16" s="7">
        <f>IFERROR(INDEX(Tabela2[],MATCH(Tabela4[[#This Row],[Produto]],Tabela2[Mercadoria],0),1),"")</f>
        <v>42190</v>
      </c>
      <c r="D16">
        <v>0</v>
      </c>
      <c r="E16">
        <f>SUMIF(Tabela2[Mercadoria],Tabela4[[#This Row],[Produto]],Tabela2[Quantidade])</f>
        <v>150</v>
      </c>
      <c r="F16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0</v>
      </c>
      <c r="G16">
        <f>Tabela4[[#This Row],[Quantidade Inicial]]+Tabela4[[#This Row],[Quantidade Comprada]]-Tabela4[[#This Row],[Quantidade Vendida]]</f>
        <v>150</v>
      </c>
      <c r="H16" t="str">
        <f>IF(Tabela4[[#This Row],[Quantidade Atual]]&lt;50,IF(Tabela4[[#This Row],[Quantidade Atual]]&lt;21,"Comprar","Atenção"),"OK")</f>
        <v>OK</v>
      </c>
    </row>
    <row r="17" spans="2:8" x14ac:dyDescent="0.25">
      <c r="B17" t="s">
        <v>15</v>
      </c>
      <c r="C17" s="7">
        <f>IFERROR(INDEX(Tabela2[],MATCH(Tabela4[[#This Row],[Produto]],Tabela2[Mercadoria],0),1),"")</f>
        <v>42190</v>
      </c>
      <c r="D17">
        <v>0</v>
      </c>
      <c r="E17">
        <f>SUMIF(Tabela2[Mercadoria],Tabela4[[#This Row],[Produto]],Tabela2[Quantidade])</f>
        <v>570</v>
      </c>
      <c r="F17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10</v>
      </c>
      <c r="G17">
        <f>Tabela4[[#This Row],[Quantidade Inicial]]+Tabela4[[#This Row],[Quantidade Comprada]]-Tabela4[[#This Row],[Quantidade Vendida]]</f>
        <v>560</v>
      </c>
      <c r="H17" t="str">
        <f>IF(Tabela4[[#This Row],[Quantidade Atual]]&lt;50,IF(Tabela4[[#This Row],[Quantidade Atual]]&lt;21,"Comprar","Atenção"),"OK")</f>
        <v>OK</v>
      </c>
    </row>
    <row r="18" spans="2:8" x14ac:dyDescent="0.25">
      <c r="B18" t="s">
        <v>19</v>
      </c>
      <c r="C18" s="7">
        <f>IFERROR(INDEX(Tabela2[],MATCH(Tabela4[[#This Row],[Produto]],Tabela2[Mercadoria],0),1),"")</f>
        <v>42188</v>
      </c>
      <c r="D18">
        <v>0</v>
      </c>
      <c r="E18">
        <f>SUMIF(Tabela2[Mercadoria],Tabela4[[#This Row],[Produto]],Tabela2[Quantidade])</f>
        <v>110</v>
      </c>
      <c r="F18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0</v>
      </c>
      <c r="G18">
        <f>Tabela4[[#This Row],[Quantidade Inicial]]+Tabela4[[#This Row],[Quantidade Comprada]]-Tabela4[[#This Row],[Quantidade Vendida]]</f>
        <v>110</v>
      </c>
      <c r="H18" t="str">
        <f>IF(Tabela4[[#This Row],[Quantidade Atual]]&lt;50,IF(Tabela4[[#This Row],[Quantidade Atual]]&lt;21,"Comprar","Atenção"),"OK")</f>
        <v>OK</v>
      </c>
    </row>
    <row r="19" spans="2:8" x14ac:dyDescent="0.25">
      <c r="B19" t="s">
        <v>66</v>
      </c>
      <c r="C19" s="7" t="str">
        <f>IFERROR(INDEX(Tabela2[],MATCH(Tabela4[[#This Row],[Produto]],Tabela2[Mercadoria],0),1),"")</f>
        <v/>
      </c>
      <c r="D19">
        <v>39</v>
      </c>
      <c r="E19">
        <f>SUMIF(Tabela2[Mercadoria],Tabela4[[#This Row],[Produto]],Tabela2[Quantidade])</f>
        <v>0</v>
      </c>
      <c r="F19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6</v>
      </c>
      <c r="G19">
        <f>Tabela4[[#This Row],[Quantidade Inicial]]+Tabela4[[#This Row],[Quantidade Comprada]]-Tabela4[[#This Row],[Quantidade Vendida]]</f>
        <v>33</v>
      </c>
      <c r="H19" t="str">
        <f>IF(Tabela4[[#This Row],[Quantidade Atual]]&lt;50,IF(Tabela4[[#This Row],[Quantidade Atual]]&lt;21,"Comprar","Atenção"),"OK")</f>
        <v>Atenção</v>
      </c>
    </row>
    <row r="20" spans="2:8" x14ac:dyDescent="0.25">
      <c r="B20" t="s">
        <v>71</v>
      </c>
      <c r="C20" s="7">
        <f>IFERROR(INDEX(Tabela2[],MATCH(Tabela4[[#This Row],[Produto]],Tabela2[Mercadoria],0),1),"")</f>
        <v>42188</v>
      </c>
      <c r="D20">
        <v>0</v>
      </c>
      <c r="E20">
        <f>SUMIF(Tabela2[Mercadoria],Tabela4[[#This Row],[Produto]],Tabela2[Quantidade])</f>
        <v>300</v>
      </c>
      <c r="F20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5</v>
      </c>
      <c r="G20">
        <f>Tabela4[[#This Row],[Quantidade Inicial]]+Tabela4[[#This Row],[Quantidade Comprada]]-Tabela4[[#This Row],[Quantidade Vendida]]</f>
        <v>295</v>
      </c>
      <c r="H20" t="str">
        <f>IF(Tabela4[[#This Row],[Quantidade Atual]]&lt;50,IF(Tabela4[[#This Row],[Quantidade Atual]]&lt;21,"Comprar","Atenção"),"OK")</f>
        <v>OK</v>
      </c>
    </row>
    <row r="21" spans="2:8" x14ac:dyDescent="0.25">
      <c r="B21" t="s">
        <v>20</v>
      </c>
      <c r="C21" s="7">
        <f>IFERROR(INDEX(Tabela2[],MATCH(Tabela4[[#This Row],[Produto]],Tabela2[Mercadoria],0),1),"")</f>
        <v>42188</v>
      </c>
      <c r="D21">
        <v>0</v>
      </c>
      <c r="E21">
        <f>SUMIF(Tabela2[Mercadoria],Tabela4[[#This Row],[Produto]],Tabela2[Quantidade])</f>
        <v>50</v>
      </c>
      <c r="F21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0</v>
      </c>
      <c r="G21">
        <f>Tabela4[[#This Row],[Quantidade Inicial]]+Tabela4[[#This Row],[Quantidade Comprada]]-Tabela4[[#This Row],[Quantidade Vendida]]</f>
        <v>50</v>
      </c>
      <c r="H21" t="str">
        <f>IF(Tabela4[[#This Row],[Quantidade Atual]]&lt;50,IF(Tabela4[[#This Row],[Quantidade Atual]]&lt;21,"Comprar","Atenção"),"OK")</f>
        <v>OK</v>
      </c>
    </row>
    <row r="22" spans="2:8" x14ac:dyDescent="0.25">
      <c r="B22" t="s">
        <v>21</v>
      </c>
      <c r="C22" s="7" t="str">
        <f>IFERROR(INDEX(Tabela2[],MATCH(Tabela4[[#This Row],[Produto]],Tabela2[Mercadoria],0),1),"")</f>
        <v/>
      </c>
      <c r="D22">
        <v>10</v>
      </c>
      <c r="E22">
        <f>SUMIF(Tabela2[Mercadoria],Tabela4[[#This Row],[Produto]],Tabela2[Quantidade])</f>
        <v>0</v>
      </c>
      <c r="F22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1.5</v>
      </c>
      <c r="G22">
        <f>Tabela4[[#This Row],[Quantidade Inicial]]+Tabela4[[#This Row],[Quantidade Comprada]]-Tabela4[[#This Row],[Quantidade Vendida]]</f>
        <v>8.5</v>
      </c>
      <c r="H22" t="str">
        <f>IF(Tabela4[[#This Row],[Quantidade Atual]]&lt;50,IF(Tabela4[[#This Row],[Quantidade Atual]]&lt;21,"Comprar","Atenção"),"OK")</f>
        <v>Comprar</v>
      </c>
    </row>
    <row r="23" spans="2:8" x14ac:dyDescent="0.25">
      <c r="B23" t="s">
        <v>72</v>
      </c>
      <c r="C23" s="7" t="str">
        <f>IFERROR(INDEX(Tabela2[],MATCH(Tabela4[[#This Row],[Produto]],Tabela2[Mercadoria],0),1),"")</f>
        <v/>
      </c>
      <c r="D23">
        <v>100</v>
      </c>
      <c r="E23">
        <f>SUMIF(Tabela2[Mercadoria],Tabela4[[#This Row],[Produto]],Tabela2[Quantidade])</f>
        <v>0</v>
      </c>
      <c r="F23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4</v>
      </c>
      <c r="G23">
        <f>Tabela4[[#This Row],[Quantidade Inicial]]+Tabela4[[#This Row],[Quantidade Comprada]]-Tabela4[[#This Row],[Quantidade Vendida]]</f>
        <v>96</v>
      </c>
      <c r="H23" t="str">
        <f>IF(Tabela4[[#This Row],[Quantidade Atual]]&lt;50,IF(Tabela4[[#This Row],[Quantidade Atual]]&lt;21,"Comprar","Atenção"),"OK")</f>
        <v>OK</v>
      </c>
    </row>
    <row r="24" spans="2:8" x14ac:dyDescent="0.25">
      <c r="B24" t="s">
        <v>23</v>
      </c>
      <c r="C24" s="7">
        <f>IFERROR(INDEX(Tabela2[],MATCH(Tabela4[[#This Row],[Produto]],Tabela2[Mercadoria],0),1),"")</f>
        <v>42189</v>
      </c>
      <c r="D24">
        <v>0</v>
      </c>
      <c r="E24">
        <f>SUMIF(Tabela2[Mercadoria],Tabela4[[#This Row],[Produto]],Tabela2[Quantidade])</f>
        <v>200</v>
      </c>
      <c r="F24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0</v>
      </c>
      <c r="G24">
        <f>Tabela4[[#This Row],[Quantidade Inicial]]+Tabela4[[#This Row],[Quantidade Comprada]]-Tabela4[[#This Row],[Quantidade Vendida]]</f>
        <v>200</v>
      </c>
      <c r="H24" t="str">
        <f>IF(Tabela4[[#This Row],[Quantidade Atual]]&lt;50,IF(Tabela4[[#This Row],[Quantidade Atual]]&lt;21,"Comprar","Atenção"),"OK")</f>
        <v>OK</v>
      </c>
    </row>
    <row r="25" spans="2:8" x14ac:dyDescent="0.25">
      <c r="B25" t="s">
        <v>16</v>
      </c>
      <c r="C25" s="7" t="str">
        <f>IFERROR(INDEX(Tabela2[],MATCH(Tabela4[[#This Row],[Produto]],Tabela2[Mercadoria],0),1),"")</f>
        <v/>
      </c>
      <c r="D25">
        <v>30</v>
      </c>
      <c r="E25">
        <f>SUMIF(Tabela2[Mercadoria],Tabela4[[#This Row],[Produto]],Tabela2[Quantidade])</f>
        <v>0</v>
      </c>
      <c r="F25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0</v>
      </c>
      <c r="G25">
        <f>Tabela4[[#This Row],[Quantidade Inicial]]+Tabela4[[#This Row],[Quantidade Comprada]]-Tabela4[[#This Row],[Quantidade Vendida]]</f>
        <v>30</v>
      </c>
      <c r="H25" t="str">
        <f>IF(Tabela4[[#This Row],[Quantidade Atual]]&lt;50,IF(Tabela4[[#This Row],[Quantidade Atual]]&lt;21,"Comprar","Atenção"),"OK")</f>
        <v>Atenção</v>
      </c>
    </row>
    <row r="26" spans="2:8" x14ac:dyDescent="0.25">
      <c r="B26" t="s">
        <v>25</v>
      </c>
      <c r="C26" s="7" t="str">
        <f>IFERROR(INDEX(Tabela2[],MATCH(Tabela4[[#This Row],[Produto]],Tabela2[Mercadoria],0),1),"")</f>
        <v/>
      </c>
      <c r="D26">
        <v>50</v>
      </c>
      <c r="E26">
        <f>SUMIF(Tabela2[Mercadoria],Tabela4[[#This Row],[Produto]],Tabela2[Quantidade])</f>
        <v>0</v>
      </c>
      <c r="F26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2</v>
      </c>
      <c r="G26">
        <f>Tabela4[[#This Row],[Quantidade Inicial]]+Tabela4[[#This Row],[Quantidade Comprada]]-Tabela4[[#This Row],[Quantidade Vendida]]</f>
        <v>48</v>
      </c>
      <c r="H26" t="str">
        <f>IF(Tabela4[[#This Row],[Quantidade Atual]]&lt;50,IF(Tabela4[[#This Row],[Quantidade Atual]]&lt;21,"Comprar","Atenção"),"OK")</f>
        <v>Atenção</v>
      </c>
    </row>
    <row r="27" spans="2:8" x14ac:dyDescent="0.25">
      <c r="B27" t="s">
        <v>22</v>
      </c>
      <c r="C27" s="7">
        <f>IFERROR(INDEX(Tabela2[],MATCH(Tabela4[[#This Row],[Produto]],Tabela2[Mercadoria],0),1),"")</f>
        <v>42187</v>
      </c>
      <c r="D27">
        <v>0</v>
      </c>
      <c r="E27">
        <f>SUMIF(Tabela2[Mercadoria],Tabela4[[#This Row],[Produto]],Tabela2[Quantidade])</f>
        <v>80</v>
      </c>
      <c r="F27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1</v>
      </c>
      <c r="G27">
        <f>Tabela4[[#This Row],[Quantidade Inicial]]+Tabela4[[#This Row],[Quantidade Comprada]]-Tabela4[[#This Row],[Quantidade Vendida]]</f>
        <v>79</v>
      </c>
      <c r="H27" t="str">
        <f>IF(Tabela4[[#This Row],[Quantidade Atual]]&lt;50,IF(Tabela4[[#This Row],[Quantidade Atual]]&lt;21,"Comprar","Atenção"),"OK")</f>
        <v>OK</v>
      </c>
    </row>
    <row r="28" spans="2:8" x14ac:dyDescent="0.25">
      <c r="B28" t="s">
        <v>28</v>
      </c>
      <c r="C28" s="7" t="str">
        <f>IFERROR(INDEX(Tabela2[],MATCH(Tabela4[[#This Row],[Produto]],Tabela2[Mercadoria],0),1),"")</f>
        <v/>
      </c>
      <c r="D28">
        <v>20</v>
      </c>
      <c r="E28">
        <f>SUMIF(Tabela2[Mercadoria],Tabela4[[#This Row],[Produto]],Tabela2[Quantidade])</f>
        <v>0</v>
      </c>
      <c r="F28">
        <f>SUMIF(Tabela5[Produtos],Tabela4[[#This Row],[Produto]],Tabela5[Quantidade])+SUMIF(Tabela57[Produtos],Tabela4[[#This Row],[Produto]],Tabela57[Quantidade])+SUMIF(Tabela578[Produtos],Tabela4[[#This Row],[Produto]],Tabela578[Quantidade])+SUMIF(Tabela579[Produtos],Tabela4[[#This Row],[Produto]],Tabela579[Quantidade])+SUMIF(Tabela5710[Produtos],Tabela4[[#This Row],[Produto]],Tabela5710[Quantidade])</f>
        <v>1</v>
      </c>
      <c r="G28">
        <f>Tabela4[[#This Row],[Quantidade Inicial]]+Tabela4[[#This Row],[Quantidade Comprada]]-Tabela4[[#This Row],[Quantidade Vendida]]</f>
        <v>19</v>
      </c>
      <c r="H28" t="str">
        <f>IF(Tabela4[[#This Row],[Quantidade Atual]]&lt;50,IF(Tabela4[[#This Row],[Quantidade Atual]]&lt;21,"Comprar","Atenção"),"OK")</f>
        <v>Comprar</v>
      </c>
    </row>
  </sheetData>
  <conditionalFormatting sqref="H5:H28">
    <cfRule type="containsText" dxfId="6" priority="1" operator="containsText" text="Atenção">
      <formula>NOT(ISERROR(SEARCH("Atenção",H5)))</formula>
    </cfRule>
    <cfRule type="containsText" dxfId="5" priority="2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B2:E11"/>
  <sheetViews>
    <sheetView showGridLines="0" workbookViewId="0"/>
  </sheetViews>
  <sheetFormatPr defaultRowHeight="15" x14ac:dyDescent="0.25"/>
  <cols>
    <col min="2" max="2" width="55.5703125" bestFit="1" customWidth="1"/>
    <col min="3" max="3" width="19.28515625" customWidth="1"/>
    <col min="4" max="4" width="65.28515625" customWidth="1"/>
    <col min="5" max="5" width="21.42578125" bestFit="1" customWidth="1"/>
  </cols>
  <sheetData>
    <row r="2" spans="2:5" s="1" customFormat="1" ht="27.95" customHeight="1" x14ac:dyDescent="0.25">
      <c r="B2" s="2" t="s">
        <v>88</v>
      </c>
    </row>
    <row r="3" spans="2:5" ht="30.75" customHeight="1" x14ac:dyDescent="0.25"/>
    <row r="4" spans="2:5" x14ac:dyDescent="0.25">
      <c r="B4" t="s">
        <v>89</v>
      </c>
      <c r="C4" t="s">
        <v>38</v>
      </c>
      <c r="D4" t="s">
        <v>90</v>
      </c>
      <c r="E4" t="s">
        <v>58</v>
      </c>
    </row>
    <row r="5" spans="2:5" ht="42.75" customHeight="1" x14ac:dyDescent="0.25">
      <c r="B5" t="s">
        <v>91</v>
      </c>
      <c r="C5" s="7">
        <v>42129</v>
      </c>
      <c r="D5" s="13" t="s">
        <v>92</v>
      </c>
      <c r="E5" s="3">
        <v>400000</v>
      </c>
    </row>
    <row r="6" spans="2:5" ht="42.75" customHeight="1" x14ac:dyDescent="0.25">
      <c r="B6" t="s">
        <v>8</v>
      </c>
      <c r="C6" s="7"/>
      <c r="D6" s="13"/>
      <c r="E6" s="3">
        <v>0</v>
      </c>
    </row>
    <row r="7" spans="2:5" ht="42.75" customHeight="1" x14ac:dyDescent="0.25">
      <c r="B7" t="s">
        <v>146</v>
      </c>
      <c r="C7" s="7"/>
      <c r="D7" s="13"/>
      <c r="E7" s="3">
        <v>0</v>
      </c>
    </row>
    <row r="8" spans="2:5" ht="42.75" customHeight="1" x14ac:dyDescent="0.25">
      <c r="B8" t="s">
        <v>147</v>
      </c>
      <c r="C8" s="7"/>
      <c r="D8" s="13"/>
      <c r="E8" s="3">
        <v>0</v>
      </c>
    </row>
    <row r="9" spans="2:5" ht="42.75" customHeight="1" x14ac:dyDescent="0.25">
      <c r="B9" t="s">
        <v>5</v>
      </c>
      <c r="C9" s="7"/>
      <c r="D9" s="13"/>
      <c r="E9" s="3">
        <v>0</v>
      </c>
    </row>
    <row r="11" spans="2:5" ht="21" x14ac:dyDescent="0.35">
      <c r="B11" s="9" t="s">
        <v>144</v>
      </c>
      <c r="C11" s="9"/>
      <c r="D11" s="9"/>
      <c r="E11" s="10">
        <f>SUM(Tabela3[Valor])</f>
        <v>400000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2:E26"/>
  <sheetViews>
    <sheetView showGridLines="0" workbookViewId="0"/>
  </sheetViews>
  <sheetFormatPr defaultRowHeight="15" x14ac:dyDescent="0.25"/>
  <cols>
    <col min="2" max="2" width="26.140625" bestFit="1" customWidth="1"/>
    <col min="3" max="5" width="34.7109375" customWidth="1"/>
  </cols>
  <sheetData>
    <row r="2" spans="2:5" s="17" customFormat="1" ht="27.95" customHeight="1" x14ac:dyDescent="0.25">
      <c r="B2" s="16" t="s">
        <v>132</v>
      </c>
    </row>
    <row r="3" spans="2:5" ht="30.75" customHeight="1" x14ac:dyDescent="0.25"/>
    <row r="4" spans="2:5" ht="15.75" x14ac:dyDescent="0.25">
      <c r="C4" s="45" t="s">
        <v>133</v>
      </c>
      <c r="D4" s="45"/>
      <c r="E4" s="46">
        <f>SUM(E5:E6)</f>
        <v>770.14630000000011</v>
      </c>
    </row>
    <row r="5" spans="2:5" ht="15.75" x14ac:dyDescent="0.25">
      <c r="C5" s="47"/>
      <c r="D5" s="48" t="s">
        <v>141</v>
      </c>
      <c r="E5" s="49">
        <f>Vendas!D17-Resultados!E6</f>
        <v>715.14630000000011</v>
      </c>
    </row>
    <row r="6" spans="2:5" ht="15.75" x14ac:dyDescent="0.25">
      <c r="C6" s="47"/>
      <c r="D6" s="47" t="s">
        <v>142</v>
      </c>
      <c r="E6" s="50">
        <f>Vendas!D28</f>
        <v>55</v>
      </c>
    </row>
    <row r="7" spans="2:5" ht="15.75" x14ac:dyDescent="0.25">
      <c r="C7" s="47"/>
      <c r="D7" s="47"/>
      <c r="E7" s="50"/>
    </row>
    <row r="8" spans="2:5" ht="15.75" x14ac:dyDescent="0.25">
      <c r="C8" s="47" t="s">
        <v>135</v>
      </c>
      <c r="D8" s="47"/>
      <c r="E8" s="50">
        <f>0.15*E4</f>
        <v>115.52194500000002</v>
      </c>
    </row>
    <row r="9" spans="2:5" ht="16.5" thickBot="1" x14ac:dyDescent="0.3">
      <c r="C9" s="51" t="s">
        <v>134</v>
      </c>
      <c r="D9" s="51"/>
      <c r="E9" s="52">
        <f>E4-E8</f>
        <v>654.62435500000015</v>
      </c>
    </row>
    <row r="10" spans="2:5" ht="15.75" x14ac:dyDescent="0.25">
      <c r="C10" s="47"/>
      <c r="D10" s="47"/>
      <c r="E10" s="50"/>
    </row>
    <row r="11" spans="2:5" ht="15.75" x14ac:dyDescent="0.25">
      <c r="C11" s="45" t="s">
        <v>87</v>
      </c>
      <c r="D11" s="45"/>
      <c r="E11" s="46">
        <f>SUM(E12:E13)</f>
        <v>59406.921999999999</v>
      </c>
    </row>
    <row r="12" spans="2:5" ht="15.75" x14ac:dyDescent="0.25">
      <c r="C12" s="47"/>
      <c r="D12" s="48" t="s">
        <v>143</v>
      </c>
      <c r="E12" s="49">
        <f>'Compras Mercadorias'!I28</f>
        <v>13999.922</v>
      </c>
    </row>
    <row r="13" spans="2:5" ht="15.75" x14ac:dyDescent="0.25">
      <c r="C13" s="47"/>
      <c r="D13" s="47" t="s">
        <v>48</v>
      </c>
      <c r="E13" s="50">
        <f>Despesas!G31</f>
        <v>45407</v>
      </c>
    </row>
    <row r="14" spans="2:5" ht="16.5" thickBot="1" x14ac:dyDescent="0.3">
      <c r="C14" s="51"/>
      <c r="D14" s="51"/>
      <c r="E14" s="52"/>
    </row>
    <row r="15" spans="2:5" ht="16.5" thickBot="1" x14ac:dyDescent="0.3">
      <c r="C15" s="53" t="s">
        <v>136</v>
      </c>
      <c r="D15" s="53"/>
      <c r="E15" s="54">
        <f>E4-E11</f>
        <v>-58636.775699999998</v>
      </c>
    </row>
    <row r="16" spans="2:5" ht="16.5" thickTop="1" x14ac:dyDescent="0.25">
      <c r="C16" s="47"/>
      <c r="D16" s="47"/>
      <c r="E16" s="50"/>
    </row>
    <row r="17" spans="3:5" ht="15.75" x14ac:dyDescent="0.25">
      <c r="C17" s="47" t="s">
        <v>88</v>
      </c>
      <c r="D17" s="47"/>
      <c r="E17" s="50">
        <f>Investimentos!E11</f>
        <v>400000</v>
      </c>
    </row>
    <row r="18" spans="3:5" ht="15.75" x14ac:dyDescent="0.25">
      <c r="C18" s="47"/>
      <c r="D18" s="47"/>
      <c r="E18" s="50"/>
    </row>
    <row r="19" spans="3:5" ht="15.75" x14ac:dyDescent="0.25">
      <c r="C19" s="47" t="s">
        <v>137</v>
      </c>
      <c r="D19" s="47"/>
      <c r="E19" s="50">
        <v>300</v>
      </c>
    </row>
    <row r="20" spans="3:5" ht="15.75" x14ac:dyDescent="0.25">
      <c r="C20" s="47"/>
      <c r="D20" s="47"/>
      <c r="E20" s="50"/>
    </row>
    <row r="21" spans="3:5" ht="16.5" thickBot="1" x14ac:dyDescent="0.3">
      <c r="C21" s="55" t="s">
        <v>138</v>
      </c>
      <c r="D21" s="55"/>
      <c r="E21" s="56">
        <f>E15-E17-E19</f>
        <v>-458936.7757</v>
      </c>
    </row>
    <row r="22" spans="3:5" ht="16.5" thickTop="1" x14ac:dyDescent="0.25">
      <c r="C22" s="47"/>
      <c r="D22" s="47"/>
      <c r="E22" s="50"/>
    </row>
    <row r="23" spans="3:5" ht="15.75" x14ac:dyDescent="0.25">
      <c r="C23" s="47" t="s">
        <v>139</v>
      </c>
      <c r="D23" s="47"/>
      <c r="E23" s="50">
        <f>IF(E21&gt;1000,0.3*E21,0)</f>
        <v>0</v>
      </c>
    </row>
    <row r="24" spans="3:5" ht="15.75" x14ac:dyDescent="0.25">
      <c r="C24" s="47"/>
      <c r="D24" s="47"/>
      <c r="E24" s="50"/>
    </row>
    <row r="25" spans="3:5" ht="16.5" thickBot="1" x14ac:dyDescent="0.3">
      <c r="C25" s="55" t="s">
        <v>140</v>
      </c>
      <c r="D25" s="55"/>
      <c r="E25" s="56">
        <f>E21-E23</f>
        <v>-458936.7757</v>
      </c>
    </row>
    <row r="26" spans="3:5" ht="15.75" thickTop="1" x14ac:dyDescent="0.25"/>
  </sheetData>
  <conditionalFormatting sqref="E15 E21 E25">
    <cfRule type="cellIs" dxfId="3" priority="2" operator="lessThan">
      <formula>0</formula>
    </cfRule>
    <cfRule type="cellIs" dxfId="2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B2:K51"/>
  <sheetViews>
    <sheetView showGridLines="0" workbookViewId="0"/>
  </sheetViews>
  <sheetFormatPr defaultRowHeight="15" x14ac:dyDescent="0.25"/>
  <cols>
    <col min="2" max="2" width="14.5703125" customWidth="1"/>
    <col min="3" max="3" width="30.85546875" bestFit="1" customWidth="1"/>
    <col min="4" max="4" width="22.85546875" bestFit="1" customWidth="1"/>
    <col min="5" max="5" width="5.7109375" customWidth="1"/>
    <col min="6" max="8" width="15.42578125" customWidth="1"/>
    <col min="9" max="9" width="13.7109375" customWidth="1"/>
    <col min="10" max="10" width="15.5703125" customWidth="1"/>
    <col min="11" max="11" width="13.7109375" customWidth="1"/>
  </cols>
  <sheetData>
    <row r="2" spans="2:11" s="17" customFormat="1" ht="27.95" customHeight="1" x14ac:dyDescent="0.25">
      <c r="B2" s="16" t="s">
        <v>145</v>
      </c>
    </row>
    <row r="3" spans="2:11" ht="30.75" customHeight="1" x14ac:dyDescent="0.25"/>
    <row r="4" spans="2:11" ht="21" x14ac:dyDescent="0.35">
      <c r="K4" s="42" t="s">
        <v>126</v>
      </c>
    </row>
    <row r="5" spans="2:11" ht="13.5" customHeight="1" x14ac:dyDescent="0.35">
      <c r="K5" s="23"/>
    </row>
    <row r="6" spans="2:11" x14ac:dyDescent="0.25">
      <c r="B6" s="24"/>
      <c r="C6" s="25"/>
      <c r="D6" s="25"/>
      <c r="E6" s="25"/>
      <c r="F6" s="25"/>
      <c r="G6" s="25"/>
      <c r="H6" s="25"/>
      <c r="I6" s="25"/>
      <c r="J6" s="25"/>
      <c r="K6" s="26"/>
    </row>
    <row r="7" spans="2:11" x14ac:dyDescent="0.25">
      <c r="B7" s="27"/>
      <c r="K7" s="28"/>
    </row>
    <row r="8" spans="2:11" x14ac:dyDescent="0.25">
      <c r="B8" s="27"/>
      <c r="K8" s="28"/>
    </row>
    <row r="9" spans="2:11" ht="18.75" x14ac:dyDescent="0.3">
      <c r="B9" s="27"/>
      <c r="C9" s="33" t="s">
        <v>121</v>
      </c>
      <c r="D9" s="34">
        <f>'Semana 1'!M32</f>
        <v>670.84630000000016</v>
      </c>
      <c r="K9" s="28"/>
    </row>
    <row r="10" spans="2:11" ht="18.75" x14ac:dyDescent="0.3">
      <c r="B10" s="27"/>
      <c r="C10" s="35" t="s">
        <v>122</v>
      </c>
      <c r="D10" s="36">
        <f>'Semana 2'!M19</f>
        <v>99.3</v>
      </c>
      <c r="K10" s="28"/>
    </row>
    <row r="11" spans="2:11" ht="18.75" x14ac:dyDescent="0.3">
      <c r="B11" s="27"/>
      <c r="C11" s="35" t="s">
        <v>123</v>
      </c>
      <c r="D11" s="37">
        <f>'Semana 3'!M18</f>
        <v>0</v>
      </c>
      <c r="K11" s="28"/>
    </row>
    <row r="12" spans="2:11" ht="18.75" x14ac:dyDescent="0.3">
      <c r="B12" s="27"/>
      <c r="C12" s="35" t="s">
        <v>124</v>
      </c>
      <c r="D12" s="37">
        <f>'Semana 4'!M18</f>
        <v>0</v>
      </c>
      <c r="K12" s="28"/>
    </row>
    <row r="13" spans="2:11" ht="18.75" x14ac:dyDescent="0.3">
      <c r="B13" s="27"/>
      <c r="C13" s="38" t="s">
        <v>125</v>
      </c>
      <c r="D13" s="39">
        <f>'Semana 5'!M18</f>
        <v>0</v>
      </c>
      <c r="K13" s="28"/>
    </row>
    <row r="14" spans="2:11" x14ac:dyDescent="0.25">
      <c r="B14" s="27"/>
      <c r="C14" s="32"/>
      <c r="D14" s="32"/>
      <c r="K14" s="28"/>
    </row>
    <row r="15" spans="2:11" x14ac:dyDescent="0.25">
      <c r="B15" s="27"/>
      <c r="C15" s="32"/>
      <c r="D15" s="32"/>
      <c r="K15" s="28"/>
    </row>
    <row r="16" spans="2:11" x14ac:dyDescent="0.25">
      <c r="B16" s="27"/>
      <c r="C16" s="32"/>
      <c r="D16" s="32"/>
      <c r="K16" s="28"/>
    </row>
    <row r="17" spans="2:11" ht="18.75" x14ac:dyDescent="0.3">
      <c r="B17" s="27"/>
      <c r="C17" s="40" t="str">
        <f>"Total de Vendas de "&amp;K4</f>
        <v>Total de Vendas de Julho</v>
      </c>
      <c r="D17" s="41">
        <f>SUM(D9:D13)</f>
        <v>770.14630000000011</v>
      </c>
      <c r="K17" s="28"/>
    </row>
    <row r="18" spans="2:11" x14ac:dyDescent="0.25">
      <c r="B18" s="27"/>
      <c r="K18" s="28"/>
    </row>
    <row r="19" spans="2:11" x14ac:dyDescent="0.25">
      <c r="B19" s="27"/>
      <c r="K19" s="28"/>
    </row>
    <row r="20" spans="2:11" x14ac:dyDescent="0.25">
      <c r="B20" s="27"/>
      <c r="K20" s="28"/>
    </row>
    <row r="21" spans="2:11" x14ac:dyDescent="0.25">
      <c r="B21" s="29"/>
      <c r="C21" s="30"/>
      <c r="D21" s="30"/>
      <c r="E21" s="30"/>
      <c r="F21" s="30"/>
      <c r="G21" s="30"/>
      <c r="H21" s="30"/>
      <c r="I21" s="30"/>
      <c r="J21" s="30"/>
      <c r="K21" s="31"/>
    </row>
    <row r="24" spans="2:11" x14ac:dyDescent="0.25">
      <c r="B24" s="24"/>
      <c r="C24" s="25"/>
      <c r="D24" s="25"/>
      <c r="E24" s="25"/>
      <c r="F24" s="25"/>
      <c r="G24" s="25"/>
      <c r="H24" s="25"/>
      <c r="I24" s="25"/>
      <c r="J24" s="25"/>
      <c r="K24" s="26"/>
    </row>
    <row r="25" spans="2:11" x14ac:dyDescent="0.25">
      <c r="B25" s="27"/>
      <c r="K25" s="28"/>
    </row>
    <row r="26" spans="2:11" ht="18.75" x14ac:dyDescent="0.3">
      <c r="B26" s="27"/>
      <c r="C26" s="33" t="s">
        <v>127</v>
      </c>
      <c r="D26" s="43">
        <f>SUM(COUNTIF(Tabela5[Valor de Entrega],"&gt;0"),COUNTIF(Tabela57[Valor de Entrega],"&gt;0"),COUNTIF(Tabela578[Valor de Entrega],"&gt;0"),COUNTIF(Tabela579[Valor de Entrega],"&gt;0"),COUNTIF(Tabela5710[Valor de Entrega],"&gt;0"))/SUM('Semana 1'!M34,'Semana 2'!M21,'Semana 3'!M20,'Semana 4'!M20,'Semana 5'!M20)</f>
        <v>0.53333333333333333</v>
      </c>
      <c r="K26" s="28"/>
    </row>
    <row r="27" spans="2:11" ht="18.75" x14ac:dyDescent="0.3">
      <c r="B27" s="27"/>
      <c r="C27" s="35" t="s">
        <v>128</v>
      </c>
      <c r="D27" s="36">
        <f>SUMIF(Tabela5[Valor de Entrega],"&gt;0",Tabela5[Total para Cliente])+SUMIF(Tabela57[Valor de Entrega],"&gt;0",Tabela57[Total para Cliente])+SUMIF(Tabela578[Valor de Entrega],"&gt;0",Tabela578[Total para Cliente])+SUMIF(Tabela579[Valor de Entrega],"&gt;0",Tabela579[Total para Cliente])+SUMIF(Tabela5710[Valor de Entrega],"&gt;0",Tabela5710[Total para Cliente])</f>
        <v>443.75630000000007</v>
      </c>
      <c r="K27" s="28"/>
    </row>
    <row r="28" spans="2:11" ht="18.75" x14ac:dyDescent="0.3">
      <c r="B28" s="27"/>
      <c r="C28" s="38" t="s">
        <v>129</v>
      </c>
      <c r="D28" s="39">
        <f>SUM('Semana 1'!M33,'Semana 2'!M20,'Semana 3'!M19,'Semana 4'!M19,'Semana 5'!M19)</f>
        <v>55</v>
      </c>
      <c r="K28" s="28"/>
    </row>
    <row r="29" spans="2:11" x14ac:dyDescent="0.25">
      <c r="B29" s="27"/>
      <c r="K29" s="28"/>
    </row>
    <row r="30" spans="2:11" x14ac:dyDescent="0.25">
      <c r="B30" s="27"/>
      <c r="K30" s="28"/>
    </row>
    <row r="31" spans="2:11" x14ac:dyDescent="0.25">
      <c r="B31" s="27"/>
      <c r="K31" s="28"/>
    </row>
    <row r="32" spans="2:11" x14ac:dyDescent="0.25">
      <c r="B32" s="27"/>
      <c r="K32" s="28"/>
    </row>
    <row r="33" spans="2:11" ht="18.75" x14ac:dyDescent="0.3">
      <c r="B33" s="27"/>
      <c r="C33" s="40" t="s">
        <v>119</v>
      </c>
      <c r="D33" s="41">
        <f>SUM('Semana 1'!M32,'Semana 2'!M19,'Semana 3'!M18,'Semana 4'!M18,'Semana 5'!M18)/SUM('Semana 1'!M34,'Semana 2'!M21,'Semana 3'!M20,'Semana 4'!M20,'Semana 5'!M20)</f>
        <v>51.343086666666672</v>
      </c>
      <c r="K33" s="28"/>
    </row>
    <row r="34" spans="2:11" x14ac:dyDescent="0.25">
      <c r="B34" s="27"/>
      <c r="K34" s="28"/>
    </row>
    <row r="35" spans="2:11" x14ac:dyDescent="0.25">
      <c r="B35" s="27"/>
      <c r="K35" s="28"/>
    </row>
    <row r="36" spans="2:11" x14ac:dyDescent="0.25">
      <c r="B36" s="29"/>
      <c r="C36" s="30"/>
      <c r="D36" s="30"/>
      <c r="E36" s="30"/>
      <c r="F36" s="30"/>
      <c r="G36" s="30"/>
      <c r="H36" s="30"/>
      <c r="I36" s="30"/>
      <c r="J36" s="30"/>
      <c r="K36" s="31"/>
    </row>
    <row r="39" spans="2:11" x14ac:dyDescent="0.25">
      <c r="B39" s="24"/>
      <c r="C39" s="25"/>
      <c r="D39" s="25"/>
      <c r="E39" s="25"/>
      <c r="F39" s="25"/>
      <c r="G39" s="25"/>
      <c r="H39" s="25"/>
      <c r="I39" s="25"/>
      <c r="J39" s="25"/>
      <c r="K39" s="26"/>
    </row>
    <row r="40" spans="2:11" x14ac:dyDescent="0.25">
      <c r="B40" s="27"/>
      <c r="K40" s="28"/>
    </row>
    <row r="41" spans="2:11" ht="18.75" x14ac:dyDescent="0.3">
      <c r="B41" s="27"/>
      <c r="C41" s="40" t="s">
        <v>120</v>
      </c>
      <c r="K41" s="28"/>
    </row>
    <row r="42" spans="2:11" x14ac:dyDescent="0.25">
      <c r="B42" s="27"/>
      <c r="K42" s="28"/>
    </row>
    <row r="43" spans="2:11" ht="18.75" x14ac:dyDescent="0.3">
      <c r="B43" s="27"/>
      <c r="D43" s="44" t="s">
        <v>131</v>
      </c>
      <c r="K43" s="28"/>
    </row>
    <row r="44" spans="2:11" ht="18.75" x14ac:dyDescent="0.3">
      <c r="B44" s="27"/>
      <c r="C44" s="33" t="s">
        <v>109</v>
      </c>
      <c r="D44" s="33">
        <f>COUNTIFS(Tabela5[Entrega],Vendas!C44,Tabela5[Total para Cliente],"&gt;0")+COUNTIFS(Tabela57[Entrega],Vendas!C44,Tabela57[Total para Cliente],"&gt;0")+COUNTIFS(Tabela578[Entrega],Vendas!C44,Tabela578[Total para Cliente],"&gt;0")+COUNTIFS(Tabela579[Entrega],Vendas!C44,Tabela579[Total para Cliente],"&gt;0")+COUNTIFS(Tabela5710[Entrega],Vendas!C44,Tabela5710[Total para Cliente],"&gt;0")</f>
        <v>7</v>
      </c>
      <c r="K44" s="28"/>
    </row>
    <row r="45" spans="2:11" ht="18.75" x14ac:dyDescent="0.3">
      <c r="B45" s="27"/>
      <c r="C45" s="35" t="s">
        <v>108</v>
      </c>
      <c r="D45" s="33">
        <f>COUNTIFS(Tabela5[Entrega],Vendas!C45,Tabela5[Total para Cliente],"&gt;0")+COUNTIFS(Tabela57[Entrega],Vendas!C45,Tabela57[Total para Cliente],"&gt;0")+COUNTIFS(Tabela578[Entrega],Vendas!C45,Tabela578[Total para Cliente],"&gt;0")+COUNTIFS(Tabela579[Entrega],Vendas!C45,Tabela579[Total para Cliente],"&gt;0")+COUNTIFS(Tabela5710[Entrega],Vendas!C45,Tabela5710[Total para Cliente],"&gt;0")</f>
        <v>0</v>
      </c>
      <c r="K45" s="28"/>
    </row>
    <row r="46" spans="2:11" ht="18.75" x14ac:dyDescent="0.3">
      <c r="B46" s="27"/>
      <c r="C46" s="35" t="s">
        <v>110</v>
      </c>
      <c r="D46" s="33">
        <f>COUNTIFS(Tabela5[Entrega],Vendas!C46,Tabela5[Total para Cliente],"&gt;0")+COUNTIFS(Tabela57[Entrega],Vendas!C46,Tabela57[Total para Cliente],"&gt;0")+COUNTIFS(Tabela578[Entrega],Vendas!C46,Tabela578[Total para Cliente],"&gt;0")+COUNTIFS(Tabela579[Entrega],Vendas!C46,Tabela579[Total para Cliente],"&gt;0")+COUNTIFS(Tabela5710[Entrega],Vendas!C46,Tabela5710[Total para Cliente],"&gt;0")</f>
        <v>2</v>
      </c>
      <c r="K46" s="28"/>
    </row>
    <row r="47" spans="2:11" ht="18.75" x14ac:dyDescent="0.3">
      <c r="B47" s="27"/>
      <c r="C47" s="33" t="s">
        <v>111</v>
      </c>
      <c r="D47" s="33">
        <f>COUNTIFS(Tabela5[Entrega],Vendas!C47,Tabela5[Total para Cliente],"&gt;0")+COUNTIFS(Tabela57[Entrega],Vendas!C47,Tabela57[Total para Cliente],"&gt;0")+COUNTIFS(Tabela578[Entrega],Vendas!C47,Tabela578[Total para Cliente],"&gt;0")+COUNTIFS(Tabela579[Entrega],Vendas!C47,Tabela579[Total para Cliente],"&gt;0")+COUNTIFS(Tabela5710[Entrega],Vendas!C47,Tabela5710[Total para Cliente],"&gt;0")</f>
        <v>2</v>
      </c>
      <c r="K47" s="28"/>
    </row>
    <row r="48" spans="2:11" ht="18.75" x14ac:dyDescent="0.3">
      <c r="B48" s="27"/>
      <c r="C48" s="38" t="s">
        <v>112</v>
      </c>
      <c r="D48" s="38">
        <f>COUNTIFS(Tabela5[Entrega],Vendas!C48,Tabela5[Total para Cliente],"&gt;0")+COUNTIFS(Tabela57[Entrega],Vendas!C48,Tabela57[Total para Cliente],"&gt;0")+COUNTIFS(Tabela578[Entrega],Vendas!C48,Tabela578[Total para Cliente],"&gt;0")+COUNTIFS(Tabela579[Entrega],Vendas!C48,Tabela579[Total para Cliente],"&gt;0")+COUNTIFS(Tabela5710[Entrega],Vendas!C48,Tabela5710[Total para Cliente],"&gt;0")</f>
        <v>4</v>
      </c>
      <c r="K48" s="28"/>
    </row>
    <row r="49" spans="2:11" x14ac:dyDescent="0.25">
      <c r="B49" s="27"/>
      <c r="K49" s="28"/>
    </row>
    <row r="50" spans="2:11" x14ac:dyDescent="0.25">
      <c r="B50" s="27"/>
      <c r="K50" s="28"/>
    </row>
    <row r="51" spans="2:11" x14ac:dyDescent="0.25">
      <c r="B51" s="29"/>
      <c r="C51" s="30"/>
      <c r="D51" s="30"/>
      <c r="E51" s="30"/>
      <c r="F51" s="30"/>
      <c r="G51" s="30"/>
      <c r="H51" s="30"/>
      <c r="I51" s="30"/>
      <c r="J51" s="30"/>
      <c r="K51" s="31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3C28B-4C32-4D87-A7A8-D3C95A9EAE4F}">
  <sheetPr codeName="Planilha8"/>
  <dimension ref="B2:M34"/>
  <sheetViews>
    <sheetView showGridLines="0" workbookViewId="0">
      <selection activeCell="U16" sqref="U16"/>
    </sheetView>
  </sheetViews>
  <sheetFormatPr defaultRowHeight="15" x14ac:dyDescent="0.25"/>
  <cols>
    <col min="1" max="1" width="14" customWidth="1"/>
    <col min="2" max="2" width="16.85546875" customWidth="1"/>
    <col min="3" max="3" width="10.7109375" bestFit="1" customWidth="1"/>
    <col min="4" max="4" width="15.7109375" bestFit="1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2.5703125" customWidth="1"/>
    <col min="10" max="10" width="19.140625" customWidth="1"/>
    <col min="11" max="11" width="17.7109375" customWidth="1"/>
    <col min="12" max="12" width="10.7109375" customWidth="1"/>
    <col min="13" max="13" width="18.7109375" customWidth="1"/>
  </cols>
  <sheetData>
    <row r="2" spans="2:13" s="17" customFormat="1" ht="27.95" customHeight="1" x14ac:dyDescent="0.25">
      <c r="B2" s="16" t="s">
        <v>101</v>
      </c>
    </row>
    <row r="3" spans="2:13" ht="30.75" customHeight="1" x14ac:dyDescent="0.25"/>
    <row r="4" spans="2:13" x14ac:dyDescent="0.25">
      <c r="B4" t="s">
        <v>102</v>
      </c>
      <c r="C4" t="s">
        <v>38</v>
      </c>
      <c r="D4" t="s">
        <v>60</v>
      </c>
      <c r="E4" t="s">
        <v>54</v>
      </c>
      <c r="F4" t="s">
        <v>55</v>
      </c>
      <c r="G4" t="s">
        <v>56</v>
      </c>
      <c r="H4" t="s">
        <v>103</v>
      </c>
      <c r="I4" t="s">
        <v>57</v>
      </c>
      <c r="J4" t="s">
        <v>107</v>
      </c>
      <c r="K4" t="s">
        <v>104</v>
      </c>
      <c r="L4" t="s">
        <v>105</v>
      </c>
      <c r="M4" t="s">
        <v>106</v>
      </c>
    </row>
    <row r="5" spans="2:13" x14ac:dyDescent="0.25">
      <c r="B5">
        <v>13</v>
      </c>
      <c r="C5" s="7">
        <v>42190</v>
      </c>
      <c r="D5" t="s">
        <v>108</v>
      </c>
      <c r="E5" s="57" t="str">
        <f>IFERROR(VLOOKUP(Tabela5[[#This Row],[Produtos]],cálculos!$J$5:$M$33,4,FALSE),"")</f>
        <v/>
      </c>
      <c r="G5" s="58">
        <f>IFERROR(VLOOKUP(Tabela5[[#This Row],[Produtos]],cálculos!$J$5:$M$33,3,FALSE),0)</f>
        <v>0</v>
      </c>
      <c r="H5" s="58">
        <f>Tabela5[[#This Row],[Quantidade]]*Tabela5[[#This Row],[Preço Unitario]]</f>
        <v>0</v>
      </c>
      <c r="I5" s="6"/>
      <c r="J5" t="s">
        <v>112</v>
      </c>
      <c r="K5" s="58">
        <f>IFERROR(IF(Tabela5[[#This Row],[Id da Venda]]=B6,0,VLOOKUP(Tabela5[[#This Row],[Entrega]],cálculos!$B$5:$C$9,2,FALSE)),0)</f>
        <v>0</v>
      </c>
      <c r="L5" s="58">
        <f>Tabela5[[#This Row],[Subtotal]]*(1-Tabela5[[#This Row],[Desconto]])+Tabela5[[#This Row],[Valor de Entrega]]</f>
        <v>0</v>
      </c>
      <c r="M5" s="58" t="str">
        <f>IF(Tabela5[[#This Row],[Id da Venda]]=B6,"",SUMIF(Tabela5[Id da Venda],Tabela5[[#This Row],[Id da Venda]],Tabela5[Total]))</f>
        <v/>
      </c>
    </row>
    <row r="6" spans="2:13" x14ac:dyDescent="0.25">
      <c r="B6">
        <v>13</v>
      </c>
      <c r="C6" s="7">
        <v>42190</v>
      </c>
      <c r="D6" t="s">
        <v>26</v>
      </c>
      <c r="E6" t="str">
        <f>IFERROR(VLOOKUP(Tabela5[[#This Row],[Produtos]],cálculos!$J$5:$M$33,4,FALSE),"")</f>
        <v>Pacote</v>
      </c>
      <c r="F6">
        <v>10</v>
      </c>
      <c r="G6" s="3">
        <f>IFERROR(VLOOKUP(Tabela5[[#This Row],[Produtos]],cálculos!$J$5:$M$33,3,FALSE),0)</f>
        <v>1.1499999999999999</v>
      </c>
      <c r="H6" s="3">
        <f>Tabela5[[#This Row],[Quantidade]]*Tabela5[[#This Row],[Preço Unitario]]</f>
        <v>11.5</v>
      </c>
      <c r="I6" s="6"/>
      <c r="J6" t="s">
        <v>112</v>
      </c>
      <c r="K6" s="3">
        <f>IFERROR(IF(Tabela5[[#This Row],[Id da Venda]]=B7,0,VLOOKUP(Tabela5[[#This Row],[Entrega]],cálculos!$B$5:$C$9,2,FALSE)),0)</f>
        <v>0</v>
      </c>
      <c r="L6" s="3">
        <f>Tabela5[[#This Row],[Subtotal]]*(1-Tabela5[[#This Row],[Desconto]])+Tabela5[[#This Row],[Valor de Entrega]]</f>
        <v>11.5</v>
      </c>
      <c r="M6" s="3" t="str">
        <f>IF(Tabela5[[#This Row],[Id da Venda]]=B7,"",SUMIF(Tabela5[Id da Venda],Tabela5[[#This Row],[Id da Venda]],Tabela5[Total]))</f>
        <v/>
      </c>
    </row>
    <row r="7" spans="2:13" x14ac:dyDescent="0.25">
      <c r="B7">
        <v>13</v>
      </c>
      <c r="C7" s="7">
        <v>42190</v>
      </c>
      <c r="D7" t="s">
        <v>30</v>
      </c>
      <c r="E7" t="str">
        <f>IFERROR(VLOOKUP(Tabela5[[#This Row],[Produtos]],cálculos!$J$5:$M$33,4,FALSE),"")</f>
        <v>Pacote</v>
      </c>
      <c r="F7">
        <v>1</v>
      </c>
      <c r="G7" s="3">
        <f>IFERROR(VLOOKUP(Tabela5[[#This Row],[Produtos]],cálculos!$J$5:$M$33,3,FALSE),0)</f>
        <v>0.79</v>
      </c>
      <c r="H7" s="3">
        <f>Tabela5[[#This Row],[Quantidade]]*Tabela5[[#This Row],[Preço Unitario]]</f>
        <v>0.79</v>
      </c>
      <c r="I7" s="6">
        <v>0.03</v>
      </c>
      <c r="J7" t="s">
        <v>112</v>
      </c>
      <c r="K7" s="3">
        <f>IFERROR(IF(Tabela5[[#This Row],[Id da Venda]]=B8,0,VLOOKUP(Tabela5[[#This Row],[Entrega]],cálculos!$B$5:$C$9,2,FALSE)),0)</f>
        <v>0</v>
      </c>
      <c r="L7" s="3">
        <f>Tabela5[[#This Row],[Subtotal]]*(1-Tabela5[[#This Row],[Desconto]])+Tabela5[[#This Row],[Valor de Entrega]]</f>
        <v>0.76629999999999998</v>
      </c>
      <c r="M7" s="3" t="str">
        <f>IF(Tabela5[[#This Row],[Id da Venda]]=B8,"",SUMIF(Tabela5[Id da Venda],Tabela5[[#This Row],[Id da Venda]],Tabela5[Total]))</f>
        <v/>
      </c>
    </row>
    <row r="8" spans="2:13" x14ac:dyDescent="0.25">
      <c r="B8">
        <v>13</v>
      </c>
      <c r="C8" s="7">
        <v>42190</v>
      </c>
      <c r="D8" t="s">
        <v>18</v>
      </c>
      <c r="E8" t="str">
        <f>IFERROR(VLOOKUP(Tabela5[[#This Row],[Produtos]],cálculos!$J$5:$M$33,4,FALSE),"")</f>
        <v>Kg</v>
      </c>
      <c r="F8">
        <v>10</v>
      </c>
      <c r="G8" s="3">
        <f>IFERROR(VLOOKUP(Tabela5[[#This Row],[Produtos]],cálculos!$J$5:$M$33,3,FALSE),0)</f>
        <v>15.9</v>
      </c>
      <c r="H8" s="3">
        <f>Tabela5[[#This Row],[Quantidade]]*Tabela5[[#This Row],[Preço Unitario]]</f>
        <v>159</v>
      </c>
      <c r="I8" s="6"/>
      <c r="J8" t="s">
        <v>112</v>
      </c>
      <c r="K8" s="3">
        <f>IFERROR(IF(Tabela5[[#This Row],[Id da Venda]]=B9,0,VLOOKUP(Tabela5[[#This Row],[Entrega]],cálculos!$B$5:$C$9,2,FALSE)),0)</f>
        <v>0</v>
      </c>
      <c r="L8" s="3">
        <f>Tabela5[[#This Row],[Subtotal]]*(1-Tabela5[[#This Row],[Desconto]])+Tabela5[[#This Row],[Valor de Entrega]]</f>
        <v>159</v>
      </c>
      <c r="M8" s="3" t="str">
        <f>IF(Tabela5[[#This Row],[Id da Venda]]=B9,"",SUMIF(Tabela5[Id da Venda],Tabela5[[#This Row],[Id da Venda]],Tabela5[Total]))</f>
        <v/>
      </c>
    </row>
    <row r="9" spans="2:13" x14ac:dyDescent="0.25">
      <c r="B9">
        <v>13</v>
      </c>
      <c r="C9" s="7">
        <v>42190</v>
      </c>
      <c r="D9" t="s">
        <v>27</v>
      </c>
      <c r="E9" t="str">
        <f>IFERROR(VLOOKUP(Tabela5[[#This Row],[Produtos]],cálculos!$J$5:$M$33,4,FALSE),"")</f>
        <v>Lata</v>
      </c>
      <c r="F9">
        <v>24</v>
      </c>
      <c r="G9" s="3">
        <f>IFERROR(VLOOKUP(Tabela5[[#This Row],[Produtos]],cálculos!$J$5:$M$33,3,FALSE),0)</f>
        <v>2.19</v>
      </c>
      <c r="H9" s="3">
        <f>Tabela5[[#This Row],[Quantidade]]*Tabela5[[#This Row],[Preço Unitario]]</f>
        <v>52.56</v>
      </c>
      <c r="I9" s="6"/>
      <c r="J9" t="s">
        <v>112</v>
      </c>
      <c r="K9" s="3">
        <f>IFERROR(IF(Tabela5[[#This Row],[Id da Venda]]=B10,0,VLOOKUP(Tabela5[[#This Row],[Entrega]],cálculos!$B$5:$C$9,2,FALSE)),0)</f>
        <v>6.5</v>
      </c>
      <c r="L9" s="3">
        <f>Tabela5[[#This Row],[Subtotal]]*(1-Tabela5[[#This Row],[Desconto]])+Tabela5[[#This Row],[Valor de Entrega]]</f>
        <v>59.06</v>
      </c>
      <c r="M9" s="3">
        <f>IF(Tabela5[[#This Row],[Id da Venda]]=B10,"",SUMIF(Tabela5[Id da Venda],Tabela5[[#This Row],[Id da Venda]],Tabela5[Total]))</f>
        <v>230.3263</v>
      </c>
    </row>
    <row r="10" spans="2:13" x14ac:dyDescent="0.25">
      <c r="B10">
        <v>12</v>
      </c>
      <c r="C10" s="7">
        <v>42189</v>
      </c>
      <c r="D10" t="s">
        <v>27</v>
      </c>
      <c r="E10" t="str">
        <f>IFERROR(VLOOKUP(Tabela5[[#This Row],[Produtos]],cálculos!$J$5:$M$33,4,FALSE),"")</f>
        <v>Lata</v>
      </c>
      <c r="F10">
        <v>1</v>
      </c>
      <c r="G10" s="3">
        <f>IFERROR(VLOOKUP(Tabela5[[#This Row],[Produtos]],cálculos!$J$5:$M$33,3,FALSE),0)</f>
        <v>2.19</v>
      </c>
      <c r="H10" s="3">
        <f>Tabela5[[#This Row],[Quantidade]]*Tabela5[[#This Row],[Preço Unitario]]</f>
        <v>2.19</v>
      </c>
      <c r="I10" s="6"/>
      <c r="J10" t="s">
        <v>109</v>
      </c>
      <c r="K10" s="3">
        <f>IFERROR(IF(Tabela5[[#This Row],[Id da Venda]]=B11,0,VLOOKUP(Tabela5[[#This Row],[Entrega]],cálculos!$B$5:$C$9,2,FALSE)),0)</f>
        <v>0</v>
      </c>
      <c r="L10" s="3">
        <f>Tabela5[[#This Row],[Subtotal]]*(1-Tabela5[[#This Row],[Desconto]])+Tabela5[[#This Row],[Valor de Entrega]]</f>
        <v>2.19</v>
      </c>
      <c r="M10" s="3">
        <f>IF(Tabela5[[#This Row],[Id da Venda]]=B11,"",SUMIF(Tabela5[Id da Venda],Tabela5[[#This Row],[Id da Venda]],Tabela5[Total]))</f>
        <v>2.19</v>
      </c>
    </row>
    <row r="11" spans="2:13" x14ac:dyDescent="0.25">
      <c r="B11">
        <v>11</v>
      </c>
      <c r="C11" s="7">
        <v>42189</v>
      </c>
      <c r="D11" t="s">
        <v>27</v>
      </c>
      <c r="E11" t="str">
        <f>IFERROR(VLOOKUP(Tabela5[[#This Row],[Produtos]],cálculos!$J$5:$M$33,4,FALSE),"")</f>
        <v>Lata</v>
      </c>
      <c r="F11">
        <v>10</v>
      </c>
      <c r="G11" s="3">
        <f>IFERROR(VLOOKUP(Tabela5[[#This Row],[Produtos]],cálculos!$J$5:$M$33,3,FALSE),0)</f>
        <v>2.19</v>
      </c>
      <c r="H11" s="3">
        <f>Tabela5[[#This Row],[Quantidade]]*Tabela5[[#This Row],[Preço Unitario]]</f>
        <v>21.9</v>
      </c>
      <c r="I11" s="6"/>
      <c r="J11" t="s">
        <v>109</v>
      </c>
      <c r="K11" s="3">
        <f>IFERROR(IF(Tabela5[[#This Row],[Id da Venda]]=B12,0,VLOOKUP(Tabela5[[#This Row],[Entrega]],cálculos!$B$5:$C$9,2,FALSE)),0)</f>
        <v>0</v>
      </c>
      <c r="L11" s="3">
        <f>Tabela5[[#This Row],[Subtotal]]*(1-Tabela5[[#This Row],[Desconto]])+Tabela5[[#This Row],[Valor de Entrega]]</f>
        <v>21.9</v>
      </c>
      <c r="M11" s="3">
        <f>IF(Tabela5[[#This Row],[Id da Venda]]=B12,"",SUMIF(Tabela5[Id da Venda],Tabela5[[#This Row],[Id da Venda]],Tabela5[Total]))</f>
        <v>21.9</v>
      </c>
    </row>
    <row r="12" spans="2:13" x14ac:dyDescent="0.25">
      <c r="B12">
        <v>10</v>
      </c>
      <c r="C12" s="7">
        <v>42189</v>
      </c>
      <c r="D12" t="s">
        <v>15</v>
      </c>
      <c r="E12" t="str">
        <f>IFERROR(VLOOKUP(Tabela5[[#This Row],[Produtos]],cálculos!$J$5:$M$33,4,FALSE),"")</f>
        <v>Kg</v>
      </c>
      <c r="F12">
        <v>6</v>
      </c>
      <c r="G12" s="3">
        <f>IFERROR(VLOOKUP(Tabela5[[#This Row],[Produtos]],cálculos!$J$5:$M$33,3,FALSE),0)</f>
        <v>4.28</v>
      </c>
      <c r="H12" s="3">
        <f>Tabela5[[#This Row],[Quantidade]]*Tabela5[[#This Row],[Preço Unitario]]</f>
        <v>25.68</v>
      </c>
      <c r="I12" s="6"/>
      <c r="J12" t="s">
        <v>109</v>
      </c>
      <c r="K12" s="3">
        <f>IFERROR(IF(Tabela5[[#This Row],[Id da Venda]]=B13,0,VLOOKUP(Tabela5[[#This Row],[Entrega]],cálculos!$B$5:$C$9,2,FALSE)),0)</f>
        <v>0</v>
      </c>
      <c r="L12" s="3">
        <f>Tabela5[[#This Row],[Subtotal]]*(1-Tabela5[[#This Row],[Desconto]])+Tabela5[[#This Row],[Valor de Entrega]]</f>
        <v>25.68</v>
      </c>
      <c r="M12" s="3" t="str">
        <f>IF(Tabela5[[#This Row],[Id da Venda]]=B13,"",SUMIF(Tabela5[Id da Venda],Tabela5[[#This Row],[Id da Venda]],Tabela5[Total]))</f>
        <v/>
      </c>
    </row>
    <row r="13" spans="2:13" x14ac:dyDescent="0.25">
      <c r="B13">
        <v>10</v>
      </c>
      <c r="C13" s="7">
        <v>42189</v>
      </c>
      <c r="D13" t="s">
        <v>72</v>
      </c>
      <c r="E13" t="str">
        <f>IFERROR(VLOOKUP(Tabela5[[#This Row],[Produtos]],cálculos!$J$5:$M$33,4,FALSE),"")</f>
        <v>Litro</v>
      </c>
      <c r="F13">
        <v>4</v>
      </c>
      <c r="G13" s="3">
        <f>IFERROR(VLOOKUP(Tabela5[[#This Row],[Produtos]],cálculos!$J$5:$M$33,3,FALSE),0)</f>
        <v>2.39</v>
      </c>
      <c r="H13" s="3">
        <f>Tabela5[[#This Row],[Quantidade]]*Tabela5[[#This Row],[Preço Unitario]]</f>
        <v>9.56</v>
      </c>
      <c r="I13" s="6"/>
      <c r="J13" t="s">
        <v>109</v>
      </c>
      <c r="K13" s="3">
        <f>IFERROR(IF(Tabela5[[#This Row],[Id da Venda]]=B14,0,VLOOKUP(Tabela5[[#This Row],[Entrega]],cálculos!$B$5:$C$9,2,FALSE)),0)</f>
        <v>0</v>
      </c>
      <c r="L13" s="3">
        <f>Tabela5[[#This Row],[Subtotal]]*(1-Tabela5[[#This Row],[Desconto]])+Tabela5[[#This Row],[Valor de Entrega]]</f>
        <v>9.56</v>
      </c>
      <c r="M13" s="3">
        <f>IF(Tabela5[[#This Row],[Id da Venda]]=B14,"",SUMIF(Tabela5[Id da Venda],Tabela5[[#This Row],[Id da Venda]],Tabela5[Total]))</f>
        <v>35.24</v>
      </c>
    </row>
    <row r="14" spans="2:13" x14ac:dyDescent="0.25">
      <c r="B14">
        <v>9</v>
      </c>
      <c r="C14" s="7">
        <v>42188</v>
      </c>
      <c r="D14" t="s">
        <v>71</v>
      </c>
      <c r="E14" t="str">
        <f>IFERROR(VLOOKUP(Tabela5[[#This Row],[Produtos]],cálculos!$J$5:$M$33,4,FALSE),"")</f>
        <v>Unidade</v>
      </c>
      <c r="F14">
        <v>5</v>
      </c>
      <c r="G14" s="3">
        <f>IFERROR(VLOOKUP(Tabela5[[#This Row],[Produtos]],cálculos!$J$5:$M$33,3,FALSE),0)</f>
        <v>2.89</v>
      </c>
      <c r="H14" s="3">
        <f>Tabela5[[#This Row],[Quantidade]]*Tabela5[[#This Row],[Preço Unitario]]</f>
        <v>14.450000000000001</v>
      </c>
      <c r="I14" s="6"/>
      <c r="J14" t="s">
        <v>109</v>
      </c>
      <c r="K14" s="3">
        <f>IFERROR(IF(Tabela5[[#This Row],[Id da Venda]]=B15,0,VLOOKUP(Tabela5[[#This Row],[Entrega]],cálculos!$B$5:$C$9,2,FALSE)),0)</f>
        <v>0</v>
      </c>
      <c r="L14" s="3">
        <f>Tabela5[[#This Row],[Subtotal]]*(1-Tabela5[[#This Row],[Desconto]])+Tabela5[[#This Row],[Valor de Entrega]]</f>
        <v>14.450000000000001</v>
      </c>
      <c r="M14" s="3" t="str">
        <f>IF(Tabela5[[#This Row],[Id da Venda]]=B15,"",SUMIF(Tabela5[Id da Venda],Tabela5[[#This Row],[Id da Venda]],Tabela5[Total]))</f>
        <v/>
      </c>
    </row>
    <row r="15" spans="2:13" x14ac:dyDescent="0.25">
      <c r="B15">
        <v>9</v>
      </c>
      <c r="C15" s="7">
        <v>42188</v>
      </c>
      <c r="D15" t="s">
        <v>25</v>
      </c>
      <c r="E15" t="str">
        <f>IFERROR(VLOOKUP(Tabela5[[#This Row],[Produtos]],cálculos!$J$5:$M$33,4,FALSE),"")</f>
        <v>Kg</v>
      </c>
      <c r="F15">
        <v>2</v>
      </c>
      <c r="G15" s="3">
        <f>IFERROR(VLOOKUP(Tabela5[[#This Row],[Produtos]],cálculos!$J$5:$M$33,3,FALSE),0)</f>
        <v>9.58</v>
      </c>
      <c r="H15" s="3">
        <f>Tabela5[[#This Row],[Quantidade]]*Tabela5[[#This Row],[Preço Unitario]]</f>
        <v>19.16</v>
      </c>
      <c r="I15" s="6"/>
      <c r="J15" t="s">
        <v>109</v>
      </c>
      <c r="K15" s="3">
        <f>IFERROR(IF(Tabela5[[#This Row],[Id da Venda]]=B16,0,VLOOKUP(Tabela5[[#This Row],[Entrega]],cálculos!$B$5:$C$9,2,FALSE)),0)</f>
        <v>0</v>
      </c>
      <c r="L15" s="3">
        <f>Tabela5[[#This Row],[Subtotal]]*(1-Tabela5[[#This Row],[Desconto]])+Tabela5[[#This Row],[Valor de Entrega]]</f>
        <v>19.16</v>
      </c>
      <c r="M15" s="3" t="str">
        <f>IF(Tabela5[[#This Row],[Id da Venda]]=B16,"",SUMIF(Tabela5[Id da Venda],Tabela5[[#This Row],[Id da Venda]],Tabela5[Total]))</f>
        <v/>
      </c>
    </row>
    <row r="16" spans="2:13" x14ac:dyDescent="0.25">
      <c r="B16">
        <v>9</v>
      </c>
      <c r="C16" s="7">
        <v>42188</v>
      </c>
      <c r="D16" t="s">
        <v>21</v>
      </c>
      <c r="E16" t="str">
        <f>IFERROR(VLOOKUP(Tabela5[[#This Row],[Produtos]],cálculos!$J$5:$M$33,4,FALSE),"")</f>
        <v>Kg</v>
      </c>
      <c r="F16">
        <v>1.5</v>
      </c>
      <c r="G16" s="3">
        <f>IFERROR(VLOOKUP(Tabela5[[#This Row],[Produtos]],cálculos!$J$5:$M$33,3,FALSE),0)</f>
        <v>25.9</v>
      </c>
      <c r="H16" s="3">
        <f>Tabela5[[#This Row],[Quantidade]]*Tabela5[[#This Row],[Preço Unitario]]</f>
        <v>38.849999999999994</v>
      </c>
      <c r="I16" s="6"/>
      <c r="J16" t="s">
        <v>109</v>
      </c>
      <c r="K16" s="3">
        <f>IFERROR(IF(Tabela5[[#This Row],[Id da Venda]]=B17,0,VLOOKUP(Tabela5[[#This Row],[Entrega]],cálculos!$B$5:$C$9,2,FALSE)),0)</f>
        <v>0</v>
      </c>
      <c r="L16" s="3">
        <f>Tabela5[[#This Row],[Subtotal]]*(1-Tabela5[[#This Row],[Desconto]])+Tabela5[[#This Row],[Valor de Entrega]]</f>
        <v>38.849999999999994</v>
      </c>
      <c r="M16" s="3" t="str">
        <f>IF(Tabela5[[#This Row],[Id da Venda]]=B17,"",SUMIF(Tabela5[Id da Venda],Tabela5[[#This Row],[Id da Venda]],Tabela5[Total]))</f>
        <v/>
      </c>
    </row>
    <row r="17" spans="2:13" x14ac:dyDescent="0.25">
      <c r="B17">
        <v>9</v>
      </c>
      <c r="C17" s="7">
        <v>42188</v>
      </c>
      <c r="D17" t="s">
        <v>15</v>
      </c>
      <c r="E17" t="str">
        <f>IFERROR(VLOOKUP(Tabela5[[#This Row],[Produtos]],cálculos!$J$5:$M$33,4,FALSE),"")</f>
        <v>Kg</v>
      </c>
      <c r="F17">
        <v>4</v>
      </c>
      <c r="G17" s="3">
        <f>IFERROR(VLOOKUP(Tabela5[[#This Row],[Produtos]],cálculos!$J$5:$M$33,3,FALSE),0)</f>
        <v>4.28</v>
      </c>
      <c r="H17" s="3">
        <f>Tabela5[[#This Row],[Quantidade]]*Tabela5[[#This Row],[Preço Unitario]]</f>
        <v>17.12</v>
      </c>
      <c r="I17" s="6"/>
      <c r="J17" t="s">
        <v>109</v>
      </c>
      <c r="K17" s="3">
        <f>IFERROR(IF(Tabela5[[#This Row],[Id da Venda]]=B18,0,VLOOKUP(Tabela5[[#This Row],[Entrega]],cálculos!$B$5:$C$9,2,FALSE)),0)</f>
        <v>0</v>
      </c>
      <c r="L17" s="3">
        <f>Tabela5[[#This Row],[Subtotal]]*(1-Tabela5[[#This Row],[Desconto]])+Tabela5[[#This Row],[Valor de Entrega]]</f>
        <v>17.12</v>
      </c>
      <c r="M17" s="3">
        <f>IF(Tabela5[[#This Row],[Id da Venda]]=B18,"",SUMIF(Tabela5[Id da Venda],Tabela5[[#This Row],[Id da Venda]],Tabela5[Total]))</f>
        <v>89.58</v>
      </c>
    </row>
    <row r="18" spans="2:13" x14ac:dyDescent="0.25">
      <c r="B18">
        <v>8</v>
      </c>
      <c r="C18" s="7">
        <v>42188</v>
      </c>
      <c r="D18" t="s">
        <v>27</v>
      </c>
      <c r="E18" t="str">
        <f>IFERROR(VLOOKUP(Tabela5[[#This Row],[Produtos]],cálculos!$J$5:$M$33,4,FALSE),"")</f>
        <v>Lata</v>
      </c>
      <c r="F18">
        <v>20</v>
      </c>
      <c r="G18" s="3">
        <f>IFERROR(VLOOKUP(Tabela5[[#This Row],[Produtos]],cálculos!$J$5:$M$33,3,FALSE),0)</f>
        <v>2.19</v>
      </c>
      <c r="H18" s="3">
        <f>Tabela5[[#This Row],[Quantidade]]*Tabela5[[#This Row],[Preço Unitario]]</f>
        <v>43.8</v>
      </c>
      <c r="I18" s="6"/>
      <c r="J18" t="s">
        <v>112</v>
      </c>
      <c r="K18" s="3">
        <f>IFERROR(IF(Tabela5[[#This Row],[Id da Venda]]=B19,0,VLOOKUP(Tabela5[[#This Row],[Entrega]],cálculos!$B$5:$C$9,2,FALSE)),0)</f>
        <v>6.5</v>
      </c>
      <c r="L18" s="3">
        <f>Tabela5[[#This Row],[Subtotal]]*(1-Tabela5[[#This Row],[Desconto]])+Tabela5[[#This Row],[Valor de Entrega]]</f>
        <v>50.3</v>
      </c>
      <c r="M18" s="3">
        <f>IF(Tabela5[[#This Row],[Id da Venda]]=B19,"",SUMIF(Tabela5[Id da Venda],Tabela5[[#This Row],[Id da Venda]],Tabela5[Total]))</f>
        <v>50.3</v>
      </c>
    </row>
    <row r="19" spans="2:13" x14ac:dyDescent="0.25">
      <c r="B19">
        <v>7</v>
      </c>
      <c r="C19" s="7">
        <v>42188</v>
      </c>
      <c r="D19" t="s">
        <v>27</v>
      </c>
      <c r="E19" t="str">
        <f>IFERROR(VLOOKUP(Tabela5[[#This Row],[Produtos]],cálculos!$J$5:$M$33,4,FALSE),"")</f>
        <v>Lata</v>
      </c>
      <c r="F19">
        <v>20</v>
      </c>
      <c r="G19" s="3">
        <f>IFERROR(VLOOKUP(Tabela5[[#This Row],[Produtos]],cálculos!$J$5:$M$33,3,FALSE),0)</f>
        <v>2.19</v>
      </c>
      <c r="H19" s="3">
        <f>Tabela5[[#This Row],[Quantidade]]*Tabela5[[#This Row],[Preço Unitario]]</f>
        <v>43.8</v>
      </c>
      <c r="I19" s="6"/>
      <c r="J19" t="s">
        <v>109</v>
      </c>
      <c r="K19" s="3">
        <f>IFERROR(IF(Tabela5[[#This Row],[Id da Venda]]=B20,0,VLOOKUP(Tabela5[[#This Row],[Entrega]],cálculos!$B$5:$C$9,2,FALSE)),0)</f>
        <v>0</v>
      </c>
      <c r="L19" s="3">
        <f>Tabela5[[#This Row],[Subtotal]]*(1-Tabela5[[#This Row],[Desconto]])+Tabela5[[#This Row],[Valor de Entrega]]</f>
        <v>43.8</v>
      </c>
      <c r="M19" s="3">
        <f>IF(Tabela5[[#This Row],[Id da Venda]]=B20,"",SUMIF(Tabela5[Id da Venda],Tabela5[[#This Row],[Id da Venda]],Tabela5[Total]))</f>
        <v>43.8</v>
      </c>
    </row>
    <row r="20" spans="2:13" x14ac:dyDescent="0.25">
      <c r="B20">
        <v>6</v>
      </c>
      <c r="C20" s="7">
        <v>42188</v>
      </c>
      <c r="D20" t="s">
        <v>30</v>
      </c>
      <c r="E20" t="str">
        <f>IFERROR(VLOOKUP(Tabela5[[#This Row],[Produtos]],cálculos!$J$5:$M$33,4,FALSE),"")</f>
        <v>Pacote</v>
      </c>
      <c r="F20">
        <v>2</v>
      </c>
      <c r="G20" s="3">
        <f>IFERROR(VLOOKUP(Tabela5[[#This Row],[Produtos]],cálculos!$J$5:$M$33,3,FALSE),0)</f>
        <v>0.79</v>
      </c>
      <c r="H20" s="3">
        <f>Tabela5[[#This Row],[Quantidade]]*Tabela5[[#This Row],[Preço Unitario]]</f>
        <v>1.58</v>
      </c>
      <c r="I20" s="6"/>
      <c r="J20" t="s">
        <v>109</v>
      </c>
      <c r="K20" s="3">
        <f>IFERROR(IF(Tabela5[[#This Row],[Id da Venda]]=B21,0,VLOOKUP(Tabela5[[#This Row],[Entrega]],cálculos!$B$5:$C$9,2,FALSE)),0)</f>
        <v>0</v>
      </c>
      <c r="L20" s="3">
        <f>Tabela5[[#This Row],[Subtotal]]*(1-Tabela5[[#This Row],[Desconto]])+Tabela5[[#This Row],[Valor de Entrega]]</f>
        <v>1.58</v>
      </c>
      <c r="M20" s="3" t="str">
        <f>IF(Tabela5[[#This Row],[Id da Venda]]=B21,"",SUMIF(Tabela5[Id da Venda],Tabela5[[#This Row],[Id da Venda]],Tabela5[Total]))</f>
        <v/>
      </c>
    </row>
    <row r="21" spans="2:13" x14ac:dyDescent="0.25">
      <c r="B21">
        <v>6</v>
      </c>
      <c r="C21" s="7">
        <v>42188</v>
      </c>
      <c r="D21" t="s">
        <v>18</v>
      </c>
      <c r="E21" t="str">
        <f>IFERROR(VLOOKUP(Tabela5[[#This Row],[Produtos]],cálculos!$J$5:$M$33,4,FALSE),"")</f>
        <v>Kg</v>
      </c>
      <c r="F21">
        <v>6</v>
      </c>
      <c r="G21" s="3">
        <f>IFERROR(VLOOKUP(Tabela5[[#This Row],[Produtos]],cálculos!$J$5:$M$33,3,FALSE),0)</f>
        <v>15.9</v>
      </c>
      <c r="H21" s="3">
        <f>Tabela5[[#This Row],[Quantidade]]*Tabela5[[#This Row],[Preço Unitario]]</f>
        <v>95.4</v>
      </c>
      <c r="I21" s="6"/>
      <c r="J21" t="s">
        <v>109</v>
      </c>
      <c r="K21" s="3">
        <f>IFERROR(IF(Tabela5[[#This Row],[Id da Venda]]=B22,0,VLOOKUP(Tabela5[[#This Row],[Entrega]],cálculos!$B$5:$C$9,2,FALSE)),0)</f>
        <v>0</v>
      </c>
      <c r="L21" s="3">
        <f>Tabela5[[#This Row],[Subtotal]]*(1-Tabela5[[#This Row],[Desconto]])+Tabela5[[#This Row],[Valor de Entrega]]</f>
        <v>95.4</v>
      </c>
      <c r="M21" s="3" t="str">
        <f>IF(Tabela5[[#This Row],[Id da Venda]]=B22,"",SUMIF(Tabela5[Id da Venda],Tabela5[[#This Row],[Id da Venda]],Tabela5[Total]))</f>
        <v/>
      </c>
    </row>
    <row r="22" spans="2:13" x14ac:dyDescent="0.25">
      <c r="B22">
        <v>6</v>
      </c>
      <c r="C22" s="7">
        <v>42188</v>
      </c>
      <c r="D22" t="s">
        <v>27</v>
      </c>
      <c r="E22" t="str">
        <f>IFERROR(VLOOKUP(Tabela5[[#This Row],[Produtos]],cálculos!$J$5:$M$33,4,FALSE),"")</f>
        <v>Lata</v>
      </c>
      <c r="F22">
        <v>12</v>
      </c>
      <c r="G22" s="3">
        <f>IFERROR(VLOOKUP(Tabela5[[#This Row],[Produtos]],cálculos!$J$5:$M$33,3,FALSE),0)</f>
        <v>2.19</v>
      </c>
      <c r="H22" s="3">
        <f>Tabela5[[#This Row],[Quantidade]]*Tabela5[[#This Row],[Preço Unitario]]</f>
        <v>26.28</v>
      </c>
      <c r="I22" s="6"/>
      <c r="J22" t="s">
        <v>109</v>
      </c>
      <c r="K22" s="3">
        <f>IFERROR(IF(Tabela5[[#This Row],[Id da Venda]]=B23,0,VLOOKUP(Tabela5[[#This Row],[Entrega]],cálculos!$B$5:$C$9,2,FALSE)),0)</f>
        <v>0</v>
      </c>
      <c r="L22" s="3">
        <f>Tabela5[[#This Row],[Subtotal]]*(1-Tabela5[[#This Row],[Desconto]])+Tabela5[[#This Row],[Valor de Entrega]]</f>
        <v>26.28</v>
      </c>
      <c r="M22" s="3">
        <f>IF(Tabela5[[#This Row],[Id da Venda]]=B23,"",SUMIF(Tabela5[Id da Venda],Tabela5[[#This Row],[Id da Venda]],Tabela5[Total]))</f>
        <v>123.26</v>
      </c>
    </row>
    <row r="23" spans="2:13" x14ac:dyDescent="0.25">
      <c r="B23">
        <v>5</v>
      </c>
      <c r="C23" s="7">
        <v>42187</v>
      </c>
      <c r="D23" t="s">
        <v>17</v>
      </c>
      <c r="E23" t="str">
        <f>IFERROR(VLOOKUP(Tabela5[[#This Row],[Produtos]],cálculos!$J$5:$M$33,4,FALSE),"")</f>
        <v>Unidade</v>
      </c>
      <c r="F23">
        <v>3</v>
      </c>
      <c r="G23" s="3">
        <f>IFERROR(VLOOKUP(Tabela5[[#This Row],[Produtos]],cálculos!$J$5:$M$33,3,FALSE),0)</f>
        <v>2.99</v>
      </c>
      <c r="H23" s="3">
        <f>Tabela5[[#This Row],[Quantidade]]*Tabela5[[#This Row],[Preço Unitario]]</f>
        <v>8.9700000000000006</v>
      </c>
      <c r="I23" s="6"/>
      <c r="J23" t="s">
        <v>112</v>
      </c>
      <c r="K23" s="3">
        <f>IFERROR(IF(Tabela5[[#This Row],[Id da Venda]]=B24,0,VLOOKUP(Tabela5[[#This Row],[Entrega]],cálculos!$B$5:$C$9,2,FALSE)),0)</f>
        <v>6.5</v>
      </c>
      <c r="L23" s="3">
        <f>Tabela5[[#This Row],[Subtotal]]*(1-Tabela5[[#This Row],[Desconto]])+Tabela5[[#This Row],[Valor de Entrega]]</f>
        <v>15.47</v>
      </c>
      <c r="M23" s="3">
        <f>IF(Tabela5[[#This Row],[Id da Venda]]=B24,"",SUMIF(Tabela5[Id da Venda],Tabela5[[#This Row],[Id da Venda]],Tabela5[Total]))</f>
        <v>15.47</v>
      </c>
    </row>
    <row r="24" spans="2:13" x14ac:dyDescent="0.25">
      <c r="B24">
        <v>4</v>
      </c>
      <c r="C24" s="7">
        <v>42187</v>
      </c>
      <c r="D24" t="s">
        <v>31</v>
      </c>
      <c r="E24" t="str">
        <f>IFERROR(VLOOKUP(Tabela5[[#This Row],[Produtos]],cálculos!$J$5:$M$33,4,FALSE),"")</f>
        <v>Pacote</v>
      </c>
      <c r="F24">
        <v>2</v>
      </c>
      <c r="G24" s="3">
        <f>IFERROR(VLOOKUP(Tabela5[[#This Row],[Produtos]],cálculos!$J$5:$M$33,3,FALSE),0)</f>
        <v>1.99</v>
      </c>
      <c r="H24" s="3">
        <f>Tabela5[[#This Row],[Quantidade]]*Tabela5[[#This Row],[Preço Unitario]]</f>
        <v>3.98</v>
      </c>
      <c r="I24" s="6"/>
      <c r="J24" t="s">
        <v>110</v>
      </c>
      <c r="K24" s="3">
        <f>IFERROR(IF(Tabela5[[#This Row],[Id da Venda]]=B25,0,VLOOKUP(Tabela5[[#This Row],[Entrega]],cálculos!$B$5:$C$9,2,FALSE)),0)</f>
        <v>0</v>
      </c>
      <c r="L24" s="3">
        <f>Tabela5[[#This Row],[Subtotal]]*(1-Tabela5[[#This Row],[Desconto]])+Tabela5[[#This Row],[Valor de Entrega]]</f>
        <v>3.98</v>
      </c>
      <c r="M24" s="3" t="str">
        <f>IF(Tabela5[[#This Row],[Id da Venda]]=B25,"",SUMIF(Tabela5[Id da Venda],Tabela5[[#This Row],[Id da Venda]],Tabela5[Total]))</f>
        <v/>
      </c>
    </row>
    <row r="25" spans="2:13" x14ac:dyDescent="0.25">
      <c r="B25">
        <v>4</v>
      </c>
      <c r="C25" s="7">
        <v>42187</v>
      </c>
      <c r="D25" t="s">
        <v>14</v>
      </c>
      <c r="E25" t="str">
        <f>IFERROR(VLOOKUP(Tabela5[[#This Row],[Produtos]],cálculos!$J$5:$M$33,4,FALSE),"")</f>
        <v>Kg</v>
      </c>
      <c r="F25">
        <v>5</v>
      </c>
      <c r="G25" s="3">
        <f>IFERROR(VLOOKUP(Tabela5[[#This Row],[Produtos]],cálculos!$J$5:$M$33,3,FALSE),0)</f>
        <v>2.4900000000000002</v>
      </c>
      <c r="H25" s="3">
        <f>Tabela5[[#This Row],[Quantidade]]*Tabela5[[#This Row],[Preço Unitario]]</f>
        <v>12.450000000000001</v>
      </c>
      <c r="I25" s="6"/>
      <c r="J25" t="s">
        <v>110</v>
      </c>
      <c r="K25" s="3">
        <f>IFERROR(IF(Tabela5[[#This Row],[Id da Venda]]=B26,0,VLOOKUP(Tabela5[[#This Row],[Entrega]],cálculos!$B$5:$C$9,2,FALSE)),0)</f>
        <v>6.5</v>
      </c>
      <c r="L25" s="3">
        <f>Tabela5[[#This Row],[Subtotal]]*(1-Tabela5[[#This Row],[Desconto]])+Tabela5[[#This Row],[Valor de Entrega]]</f>
        <v>18.950000000000003</v>
      </c>
      <c r="M25" s="3">
        <f>IF(Tabela5[[#This Row],[Id da Venda]]=B26,"",SUMIF(Tabela5[Id da Venda],Tabela5[[#This Row],[Id da Venda]],Tabela5[Total]))</f>
        <v>22.930000000000003</v>
      </c>
    </row>
    <row r="26" spans="2:13" x14ac:dyDescent="0.25">
      <c r="B26">
        <v>3</v>
      </c>
      <c r="C26" s="7">
        <v>42187</v>
      </c>
      <c r="D26" t="s">
        <v>66</v>
      </c>
      <c r="E26" t="str">
        <f>IFERROR(VLOOKUP(Tabela5[[#This Row],[Produtos]],cálculos!$J$5:$M$33,4,FALSE),"")</f>
        <v>Litro</v>
      </c>
      <c r="F26">
        <v>6</v>
      </c>
      <c r="G26" s="3">
        <f>IFERROR(VLOOKUP(Tabela5[[#This Row],[Produtos]],cálculos!$J$5:$M$33,3,FALSE),0)</f>
        <v>1.49</v>
      </c>
      <c r="H26" s="3">
        <f>Tabela5[[#This Row],[Quantidade]]*Tabela5[[#This Row],[Preço Unitario]]</f>
        <v>8.94</v>
      </c>
      <c r="I26" s="6"/>
      <c r="J26" t="s">
        <v>111</v>
      </c>
      <c r="K26" s="3">
        <f>IFERROR(IF(Tabela5[[#This Row],[Id da Venda]]=B27,0,VLOOKUP(Tabela5[[#This Row],[Entrega]],cálculos!$B$5:$C$9,2,FALSE)),0)</f>
        <v>8</v>
      </c>
      <c r="L26" s="3">
        <f>Tabela5[[#This Row],[Subtotal]]*(1-Tabela5[[#This Row],[Desconto]])+Tabela5[[#This Row],[Valor de Entrega]]</f>
        <v>16.939999999999998</v>
      </c>
      <c r="M26" s="3">
        <f>IF(Tabela5[[#This Row],[Id da Venda]]=B27,"",SUMIF(Tabela5[Id da Venda],Tabela5[[#This Row],[Id da Venda]],Tabela5[Total]))</f>
        <v>16.939999999999998</v>
      </c>
    </row>
    <row r="27" spans="2:13" x14ac:dyDescent="0.25">
      <c r="B27">
        <v>2</v>
      </c>
      <c r="C27" s="7">
        <v>42187</v>
      </c>
      <c r="D27" t="s">
        <v>31</v>
      </c>
      <c r="E27" t="str">
        <f>IFERROR(VLOOKUP(Tabela5[[#This Row],[Produtos]],cálculos!$J$5:$M$33,4,FALSE),"")</f>
        <v>Pacote</v>
      </c>
      <c r="F27">
        <v>1</v>
      </c>
      <c r="G27" s="3">
        <f>IFERROR(VLOOKUP(Tabela5[[#This Row],[Produtos]],cálculos!$J$5:$M$33,3,FALSE),0)</f>
        <v>1.99</v>
      </c>
      <c r="H27" s="3">
        <f>Tabela5[[#This Row],[Quantidade]]*Tabela5[[#This Row],[Preço Unitario]]</f>
        <v>1.99</v>
      </c>
      <c r="I27" s="6"/>
      <c r="J27" t="s">
        <v>110</v>
      </c>
      <c r="K27" s="3">
        <f>IFERROR(IF(Tabela5[[#This Row],[Id da Venda]]=B28,0,VLOOKUP(Tabela5[[#This Row],[Entrega]],cálculos!$B$5:$C$9,2,FALSE)),0)</f>
        <v>6.5</v>
      </c>
      <c r="L27" s="3">
        <f>Tabela5[[#This Row],[Subtotal]]*(1-Tabela5[[#This Row],[Desconto]])+Tabela5[[#This Row],[Valor de Entrega]]</f>
        <v>8.49</v>
      </c>
      <c r="M27" s="3">
        <f>IF(Tabela5[[#This Row],[Id da Venda]]=B28,"",SUMIF(Tabela5[Id da Venda],Tabela5[[#This Row],[Id da Venda]],Tabela5[Total]))</f>
        <v>8.49</v>
      </c>
    </row>
    <row r="28" spans="2:13" x14ac:dyDescent="0.25">
      <c r="B28">
        <v>1</v>
      </c>
      <c r="C28" s="7">
        <v>42187</v>
      </c>
      <c r="D28" t="s">
        <v>14</v>
      </c>
      <c r="E28" t="str">
        <f>IFERROR(VLOOKUP(Tabela5[[#This Row],[Produtos]],cálculos!$J$5:$M$33,4,FALSE),"")</f>
        <v>Kg</v>
      </c>
      <c r="F28">
        <v>2</v>
      </c>
      <c r="G28" s="3">
        <f>IFERROR(VLOOKUP(Tabela5[[#This Row],[Produtos]],cálculos!$J$5:$M$33,3,FALSE),0)</f>
        <v>2.4900000000000002</v>
      </c>
      <c r="H28" s="3">
        <f>Tabela5[[#This Row],[Quantidade]]*Tabela5[[#This Row],[Preço Unitario]]</f>
        <v>4.9800000000000004</v>
      </c>
      <c r="I28" s="6"/>
      <c r="J28" t="s">
        <v>109</v>
      </c>
      <c r="K28" s="3">
        <f>IFERROR(IF(Tabela5[[#This Row],[Id da Venda]]=B29,0,VLOOKUP(Tabela5[[#This Row],[Entrega]],cálculos!$B$5:$C$9,2,FALSE)),0)</f>
        <v>0</v>
      </c>
      <c r="L28" s="3">
        <f>Tabela5[[#This Row],[Subtotal]]*(1-Tabela5[[#This Row],[Desconto]])+Tabela5[[#This Row],[Valor de Entrega]]</f>
        <v>4.9800000000000004</v>
      </c>
      <c r="M28" s="3" t="str">
        <f>IF(Tabela5[[#This Row],[Id da Venda]]=B29,"",SUMIF(Tabela5[Id da Venda],Tabela5[[#This Row],[Id da Venda]],Tabela5[Total]))</f>
        <v/>
      </c>
    </row>
    <row r="29" spans="2:13" x14ac:dyDescent="0.25">
      <c r="B29">
        <v>1</v>
      </c>
      <c r="C29" s="7">
        <v>42187</v>
      </c>
      <c r="D29" t="s">
        <v>26</v>
      </c>
      <c r="E29" t="str">
        <f>IFERROR(VLOOKUP(Tabela5[[#This Row],[Produtos]],cálculos!$J$5:$M$33,4,FALSE),"")</f>
        <v>Pacote</v>
      </c>
      <c r="F29">
        <v>3</v>
      </c>
      <c r="G29" s="3">
        <f>IFERROR(VLOOKUP(Tabela5[[#This Row],[Produtos]],cálculos!$J$5:$M$33,3,FALSE),0)</f>
        <v>1.1499999999999999</v>
      </c>
      <c r="H29" s="3">
        <f>Tabela5[[#This Row],[Quantidade]]*Tabela5[[#This Row],[Preço Unitario]]</f>
        <v>3.4499999999999997</v>
      </c>
      <c r="I29" s="6"/>
      <c r="J29" t="s">
        <v>109</v>
      </c>
      <c r="K29" s="3">
        <f>IFERROR(IF(Tabela5[[#This Row],[Id da Venda]]=B30,0,VLOOKUP(Tabela5[[#This Row],[Entrega]],cálculos!$B$5:$C$9,2,FALSE)),0)</f>
        <v>0</v>
      </c>
      <c r="L29" s="3">
        <f>Tabela5[[#This Row],[Subtotal]]*(1-Tabela5[[#This Row],[Desconto]])+Tabela5[[#This Row],[Valor de Entrega]]</f>
        <v>3.4499999999999997</v>
      </c>
      <c r="M29" s="3" t="str">
        <f>IF(Tabela5[[#This Row],[Id da Venda]]=B30,"",SUMIF(Tabela5[Id da Venda],Tabela5[[#This Row],[Id da Venda]],Tabela5[Total]))</f>
        <v/>
      </c>
    </row>
    <row r="30" spans="2:13" x14ac:dyDescent="0.25">
      <c r="B30">
        <v>1</v>
      </c>
      <c r="C30" s="7">
        <v>42187</v>
      </c>
      <c r="D30" t="s">
        <v>31</v>
      </c>
      <c r="E30" t="str">
        <f>IFERROR(VLOOKUP(Tabela5[[#This Row],[Produtos]],cálculos!$J$5:$M$33,4,FALSE),"")</f>
        <v>Pacote</v>
      </c>
      <c r="F30">
        <v>1</v>
      </c>
      <c r="G30" s="3">
        <f>IFERROR(VLOOKUP(Tabela5[[#This Row],[Produtos]],cálculos!$J$5:$M$33,3,FALSE),0)</f>
        <v>1.99</v>
      </c>
      <c r="H30" s="3">
        <f>Tabela5[[#This Row],[Quantidade]]*Tabela5[[#This Row],[Preço Unitario]]</f>
        <v>1.99</v>
      </c>
      <c r="I30" s="6"/>
      <c r="J30" t="s">
        <v>109</v>
      </c>
      <c r="K30" s="3">
        <f>IFERROR(IF(Tabela5[[#This Row],[Id da Venda]]=B31,0,VLOOKUP(Tabela5[[#This Row],[Entrega]],cálculos!$B$5:$C$9,2,FALSE)),0)</f>
        <v>0</v>
      </c>
      <c r="L30" s="3">
        <f>Tabela5[[#This Row],[Subtotal]]*(1-Tabela5[[#This Row],[Desconto]])+Tabela5[[#This Row],[Valor de Entrega]]</f>
        <v>1.99</v>
      </c>
      <c r="M30" s="3">
        <f>IF(Tabela5[[#This Row],[Id da Venda]]=B31,"",SUMIF(Tabela5[Id da Venda],Tabela5[[#This Row],[Id da Venda]],Tabela5[Total]))</f>
        <v>10.42</v>
      </c>
    </row>
    <row r="32" spans="2:13" ht="21" x14ac:dyDescent="0.35">
      <c r="B32" s="19" t="s">
        <v>113</v>
      </c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20">
        <f>SUM(Tabela5[Total])</f>
        <v>670.84630000000016</v>
      </c>
    </row>
    <row r="33" spans="2:13" ht="21" x14ac:dyDescent="0.35">
      <c r="B33" s="21" t="s">
        <v>114</v>
      </c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>
        <f>SUM(Tabela5[Valor de Entrega])</f>
        <v>40.5</v>
      </c>
    </row>
    <row r="34" spans="2:13" ht="21" x14ac:dyDescent="0.35">
      <c r="B34" s="21" t="s">
        <v>130</v>
      </c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 cm="1">
        <f t="array" ref="M34">SUM(IF(FREQUENCY(Tabela5[Id da Venda],Tabela5[Id da Venda])&gt;0,1,0))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8CE769-8925-448A-8E4F-472F8750CEB4}">
          <x14:formula1>
            <xm:f>cálculos!$J$5:$J$33</xm:f>
          </x14:formula1>
          <xm:sqref>D6:D30</xm:sqref>
        </x14:dataValidation>
        <x14:dataValidation type="list" allowBlank="1" showInputMessage="1" showErrorMessage="1" xr:uid="{338E58A8-5EBB-46E5-B9C6-1AAD9DE82E7E}">
          <x14:formula1>
            <xm:f>cálculos!$B$5:$B$9</xm:f>
          </x14:formula1>
          <xm:sqref>D5 J5:J30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F405B-9A4C-42AC-A79B-0FFE041BD8D2}">
  <dimension ref="A3:I28"/>
  <sheetViews>
    <sheetView showGridLines="0" workbookViewId="0">
      <selection activeCell="H14" sqref="H14"/>
    </sheetView>
  </sheetViews>
  <sheetFormatPr defaultRowHeight="15" x14ac:dyDescent="0.25"/>
  <cols>
    <col min="1" max="1" width="19.42578125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4" bestFit="1" customWidth="1"/>
    <col min="9" max="9" width="13.5703125" bestFit="1" customWidth="1"/>
  </cols>
  <sheetData>
    <row r="3" spans="1:9" x14ac:dyDescent="0.25">
      <c r="A3" s="59" t="s">
        <v>148</v>
      </c>
      <c r="B3" t="s">
        <v>152</v>
      </c>
      <c r="C3" t="s">
        <v>150</v>
      </c>
      <c r="F3" s="59" t="s">
        <v>148</v>
      </c>
      <c r="G3" t="s">
        <v>152</v>
      </c>
      <c r="H3" t="s">
        <v>151</v>
      </c>
      <c r="I3" t="s">
        <v>150</v>
      </c>
    </row>
    <row r="4" spans="1:9" x14ac:dyDescent="0.25">
      <c r="A4" s="60">
        <v>42187</v>
      </c>
      <c r="B4" s="57">
        <v>23</v>
      </c>
      <c r="C4" s="61">
        <v>74.25</v>
      </c>
      <c r="F4" s="63" t="s">
        <v>109</v>
      </c>
      <c r="G4" s="57">
        <v>79.5</v>
      </c>
      <c r="H4" s="61">
        <v>0</v>
      </c>
      <c r="I4" s="61">
        <v>326.39000000000004</v>
      </c>
    </row>
    <row r="5" spans="1:9" x14ac:dyDescent="0.25">
      <c r="A5" s="62" t="s">
        <v>17</v>
      </c>
      <c r="B5" s="57">
        <v>3</v>
      </c>
      <c r="C5" s="61">
        <v>15.47</v>
      </c>
      <c r="F5" s="63" t="s">
        <v>110</v>
      </c>
      <c r="G5" s="57">
        <v>8</v>
      </c>
      <c r="H5" s="61">
        <v>13</v>
      </c>
      <c r="I5" s="61">
        <v>31.42</v>
      </c>
    </row>
    <row r="6" spans="1:9" x14ac:dyDescent="0.25">
      <c r="A6" s="62" t="s">
        <v>26</v>
      </c>
      <c r="B6" s="57">
        <v>3</v>
      </c>
      <c r="C6" s="61">
        <v>3.4499999999999997</v>
      </c>
      <c r="F6" s="63" t="s">
        <v>111</v>
      </c>
      <c r="G6" s="57">
        <v>6</v>
      </c>
      <c r="H6" s="61">
        <v>8</v>
      </c>
      <c r="I6" s="61">
        <v>16.939999999999998</v>
      </c>
    </row>
    <row r="7" spans="1:9" x14ac:dyDescent="0.25">
      <c r="A7" s="62" t="s">
        <v>14</v>
      </c>
      <c r="B7" s="57">
        <v>7</v>
      </c>
      <c r="C7" s="61">
        <v>23.930000000000003</v>
      </c>
      <c r="F7" s="63" t="s">
        <v>112</v>
      </c>
      <c r="G7" s="57">
        <v>68</v>
      </c>
      <c r="H7" s="61">
        <v>19.5</v>
      </c>
      <c r="I7" s="61">
        <v>296.09630000000004</v>
      </c>
    </row>
    <row r="8" spans="1:9" x14ac:dyDescent="0.25">
      <c r="A8" s="62" t="s">
        <v>31</v>
      </c>
      <c r="B8" s="57">
        <v>4</v>
      </c>
      <c r="C8" s="61">
        <v>14.46</v>
      </c>
      <c r="F8" s="63" t="s">
        <v>149</v>
      </c>
      <c r="G8" s="57">
        <v>161.5</v>
      </c>
      <c r="H8" s="61">
        <v>40.5</v>
      </c>
      <c r="I8" s="61">
        <v>670.84630000000016</v>
      </c>
    </row>
    <row r="9" spans="1:9" x14ac:dyDescent="0.25">
      <c r="A9" s="62" t="s">
        <v>66</v>
      </c>
      <c r="B9" s="57">
        <v>6</v>
      </c>
      <c r="C9" s="61">
        <v>16.939999999999998</v>
      </c>
    </row>
    <row r="10" spans="1:9" x14ac:dyDescent="0.25">
      <c r="A10" s="60">
        <v>42188</v>
      </c>
      <c r="B10" s="57">
        <v>72.5</v>
      </c>
      <c r="C10" s="61">
        <v>306.94</v>
      </c>
    </row>
    <row r="11" spans="1:9" x14ac:dyDescent="0.25">
      <c r="A11" s="62" t="s">
        <v>30</v>
      </c>
      <c r="B11" s="57">
        <v>2</v>
      </c>
      <c r="C11" s="61">
        <v>1.58</v>
      </c>
    </row>
    <row r="12" spans="1:9" x14ac:dyDescent="0.25">
      <c r="A12" s="62" t="s">
        <v>18</v>
      </c>
      <c r="B12" s="57">
        <v>6</v>
      </c>
      <c r="C12" s="61">
        <v>95.4</v>
      </c>
    </row>
    <row r="13" spans="1:9" x14ac:dyDescent="0.25">
      <c r="A13" s="62" t="s">
        <v>27</v>
      </c>
      <c r="B13" s="57">
        <v>52</v>
      </c>
      <c r="C13" s="61">
        <v>120.38</v>
      </c>
    </row>
    <row r="14" spans="1:9" x14ac:dyDescent="0.25">
      <c r="A14" s="62" t="s">
        <v>15</v>
      </c>
      <c r="B14" s="57">
        <v>4</v>
      </c>
      <c r="C14" s="61">
        <v>17.12</v>
      </c>
    </row>
    <row r="15" spans="1:9" x14ac:dyDescent="0.25">
      <c r="A15" s="62" t="s">
        <v>71</v>
      </c>
      <c r="B15" s="57">
        <v>5</v>
      </c>
      <c r="C15" s="61">
        <v>14.450000000000001</v>
      </c>
    </row>
    <row r="16" spans="1:9" x14ac:dyDescent="0.25">
      <c r="A16" s="62" t="s">
        <v>21</v>
      </c>
      <c r="B16" s="57">
        <v>1.5</v>
      </c>
      <c r="C16" s="61">
        <v>38.849999999999994</v>
      </c>
    </row>
    <row r="17" spans="1:3" x14ac:dyDescent="0.25">
      <c r="A17" s="62" t="s">
        <v>25</v>
      </c>
      <c r="B17" s="57">
        <v>2</v>
      </c>
      <c r="C17" s="61">
        <v>19.16</v>
      </c>
    </row>
    <row r="18" spans="1:3" x14ac:dyDescent="0.25">
      <c r="A18" s="60">
        <v>42189</v>
      </c>
      <c r="B18" s="57">
        <v>21</v>
      </c>
      <c r="C18" s="61">
        <v>59.33</v>
      </c>
    </row>
    <row r="19" spans="1:3" x14ac:dyDescent="0.25">
      <c r="A19" s="62" t="s">
        <v>27</v>
      </c>
      <c r="B19" s="57">
        <v>11</v>
      </c>
      <c r="C19" s="61">
        <v>24.09</v>
      </c>
    </row>
    <row r="20" spans="1:3" x14ac:dyDescent="0.25">
      <c r="A20" s="62" t="s">
        <v>15</v>
      </c>
      <c r="B20" s="57">
        <v>6</v>
      </c>
      <c r="C20" s="61">
        <v>25.68</v>
      </c>
    </row>
    <row r="21" spans="1:3" x14ac:dyDescent="0.25">
      <c r="A21" s="62" t="s">
        <v>72</v>
      </c>
      <c r="B21" s="57">
        <v>4</v>
      </c>
      <c r="C21" s="61">
        <v>9.56</v>
      </c>
    </row>
    <row r="22" spans="1:3" x14ac:dyDescent="0.25">
      <c r="A22" s="60">
        <v>42190</v>
      </c>
      <c r="B22" s="57">
        <v>45</v>
      </c>
      <c r="C22" s="61">
        <v>230.3263</v>
      </c>
    </row>
    <row r="23" spans="1:3" x14ac:dyDescent="0.25">
      <c r="A23" s="62" t="s">
        <v>26</v>
      </c>
      <c r="B23" s="57">
        <v>10</v>
      </c>
      <c r="C23" s="61">
        <v>11.5</v>
      </c>
    </row>
    <row r="24" spans="1:3" x14ac:dyDescent="0.25">
      <c r="A24" s="62" t="s">
        <v>30</v>
      </c>
      <c r="B24" s="57">
        <v>1</v>
      </c>
      <c r="C24" s="61">
        <v>0.76629999999999998</v>
      </c>
    </row>
    <row r="25" spans="1:3" x14ac:dyDescent="0.25">
      <c r="A25" s="62" t="s">
        <v>18</v>
      </c>
      <c r="B25" s="57">
        <v>10</v>
      </c>
      <c r="C25" s="61">
        <v>159</v>
      </c>
    </row>
    <row r="26" spans="1:3" x14ac:dyDescent="0.25">
      <c r="A26" s="62" t="s">
        <v>108</v>
      </c>
      <c r="B26" s="57"/>
      <c r="C26" s="61">
        <v>0</v>
      </c>
    </row>
    <row r="27" spans="1:3" x14ac:dyDescent="0.25">
      <c r="A27" s="62" t="s">
        <v>27</v>
      </c>
      <c r="B27" s="57">
        <v>24</v>
      </c>
      <c r="C27" s="61">
        <v>59.06</v>
      </c>
    </row>
    <row r="28" spans="1:3" x14ac:dyDescent="0.25">
      <c r="A28" s="60" t="s">
        <v>149</v>
      </c>
      <c r="B28" s="57">
        <v>161.5</v>
      </c>
      <c r="C28" s="61">
        <v>670.84629999999993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EA84C-DA41-4AD4-8A95-184F38B5940E}">
  <sheetPr codeName="Planilha9"/>
  <dimension ref="B2:M21"/>
  <sheetViews>
    <sheetView showGridLines="0" workbookViewId="0">
      <selection activeCell="S13" sqref="S13"/>
    </sheetView>
  </sheetViews>
  <sheetFormatPr defaultRowHeight="15" x14ac:dyDescent="0.25"/>
  <cols>
    <col min="1" max="1" width="14" customWidth="1"/>
    <col min="2" max="2" width="27" bestFit="1" customWidth="1"/>
    <col min="3" max="3" width="12.7109375" customWidth="1"/>
    <col min="4" max="4" width="11.140625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2.5703125" customWidth="1"/>
    <col min="10" max="10" width="19.140625" customWidth="1"/>
    <col min="11" max="11" width="17.7109375" customWidth="1"/>
    <col min="12" max="12" width="10.7109375" customWidth="1"/>
    <col min="13" max="13" width="18.7109375" customWidth="1"/>
  </cols>
  <sheetData>
    <row r="2" spans="2:13" s="17" customFormat="1" ht="27.95" customHeight="1" x14ac:dyDescent="0.25">
      <c r="B2" s="16" t="s">
        <v>115</v>
      </c>
    </row>
    <row r="3" spans="2:13" ht="30.75" customHeight="1" x14ac:dyDescent="0.25"/>
    <row r="4" spans="2:13" x14ac:dyDescent="0.25">
      <c r="B4" t="s">
        <v>102</v>
      </c>
      <c r="C4" t="s">
        <v>38</v>
      </c>
      <c r="D4" t="s">
        <v>60</v>
      </c>
      <c r="E4" t="s">
        <v>54</v>
      </c>
      <c r="F4" t="s">
        <v>55</v>
      </c>
      <c r="G4" t="s">
        <v>56</v>
      </c>
      <c r="H4" t="s">
        <v>103</v>
      </c>
      <c r="I4" t="s">
        <v>57</v>
      </c>
      <c r="J4" t="s">
        <v>107</v>
      </c>
      <c r="K4" t="s">
        <v>104</v>
      </c>
      <c r="L4" t="s">
        <v>105</v>
      </c>
      <c r="M4" t="s">
        <v>106</v>
      </c>
    </row>
    <row r="5" spans="2:13" x14ac:dyDescent="0.25">
      <c r="B5">
        <v>101</v>
      </c>
      <c r="C5" s="7">
        <v>45307</v>
      </c>
      <c r="D5" t="s">
        <v>22</v>
      </c>
      <c r="E5" s="57" t="str">
        <f>IFERROR(VLOOKUP(Tabela57[[#This Row],[Produtos]],cálculos!$J$5:$M$33,4,FALSE),"")</f>
        <v>Garrafa</v>
      </c>
      <c r="F5">
        <v>1</v>
      </c>
      <c r="G5" s="58">
        <f>IFERROR(VLOOKUP(Tabela57[[#This Row],[Produtos]],cálculos!$J$5:$M$33,3,FALSE),0)</f>
        <v>29.9</v>
      </c>
      <c r="H5" s="58">
        <f>Tabela57[[#This Row],[Quantidade]]*Tabela57[[#This Row],[Preço Unitario]]</f>
        <v>29.9</v>
      </c>
      <c r="I5" s="6"/>
      <c r="J5" t="s">
        <v>112</v>
      </c>
      <c r="K5" s="58">
        <f>IFERROR(VLOOKUP(Tabela57[[#This Row],[Entrega]],cálculos!$B$5:$C$9,2,FALSE),0)</f>
        <v>6.5</v>
      </c>
      <c r="L5" s="58">
        <f>Tabela57[[#This Row],[Subtotal]]*(1-Tabela57[[#This Row],[Desconto]])+Tabela57[[#This Row],[Valor de Entrega]]</f>
        <v>36.4</v>
      </c>
      <c r="M5" s="58">
        <f>IF(Tabela57[[#This Row],[Id da Venda]]=B6,"",SUMIF(Tabela57[Id da Venda],Tabela57[[#This Row],[Id da Venda]],Tabela57[Total]))</f>
        <v>36.4</v>
      </c>
    </row>
    <row r="6" spans="2:13" x14ac:dyDescent="0.25">
      <c r="B6">
        <v>100</v>
      </c>
      <c r="C6" s="7">
        <v>42139</v>
      </c>
      <c r="D6" t="s">
        <v>28</v>
      </c>
      <c r="E6" t="str">
        <f>IFERROR(VLOOKUP(Tabela57[[#This Row],[Produtos]],cálculos!$J$5:$M$33,4,FALSE),"")</f>
        <v>Garrafa</v>
      </c>
      <c r="F6">
        <v>1</v>
      </c>
      <c r="G6" s="3">
        <f>IFERROR(VLOOKUP(Tabela57[[#This Row],[Produtos]],cálculos!$J$5:$M$33,3,FALSE),0)</f>
        <v>54.9</v>
      </c>
      <c r="H6" s="3">
        <f>Tabela57[[#This Row],[Quantidade]]*Tabela57[[#This Row],[Preço Unitario]]</f>
        <v>54.9</v>
      </c>
      <c r="I6" s="6"/>
      <c r="J6" t="s">
        <v>111</v>
      </c>
      <c r="K6" s="3">
        <f>IFERROR(VLOOKUP(Tabela57[[#This Row],[Entrega]],cálculos!$B$5:$C$9,2,FALSE),0)</f>
        <v>8</v>
      </c>
      <c r="L6" s="3">
        <f>Tabela57[[#This Row],[Subtotal]]*(1-Tabela57[[#This Row],[Desconto]])+Tabela57[[#This Row],[Valor de Entrega]]</f>
        <v>62.9</v>
      </c>
      <c r="M6" s="3">
        <f>IF(Tabela57[[#This Row],[Id da Venda]]=B7,"",SUMIF(Tabela57[Id da Venda],Tabela57[[#This Row],[Id da Venda]],Tabela57[Total]))</f>
        <v>62.9</v>
      </c>
    </row>
    <row r="7" spans="2:13" x14ac:dyDescent="0.25">
      <c r="C7" s="7"/>
      <c r="E7" t="str">
        <f>IFERROR(VLOOKUP(Tabela57[[#This Row],[Produtos]],cálculos!$J$5:$M$33,4,FALSE),"")</f>
        <v/>
      </c>
      <c r="G7" s="3">
        <f>IFERROR(VLOOKUP(Tabela57[[#This Row],[Produtos]],cálculos!$J$5:$M$33,3,FALSE),0)</f>
        <v>0</v>
      </c>
      <c r="H7" s="3">
        <f>Tabela57[[#This Row],[Quantidade]]*Tabela57[[#This Row],[Preço Unitario]]</f>
        <v>0</v>
      </c>
      <c r="I7" s="6"/>
      <c r="K7" s="3">
        <f>IFERROR(VLOOKUP(Tabela57[[#This Row],[Entrega]],cálculos!$B$5:$C$9,2,FALSE),0)</f>
        <v>0</v>
      </c>
      <c r="L7" s="3">
        <f>Tabela57[[#This Row],[Subtotal]]*(1-Tabela57[[#This Row],[Desconto]])+Tabela57[[#This Row],[Valor de Entrega]]</f>
        <v>0</v>
      </c>
      <c r="M7" s="3" t="str">
        <f>IF(Tabela57[[#This Row],[Id da Venda]]=B8,"",SUMIF(Tabela57[Id da Venda],Tabela57[[#This Row],[Id da Venda]],Tabela57[Total]))</f>
        <v/>
      </c>
    </row>
    <row r="8" spans="2:13" x14ac:dyDescent="0.25">
      <c r="C8" s="7"/>
      <c r="E8" t="str">
        <f>IFERROR(VLOOKUP(Tabela57[[#This Row],[Produtos]],cálculos!$J$5:$M$33,4,FALSE),"")</f>
        <v/>
      </c>
      <c r="G8" s="3">
        <f>IFERROR(VLOOKUP(Tabela57[[#This Row],[Produtos]],cálculos!$J$5:$M$33,3,FALSE),0)</f>
        <v>0</v>
      </c>
      <c r="H8" s="3">
        <f>Tabela57[[#This Row],[Quantidade]]*Tabela57[[#This Row],[Preço Unitario]]</f>
        <v>0</v>
      </c>
      <c r="I8" s="6"/>
      <c r="K8" s="3">
        <f>IFERROR(VLOOKUP(Tabela57[[#This Row],[Entrega]],cálculos!$B$5:$C$9,2,FALSE),0)</f>
        <v>0</v>
      </c>
      <c r="L8" s="3">
        <f>Tabela57[[#This Row],[Subtotal]]*(1-Tabela57[[#This Row],[Desconto]])+Tabela57[[#This Row],[Valor de Entrega]]</f>
        <v>0</v>
      </c>
      <c r="M8" s="3" t="str">
        <f>IF(Tabela57[[#This Row],[Id da Venda]]=B9,"",SUMIF(Tabela57[Id da Venda],Tabela57[[#This Row],[Id da Venda]],Tabela57[Total]))</f>
        <v/>
      </c>
    </row>
    <row r="9" spans="2:13" x14ac:dyDescent="0.25">
      <c r="C9" s="7"/>
      <c r="E9" t="str">
        <f>IFERROR(VLOOKUP(Tabela57[[#This Row],[Produtos]],cálculos!$J$5:$M$33,4,FALSE),"")</f>
        <v/>
      </c>
      <c r="G9" s="3">
        <f>IFERROR(VLOOKUP(Tabela57[[#This Row],[Produtos]],cálculos!$J$5:$M$33,3,FALSE),0)</f>
        <v>0</v>
      </c>
      <c r="H9" s="3">
        <f>Tabela57[[#This Row],[Quantidade]]*Tabela57[[#This Row],[Preço Unitario]]</f>
        <v>0</v>
      </c>
      <c r="I9" s="6"/>
      <c r="K9" s="3">
        <f>IFERROR(VLOOKUP(Tabela57[[#This Row],[Entrega]],cálculos!$B$5:$C$9,2,FALSE),0)</f>
        <v>0</v>
      </c>
      <c r="L9" s="3">
        <f>Tabela57[[#This Row],[Subtotal]]*(1-Tabela57[[#This Row],[Desconto]])+Tabela57[[#This Row],[Valor de Entrega]]</f>
        <v>0</v>
      </c>
      <c r="M9" s="3" t="str">
        <f>IF(Tabela57[[#This Row],[Id da Venda]]=B10,"",SUMIF(Tabela57[Id da Venda],Tabela57[[#This Row],[Id da Venda]],Tabela57[Total]))</f>
        <v/>
      </c>
    </row>
    <row r="10" spans="2:13" x14ac:dyDescent="0.25">
      <c r="C10" s="7"/>
      <c r="E10" t="str">
        <f>IFERROR(VLOOKUP(Tabela57[[#This Row],[Produtos]],cálculos!$J$5:$M$33,4,FALSE),"")</f>
        <v/>
      </c>
      <c r="G10" s="3">
        <f>IFERROR(VLOOKUP(Tabela57[[#This Row],[Produtos]],cálculos!$J$5:$M$33,3,FALSE),0)</f>
        <v>0</v>
      </c>
      <c r="H10" s="3">
        <f>Tabela57[[#This Row],[Quantidade]]*Tabela57[[#This Row],[Preço Unitario]]</f>
        <v>0</v>
      </c>
      <c r="I10" s="6"/>
      <c r="K10" s="3">
        <f>IFERROR(VLOOKUP(Tabela57[[#This Row],[Entrega]],cálculos!$B$5:$C$9,2,FALSE),0)</f>
        <v>0</v>
      </c>
      <c r="L10" s="3">
        <f>Tabela57[[#This Row],[Subtotal]]*(1-Tabela57[[#This Row],[Desconto]])+Tabela57[[#This Row],[Valor de Entrega]]</f>
        <v>0</v>
      </c>
      <c r="M10" s="3" t="str">
        <f>IF(Tabela57[[#This Row],[Id da Venda]]=B11,"",SUMIF(Tabela57[Id da Venda],Tabela57[[#This Row],[Id da Venda]],Tabela57[Total]))</f>
        <v/>
      </c>
    </row>
    <row r="11" spans="2:13" x14ac:dyDescent="0.25">
      <c r="C11" s="7"/>
      <c r="E11" t="str">
        <f>IFERROR(VLOOKUP(Tabela57[[#This Row],[Produtos]],cálculos!$J$5:$M$33,4,FALSE),"")</f>
        <v/>
      </c>
      <c r="G11" s="3">
        <f>IFERROR(VLOOKUP(Tabela57[[#This Row],[Produtos]],cálculos!$J$5:$M$33,3,FALSE),0)</f>
        <v>0</v>
      </c>
      <c r="H11" s="3">
        <f>Tabela57[[#This Row],[Quantidade]]*Tabela57[[#This Row],[Preço Unitario]]</f>
        <v>0</v>
      </c>
      <c r="I11" s="6"/>
      <c r="K11" s="3">
        <f>IFERROR(VLOOKUP(Tabela57[[#This Row],[Entrega]],cálculos!$B$5:$C$9,2,FALSE),0)</f>
        <v>0</v>
      </c>
      <c r="L11" s="3">
        <f>Tabela57[[#This Row],[Subtotal]]*(1-Tabela57[[#This Row],[Desconto]])+Tabela57[[#This Row],[Valor de Entrega]]</f>
        <v>0</v>
      </c>
      <c r="M11" s="3" t="str">
        <f>IF(Tabela57[[#This Row],[Id da Venda]]=B12,"",SUMIF(Tabela57[Id da Venda],Tabela57[[#This Row],[Id da Venda]],Tabela57[Total]))</f>
        <v/>
      </c>
    </row>
    <row r="12" spans="2:13" x14ac:dyDescent="0.25">
      <c r="C12" s="7"/>
      <c r="E12" t="str">
        <f>IFERROR(VLOOKUP(Tabela57[[#This Row],[Produtos]],cálculos!$J$5:$M$33,4,FALSE),"")</f>
        <v/>
      </c>
      <c r="G12" s="3">
        <f>IFERROR(VLOOKUP(Tabela57[[#This Row],[Produtos]],cálculos!$J$5:$M$33,3,FALSE),0)</f>
        <v>0</v>
      </c>
      <c r="H12" s="3">
        <f>Tabela57[[#This Row],[Quantidade]]*Tabela57[[#This Row],[Preço Unitario]]</f>
        <v>0</v>
      </c>
      <c r="I12" s="6"/>
      <c r="K12" s="3">
        <f>IFERROR(VLOOKUP(Tabela57[[#This Row],[Entrega]],cálculos!$B$5:$C$9,2,FALSE),0)</f>
        <v>0</v>
      </c>
      <c r="L12" s="3">
        <f>Tabela57[[#This Row],[Subtotal]]*(1-Tabela57[[#This Row],[Desconto]])+Tabela57[[#This Row],[Valor de Entrega]]</f>
        <v>0</v>
      </c>
      <c r="M12" s="3" t="str">
        <f>IF(Tabela57[[#This Row],[Id da Venda]]=B13,"",SUMIF(Tabela57[Id da Venda],Tabela57[[#This Row],[Id da Venda]],Tabela57[Total]))</f>
        <v/>
      </c>
    </row>
    <row r="13" spans="2:13" x14ac:dyDescent="0.25">
      <c r="C13" s="7"/>
      <c r="E13" t="str">
        <f>IFERROR(VLOOKUP(Tabela57[[#This Row],[Produtos]],cálculos!$J$5:$M$33,4,FALSE),"")</f>
        <v/>
      </c>
      <c r="G13" s="3">
        <f>IFERROR(VLOOKUP(Tabela57[[#This Row],[Produtos]],cálculos!$J$5:$M$33,3,FALSE),0)</f>
        <v>0</v>
      </c>
      <c r="H13" s="3">
        <f>Tabela57[[#This Row],[Quantidade]]*Tabela57[[#This Row],[Preço Unitario]]</f>
        <v>0</v>
      </c>
      <c r="I13" s="6"/>
      <c r="K13" s="3">
        <f>IFERROR(VLOOKUP(Tabela57[[#This Row],[Entrega]],cálculos!$B$5:$C$9,2,FALSE),0)</f>
        <v>0</v>
      </c>
      <c r="L13" s="3">
        <f>Tabela57[[#This Row],[Subtotal]]*(1-Tabela57[[#This Row],[Desconto]])+Tabela57[[#This Row],[Valor de Entrega]]</f>
        <v>0</v>
      </c>
      <c r="M13" s="3" t="str">
        <f>IF(Tabela57[[#This Row],[Id da Venda]]=B14,"",SUMIF(Tabela57[Id da Venda],Tabela57[[#This Row],[Id da Venda]],Tabela57[Total]))</f>
        <v/>
      </c>
    </row>
    <row r="14" spans="2:13" x14ac:dyDescent="0.25">
      <c r="C14" s="7"/>
      <c r="E14" t="str">
        <f>IFERROR(VLOOKUP(Tabela57[[#This Row],[Produtos]],cálculos!$J$5:$M$33,4,FALSE),"")</f>
        <v/>
      </c>
      <c r="G14" s="3">
        <f>IFERROR(VLOOKUP(Tabela57[[#This Row],[Produtos]],cálculos!$J$5:$M$33,3,FALSE),0)</f>
        <v>0</v>
      </c>
      <c r="H14" s="3">
        <f>Tabela57[[#This Row],[Quantidade]]*Tabela57[[#This Row],[Preço Unitario]]</f>
        <v>0</v>
      </c>
      <c r="I14" s="6"/>
      <c r="K14" s="3">
        <f>IFERROR(VLOOKUP(Tabela57[[#This Row],[Entrega]],cálculos!$B$5:$C$9,2,FALSE),0)</f>
        <v>0</v>
      </c>
      <c r="L14" s="3">
        <f>Tabela57[[#This Row],[Subtotal]]*(1-Tabela57[[#This Row],[Desconto]])+Tabela57[[#This Row],[Valor de Entrega]]</f>
        <v>0</v>
      </c>
      <c r="M14" s="3" t="str">
        <f>IF(Tabela57[[#This Row],[Id da Venda]]=B15,"",SUMIF(Tabela57[Id da Venda],Tabela57[[#This Row],[Id da Venda]],Tabela57[Total]))</f>
        <v/>
      </c>
    </row>
    <row r="15" spans="2:13" x14ac:dyDescent="0.25">
      <c r="C15" s="7"/>
      <c r="E15" t="str">
        <f>IFERROR(VLOOKUP(Tabela57[[#This Row],[Produtos]],cálculos!$J$5:$M$33,4,FALSE),"")</f>
        <v/>
      </c>
      <c r="G15" s="3">
        <f>IFERROR(VLOOKUP(Tabela57[[#This Row],[Produtos]],cálculos!$J$5:$M$33,3,FALSE),0)</f>
        <v>0</v>
      </c>
      <c r="H15" s="3">
        <f>Tabela57[[#This Row],[Quantidade]]*Tabela57[[#This Row],[Preço Unitario]]</f>
        <v>0</v>
      </c>
      <c r="I15" s="6"/>
      <c r="K15" s="3">
        <f>IFERROR(VLOOKUP(Tabela57[[#This Row],[Entrega]],cálculos!$B$5:$C$9,2,FALSE),0)</f>
        <v>0</v>
      </c>
      <c r="L15" s="3">
        <f>Tabela57[[#This Row],[Subtotal]]*(1-Tabela57[[#This Row],[Desconto]])+Tabela57[[#This Row],[Valor de Entrega]]</f>
        <v>0</v>
      </c>
      <c r="M15" s="3" t="str">
        <f>IF(Tabela57[[#This Row],[Id da Venda]]=B16,"",SUMIF(Tabela57[Id da Venda],Tabela57[[#This Row],[Id da Venda]],Tabela57[Total]))</f>
        <v/>
      </c>
    </row>
    <row r="16" spans="2:13" x14ac:dyDescent="0.25">
      <c r="C16" s="7"/>
      <c r="E16" t="str">
        <f>IFERROR(VLOOKUP(Tabela57[[#This Row],[Produtos]],cálculos!$J$5:$M$33,4,FALSE),"")</f>
        <v/>
      </c>
      <c r="G16" s="3">
        <f>IFERROR(VLOOKUP(Tabela57[[#This Row],[Produtos]],cálculos!$J$5:$M$33,3,FALSE),0)</f>
        <v>0</v>
      </c>
      <c r="H16" s="3">
        <f>Tabela57[[#This Row],[Quantidade]]*Tabela57[[#This Row],[Preço Unitario]]</f>
        <v>0</v>
      </c>
      <c r="I16" s="6"/>
      <c r="K16" s="3">
        <f>IFERROR(VLOOKUP(Tabela57[[#This Row],[Entrega]],cálculos!$B$5:$C$9,2,FALSE),0)</f>
        <v>0</v>
      </c>
      <c r="L16" s="3">
        <f>Tabela57[[#This Row],[Subtotal]]*(1-Tabela57[[#This Row],[Desconto]])+Tabela57[[#This Row],[Valor de Entrega]]</f>
        <v>0</v>
      </c>
      <c r="M16" s="3" t="str">
        <f>IF(Tabela57[[#This Row],[Id da Venda]]=B17,"",SUMIF(Tabela57[Id da Venda],Tabela57[[#This Row],[Id da Venda]],Tabela57[Total]))</f>
        <v/>
      </c>
    </row>
    <row r="17" spans="2:13" x14ac:dyDescent="0.25">
      <c r="C17" s="7"/>
      <c r="E17" t="str">
        <f>IFERROR(VLOOKUP(Tabela57[[#This Row],[Produtos]],cálculos!$J$5:$M$33,4,FALSE),"")</f>
        <v/>
      </c>
      <c r="G17" s="3">
        <f>IFERROR(VLOOKUP(Tabela57[[#This Row],[Produtos]],cálculos!$J$5:$M$33,3,FALSE),0)</f>
        <v>0</v>
      </c>
      <c r="H17" s="3">
        <f>Tabela57[[#This Row],[Quantidade]]*Tabela57[[#This Row],[Preço Unitario]]</f>
        <v>0</v>
      </c>
      <c r="I17" s="6"/>
      <c r="K17" s="3">
        <f>IFERROR(VLOOKUP(Tabela57[[#This Row],[Entrega]],cálculos!$B$5:$C$9,2,FALSE),0)</f>
        <v>0</v>
      </c>
      <c r="L17" s="3">
        <f>Tabela57[[#This Row],[Subtotal]]*(1-Tabela57[[#This Row],[Desconto]])+Tabela57[[#This Row],[Valor de Entrega]]</f>
        <v>0</v>
      </c>
      <c r="M17" s="3" t="str">
        <f>IF(Tabela57[[#This Row],[Id da Venda]]=B18,"",SUMIF(Tabela57[Id da Venda],Tabela57[[#This Row],[Id da Venda]],Tabela57[Total]))</f>
        <v/>
      </c>
    </row>
    <row r="19" spans="2:13" ht="21" x14ac:dyDescent="0.35">
      <c r="B19" s="19" t="s">
        <v>113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20">
        <f>SUM(Tabela57[Total])</f>
        <v>99.3</v>
      </c>
    </row>
    <row r="20" spans="2:13" ht="21" x14ac:dyDescent="0.35">
      <c r="B20" s="21" t="s">
        <v>114</v>
      </c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2">
        <f>SUM(Tabela57[Valor de Entrega])</f>
        <v>14.5</v>
      </c>
    </row>
    <row r="21" spans="2:13" ht="21" x14ac:dyDescent="0.35">
      <c r="B21" s="21" t="s">
        <v>130</v>
      </c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 cm="1">
        <f t="array" ref="M21">SUM(IF(FREQUENCY(Tabela57[Id da Venda],Tabela57[Id da Venda])&gt;0,1,0))</f>
        <v>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B836F83-0786-4EC3-A4BB-8F0B32CCE016}">
          <x14:formula1>
            <xm:f>cálculos!$B$5:$B$9</xm:f>
          </x14:formula1>
          <xm:sqref>J5:J17</xm:sqref>
        </x14:dataValidation>
        <x14:dataValidation type="list" allowBlank="1" showInputMessage="1" showErrorMessage="1" xr:uid="{A76C83AA-8A18-4D8B-9BAC-7D21986A003B}">
          <x14:formula1>
            <xm:f>cálculos!$J$5:$J$33</xm:f>
          </x14:formula1>
          <xm:sqref>D5:D17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25DD7-8CD3-4D5F-97CA-C1DA721003E5}">
  <dimension ref="A3:I10"/>
  <sheetViews>
    <sheetView showGridLines="0" workbookViewId="0">
      <selection activeCell="I37" sqref="I37"/>
    </sheetView>
  </sheetViews>
  <sheetFormatPr defaultRowHeight="15" x14ac:dyDescent="0.25"/>
  <cols>
    <col min="1" max="1" width="18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4" bestFit="1" customWidth="1"/>
    <col min="9" max="9" width="13.5703125" bestFit="1" customWidth="1"/>
  </cols>
  <sheetData>
    <row r="3" spans="1:9" x14ac:dyDescent="0.25">
      <c r="A3" s="59" t="s">
        <v>148</v>
      </c>
      <c r="B3" t="s">
        <v>152</v>
      </c>
      <c r="C3" t="s">
        <v>150</v>
      </c>
      <c r="F3" s="59" t="s">
        <v>148</v>
      </c>
      <c r="G3" t="s">
        <v>152</v>
      </c>
      <c r="H3" t="s">
        <v>151</v>
      </c>
      <c r="I3" t="s">
        <v>150</v>
      </c>
    </row>
    <row r="4" spans="1:9" x14ac:dyDescent="0.25">
      <c r="A4" s="60">
        <v>42139</v>
      </c>
      <c r="B4" s="57">
        <v>1</v>
      </c>
      <c r="C4" s="61">
        <v>62.9</v>
      </c>
      <c r="F4" s="63" t="s">
        <v>111</v>
      </c>
      <c r="G4" s="57">
        <v>1</v>
      </c>
      <c r="H4" s="61">
        <v>8</v>
      </c>
      <c r="I4" s="61">
        <v>62.9</v>
      </c>
    </row>
    <row r="5" spans="1:9" x14ac:dyDescent="0.25">
      <c r="A5" s="62" t="s">
        <v>28</v>
      </c>
      <c r="B5" s="57">
        <v>1</v>
      </c>
      <c r="C5" s="61">
        <v>62.9</v>
      </c>
      <c r="F5" s="63" t="s">
        <v>153</v>
      </c>
      <c r="G5" s="57"/>
      <c r="H5" s="61">
        <v>0</v>
      </c>
      <c r="I5" s="61">
        <v>0</v>
      </c>
    </row>
    <row r="6" spans="1:9" x14ac:dyDescent="0.25">
      <c r="A6" s="60" t="s">
        <v>153</v>
      </c>
      <c r="B6" s="57"/>
      <c r="C6" s="61">
        <v>0</v>
      </c>
      <c r="F6" s="62" t="s">
        <v>153</v>
      </c>
      <c r="G6" s="57"/>
      <c r="H6" s="61">
        <v>0</v>
      </c>
      <c r="I6" s="61">
        <v>0</v>
      </c>
    </row>
    <row r="7" spans="1:9" x14ac:dyDescent="0.25">
      <c r="A7" s="62" t="s">
        <v>153</v>
      </c>
      <c r="B7" s="57"/>
      <c r="C7" s="61">
        <v>0</v>
      </c>
      <c r="F7" s="63" t="s">
        <v>112</v>
      </c>
      <c r="G7" s="57">
        <v>1</v>
      </c>
      <c r="H7" s="61">
        <v>6.5</v>
      </c>
      <c r="I7" s="61">
        <v>36.4</v>
      </c>
    </row>
    <row r="8" spans="1:9" x14ac:dyDescent="0.25">
      <c r="A8" s="60">
        <v>45307</v>
      </c>
      <c r="B8" s="57">
        <v>1</v>
      </c>
      <c r="C8" s="61">
        <v>36.4</v>
      </c>
      <c r="F8" s="62" t="s">
        <v>22</v>
      </c>
      <c r="G8" s="57">
        <v>1</v>
      </c>
      <c r="H8" s="61">
        <v>6.5</v>
      </c>
      <c r="I8" s="61">
        <v>36.4</v>
      </c>
    </row>
    <row r="9" spans="1:9" x14ac:dyDescent="0.25">
      <c r="A9" s="62" t="s">
        <v>22</v>
      </c>
      <c r="B9" s="57">
        <v>1</v>
      </c>
      <c r="C9" s="61">
        <v>36.4</v>
      </c>
      <c r="F9" s="63" t="s">
        <v>149</v>
      </c>
      <c r="G9" s="57">
        <v>2</v>
      </c>
      <c r="H9" s="61">
        <v>14.5</v>
      </c>
      <c r="I9" s="61">
        <v>99.3</v>
      </c>
    </row>
    <row r="10" spans="1:9" x14ac:dyDescent="0.25">
      <c r="A10" s="60" t="s">
        <v>149</v>
      </c>
      <c r="B10" s="57">
        <v>2</v>
      </c>
      <c r="C10" s="61">
        <v>99.3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8572-5771-435B-812A-18229E68D2CA}">
  <sheetPr codeName="Planilha10"/>
  <dimension ref="B2:M20"/>
  <sheetViews>
    <sheetView showGridLines="0" workbookViewId="0">
      <selection activeCell="T9" sqref="T9"/>
    </sheetView>
  </sheetViews>
  <sheetFormatPr defaultRowHeight="15" x14ac:dyDescent="0.25"/>
  <cols>
    <col min="1" max="1" width="14" customWidth="1"/>
    <col min="2" max="2" width="27" bestFit="1" customWidth="1"/>
    <col min="3" max="3" width="10.7109375" bestFit="1" customWidth="1"/>
    <col min="4" max="4" width="11.140625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2.5703125" customWidth="1"/>
    <col min="10" max="10" width="19.140625" customWidth="1"/>
    <col min="11" max="11" width="17.7109375" customWidth="1"/>
    <col min="12" max="12" width="10.7109375" customWidth="1"/>
    <col min="13" max="13" width="18.7109375" customWidth="1"/>
  </cols>
  <sheetData>
    <row r="2" spans="2:13" s="17" customFormat="1" ht="27.95" customHeight="1" x14ac:dyDescent="0.25">
      <c r="B2" s="16" t="s">
        <v>116</v>
      </c>
    </row>
    <row r="3" spans="2:13" ht="30.75" customHeight="1" x14ac:dyDescent="0.25"/>
    <row r="4" spans="2:13" x14ac:dyDescent="0.25">
      <c r="B4" t="s">
        <v>102</v>
      </c>
      <c r="C4" t="s">
        <v>38</v>
      </c>
      <c r="D4" t="s">
        <v>60</v>
      </c>
      <c r="E4" t="s">
        <v>54</v>
      </c>
      <c r="F4" t="s">
        <v>55</v>
      </c>
      <c r="G4" t="s">
        <v>56</v>
      </c>
      <c r="H4" t="s">
        <v>103</v>
      </c>
      <c r="I4" t="s">
        <v>57</v>
      </c>
      <c r="J4" t="s">
        <v>107</v>
      </c>
      <c r="K4" t="s">
        <v>104</v>
      </c>
      <c r="L4" t="s">
        <v>105</v>
      </c>
      <c r="M4" t="s">
        <v>106</v>
      </c>
    </row>
    <row r="5" spans="2:13" x14ac:dyDescent="0.25">
      <c r="C5" s="7"/>
      <c r="G5" s="3">
        <f>IFERROR(VLOOKUP(Tabela578[[#This Row],[Produtos]],cálculos!$J$5:$M$33,3,FALSE),0)</f>
        <v>0</v>
      </c>
      <c r="H5" s="3">
        <f>Tabela578[[#This Row],[Quantidade]]*Tabela578[[#This Row],[Preço Unitario]]</f>
        <v>0</v>
      </c>
      <c r="I5" s="6"/>
      <c r="K5" s="3">
        <f>IFERROR(VLOOKUP(Tabela578[[#This Row],[Entrega]],cálculos!$B$5:$C$9,2,FALSE),0)</f>
        <v>0</v>
      </c>
      <c r="L5" s="3">
        <f>Tabela578[[#This Row],[Subtotal]]*(1-Tabela578[[#This Row],[Desconto]])+Tabela578[[#This Row],[Valor de Entrega]]</f>
        <v>0</v>
      </c>
      <c r="M5" s="3" t="str">
        <f>IF(Tabela578[[#This Row],[Id da Venda]]=B6,"",SUMIF(Tabela578[Id da Venda],Tabela578[[#This Row],[Id da Venda]],Tabela578[Total]))</f>
        <v/>
      </c>
    </row>
    <row r="6" spans="2:13" x14ac:dyDescent="0.25">
      <c r="C6" s="7"/>
      <c r="G6" s="3">
        <f>IFERROR(VLOOKUP(Tabela578[[#This Row],[Produtos]],cálculos!$J$5:$M$33,3,FALSE),0)</f>
        <v>0</v>
      </c>
      <c r="H6" s="3">
        <f>Tabela578[[#This Row],[Quantidade]]*Tabela578[[#This Row],[Preço Unitario]]</f>
        <v>0</v>
      </c>
      <c r="I6" s="6"/>
      <c r="K6" s="3">
        <f>IFERROR(VLOOKUP(Tabela578[[#This Row],[Entrega]],cálculos!$B$5:$C$9,2,FALSE),0)</f>
        <v>0</v>
      </c>
      <c r="L6" s="3">
        <f>Tabela578[[#This Row],[Subtotal]]*(1-Tabela578[[#This Row],[Desconto]])+Tabela578[[#This Row],[Valor de Entrega]]</f>
        <v>0</v>
      </c>
      <c r="M6" s="3" t="str">
        <f>IF(Tabela578[[#This Row],[Id da Venda]]=B7,"",SUMIF(Tabela578[Id da Venda],Tabela578[[#This Row],[Id da Venda]],Tabela578[Total]))</f>
        <v/>
      </c>
    </row>
    <row r="7" spans="2:13" x14ac:dyDescent="0.25">
      <c r="C7" s="7"/>
      <c r="G7" s="3">
        <f>IFERROR(VLOOKUP(Tabela578[[#This Row],[Produtos]],cálculos!$J$5:$M$33,3,FALSE),0)</f>
        <v>0</v>
      </c>
      <c r="H7" s="3">
        <f>Tabela578[[#This Row],[Quantidade]]*Tabela578[[#This Row],[Preço Unitario]]</f>
        <v>0</v>
      </c>
      <c r="I7" s="6"/>
      <c r="K7" s="3">
        <f>IFERROR(VLOOKUP(Tabela578[[#This Row],[Entrega]],cálculos!$B$5:$C$9,2,FALSE),0)</f>
        <v>0</v>
      </c>
      <c r="L7" s="3">
        <f>Tabela578[[#This Row],[Subtotal]]*(1-Tabela578[[#This Row],[Desconto]])+Tabela578[[#This Row],[Valor de Entrega]]</f>
        <v>0</v>
      </c>
      <c r="M7" s="3" t="str">
        <f>IF(Tabela578[[#This Row],[Id da Venda]]=B8,"",SUMIF(Tabela578[Id da Venda],Tabela578[[#This Row],[Id da Venda]],Tabela578[Total]))</f>
        <v/>
      </c>
    </row>
    <row r="8" spans="2:13" x14ac:dyDescent="0.25">
      <c r="C8" s="7"/>
      <c r="G8" s="3">
        <f>IFERROR(VLOOKUP(Tabela578[[#This Row],[Produtos]],cálculos!$J$5:$M$33,3,FALSE),0)</f>
        <v>0</v>
      </c>
      <c r="H8" s="3">
        <f>Tabela578[[#This Row],[Quantidade]]*Tabela578[[#This Row],[Preço Unitario]]</f>
        <v>0</v>
      </c>
      <c r="I8" s="6"/>
      <c r="K8" s="3">
        <f>IFERROR(VLOOKUP(Tabela578[[#This Row],[Entrega]],cálculos!$B$5:$C$9,2,FALSE),0)</f>
        <v>0</v>
      </c>
      <c r="L8" s="3">
        <f>Tabela578[[#This Row],[Subtotal]]*(1-Tabela578[[#This Row],[Desconto]])+Tabela578[[#This Row],[Valor de Entrega]]</f>
        <v>0</v>
      </c>
      <c r="M8" s="3" t="str">
        <f>IF(Tabela578[[#This Row],[Id da Venda]]=B9,"",SUMIF(Tabela578[Id da Venda],Tabela578[[#This Row],[Id da Venda]],Tabela578[Total]))</f>
        <v/>
      </c>
    </row>
    <row r="9" spans="2:13" x14ac:dyDescent="0.25">
      <c r="C9" s="7"/>
      <c r="G9" s="3">
        <f>IFERROR(VLOOKUP(Tabela578[[#This Row],[Produtos]],cálculos!$J$5:$M$33,3,FALSE),0)</f>
        <v>0</v>
      </c>
      <c r="H9" s="3">
        <f>Tabela578[[#This Row],[Quantidade]]*Tabela578[[#This Row],[Preço Unitario]]</f>
        <v>0</v>
      </c>
      <c r="I9" s="6"/>
      <c r="K9" s="3">
        <f>IFERROR(VLOOKUP(Tabela578[[#This Row],[Entrega]],cálculos!$B$5:$C$9,2,FALSE),0)</f>
        <v>0</v>
      </c>
      <c r="L9" s="3">
        <f>Tabela578[[#This Row],[Subtotal]]*(1-Tabela578[[#This Row],[Desconto]])+Tabela578[[#This Row],[Valor de Entrega]]</f>
        <v>0</v>
      </c>
      <c r="M9" s="3" t="str">
        <f>IF(Tabela578[[#This Row],[Id da Venda]]=B10,"",SUMIF(Tabela578[Id da Venda],Tabela578[[#This Row],[Id da Venda]],Tabela578[Total]))</f>
        <v/>
      </c>
    </row>
    <row r="10" spans="2:13" x14ac:dyDescent="0.25">
      <c r="C10" s="7"/>
      <c r="E10" t="str">
        <f>IFERROR(VLOOKUP(Tabela578[[#This Row],[Produtos]],cálculos!$J$5:$M$33,4,FALSE),"")</f>
        <v/>
      </c>
      <c r="G10" s="3">
        <f>IFERROR(VLOOKUP(Tabela578[[#This Row],[Produtos]],cálculos!$J$5:$M$33,3,FALSE),0)</f>
        <v>0</v>
      </c>
      <c r="H10" s="3">
        <f>Tabela578[[#This Row],[Quantidade]]*Tabela578[[#This Row],[Preço Unitario]]</f>
        <v>0</v>
      </c>
      <c r="I10" s="6"/>
      <c r="K10" s="3">
        <f>IFERROR(VLOOKUP(Tabela578[[#This Row],[Entrega]],cálculos!$B$5:$C$9,2,FALSE),0)</f>
        <v>0</v>
      </c>
      <c r="L10" s="3">
        <f>Tabela578[[#This Row],[Subtotal]]*(1-Tabela578[[#This Row],[Desconto]])+Tabela578[[#This Row],[Valor de Entrega]]</f>
        <v>0</v>
      </c>
      <c r="M10" s="3" t="str">
        <f>IF(Tabela578[[#This Row],[Id da Venda]]=B11,"",SUMIF(Tabela578[Id da Venda],Tabela578[[#This Row],[Id da Venda]],Tabela578[Total]))</f>
        <v/>
      </c>
    </row>
    <row r="11" spans="2:13" x14ac:dyDescent="0.25">
      <c r="C11" s="7"/>
      <c r="E11" t="str">
        <f>IFERROR(VLOOKUP(Tabela578[[#This Row],[Produtos]],cálculos!$J$5:$M$33,4,FALSE),"")</f>
        <v/>
      </c>
      <c r="G11" s="3">
        <f>IFERROR(VLOOKUP(Tabela578[[#This Row],[Produtos]],cálculos!$J$5:$M$33,3,FALSE),0)</f>
        <v>0</v>
      </c>
      <c r="H11" s="3">
        <f>Tabela578[[#This Row],[Quantidade]]*Tabela578[[#This Row],[Preço Unitario]]</f>
        <v>0</v>
      </c>
      <c r="I11" s="6"/>
      <c r="K11" s="3">
        <f>IFERROR(VLOOKUP(Tabela578[[#This Row],[Entrega]],cálculos!$B$5:$C$9,2,FALSE),0)</f>
        <v>0</v>
      </c>
      <c r="L11" s="3">
        <f>Tabela578[[#This Row],[Subtotal]]*(1-Tabela578[[#This Row],[Desconto]])+Tabela578[[#This Row],[Valor de Entrega]]</f>
        <v>0</v>
      </c>
      <c r="M11" s="3" t="str">
        <f>IF(Tabela578[[#This Row],[Id da Venda]]=B12,"",SUMIF(Tabela578[Id da Venda],Tabela578[[#This Row],[Id da Venda]],Tabela578[Total]))</f>
        <v/>
      </c>
    </row>
    <row r="12" spans="2:13" x14ac:dyDescent="0.25">
      <c r="C12" s="7"/>
      <c r="E12" t="str">
        <f>IFERROR(VLOOKUP(Tabela578[[#This Row],[Produtos]],cálculos!$J$5:$M$33,4,FALSE),"")</f>
        <v/>
      </c>
      <c r="G12" s="3">
        <f>IFERROR(VLOOKUP(Tabela578[[#This Row],[Produtos]],cálculos!$J$5:$M$33,3,FALSE),0)</f>
        <v>0</v>
      </c>
      <c r="H12" s="3">
        <f>Tabela578[[#This Row],[Quantidade]]*Tabela578[[#This Row],[Preço Unitario]]</f>
        <v>0</v>
      </c>
      <c r="I12" s="6"/>
      <c r="K12" s="3">
        <f>IFERROR(VLOOKUP(Tabela578[[#This Row],[Entrega]],cálculos!$B$5:$C$9,2,FALSE),0)</f>
        <v>0</v>
      </c>
      <c r="L12" s="3">
        <f>Tabela578[[#This Row],[Subtotal]]*(1-Tabela578[[#This Row],[Desconto]])+Tabela578[[#This Row],[Valor de Entrega]]</f>
        <v>0</v>
      </c>
      <c r="M12" s="3" t="str">
        <f>IF(Tabela578[[#This Row],[Id da Venda]]=B13,"",SUMIF(Tabela578[Id da Venda],Tabela578[[#This Row],[Id da Venda]],Tabela578[Total]))</f>
        <v/>
      </c>
    </row>
    <row r="13" spans="2:13" x14ac:dyDescent="0.25">
      <c r="C13" s="7"/>
      <c r="E13" t="str">
        <f>IFERROR(VLOOKUP(Tabela578[[#This Row],[Produtos]],cálculos!$J$5:$M$33,4,FALSE),"")</f>
        <v/>
      </c>
      <c r="G13" s="3">
        <f>IFERROR(VLOOKUP(Tabela578[[#This Row],[Produtos]],cálculos!$J$5:$M$33,3,FALSE),0)</f>
        <v>0</v>
      </c>
      <c r="H13" s="3">
        <f>Tabela578[[#This Row],[Quantidade]]*Tabela578[[#This Row],[Preço Unitario]]</f>
        <v>0</v>
      </c>
      <c r="I13" s="6"/>
      <c r="K13" s="3">
        <f>IFERROR(VLOOKUP(Tabela578[[#This Row],[Entrega]],cálculos!$B$5:$C$9,2,FALSE),0)</f>
        <v>0</v>
      </c>
      <c r="L13" s="3">
        <f>Tabela578[[#This Row],[Subtotal]]*(1-Tabela578[[#This Row],[Desconto]])+Tabela578[[#This Row],[Valor de Entrega]]</f>
        <v>0</v>
      </c>
      <c r="M13" s="3" t="str">
        <f>IF(Tabela578[[#This Row],[Id da Venda]]=B14,"",SUMIF(Tabela578[Id da Venda],Tabela578[[#This Row],[Id da Venda]],Tabela578[Total]))</f>
        <v/>
      </c>
    </row>
    <row r="14" spans="2:13" x14ac:dyDescent="0.25">
      <c r="C14" s="7"/>
      <c r="E14" t="str">
        <f>IFERROR(VLOOKUP(Tabela578[[#This Row],[Produtos]],cálculos!$J$5:$M$33,4,FALSE),"")</f>
        <v/>
      </c>
      <c r="G14" s="3">
        <f>IFERROR(VLOOKUP(Tabela578[[#This Row],[Produtos]],cálculos!$J$5:$M$33,3,FALSE),0)</f>
        <v>0</v>
      </c>
      <c r="H14" s="3">
        <f>Tabela578[[#This Row],[Quantidade]]*Tabela578[[#This Row],[Preço Unitario]]</f>
        <v>0</v>
      </c>
      <c r="I14" s="6"/>
      <c r="K14" s="3">
        <f>IFERROR(VLOOKUP(Tabela578[[#This Row],[Entrega]],cálculos!$B$5:$C$9,2,FALSE),0)</f>
        <v>0</v>
      </c>
      <c r="L14" s="3">
        <f>Tabela578[[#This Row],[Subtotal]]*(1-Tabela578[[#This Row],[Desconto]])+Tabela578[[#This Row],[Valor de Entrega]]</f>
        <v>0</v>
      </c>
      <c r="M14" s="3" t="str">
        <f>IF(Tabela578[[#This Row],[Id da Venda]]=B15,"",SUMIF(Tabela578[Id da Venda],Tabela578[[#This Row],[Id da Venda]],Tabela578[Total]))</f>
        <v/>
      </c>
    </row>
    <row r="15" spans="2:13" x14ac:dyDescent="0.25">
      <c r="C15" s="7"/>
      <c r="E15" t="str">
        <f>IFERROR(VLOOKUP(Tabela578[[#This Row],[Produtos]],cálculos!$J$5:$M$33,4,FALSE),"")</f>
        <v/>
      </c>
      <c r="G15" s="3">
        <f>IFERROR(VLOOKUP(Tabela578[[#This Row],[Produtos]],cálculos!$J$5:$M$33,3,FALSE),0)</f>
        <v>0</v>
      </c>
      <c r="H15" s="3">
        <f>Tabela578[[#This Row],[Quantidade]]*Tabela578[[#This Row],[Preço Unitario]]</f>
        <v>0</v>
      </c>
      <c r="I15" s="6"/>
      <c r="K15" s="3">
        <f>IFERROR(VLOOKUP(Tabela578[[#This Row],[Entrega]],cálculos!$B$5:$C$9,2,FALSE),0)</f>
        <v>0</v>
      </c>
      <c r="L15" s="3">
        <f>Tabela578[[#This Row],[Subtotal]]*(1-Tabela578[[#This Row],[Desconto]])+Tabela578[[#This Row],[Valor de Entrega]]</f>
        <v>0</v>
      </c>
      <c r="M15" s="3" t="str">
        <f>IF(Tabela578[[#This Row],[Id da Venda]]=B16,"",SUMIF(Tabela578[Id da Venda],Tabela578[[#This Row],[Id da Venda]],Tabela578[Total]))</f>
        <v/>
      </c>
    </row>
    <row r="16" spans="2:13" x14ac:dyDescent="0.25">
      <c r="C16" s="7"/>
      <c r="E16" t="str">
        <f>IFERROR(VLOOKUP(Tabela578[[#This Row],[Produtos]],cálculos!$J$5:$M$33,4,FALSE),"")</f>
        <v/>
      </c>
      <c r="G16" s="3">
        <f>IFERROR(VLOOKUP(Tabela578[[#This Row],[Produtos]],cálculos!$J$5:$M$33,3,FALSE),0)</f>
        <v>0</v>
      </c>
      <c r="H16" s="3">
        <f>Tabela578[[#This Row],[Quantidade]]*Tabela578[[#This Row],[Preço Unitario]]</f>
        <v>0</v>
      </c>
      <c r="I16" s="6"/>
      <c r="K16" s="3">
        <f>IFERROR(VLOOKUP(Tabela578[[#This Row],[Entrega]],cálculos!$B$5:$C$9,2,FALSE),0)</f>
        <v>0</v>
      </c>
      <c r="L16" s="3">
        <f>Tabela578[[#This Row],[Subtotal]]*(1-Tabela578[[#This Row],[Desconto]])+Tabela578[[#This Row],[Valor de Entrega]]</f>
        <v>0</v>
      </c>
      <c r="M16" s="3" t="str">
        <f>IF(Tabela578[[#This Row],[Id da Venda]]=B17,"",SUMIF(Tabela578[Id da Venda],Tabela578[[#This Row],[Id da Venda]],Tabela578[Total]))</f>
        <v/>
      </c>
    </row>
    <row r="18" spans="2:13" ht="21" x14ac:dyDescent="0.35">
      <c r="B18" s="19" t="s">
        <v>113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20">
        <f>SUM(Tabela578[Total])</f>
        <v>0</v>
      </c>
    </row>
    <row r="19" spans="2:13" ht="21" x14ac:dyDescent="0.35">
      <c r="B19" s="21" t="s">
        <v>114</v>
      </c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2">
        <f>SUM(Tabela578[Valor de Entrega])</f>
        <v>0</v>
      </c>
    </row>
    <row r="20" spans="2:13" ht="21" x14ac:dyDescent="0.35">
      <c r="B20" s="21" t="s">
        <v>130</v>
      </c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 cm="1">
        <f t="array" ref="M20">SUM(IF(FREQUENCY(Tabela578[Id da Venda],Tabela578[Id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6C7A84-2E64-4972-BEC9-5037F5A7D499}">
          <x14:formula1>
            <xm:f>cálculos!$J$5:$J$33</xm:f>
          </x14:formula1>
          <xm:sqref>D5:D16</xm:sqref>
        </x14:dataValidation>
        <x14:dataValidation type="list" allowBlank="1" showInputMessage="1" showErrorMessage="1" xr:uid="{6D1FF7A1-73EA-4F3C-AC96-FE7AA0D18486}">
          <x14:formula1>
            <xm:f>cálculos!$B$5:$B$9</xm:f>
          </x14:formula1>
          <xm:sqref>J5:J16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8854A-0DC0-4974-9FC8-99A6E9E6E0E5}">
  <sheetPr codeName="Planilha11"/>
  <dimension ref="B2:M20"/>
  <sheetViews>
    <sheetView showGridLines="0" workbookViewId="0">
      <selection activeCell="T15" sqref="T15"/>
    </sheetView>
  </sheetViews>
  <sheetFormatPr defaultRowHeight="15" x14ac:dyDescent="0.25"/>
  <cols>
    <col min="1" max="1" width="14" customWidth="1"/>
    <col min="2" max="2" width="27" bestFit="1" customWidth="1"/>
    <col min="3" max="3" width="10.7109375" bestFit="1" customWidth="1"/>
    <col min="4" max="4" width="11.140625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2.5703125" customWidth="1"/>
    <col min="10" max="10" width="19.140625" customWidth="1"/>
    <col min="11" max="11" width="17.7109375" customWidth="1"/>
    <col min="12" max="12" width="10.7109375" customWidth="1"/>
    <col min="13" max="13" width="18.7109375" customWidth="1"/>
  </cols>
  <sheetData>
    <row r="2" spans="2:13" s="17" customFormat="1" ht="27.95" customHeight="1" x14ac:dyDescent="0.25">
      <c r="B2" s="16" t="s">
        <v>117</v>
      </c>
    </row>
    <row r="3" spans="2:13" ht="30.75" customHeight="1" x14ac:dyDescent="0.25"/>
    <row r="4" spans="2:13" x14ac:dyDescent="0.25">
      <c r="B4" t="s">
        <v>102</v>
      </c>
      <c r="C4" t="s">
        <v>38</v>
      </c>
      <c r="D4" t="s">
        <v>60</v>
      </c>
      <c r="E4" t="s">
        <v>54</v>
      </c>
      <c r="F4" t="s">
        <v>55</v>
      </c>
      <c r="G4" t="s">
        <v>56</v>
      </c>
      <c r="H4" t="s">
        <v>103</v>
      </c>
      <c r="I4" t="s">
        <v>57</v>
      </c>
      <c r="J4" t="s">
        <v>107</v>
      </c>
      <c r="K4" t="s">
        <v>104</v>
      </c>
      <c r="L4" t="s">
        <v>105</v>
      </c>
      <c r="M4" t="s">
        <v>106</v>
      </c>
    </row>
    <row r="5" spans="2:13" x14ac:dyDescent="0.25">
      <c r="C5" s="7"/>
      <c r="G5" s="3">
        <f>IFERROR(VLOOKUP(Tabela579[[#This Row],[Produtos]],cálculos!$J$5:$M$33,3,FALSE),0)</f>
        <v>0</v>
      </c>
      <c r="H5" s="3">
        <f>Tabela579[[#This Row],[Quantidade]]*Tabela579[[#This Row],[Preço Unitario]]</f>
        <v>0</v>
      </c>
      <c r="I5" s="6"/>
      <c r="K5" s="3">
        <f>IFERROR(VLOOKUP(Tabela579[[#This Row],[Entrega]],cálculos!$B$5:$C$9,2,FALSE),0)</f>
        <v>0</v>
      </c>
      <c r="L5" s="3">
        <f>Tabela579[[#This Row],[Subtotal]]*(1-Tabela579[[#This Row],[Desconto]])+Tabela579[[#This Row],[Valor de Entrega]]</f>
        <v>0</v>
      </c>
      <c r="M5" s="3" t="str">
        <f>IF(Tabela579[[#This Row],[Id da Venda]]=B6,"",SUMIF(Tabela579[Id da Venda],Tabela579[[#This Row],[Id da Venda]],Tabela579[Total]))</f>
        <v/>
      </c>
    </row>
    <row r="6" spans="2:13" x14ac:dyDescent="0.25">
      <c r="C6" s="7"/>
      <c r="G6" s="3">
        <f>IFERROR(VLOOKUP(Tabela579[[#This Row],[Produtos]],cálculos!$J$5:$M$33,3,FALSE),0)</f>
        <v>0</v>
      </c>
      <c r="H6" s="3">
        <f>Tabela579[[#This Row],[Quantidade]]*Tabela579[[#This Row],[Preço Unitario]]</f>
        <v>0</v>
      </c>
      <c r="I6" s="6"/>
      <c r="K6" s="3">
        <f>IFERROR(VLOOKUP(Tabela579[[#This Row],[Entrega]],cálculos!$B$5:$C$9,2,FALSE),0)</f>
        <v>0</v>
      </c>
      <c r="L6" s="3">
        <f>Tabela579[[#This Row],[Subtotal]]*(1-Tabela579[[#This Row],[Desconto]])+Tabela579[[#This Row],[Valor de Entrega]]</f>
        <v>0</v>
      </c>
      <c r="M6" s="3" t="str">
        <f>IF(Tabela579[[#This Row],[Id da Venda]]=B7,"",SUMIF(Tabela579[Id da Venda],Tabela579[[#This Row],[Id da Venda]],Tabela579[Total]))</f>
        <v/>
      </c>
    </row>
    <row r="7" spans="2:13" x14ac:dyDescent="0.25">
      <c r="C7" s="7"/>
      <c r="G7" s="3">
        <f>IFERROR(VLOOKUP(Tabela579[[#This Row],[Produtos]],cálculos!$J$5:$M$33,3,FALSE),0)</f>
        <v>0</v>
      </c>
      <c r="H7" s="3">
        <f>Tabela579[[#This Row],[Quantidade]]*Tabela579[[#This Row],[Preço Unitario]]</f>
        <v>0</v>
      </c>
      <c r="I7" s="6"/>
      <c r="K7" s="3">
        <f>IFERROR(VLOOKUP(Tabela579[[#This Row],[Entrega]],cálculos!$B$5:$C$9,2,FALSE),0)</f>
        <v>0</v>
      </c>
      <c r="L7" s="3">
        <f>Tabela579[[#This Row],[Subtotal]]*(1-Tabela579[[#This Row],[Desconto]])+Tabela579[[#This Row],[Valor de Entrega]]</f>
        <v>0</v>
      </c>
      <c r="M7" s="3" t="str">
        <f>IF(Tabela579[[#This Row],[Id da Venda]]=B8,"",SUMIF(Tabela579[Id da Venda],Tabela579[[#This Row],[Id da Venda]],Tabela579[Total]))</f>
        <v/>
      </c>
    </row>
    <row r="8" spans="2:13" x14ac:dyDescent="0.25">
      <c r="C8" s="7"/>
      <c r="G8" s="3">
        <f>IFERROR(VLOOKUP(Tabela579[[#This Row],[Produtos]],cálculos!$J$5:$M$33,3,FALSE),0)</f>
        <v>0</v>
      </c>
      <c r="H8" s="3">
        <f>Tabela579[[#This Row],[Quantidade]]*Tabela579[[#This Row],[Preço Unitario]]</f>
        <v>0</v>
      </c>
      <c r="I8" s="6"/>
      <c r="K8" s="3">
        <f>IFERROR(VLOOKUP(Tabela579[[#This Row],[Entrega]],cálculos!$B$5:$C$9,2,FALSE),0)</f>
        <v>0</v>
      </c>
      <c r="L8" s="3">
        <f>Tabela579[[#This Row],[Subtotal]]*(1-Tabela579[[#This Row],[Desconto]])+Tabela579[[#This Row],[Valor de Entrega]]</f>
        <v>0</v>
      </c>
      <c r="M8" s="3" t="str">
        <f>IF(Tabela579[[#This Row],[Id da Venda]]=B9,"",SUMIF(Tabela579[Id da Venda],Tabela579[[#This Row],[Id da Venda]],Tabela579[Total]))</f>
        <v/>
      </c>
    </row>
    <row r="9" spans="2:13" x14ac:dyDescent="0.25">
      <c r="C9" s="7"/>
      <c r="G9" s="3">
        <f>IFERROR(VLOOKUP(Tabela579[[#This Row],[Produtos]],cálculos!$J$5:$M$33,3,FALSE),0)</f>
        <v>0</v>
      </c>
      <c r="H9" s="3">
        <f>Tabela579[[#This Row],[Quantidade]]*Tabela579[[#This Row],[Preço Unitario]]</f>
        <v>0</v>
      </c>
      <c r="I9" s="6"/>
      <c r="K9" s="3">
        <f>IFERROR(VLOOKUP(Tabela579[[#This Row],[Entrega]],cálculos!$B$5:$C$9,2,FALSE),0)</f>
        <v>0</v>
      </c>
      <c r="L9" s="3">
        <f>Tabela579[[#This Row],[Subtotal]]*(1-Tabela579[[#This Row],[Desconto]])+Tabela579[[#This Row],[Valor de Entrega]]</f>
        <v>0</v>
      </c>
      <c r="M9" s="3" t="str">
        <f>IF(Tabela579[[#This Row],[Id da Venda]]=B10,"",SUMIF(Tabela579[Id da Venda],Tabela579[[#This Row],[Id da Venda]],Tabela579[Total]))</f>
        <v/>
      </c>
    </row>
    <row r="10" spans="2:13" x14ac:dyDescent="0.25">
      <c r="C10" s="7"/>
      <c r="E10" t="str">
        <f>IFERROR(VLOOKUP(Tabela579[[#This Row],[Produtos]],cálculos!$J$5:$M$33,4,FALSE),"")</f>
        <v/>
      </c>
      <c r="G10" s="3">
        <f>IFERROR(VLOOKUP(Tabela579[[#This Row],[Produtos]],cálculos!$J$5:$M$33,3,FALSE),0)</f>
        <v>0</v>
      </c>
      <c r="H10" s="3">
        <f>Tabela579[[#This Row],[Quantidade]]*Tabela579[[#This Row],[Preço Unitario]]</f>
        <v>0</v>
      </c>
      <c r="I10" s="6"/>
      <c r="K10" s="3">
        <f>IFERROR(VLOOKUP(Tabela579[[#This Row],[Entrega]],cálculos!$B$5:$C$9,2,FALSE),0)</f>
        <v>0</v>
      </c>
      <c r="L10" s="3">
        <f>Tabela579[[#This Row],[Subtotal]]*(1-Tabela579[[#This Row],[Desconto]])+Tabela579[[#This Row],[Valor de Entrega]]</f>
        <v>0</v>
      </c>
      <c r="M10" s="3" t="str">
        <f>IF(Tabela579[[#This Row],[Id da Venda]]=B11,"",SUMIF(Tabela579[Id da Venda],Tabela579[[#This Row],[Id da Venda]],Tabela579[Total]))</f>
        <v/>
      </c>
    </row>
    <row r="11" spans="2:13" x14ac:dyDescent="0.25">
      <c r="C11" s="7"/>
      <c r="E11" t="str">
        <f>IFERROR(VLOOKUP(Tabela579[[#This Row],[Produtos]],cálculos!$J$5:$M$33,4,FALSE),"")</f>
        <v/>
      </c>
      <c r="G11" s="3">
        <f>IFERROR(VLOOKUP(Tabela579[[#This Row],[Produtos]],cálculos!$J$5:$M$33,3,FALSE),0)</f>
        <v>0</v>
      </c>
      <c r="H11" s="3">
        <f>Tabela579[[#This Row],[Quantidade]]*Tabela579[[#This Row],[Preço Unitario]]</f>
        <v>0</v>
      </c>
      <c r="I11" s="6"/>
      <c r="K11" s="3">
        <f>IFERROR(VLOOKUP(Tabela579[[#This Row],[Entrega]],cálculos!$B$5:$C$9,2,FALSE),0)</f>
        <v>0</v>
      </c>
      <c r="L11" s="3">
        <f>Tabela579[[#This Row],[Subtotal]]*(1-Tabela579[[#This Row],[Desconto]])+Tabela579[[#This Row],[Valor de Entrega]]</f>
        <v>0</v>
      </c>
      <c r="M11" s="3" t="str">
        <f>IF(Tabela579[[#This Row],[Id da Venda]]=B12,"",SUMIF(Tabela579[Id da Venda],Tabela579[[#This Row],[Id da Venda]],Tabela579[Total]))</f>
        <v/>
      </c>
    </row>
    <row r="12" spans="2:13" x14ac:dyDescent="0.25">
      <c r="C12" s="7"/>
      <c r="E12" t="str">
        <f>IFERROR(VLOOKUP(Tabela579[[#This Row],[Produtos]],cálculos!$J$5:$M$33,4,FALSE),"")</f>
        <v/>
      </c>
      <c r="G12" s="3">
        <f>IFERROR(VLOOKUP(Tabela579[[#This Row],[Produtos]],cálculos!$J$5:$M$33,3,FALSE),0)</f>
        <v>0</v>
      </c>
      <c r="H12" s="3">
        <f>Tabela579[[#This Row],[Quantidade]]*Tabela579[[#This Row],[Preço Unitario]]</f>
        <v>0</v>
      </c>
      <c r="I12" s="6"/>
      <c r="K12" s="3">
        <f>IFERROR(VLOOKUP(Tabela579[[#This Row],[Entrega]],cálculos!$B$5:$C$9,2,FALSE),0)</f>
        <v>0</v>
      </c>
      <c r="L12" s="3">
        <f>Tabela579[[#This Row],[Subtotal]]*(1-Tabela579[[#This Row],[Desconto]])+Tabela579[[#This Row],[Valor de Entrega]]</f>
        <v>0</v>
      </c>
      <c r="M12" s="3" t="str">
        <f>IF(Tabela579[[#This Row],[Id da Venda]]=B13,"",SUMIF(Tabela579[Id da Venda],Tabela579[[#This Row],[Id da Venda]],Tabela579[Total]))</f>
        <v/>
      </c>
    </row>
    <row r="13" spans="2:13" x14ac:dyDescent="0.25">
      <c r="C13" s="7"/>
      <c r="E13" t="str">
        <f>IFERROR(VLOOKUP(Tabela579[[#This Row],[Produtos]],cálculos!$J$5:$M$33,4,FALSE),"")</f>
        <v/>
      </c>
      <c r="G13" s="3">
        <f>IFERROR(VLOOKUP(Tabela579[[#This Row],[Produtos]],cálculos!$J$5:$M$33,3,FALSE),0)</f>
        <v>0</v>
      </c>
      <c r="H13" s="3">
        <f>Tabela579[[#This Row],[Quantidade]]*Tabela579[[#This Row],[Preço Unitario]]</f>
        <v>0</v>
      </c>
      <c r="I13" s="6"/>
      <c r="K13" s="3">
        <f>IFERROR(VLOOKUP(Tabela579[[#This Row],[Entrega]],cálculos!$B$5:$C$9,2,FALSE),0)</f>
        <v>0</v>
      </c>
      <c r="L13" s="3">
        <f>Tabela579[[#This Row],[Subtotal]]*(1-Tabela579[[#This Row],[Desconto]])+Tabela579[[#This Row],[Valor de Entrega]]</f>
        <v>0</v>
      </c>
      <c r="M13" s="3" t="str">
        <f>IF(Tabela579[[#This Row],[Id da Venda]]=B14,"",SUMIF(Tabela579[Id da Venda],Tabela579[[#This Row],[Id da Venda]],Tabela579[Total]))</f>
        <v/>
      </c>
    </row>
    <row r="14" spans="2:13" x14ac:dyDescent="0.25">
      <c r="C14" s="7"/>
      <c r="E14" t="str">
        <f>IFERROR(VLOOKUP(Tabela579[[#This Row],[Produtos]],cálculos!$J$5:$M$33,4,FALSE),"")</f>
        <v/>
      </c>
      <c r="G14" s="3">
        <f>IFERROR(VLOOKUP(Tabela579[[#This Row],[Produtos]],cálculos!$J$5:$M$33,3,FALSE),0)</f>
        <v>0</v>
      </c>
      <c r="H14" s="3">
        <f>Tabela579[[#This Row],[Quantidade]]*Tabela579[[#This Row],[Preço Unitario]]</f>
        <v>0</v>
      </c>
      <c r="I14" s="6"/>
      <c r="K14" s="3">
        <f>IFERROR(VLOOKUP(Tabela579[[#This Row],[Entrega]],cálculos!$B$5:$C$9,2,FALSE),0)</f>
        <v>0</v>
      </c>
      <c r="L14" s="3">
        <f>Tabela579[[#This Row],[Subtotal]]*(1-Tabela579[[#This Row],[Desconto]])+Tabela579[[#This Row],[Valor de Entrega]]</f>
        <v>0</v>
      </c>
      <c r="M14" s="3" t="str">
        <f>IF(Tabela579[[#This Row],[Id da Venda]]=B15,"",SUMIF(Tabela579[Id da Venda],Tabela579[[#This Row],[Id da Venda]],Tabela579[Total]))</f>
        <v/>
      </c>
    </row>
    <row r="15" spans="2:13" x14ac:dyDescent="0.25">
      <c r="C15" s="7"/>
      <c r="E15" t="str">
        <f>IFERROR(VLOOKUP(Tabela579[[#This Row],[Produtos]],cálculos!$J$5:$M$33,4,FALSE),"")</f>
        <v/>
      </c>
      <c r="G15" s="3">
        <f>IFERROR(VLOOKUP(Tabela579[[#This Row],[Produtos]],cálculos!$J$5:$M$33,3,FALSE),0)</f>
        <v>0</v>
      </c>
      <c r="H15" s="3">
        <f>Tabela579[[#This Row],[Quantidade]]*Tabela579[[#This Row],[Preço Unitario]]</f>
        <v>0</v>
      </c>
      <c r="I15" s="6"/>
      <c r="K15" s="3">
        <f>IFERROR(VLOOKUP(Tabela579[[#This Row],[Entrega]],cálculos!$B$5:$C$9,2,FALSE),0)</f>
        <v>0</v>
      </c>
      <c r="L15" s="3">
        <f>Tabela579[[#This Row],[Subtotal]]*(1-Tabela579[[#This Row],[Desconto]])+Tabela579[[#This Row],[Valor de Entrega]]</f>
        <v>0</v>
      </c>
      <c r="M15" s="3" t="str">
        <f>IF(Tabela579[[#This Row],[Id da Venda]]=B16,"",SUMIF(Tabela579[Id da Venda],Tabela579[[#This Row],[Id da Venda]],Tabela579[Total]))</f>
        <v/>
      </c>
    </row>
    <row r="16" spans="2:13" x14ac:dyDescent="0.25">
      <c r="C16" s="7"/>
      <c r="E16" t="str">
        <f>IFERROR(VLOOKUP(Tabela579[[#This Row],[Produtos]],cálculos!$J$5:$M$33,4,FALSE),"")</f>
        <v/>
      </c>
      <c r="G16" s="3">
        <f>IFERROR(VLOOKUP(Tabela579[[#This Row],[Produtos]],cálculos!$J$5:$M$33,3,FALSE),0)</f>
        <v>0</v>
      </c>
      <c r="H16" s="3">
        <f>Tabela579[[#This Row],[Quantidade]]*Tabela579[[#This Row],[Preço Unitario]]</f>
        <v>0</v>
      </c>
      <c r="I16" s="6"/>
      <c r="K16" s="3">
        <f>IFERROR(VLOOKUP(Tabela579[[#This Row],[Entrega]],cálculos!$B$5:$C$9,2,FALSE),0)</f>
        <v>0</v>
      </c>
      <c r="L16" s="3">
        <f>Tabela579[[#This Row],[Subtotal]]*(1-Tabela579[[#This Row],[Desconto]])+Tabela579[[#This Row],[Valor de Entrega]]</f>
        <v>0</v>
      </c>
      <c r="M16" s="3" t="str">
        <f>IF(Tabela579[[#This Row],[Id da Venda]]=B17,"",SUMIF(Tabela579[Id da Venda],Tabela579[[#This Row],[Id da Venda]],Tabela579[Total]))</f>
        <v/>
      </c>
    </row>
    <row r="18" spans="2:13" ht="21" x14ac:dyDescent="0.35">
      <c r="B18" s="19" t="s">
        <v>113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20">
        <f>SUM(Tabela579[Total])</f>
        <v>0</v>
      </c>
    </row>
    <row r="19" spans="2:13" ht="21" x14ac:dyDescent="0.35">
      <c r="B19" s="21" t="s">
        <v>114</v>
      </c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2">
        <f>SUM(Tabela579[Valor de Entrega])</f>
        <v>0</v>
      </c>
    </row>
    <row r="20" spans="2:13" ht="21" x14ac:dyDescent="0.35">
      <c r="B20" s="21" t="s">
        <v>130</v>
      </c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 cm="1">
        <f t="array" ref="M20">SUM(IF(FREQUENCY(Tabela579[Id da Venda],Tabela579[Id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AFBEB49-E876-4F0D-96B9-379F16CEE593}">
          <x14:formula1>
            <xm:f>cálculos!$J$5:$J$33</xm:f>
          </x14:formula1>
          <xm:sqref>D5:D16</xm:sqref>
        </x14:dataValidation>
        <x14:dataValidation type="list" allowBlank="1" showInputMessage="1" showErrorMessage="1" xr:uid="{6992E570-385C-4D24-AA40-F40A740DF3DE}">
          <x14:formula1>
            <xm:f>cálculos!$B$5:$B$9</xm:f>
          </x14:formula1>
          <xm:sqref>J5:J16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C6FDD-EDFD-4A7C-AB01-F9949E63351C}">
  <sheetPr codeName="Planilha12"/>
  <dimension ref="B2:M20"/>
  <sheetViews>
    <sheetView showGridLines="0" workbookViewId="0">
      <selection activeCell="T20" sqref="T20"/>
    </sheetView>
  </sheetViews>
  <sheetFormatPr defaultRowHeight="15" x14ac:dyDescent="0.25"/>
  <cols>
    <col min="1" max="1" width="14" customWidth="1"/>
    <col min="2" max="2" width="27" bestFit="1" customWidth="1"/>
    <col min="3" max="3" width="10.7109375" bestFit="1" customWidth="1"/>
    <col min="4" max="4" width="11.140625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2.5703125" customWidth="1"/>
    <col min="10" max="10" width="19.140625" customWidth="1"/>
    <col min="11" max="11" width="17.7109375" customWidth="1"/>
    <col min="12" max="12" width="10.7109375" customWidth="1"/>
    <col min="13" max="13" width="18.7109375" customWidth="1"/>
  </cols>
  <sheetData>
    <row r="2" spans="2:13" s="17" customFormat="1" ht="27.95" customHeight="1" x14ac:dyDescent="0.25">
      <c r="B2" s="16" t="s">
        <v>118</v>
      </c>
    </row>
    <row r="3" spans="2:13" ht="30.75" customHeight="1" x14ac:dyDescent="0.25"/>
    <row r="4" spans="2:13" x14ac:dyDescent="0.25">
      <c r="B4" t="s">
        <v>102</v>
      </c>
      <c r="C4" t="s">
        <v>38</v>
      </c>
      <c r="D4" t="s">
        <v>60</v>
      </c>
      <c r="E4" t="s">
        <v>54</v>
      </c>
      <c r="F4" t="s">
        <v>55</v>
      </c>
      <c r="G4" t="s">
        <v>56</v>
      </c>
      <c r="H4" t="s">
        <v>103</v>
      </c>
      <c r="I4" t="s">
        <v>57</v>
      </c>
      <c r="J4" t="s">
        <v>107</v>
      </c>
      <c r="K4" t="s">
        <v>104</v>
      </c>
      <c r="L4" t="s">
        <v>105</v>
      </c>
      <c r="M4" t="s">
        <v>106</v>
      </c>
    </row>
    <row r="5" spans="2:13" x14ac:dyDescent="0.25">
      <c r="G5" s="3">
        <f>IFERROR(VLOOKUP(Tabela5710[[#This Row],[Produtos]],cálculos!$J$5:$M$33,3,FALSE),0)</f>
        <v>0</v>
      </c>
      <c r="H5" s="3">
        <f>Tabela5710[[#This Row],[Quantidade]]*Tabela5710[[#This Row],[Preço Unitario]]</f>
        <v>0</v>
      </c>
      <c r="I5" s="6"/>
      <c r="K5" s="3">
        <f>IFERROR(VLOOKUP(Tabela5710[[#This Row],[Entrega]],cálculos!$B$5:$C$9,2,FALSE),0)</f>
        <v>0</v>
      </c>
      <c r="L5" s="3">
        <f>Tabela5710[[#This Row],[Subtotal]]*(1-Tabela5710[[#This Row],[Desconto]])+Tabela5710[[#This Row],[Valor de Entrega]]</f>
        <v>0</v>
      </c>
      <c r="M5" s="3" t="str">
        <f>IF(Tabela5710[[#This Row],[Id da Venda]]=B6,"",SUMIF(Tabela5710[Id da Venda],Tabela5710[[#This Row],[Id da Venda]],Tabela5710[Total]))</f>
        <v/>
      </c>
    </row>
    <row r="6" spans="2:13" x14ac:dyDescent="0.25">
      <c r="G6" s="3">
        <f>IFERROR(VLOOKUP(Tabela5710[[#This Row],[Produtos]],cálculos!$J$5:$M$33,3,FALSE),0)</f>
        <v>0</v>
      </c>
      <c r="H6" s="3">
        <f>Tabela5710[[#This Row],[Quantidade]]*Tabela5710[[#This Row],[Preço Unitario]]</f>
        <v>0</v>
      </c>
      <c r="I6" s="6"/>
      <c r="K6" s="3">
        <f>IFERROR(VLOOKUP(Tabela5710[[#This Row],[Entrega]],cálculos!$B$5:$C$9,2,FALSE),0)</f>
        <v>0</v>
      </c>
      <c r="L6" s="3">
        <f>Tabela5710[[#This Row],[Subtotal]]*(1-Tabela5710[[#This Row],[Desconto]])+Tabela5710[[#This Row],[Valor de Entrega]]</f>
        <v>0</v>
      </c>
      <c r="M6" s="3" t="str">
        <f>IF(Tabela5710[[#This Row],[Id da Venda]]=B7,"",SUMIF(Tabela5710[Id da Venda],Tabela5710[[#This Row],[Id da Venda]],Tabela5710[Total]))</f>
        <v/>
      </c>
    </row>
    <row r="7" spans="2:13" x14ac:dyDescent="0.25">
      <c r="G7" s="3">
        <f>IFERROR(VLOOKUP(Tabela5710[[#This Row],[Produtos]],cálculos!$J$5:$M$33,3,FALSE),0)</f>
        <v>0</v>
      </c>
      <c r="H7" s="3">
        <f>Tabela5710[[#This Row],[Quantidade]]*Tabela5710[[#This Row],[Preço Unitario]]</f>
        <v>0</v>
      </c>
      <c r="I7" s="6"/>
      <c r="K7" s="3">
        <f>IFERROR(VLOOKUP(Tabela5710[[#This Row],[Entrega]],cálculos!$B$5:$C$9,2,FALSE),0)</f>
        <v>0</v>
      </c>
      <c r="L7" s="3">
        <f>Tabela5710[[#This Row],[Subtotal]]*(1-Tabela5710[[#This Row],[Desconto]])+Tabela5710[[#This Row],[Valor de Entrega]]</f>
        <v>0</v>
      </c>
      <c r="M7" s="3" t="str">
        <f>IF(Tabela5710[[#This Row],[Id da Venda]]=B8,"",SUMIF(Tabela5710[Id da Venda],Tabela5710[[#This Row],[Id da Venda]],Tabela5710[Total]))</f>
        <v/>
      </c>
    </row>
    <row r="8" spans="2:13" x14ac:dyDescent="0.25">
      <c r="G8" s="3">
        <f>IFERROR(VLOOKUP(Tabela5710[[#This Row],[Produtos]],cálculos!$J$5:$M$33,3,FALSE),0)</f>
        <v>0</v>
      </c>
      <c r="H8" s="3">
        <f>Tabela5710[[#This Row],[Quantidade]]*Tabela5710[[#This Row],[Preço Unitario]]</f>
        <v>0</v>
      </c>
      <c r="I8" s="6"/>
      <c r="K8" s="3">
        <f>IFERROR(VLOOKUP(Tabela5710[[#This Row],[Entrega]],cálculos!$B$5:$C$9,2,FALSE),0)</f>
        <v>0</v>
      </c>
      <c r="L8" s="3">
        <f>Tabela5710[[#This Row],[Subtotal]]*(1-Tabela5710[[#This Row],[Desconto]])+Tabela5710[[#This Row],[Valor de Entrega]]</f>
        <v>0</v>
      </c>
      <c r="M8" s="3" t="str">
        <f>IF(Tabela5710[[#This Row],[Id da Venda]]=B9,"",SUMIF(Tabela5710[Id da Venda],Tabela5710[[#This Row],[Id da Venda]],Tabela5710[Total]))</f>
        <v/>
      </c>
    </row>
    <row r="9" spans="2:13" x14ac:dyDescent="0.25">
      <c r="G9" s="3">
        <f>IFERROR(VLOOKUP(Tabela5710[[#This Row],[Produtos]],cálculos!$J$5:$M$33,3,FALSE),0)</f>
        <v>0</v>
      </c>
      <c r="H9" s="3">
        <f>Tabela5710[[#This Row],[Quantidade]]*Tabela5710[[#This Row],[Preço Unitario]]</f>
        <v>0</v>
      </c>
      <c r="I9" s="6"/>
      <c r="K9" s="3">
        <f>IFERROR(VLOOKUP(Tabela5710[[#This Row],[Entrega]],cálculos!$B$5:$C$9,2,FALSE),0)</f>
        <v>0</v>
      </c>
      <c r="L9" s="3">
        <f>Tabela5710[[#This Row],[Subtotal]]*(1-Tabela5710[[#This Row],[Desconto]])+Tabela5710[[#This Row],[Valor de Entrega]]</f>
        <v>0</v>
      </c>
      <c r="M9" s="3" t="str">
        <f>IF(Tabela5710[[#This Row],[Id da Venda]]=B10,"",SUMIF(Tabela5710[Id da Venda],Tabela5710[[#This Row],[Id da Venda]],Tabela5710[Total]))</f>
        <v/>
      </c>
    </row>
    <row r="10" spans="2:13" x14ac:dyDescent="0.25">
      <c r="G10" s="3">
        <f>IFERROR(VLOOKUP(Tabela5710[[#This Row],[Produtos]],cálculos!$J$5:$M$33,3,FALSE),0)</f>
        <v>0</v>
      </c>
      <c r="H10" s="3">
        <f>Tabela5710[[#This Row],[Quantidade]]*Tabela5710[[#This Row],[Preço Unitario]]</f>
        <v>0</v>
      </c>
      <c r="I10" s="6"/>
      <c r="K10" s="3">
        <f>IFERROR(VLOOKUP(Tabela5710[[#This Row],[Entrega]],cálculos!$B$5:$C$9,2,FALSE),0)</f>
        <v>0</v>
      </c>
      <c r="L10" s="3">
        <f>Tabela5710[[#This Row],[Subtotal]]*(1-Tabela5710[[#This Row],[Desconto]])+Tabela5710[[#This Row],[Valor de Entrega]]</f>
        <v>0</v>
      </c>
      <c r="M10" s="3" t="str">
        <f>IF(Tabela5710[[#This Row],[Id da Venda]]=B11,"",SUMIF(Tabela5710[Id da Venda],Tabela5710[[#This Row],[Id da Venda]],Tabela5710[Total]))</f>
        <v/>
      </c>
    </row>
    <row r="11" spans="2:13" x14ac:dyDescent="0.25">
      <c r="G11" s="3">
        <f>IFERROR(VLOOKUP(Tabela5710[[#This Row],[Produtos]],cálculos!$J$5:$M$33,3,FALSE),0)</f>
        <v>0</v>
      </c>
      <c r="H11" s="3">
        <f>Tabela5710[[#This Row],[Quantidade]]*Tabela5710[[#This Row],[Preço Unitario]]</f>
        <v>0</v>
      </c>
      <c r="I11" s="6"/>
      <c r="K11" s="3">
        <f>IFERROR(VLOOKUP(Tabela5710[[#This Row],[Entrega]],cálculos!$B$5:$C$9,2,FALSE),0)</f>
        <v>0</v>
      </c>
      <c r="L11" s="3">
        <f>Tabela5710[[#This Row],[Subtotal]]*(1-Tabela5710[[#This Row],[Desconto]])+Tabela5710[[#This Row],[Valor de Entrega]]</f>
        <v>0</v>
      </c>
      <c r="M11" s="3" t="str">
        <f>IF(Tabela5710[[#This Row],[Id da Venda]]=B12,"",SUMIF(Tabela5710[Id da Venda],Tabela5710[[#This Row],[Id da Venda]],Tabela5710[Total]))</f>
        <v/>
      </c>
    </row>
    <row r="12" spans="2:13" x14ac:dyDescent="0.25">
      <c r="G12" s="3">
        <f>IFERROR(VLOOKUP(Tabela5710[[#This Row],[Produtos]],cálculos!$J$5:$M$33,3,FALSE),0)</f>
        <v>0</v>
      </c>
      <c r="H12" s="3">
        <f>Tabela5710[[#This Row],[Quantidade]]*Tabela5710[[#This Row],[Preço Unitario]]</f>
        <v>0</v>
      </c>
      <c r="I12" s="6"/>
      <c r="K12" s="3">
        <f>IFERROR(VLOOKUP(Tabela5710[[#This Row],[Entrega]],cálculos!$B$5:$C$9,2,FALSE),0)</f>
        <v>0</v>
      </c>
      <c r="L12" s="3">
        <f>Tabela5710[[#This Row],[Subtotal]]*(1-Tabela5710[[#This Row],[Desconto]])+Tabela5710[[#This Row],[Valor de Entrega]]</f>
        <v>0</v>
      </c>
      <c r="M12" s="3" t="str">
        <f>IF(Tabela5710[[#This Row],[Id da Venda]]=B13,"",SUMIF(Tabela5710[Id da Venda],Tabela5710[[#This Row],[Id da Venda]],Tabela5710[Total]))</f>
        <v/>
      </c>
    </row>
    <row r="13" spans="2:13" x14ac:dyDescent="0.25">
      <c r="E13" t="str">
        <f>IFERROR(VLOOKUP(Tabela5710[[#This Row],[Produtos]],cálculos!$J$5:$M$33,4,FALSE),"")</f>
        <v/>
      </c>
      <c r="G13" s="3">
        <f>IFERROR(VLOOKUP(Tabela5710[[#This Row],[Produtos]],cálculos!$J$5:$M$33,3,FALSE),0)</f>
        <v>0</v>
      </c>
      <c r="H13" s="3">
        <f>Tabela5710[[#This Row],[Quantidade]]*Tabela5710[[#This Row],[Preço Unitario]]</f>
        <v>0</v>
      </c>
      <c r="I13" s="6"/>
      <c r="K13" s="3">
        <f>IFERROR(VLOOKUP(Tabela5710[[#This Row],[Entrega]],cálculos!$B$5:$C$9,2,FALSE),0)</f>
        <v>0</v>
      </c>
      <c r="L13" s="3">
        <f>Tabela5710[[#This Row],[Subtotal]]*(1-Tabela5710[[#This Row],[Desconto]])+Tabela5710[[#This Row],[Valor de Entrega]]</f>
        <v>0</v>
      </c>
      <c r="M13" s="3" t="str">
        <f>IF(Tabela5710[[#This Row],[Id da Venda]]=B14,"",SUMIF(Tabela5710[Id da Venda],Tabela5710[[#This Row],[Id da Venda]],Tabela5710[Total]))</f>
        <v/>
      </c>
    </row>
    <row r="14" spans="2:13" x14ac:dyDescent="0.25">
      <c r="E14" t="str">
        <f>IFERROR(VLOOKUP(Tabela5710[[#This Row],[Produtos]],cálculos!$J$5:$M$33,4,FALSE),"")</f>
        <v/>
      </c>
      <c r="G14" s="3">
        <f>IFERROR(VLOOKUP(Tabela5710[[#This Row],[Produtos]],cálculos!$J$5:$M$33,3,FALSE),0)</f>
        <v>0</v>
      </c>
      <c r="H14" s="3">
        <f>Tabela5710[[#This Row],[Quantidade]]*Tabela5710[[#This Row],[Preço Unitario]]</f>
        <v>0</v>
      </c>
      <c r="I14" s="6"/>
      <c r="K14" s="3">
        <f>IFERROR(VLOOKUP(Tabela5710[[#This Row],[Entrega]],cálculos!$B$5:$C$9,2,FALSE),0)</f>
        <v>0</v>
      </c>
      <c r="L14" s="3">
        <f>Tabela5710[[#This Row],[Subtotal]]*(1-Tabela5710[[#This Row],[Desconto]])+Tabela5710[[#This Row],[Valor de Entrega]]</f>
        <v>0</v>
      </c>
      <c r="M14" s="3" t="str">
        <f>IF(Tabela5710[[#This Row],[Id da Venda]]=B15,"",SUMIF(Tabela5710[Id da Venda],Tabela5710[[#This Row],[Id da Venda]],Tabela5710[Total]))</f>
        <v/>
      </c>
    </row>
    <row r="15" spans="2:13" x14ac:dyDescent="0.25">
      <c r="E15" t="str">
        <f>IFERROR(VLOOKUP(Tabela5710[[#This Row],[Produtos]],cálculos!$J$5:$M$33,4,FALSE),"")</f>
        <v/>
      </c>
      <c r="G15" s="3">
        <f>IFERROR(VLOOKUP(Tabela5710[[#This Row],[Produtos]],cálculos!$J$5:$M$33,3,FALSE),0)</f>
        <v>0</v>
      </c>
      <c r="H15" s="3">
        <f>Tabela5710[[#This Row],[Quantidade]]*Tabela5710[[#This Row],[Preço Unitario]]</f>
        <v>0</v>
      </c>
      <c r="I15" s="6"/>
      <c r="K15" s="3">
        <f>IFERROR(VLOOKUP(Tabela5710[[#This Row],[Entrega]],cálculos!$B$5:$C$9,2,FALSE),0)</f>
        <v>0</v>
      </c>
      <c r="L15" s="3">
        <f>Tabela5710[[#This Row],[Subtotal]]*(1-Tabela5710[[#This Row],[Desconto]])+Tabela5710[[#This Row],[Valor de Entrega]]</f>
        <v>0</v>
      </c>
      <c r="M15" s="3" t="str">
        <f>IF(Tabela5710[[#This Row],[Id da Venda]]=B16,"",SUMIF(Tabela5710[Id da Venda],Tabela5710[[#This Row],[Id da Venda]],Tabela5710[Total]))</f>
        <v/>
      </c>
    </row>
    <row r="16" spans="2:13" x14ac:dyDescent="0.25">
      <c r="E16" t="str">
        <f>IFERROR(VLOOKUP(Tabela5710[[#This Row],[Produtos]],cálculos!$J$5:$M$33,4,FALSE),"")</f>
        <v/>
      </c>
      <c r="G16" s="3">
        <f>IFERROR(VLOOKUP(Tabela5710[[#This Row],[Produtos]],cálculos!$J$5:$M$33,3,FALSE),0)</f>
        <v>0</v>
      </c>
      <c r="H16" s="3">
        <f>Tabela5710[[#This Row],[Quantidade]]*Tabela5710[[#This Row],[Preço Unitario]]</f>
        <v>0</v>
      </c>
      <c r="I16" s="6"/>
      <c r="K16" s="3">
        <f>IFERROR(VLOOKUP(Tabela5710[[#This Row],[Entrega]],cálculos!$B$5:$C$9,2,FALSE),0)</f>
        <v>0</v>
      </c>
      <c r="L16" s="3">
        <f>Tabela5710[[#This Row],[Subtotal]]*(1-Tabela5710[[#This Row],[Desconto]])+Tabela5710[[#This Row],[Valor de Entrega]]</f>
        <v>0</v>
      </c>
      <c r="M16" s="3" t="str">
        <f>IF(Tabela5710[[#This Row],[Id da Venda]]=B17,"",SUMIF(Tabela5710[Id da Venda],Tabela5710[[#This Row],[Id da Venda]],Tabela5710[Total]))</f>
        <v/>
      </c>
    </row>
    <row r="18" spans="2:13" ht="21" x14ac:dyDescent="0.35">
      <c r="B18" s="19" t="s">
        <v>113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20">
        <f>SUM(Tabela5710[Total])</f>
        <v>0</v>
      </c>
    </row>
    <row r="19" spans="2:13" ht="21" x14ac:dyDescent="0.35">
      <c r="B19" s="21" t="s">
        <v>114</v>
      </c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2">
        <f>SUM(Tabela5710[Valor de Entrega])</f>
        <v>0</v>
      </c>
    </row>
    <row r="20" spans="2:13" ht="21" x14ac:dyDescent="0.35">
      <c r="B20" s="21" t="s">
        <v>130</v>
      </c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 cm="1">
        <f t="array" ref="M20">SUM(IF(FREQUENCY(Tabela5710[Id da Venda],Tabela5710[Id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77D6EF-CFB6-4229-872A-83D9F8F7713F}">
          <x14:formula1>
            <xm:f>cálculos!$J$5:$J$33</xm:f>
          </x14:formula1>
          <xm:sqref>D5:D16</xm:sqref>
        </x14:dataValidation>
        <x14:dataValidation type="list" allowBlank="1" showInputMessage="1" showErrorMessage="1" xr:uid="{434C0277-E880-4C19-9D3F-003E14D97AA9}">
          <x14:formula1>
            <xm:f>cálculos!$B$5:$B$9</xm:f>
          </x14:formula1>
          <xm:sqref>J5:J16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3"/>
  <dimension ref="B4:M34"/>
  <sheetViews>
    <sheetView showGridLines="0" workbookViewId="0">
      <selection activeCell="F21" sqref="F21"/>
    </sheetView>
  </sheetViews>
  <sheetFormatPr defaultRowHeight="15" x14ac:dyDescent="0.25"/>
  <cols>
    <col min="2" max="2" width="18.140625" bestFit="1" customWidth="1"/>
    <col min="3" max="3" width="16" bestFit="1" customWidth="1"/>
    <col min="10" max="10" width="15.7109375" bestFit="1" customWidth="1"/>
    <col min="11" max="11" width="26.42578125" bestFit="1" customWidth="1"/>
    <col min="12" max="12" width="25.28515625" bestFit="1" customWidth="1"/>
    <col min="13" max="13" width="10.140625" bestFit="1" customWidth="1"/>
  </cols>
  <sheetData>
    <row r="4" spans="2:13" x14ac:dyDescent="0.25">
      <c r="B4" s="8" t="s">
        <v>74</v>
      </c>
      <c r="C4" s="8" t="s">
        <v>75</v>
      </c>
      <c r="J4" s="8" t="s">
        <v>60</v>
      </c>
      <c r="K4" s="8" t="s">
        <v>61</v>
      </c>
      <c r="L4" s="8" t="s">
        <v>62</v>
      </c>
      <c r="M4" s="8" t="s">
        <v>54</v>
      </c>
    </row>
    <row r="5" spans="2:13" x14ac:dyDescent="0.25">
      <c r="B5" t="s">
        <v>108</v>
      </c>
      <c r="C5" s="3">
        <v>5</v>
      </c>
      <c r="J5" t="s">
        <v>17</v>
      </c>
      <c r="K5" s="3">
        <v>2.8405</v>
      </c>
      <c r="L5" s="3">
        <v>2.99</v>
      </c>
      <c r="M5" t="s">
        <v>63</v>
      </c>
    </row>
    <row r="6" spans="2:13" x14ac:dyDescent="0.25">
      <c r="B6" t="s">
        <v>109</v>
      </c>
      <c r="C6" s="3">
        <v>0</v>
      </c>
      <c r="J6" t="s">
        <v>26</v>
      </c>
      <c r="K6" s="3">
        <v>1.0580000000000001</v>
      </c>
      <c r="L6" s="3">
        <v>1.1499999999999999</v>
      </c>
      <c r="M6" t="s">
        <v>64</v>
      </c>
    </row>
    <row r="7" spans="2:13" x14ac:dyDescent="0.25">
      <c r="B7" t="s">
        <v>110</v>
      </c>
      <c r="C7" s="3">
        <v>6.5</v>
      </c>
      <c r="J7" t="s">
        <v>14</v>
      </c>
      <c r="K7" s="3">
        <v>2.3406000000000002</v>
      </c>
      <c r="L7" s="3">
        <v>2.4900000000000002</v>
      </c>
      <c r="M7" t="s">
        <v>65</v>
      </c>
    </row>
    <row r="8" spans="2:13" x14ac:dyDescent="0.25">
      <c r="B8" t="s">
        <v>111</v>
      </c>
      <c r="C8" s="3">
        <v>8</v>
      </c>
      <c r="J8" t="s">
        <v>31</v>
      </c>
      <c r="K8" s="3">
        <v>1.8506999999999998</v>
      </c>
      <c r="L8" s="3">
        <v>1.99</v>
      </c>
      <c r="M8" t="s">
        <v>64</v>
      </c>
    </row>
    <row r="9" spans="2:13" x14ac:dyDescent="0.25">
      <c r="B9" t="s">
        <v>112</v>
      </c>
      <c r="C9" s="3">
        <v>6.5</v>
      </c>
      <c r="J9" t="s">
        <v>34</v>
      </c>
      <c r="K9" s="3">
        <v>1.0924999999999998</v>
      </c>
      <c r="L9" s="3">
        <v>1.1499999999999999</v>
      </c>
      <c r="M9" t="s">
        <v>64</v>
      </c>
    </row>
    <row r="10" spans="2:13" x14ac:dyDescent="0.25">
      <c r="J10" t="s">
        <v>30</v>
      </c>
      <c r="K10" s="3">
        <v>0.74260000000000004</v>
      </c>
      <c r="L10" s="3">
        <v>0.79</v>
      </c>
      <c r="M10" t="s">
        <v>64</v>
      </c>
    </row>
    <row r="11" spans="2:13" x14ac:dyDescent="0.25">
      <c r="J11" t="s">
        <v>18</v>
      </c>
      <c r="K11" s="3">
        <v>14.469000000000001</v>
      </c>
      <c r="L11" s="3">
        <v>15.9</v>
      </c>
      <c r="M11" t="s">
        <v>65</v>
      </c>
    </row>
    <row r="12" spans="2:13" x14ac:dyDescent="0.25">
      <c r="J12" t="s">
        <v>24</v>
      </c>
      <c r="K12" s="3">
        <v>3.6309000000000005</v>
      </c>
      <c r="L12" s="3">
        <v>3.99</v>
      </c>
      <c r="M12" t="s">
        <v>65</v>
      </c>
    </row>
    <row r="13" spans="2:13" x14ac:dyDescent="0.25">
      <c r="J13" t="s">
        <v>27</v>
      </c>
      <c r="K13" s="3">
        <v>2.1023999999999998</v>
      </c>
      <c r="L13" s="3">
        <v>2.19</v>
      </c>
      <c r="M13" t="s">
        <v>68</v>
      </c>
    </row>
    <row r="14" spans="2:13" x14ac:dyDescent="0.25">
      <c r="J14" t="s">
        <v>32</v>
      </c>
      <c r="K14" s="3">
        <v>4.5409000000000006</v>
      </c>
      <c r="L14" s="3">
        <v>4.99</v>
      </c>
      <c r="M14" t="s">
        <v>69</v>
      </c>
    </row>
    <row r="15" spans="2:13" x14ac:dyDescent="0.25">
      <c r="J15" t="s">
        <v>33</v>
      </c>
      <c r="K15" s="3">
        <v>6.3449999999999998</v>
      </c>
      <c r="L15" s="3">
        <v>6.75</v>
      </c>
      <c r="M15" t="s">
        <v>70</v>
      </c>
    </row>
    <row r="16" spans="2:13" x14ac:dyDescent="0.25">
      <c r="J16" t="s">
        <v>29</v>
      </c>
      <c r="K16" s="3">
        <v>2.3660000000000001</v>
      </c>
      <c r="L16" s="3">
        <v>2.6</v>
      </c>
      <c r="M16" t="s">
        <v>63</v>
      </c>
    </row>
    <row r="17" spans="10:13" x14ac:dyDescent="0.25">
      <c r="J17" t="s">
        <v>15</v>
      </c>
      <c r="K17" s="3">
        <v>4.0659999999999998</v>
      </c>
      <c r="L17" s="3">
        <v>4.28</v>
      </c>
      <c r="M17" t="s">
        <v>65</v>
      </c>
    </row>
    <row r="18" spans="10:13" x14ac:dyDescent="0.25">
      <c r="J18" t="s">
        <v>19</v>
      </c>
      <c r="K18" s="3">
        <v>6.4216000000000006</v>
      </c>
      <c r="L18" s="3">
        <v>6.98</v>
      </c>
      <c r="M18" t="s">
        <v>65</v>
      </c>
    </row>
    <row r="19" spans="10:13" x14ac:dyDescent="0.25">
      <c r="J19" t="s">
        <v>66</v>
      </c>
      <c r="K19" s="3">
        <v>1.3708</v>
      </c>
      <c r="L19" s="3">
        <v>1.49</v>
      </c>
      <c r="M19" t="s">
        <v>67</v>
      </c>
    </row>
    <row r="20" spans="10:13" x14ac:dyDescent="0.25">
      <c r="J20" t="s">
        <v>71</v>
      </c>
      <c r="K20" s="3">
        <v>2.6299000000000001</v>
      </c>
      <c r="L20" s="3">
        <v>2.89</v>
      </c>
      <c r="M20" t="s">
        <v>63</v>
      </c>
    </row>
    <row r="21" spans="10:13" x14ac:dyDescent="0.25">
      <c r="J21" t="s">
        <v>20</v>
      </c>
      <c r="K21" s="3">
        <v>22.226999999999997</v>
      </c>
      <c r="L21" s="3">
        <v>23.9</v>
      </c>
      <c r="M21" t="s">
        <v>65</v>
      </c>
    </row>
    <row r="22" spans="10:13" x14ac:dyDescent="0.25">
      <c r="J22" t="s">
        <v>21</v>
      </c>
      <c r="K22" s="3">
        <v>23.827999999999999</v>
      </c>
      <c r="L22" s="3">
        <v>25.9</v>
      </c>
      <c r="M22" t="s">
        <v>65</v>
      </c>
    </row>
    <row r="23" spans="10:13" x14ac:dyDescent="0.25">
      <c r="J23" t="s">
        <v>72</v>
      </c>
      <c r="K23" s="3">
        <v>2.1749000000000001</v>
      </c>
      <c r="L23" s="3">
        <v>2.39</v>
      </c>
      <c r="M23" t="s">
        <v>67</v>
      </c>
    </row>
    <row r="24" spans="10:13" x14ac:dyDescent="0.25">
      <c r="J24" t="s">
        <v>23</v>
      </c>
      <c r="K24" s="3">
        <v>3.2084999999999999</v>
      </c>
      <c r="L24" s="3">
        <v>3.45</v>
      </c>
      <c r="M24" t="s">
        <v>67</v>
      </c>
    </row>
    <row r="25" spans="10:13" x14ac:dyDescent="0.25">
      <c r="J25" t="s">
        <v>16</v>
      </c>
      <c r="K25" s="3">
        <v>5.3544000000000009</v>
      </c>
      <c r="L25" s="3">
        <v>5.82</v>
      </c>
      <c r="M25" t="s">
        <v>65</v>
      </c>
    </row>
    <row r="26" spans="10:13" x14ac:dyDescent="0.25">
      <c r="J26" t="s">
        <v>25</v>
      </c>
      <c r="K26" s="3">
        <v>9.1009999999999991</v>
      </c>
      <c r="L26" s="3">
        <v>9.58</v>
      </c>
      <c r="M26" t="s">
        <v>65</v>
      </c>
    </row>
    <row r="27" spans="10:13" x14ac:dyDescent="0.25">
      <c r="J27" t="s">
        <v>22</v>
      </c>
      <c r="K27" s="3">
        <v>26.012999999999998</v>
      </c>
      <c r="L27" s="3">
        <v>29.9</v>
      </c>
      <c r="M27" t="s">
        <v>73</v>
      </c>
    </row>
    <row r="28" spans="10:13" x14ac:dyDescent="0.25">
      <c r="J28" t="s">
        <v>28</v>
      </c>
      <c r="K28" s="3">
        <v>46.664999999999999</v>
      </c>
      <c r="L28" s="3">
        <v>54.9</v>
      </c>
      <c r="M28" t="s">
        <v>73</v>
      </c>
    </row>
    <row r="33" spans="10:13" ht="15.75" thickBot="1" x14ac:dyDescent="0.3">
      <c r="J33" s="18"/>
      <c r="K33" s="18"/>
      <c r="L33" s="18"/>
      <c r="M33" s="18"/>
    </row>
    <row r="34" spans="10:13" ht="15.75" thickTop="1" x14ac:dyDescent="0.25"/>
  </sheetData>
  <autoFilter ref="J4:M4" xr:uid="{00000000-0001-0000-0700-000000000000}">
    <sortState xmlns:xlrd2="http://schemas.microsoft.com/office/spreadsheetml/2017/richdata2" ref="J5:M28">
      <sortCondition ref="J4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Menu</vt:lpstr>
      <vt:lpstr>Despesas</vt:lpstr>
      <vt:lpstr>Compras Mercadorias</vt:lpstr>
      <vt:lpstr>Controle de Estoque</vt:lpstr>
      <vt:lpstr>Investimentos</vt:lpstr>
      <vt:lpstr>Resultados</vt:lpstr>
      <vt:lpstr>Vendas</vt:lpstr>
      <vt:lpstr>Semana 1</vt:lpstr>
      <vt:lpstr>Analise Semana 1</vt:lpstr>
      <vt:lpstr>Semana 2</vt:lpstr>
      <vt:lpstr>Analise Semana 2</vt:lpstr>
      <vt:lpstr>Semana 3</vt:lpstr>
      <vt:lpstr>Semana 4</vt:lpstr>
      <vt:lpstr>Semana 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Felipe Duarte</cp:lastModifiedBy>
  <cp:lastPrinted>2024-01-15T12:05:18Z</cp:lastPrinted>
  <dcterms:created xsi:type="dcterms:W3CDTF">2015-06-24T19:21:22Z</dcterms:created>
  <dcterms:modified xsi:type="dcterms:W3CDTF">2024-01-16T11:25:37Z</dcterms:modified>
</cp:coreProperties>
</file>