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ores parámetros" sheetId="1" r:id="rId4"/>
    <sheet state="visible" name="Valor inicial o_ij" sheetId="2" r:id="rId5"/>
    <sheet state="visible" name="Demanda día 0" sheetId="3" r:id="rId6"/>
  </sheets>
  <definedNames/>
  <calcPr/>
</workbook>
</file>

<file path=xl/sharedStrings.xml><?xml version="1.0" encoding="utf-8"?>
<sst xmlns="http://schemas.openxmlformats.org/spreadsheetml/2006/main" count="131" uniqueCount="94">
  <si>
    <t>Estimación cantidad inicial frutas (promedio)</t>
  </si>
  <si>
    <t>Número</t>
  </si>
  <si>
    <t>Día / fruta</t>
  </si>
  <si>
    <t>Limón</t>
  </si>
  <si>
    <t>Manzana (fuji)</t>
  </si>
  <si>
    <t>Manzana (Granny Smith)</t>
  </si>
  <si>
    <t>Día 0</t>
  </si>
  <si>
    <t>Naranjas</t>
  </si>
  <si>
    <t>Palta (Hass)</t>
  </si>
  <si>
    <t>Pera (Abate Fetel)</t>
  </si>
  <si>
    <t>Tomate (Larga Vida)</t>
  </si>
  <si>
    <t>Plátano</t>
  </si>
  <si>
    <t>Piña</t>
  </si>
  <si>
    <t>Mandarina</t>
  </si>
  <si>
    <t>Pepino dulce</t>
  </si>
  <si>
    <t>Kiwi</t>
  </si>
  <si>
    <t>La Vega (semanal)</t>
  </si>
  <si>
    <t>Fruta</t>
  </si>
  <si>
    <t>Precio fruta nueva (pi)</t>
  </si>
  <si>
    <t>Precio fruta vieja (Pi)</t>
  </si>
  <si>
    <t>Costo almacenaje (Ci)</t>
  </si>
  <si>
    <t>Costo compra variable (Qi)</t>
  </si>
  <si>
    <t>Demanda fruta nueva promedio (di)</t>
  </si>
  <si>
    <t>Demanda fruta vieja promedio (Di)</t>
  </si>
  <si>
    <t>Costo compra fijo (Zi)</t>
  </si>
  <si>
    <t>Días de frescura fruta nueva (ui)</t>
  </si>
  <si>
    <t>Días de vida útil fruta vieja (Ui)</t>
  </si>
  <si>
    <t>Volumen de kilo de fruta i (Vi)</t>
  </si>
  <si>
    <t>Fruta en el basurero previamente (qi)</t>
  </si>
  <si>
    <t>Fruta en el almacén previamente (gi)</t>
  </si>
  <si>
    <t>Fruta botada previamente (ai)</t>
  </si>
  <si>
    <t>Pera</t>
  </si>
  <si>
    <t>Naranja</t>
  </si>
  <si>
    <t>La Vega (mensual)</t>
  </si>
  <si>
    <t>Manzana roja</t>
  </si>
  <si>
    <t>Porcentaje de participación (70%)</t>
  </si>
  <si>
    <t>Manzana verde</t>
  </si>
  <si>
    <t>Palta</t>
  </si>
  <si>
    <t>Supermercados (mensuales)</t>
  </si>
  <si>
    <t>Supermercados (semanal)</t>
  </si>
  <si>
    <t>Tomate</t>
  </si>
  <si>
    <t>Supermercados (diario)</t>
  </si>
  <si>
    <t>N° de supermercados (locales)</t>
  </si>
  <si>
    <t>o_ij</t>
  </si>
  <si>
    <t>Cantidades iniciales</t>
  </si>
  <si>
    <t>Nombre variable</t>
  </si>
  <si>
    <t>Días Vida Util</t>
  </si>
  <si>
    <t>Día 1</t>
  </si>
  <si>
    <t>Día 2</t>
  </si>
  <si>
    <t>Día 3</t>
  </si>
  <si>
    <t>Símbolo</t>
  </si>
  <si>
    <t>Día 4</t>
  </si>
  <si>
    <t xml:space="preserve">Día 5 </t>
  </si>
  <si>
    <t>Día 6</t>
  </si>
  <si>
    <t>Día 7</t>
  </si>
  <si>
    <t>Valor</t>
  </si>
  <si>
    <t>Día 8</t>
  </si>
  <si>
    <t>Unidad</t>
  </si>
  <si>
    <t>Día 9</t>
  </si>
  <si>
    <t xml:space="preserve">Costo extracción de almacén </t>
  </si>
  <si>
    <t>Día 10</t>
  </si>
  <si>
    <t>Día 11</t>
  </si>
  <si>
    <t>Día 12</t>
  </si>
  <si>
    <t>Día 13</t>
  </si>
  <si>
    <t>k</t>
  </si>
  <si>
    <t>Día 14</t>
  </si>
  <si>
    <t>Día 15</t>
  </si>
  <si>
    <t>CLP</t>
  </si>
  <si>
    <t>Día 16</t>
  </si>
  <si>
    <t>Capacidad máxima almacén</t>
  </si>
  <si>
    <t>Día 17</t>
  </si>
  <si>
    <t>Día 18</t>
  </si>
  <si>
    <t>A</t>
  </si>
  <si>
    <t>Día 19</t>
  </si>
  <si>
    <t>Día 20</t>
  </si>
  <si>
    <t>m^3</t>
  </si>
  <si>
    <t>Día 21</t>
  </si>
  <si>
    <t>Capacidad volumétrica estanterías</t>
  </si>
  <si>
    <t>K</t>
  </si>
  <si>
    <t>Volumen total contenedores de basura</t>
  </si>
  <si>
    <t>B</t>
  </si>
  <si>
    <t>Gasto fijo vaciar basureros</t>
  </si>
  <si>
    <t>E</t>
  </si>
  <si>
    <t>Cantidad máxima estanterías</t>
  </si>
  <si>
    <t>H</t>
  </si>
  <si>
    <t>-</t>
  </si>
  <si>
    <t>Límite de demanda no satisfecha</t>
  </si>
  <si>
    <t>S</t>
  </si>
  <si>
    <t>kg</t>
  </si>
  <si>
    <t>Valor de beta el día previo</t>
  </si>
  <si>
    <t>alpha</t>
  </si>
  <si>
    <t>Demanda día 1 fruta vieja</t>
  </si>
  <si>
    <t>D_it</t>
  </si>
  <si>
    <t>No considerar datos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</si>
</sst>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"/>
    <numFmt numFmtId="165" formatCode="0.000"/>
    <numFmt numFmtId="166" formatCode="#,##0.000"/>
  </numFmts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Roboto"/>
    </font>
    <font/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1" fillId="3" fontId="2" numFmtId="0" xfId="0" applyAlignment="1" applyBorder="1" applyFill="1" applyFont="1">
      <alignment horizontal="center" vertical="center"/>
    </xf>
    <xf borderId="0" fillId="0" fontId="2" numFmtId="3" xfId="0" applyAlignment="1" applyFont="1" applyNumberFormat="1">
      <alignment horizontal="center" readingOrder="0"/>
    </xf>
    <xf borderId="1" fillId="3" fontId="2" numFmtId="0" xfId="0" applyAlignment="1" applyBorder="1" applyFont="1">
      <alignment horizontal="center" readingOrder="0" shrinkToFit="0" vertical="center" wrapText="1"/>
    </xf>
    <xf borderId="0" fillId="0" fontId="1" numFmtId="0" xfId="0" applyFont="1"/>
    <xf borderId="1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horizontal="center" readingOrder="0"/>
    </xf>
    <xf borderId="0" fillId="0" fontId="1" numFmtId="3" xfId="0" applyFont="1" applyNumberFormat="1"/>
    <xf borderId="0" fillId="0" fontId="1" numFmtId="165" xfId="0" applyFont="1" applyNumberForma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1" numFmtId="166" xfId="0" applyAlignment="1" applyFont="1" applyNumberFormat="1">
      <alignment horizontal="center" readingOrder="0"/>
    </xf>
    <xf borderId="0" fillId="0" fontId="1" numFmtId="166" xfId="0" applyFont="1" applyNumberFormat="1"/>
    <xf borderId="1" fillId="0" fontId="2" numFmtId="0" xfId="0" applyAlignment="1" applyBorder="1" applyFont="1">
      <alignment horizontal="center" vertical="center"/>
    </xf>
    <xf borderId="1" fillId="4" fontId="3" numFmtId="164" xfId="0" applyAlignment="1" applyBorder="1" applyFill="1" applyFont="1" applyNumberFormat="1">
      <alignment horizontal="center" vertical="bottom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/>
    </xf>
    <xf borderId="0" fillId="0" fontId="1" numFmtId="0" xfId="0" applyAlignment="1" applyFont="1">
      <alignment horizontal="left" readingOrder="0"/>
    </xf>
    <xf borderId="1" fillId="0" fontId="2" numFmtId="0" xfId="0" applyAlignment="1" applyBorder="1" applyFont="1">
      <alignment horizontal="center" readingOrder="0" vertical="center"/>
    </xf>
    <xf borderId="3" fillId="0" fontId="4" numFmtId="0" xfId="0" applyBorder="1" applyFont="1"/>
    <xf borderId="1" fillId="3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1" fillId="0" fontId="1" numFmtId="165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4" fontId="5" numFmtId="0" xfId="0" applyBorder="1" applyFont="1"/>
    <xf borderId="0" fillId="4" fontId="5" numFmtId="0" xfId="0" applyFont="1"/>
    <xf borderId="1" fillId="5" fontId="5" numFmtId="0" xfId="0" applyBorder="1" applyFill="1" applyFont="1"/>
    <xf borderId="0" fillId="0" fontId="5" numFmtId="0" xfId="0" applyFont="1"/>
    <xf borderId="0" fillId="0" fontId="2" numFmtId="0" xfId="0" applyFont="1"/>
    <xf borderId="1" fillId="5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71"/>
    <col customWidth="1" min="3" max="3" width="17.14"/>
    <col customWidth="1" min="4" max="4" width="16.0"/>
    <col customWidth="1" min="5" max="5" width="16.57"/>
  </cols>
  <sheetData>
    <row r="2">
      <c r="A2" s="5" t="s">
        <v>1</v>
      </c>
      <c r="B2" s="5" t="s">
        <v>17</v>
      </c>
      <c r="C2" s="7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  <c r="M2" s="7" t="s">
        <v>28</v>
      </c>
      <c r="N2" s="7" t="s">
        <v>29</v>
      </c>
      <c r="O2" s="7" t="s">
        <v>30</v>
      </c>
    </row>
    <row r="3">
      <c r="A3" s="9">
        <v>1.0</v>
      </c>
      <c r="B3" s="9" t="s">
        <v>3</v>
      </c>
      <c r="C3" s="9">
        <v>1890.0</v>
      </c>
      <c r="D3" s="9">
        <v>800.0</v>
      </c>
      <c r="E3" s="9">
        <v>5.0</v>
      </c>
      <c r="F3" s="9">
        <v>145.0</v>
      </c>
      <c r="G3" s="9">
        <v>67.81</v>
      </c>
      <c r="H3" s="9">
        <v>30.51</v>
      </c>
      <c r="I3" s="9">
        <f t="shared" ref="I3:I14" si="1">856*121</f>
        <v>103576</v>
      </c>
      <c r="J3" s="9">
        <v>14.0</v>
      </c>
      <c r="K3" s="9">
        <v>21.0</v>
      </c>
      <c r="L3" s="10">
        <f>1/930</f>
        <v>0.001075268817</v>
      </c>
      <c r="M3" s="11">
        <v>0.0</v>
      </c>
      <c r="N3" s="11">
        <v>0.0</v>
      </c>
      <c r="O3" s="11">
        <v>0.0</v>
      </c>
    </row>
    <row r="4">
      <c r="A4" s="9">
        <v>2.0</v>
      </c>
      <c r="B4" s="9" t="s">
        <v>11</v>
      </c>
      <c r="C4" s="9">
        <v>890.0</v>
      </c>
      <c r="D4" s="9">
        <v>590.0</v>
      </c>
      <c r="E4" s="9">
        <v>7.0</v>
      </c>
      <c r="F4" s="9">
        <v>236.0</v>
      </c>
      <c r="G4" s="9">
        <v>77.27</v>
      </c>
      <c r="H4" s="9">
        <v>27.4</v>
      </c>
      <c r="I4" s="9">
        <f t="shared" si="1"/>
        <v>103576</v>
      </c>
      <c r="J4" s="9">
        <v>3.0</v>
      </c>
      <c r="K4" s="9">
        <v>5.0</v>
      </c>
      <c r="L4" s="10">
        <f>1/980</f>
        <v>0.001020408163</v>
      </c>
      <c r="M4" s="11">
        <v>0.0</v>
      </c>
      <c r="N4" s="11">
        <v>0.0</v>
      </c>
      <c r="O4" s="11">
        <v>0.0</v>
      </c>
    </row>
    <row r="5">
      <c r="A5" s="9">
        <v>3.0</v>
      </c>
      <c r="B5" s="9" t="s">
        <v>31</v>
      </c>
      <c r="C5" s="9">
        <v>1490.0</v>
      </c>
      <c r="D5" s="9">
        <v>890.0</v>
      </c>
      <c r="E5" s="9">
        <v>5.0</v>
      </c>
      <c r="F5" s="9">
        <v>159.0</v>
      </c>
      <c r="G5" s="9">
        <v>44.31</v>
      </c>
      <c r="H5" s="9">
        <v>15.13</v>
      </c>
      <c r="I5" s="9">
        <f t="shared" si="1"/>
        <v>103576</v>
      </c>
      <c r="J5" s="9">
        <v>2.0</v>
      </c>
      <c r="K5" s="9">
        <v>3.0</v>
      </c>
      <c r="L5" s="10">
        <f>1/1000</f>
        <v>0.001</v>
      </c>
      <c r="M5" s="11">
        <v>0.0</v>
      </c>
      <c r="N5" s="11">
        <v>0.0</v>
      </c>
      <c r="O5" s="11">
        <v>0.0</v>
      </c>
    </row>
    <row r="6">
      <c r="A6" s="9">
        <v>4.0</v>
      </c>
      <c r="B6" s="9" t="s">
        <v>32</v>
      </c>
      <c r="C6" s="9">
        <v>1390.0</v>
      </c>
      <c r="D6" s="9">
        <v>890.0</v>
      </c>
      <c r="E6" s="9">
        <v>3.0</v>
      </c>
      <c r="F6" s="9">
        <v>80.0</v>
      </c>
      <c r="G6" s="9">
        <v>55.94</v>
      </c>
      <c r="H6" s="9">
        <v>17.9</v>
      </c>
      <c r="I6" s="9">
        <f t="shared" si="1"/>
        <v>103576</v>
      </c>
      <c r="J6" s="9">
        <v>3.0</v>
      </c>
      <c r="K6" s="9">
        <v>4.0</v>
      </c>
      <c r="L6" s="10">
        <f>1/1030</f>
        <v>0.0009708737864</v>
      </c>
      <c r="M6" s="11">
        <v>0.0</v>
      </c>
      <c r="N6" s="11">
        <v>0.0</v>
      </c>
      <c r="O6" s="11">
        <v>0.0</v>
      </c>
    </row>
    <row r="7">
      <c r="A7" s="9">
        <v>5.0</v>
      </c>
      <c r="B7" s="9" t="s">
        <v>12</v>
      </c>
      <c r="C7" s="9">
        <v>1790.0</v>
      </c>
      <c r="D7" s="9">
        <v>1000.0</v>
      </c>
      <c r="E7" s="9">
        <v>13.0</v>
      </c>
      <c r="F7" s="9">
        <v>418.0</v>
      </c>
      <c r="G7" s="9">
        <v>39.54</v>
      </c>
      <c r="H7" s="9">
        <v>14.63</v>
      </c>
      <c r="I7" s="9">
        <f t="shared" si="1"/>
        <v>103576</v>
      </c>
      <c r="J7" s="9">
        <v>1.0</v>
      </c>
      <c r="K7" s="9">
        <v>2.0</v>
      </c>
      <c r="L7" s="10">
        <f>1/1010</f>
        <v>0.0009900990099</v>
      </c>
      <c r="M7" s="11">
        <v>0.0</v>
      </c>
      <c r="N7" s="11">
        <v>0.0</v>
      </c>
      <c r="O7" s="11">
        <v>0.0</v>
      </c>
    </row>
    <row r="8">
      <c r="A8" s="9">
        <v>6.0</v>
      </c>
      <c r="B8" s="9" t="s">
        <v>34</v>
      </c>
      <c r="C8" s="9">
        <v>1690.0</v>
      </c>
      <c r="D8" s="9">
        <v>890.0</v>
      </c>
      <c r="E8" s="9">
        <v>2.0</v>
      </c>
      <c r="F8" s="9">
        <v>75.0</v>
      </c>
      <c r="G8" s="9">
        <v>51.77</v>
      </c>
      <c r="H8" s="9">
        <v>20.71</v>
      </c>
      <c r="I8" s="9">
        <f t="shared" si="1"/>
        <v>103576</v>
      </c>
      <c r="J8" s="9">
        <v>14.0</v>
      </c>
      <c r="K8" s="9">
        <v>21.0</v>
      </c>
      <c r="L8" s="10">
        <f>1/843</f>
        <v>0.00118623962</v>
      </c>
      <c r="M8" s="11">
        <v>0.0</v>
      </c>
      <c r="N8" s="11">
        <v>0.0</v>
      </c>
      <c r="O8" s="11">
        <v>0.0</v>
      </c>
    </row>
    <row r="9">
      <c r="A9" s="9">
        <v>7.0</v>
      </c>
      <c r="B9" s="9" t="s">
        <v>36</v>
      </c>
      <c r="C9" s="9">
        <v>1490.0</v>
      </c>
      <c r="D9" s="9">
        <v>890.0</v>
      </c>
      <c r="E9" s="9">
        <v>2.0</v>
      </c>
      <c r="F9" s="9">
        <v>75.0</v>
      </c>
      <c r="G9" s="9">
        <v>25.49</v>
      </c>
      <c r="H9" s="9">
        <v>10.16</v>
      </c>
      <c r="I9" s="9">
        <f t="shared" si="1"/>
        <v>103576</v>
      </c>
      <c r="J9" s="9">
        <v>14.0</v>
      </c>
      <c r="K9" s="9">
        <v>21.0</v>
      </c>
      <c r="L9" s="10">
        <f>L8</f>
        <v>0.00118623962</v>
      </c>
      <c r="M9" s="11">
        <v>0.0</v>
      </c>
      <c r="N9" s="11">
        <v>0.0</v>
      </c>
      <c r="O9" s="11">
        <v>0.0</v>
      </c>
    </row>
    <row r="10">
      <c r="A10" s="9">
        <v>8.0</v>
      </c>
      <c r="B10" s="9" t="s">
        <v>37</v>
      </c>
      <c r="C10" s="9">
        <v>3890.0</v>
      </c>
      <c r="D10" s="9">
        <v>2200.0</v>
      </c>
      <c r="E10" s="9">
        <v>17.0</v>
      </c>
      <c r="F10" s="9">
        <v>543.0</v>
      </c>
      <c r="G10" s="9">
        <v>87.05</v>
      </c>
      <c r="H10" s="9">
        <v>30.47</v>
      </c>
      <c r="I10" s="9">
        <f t="shared" si="1"/>
        <v>103576</v>
      </c>
      <c r="J10" s="9">
        <v>2.0</v>
      </c>
      <c r="K10" s="9">
        <v>3.0</v>
      </c>
      <c r="L10" s="10">
        <f>1/1060</f>
        <v>0.0009433962264</v>
      </c>
      <c r="M10" s="11">
        <v>0.0</v>
      </c>
      <c r="N10" s="11">
        <v>0.0</v>
      </c>
      <c r="O10" s="11">
        <v>0.0</v>
      </c>
    </row>
    <row r="11">
      <c r="A11" s="9">
        <v>9.0</v>
      </c>
      <c r="B11" s="9" t="s">
        <v>40</v>
      </c>
      <c r="C11" s="9">
        <v>1290.0</v>
      </c>
      <c r="D11" s="9">
        <v>600.0</v>
      </c>
      <c r="E11" s="9">
        <v>5.0</v>
      </c>
      <c r="F11" s="9">
        <v>150.0</v>
      </c>
      <c r="G11" s="9">
        <v>92.26</v>
      </c>
      <c r="H11" s="9">
        <v>36.9</v>
      </c>
      <c r="I11" s="9">
        <f t="shared" si="1"/>
        <v>103576</v>
      </c>
      <c r="J11" s="9">
        <v>4.0</v>
      </c>
      <c r="K11" s="9">
        <v>6.0</v>
      </c>
      <c r="L11" s="10">
        <f>1/1031</f>
        <v>0.0009699321048</v>
      </c>
      <c r="M11" s="11">
        <v>0.0</v>
      </c>
      <c r="N11" s="11">
        <v>0.0</v>
      </c>
      <c r="O11" s="11">
        <v>0.0</v>
      </c>
    </row>
    <row r="12">
      <c r="A12" s="9">
        <v>10.0</v>
      </c>
      <c r="B12" s="9" t="s">
        <v>13</v>
      </c>
      <c r="C12" s="9">
        <v>1690.0</v>
      </c>
      <c r="D12" s="9">
        <v>890.0</v>
      </c>
      <c r="E12" s="9">
        <v>2.0</v>
      </c>
      <c r="F12" s="9">
        <v>65.0</v>
      </c>
      <c r="G12" s="9">
        <v>17.42</v>
      </c>
      <c r="H12" s="9">
        <v>6.97</v>
      </c>
      <c r="I12" s="9">
        <f t="shared" si="1"/>
        <v>103576</v>
      </c>
      <c r="J12" s="9">
        <v>2.0</v>
      </c>
      <c r="K12" s="9">
        <v>3.0</v>
      </c>
      <c r="L12" s="10">
        <f>L6/2</f>
        <v>0.0004854368932</v>
      </c>
      <c r="M12" s="11">
        <v>0.0</v>
      </c>
      <c r="N12" s="11">
        <v>0.0</v>
      </c>
      <c r="O12" s="11">
        <v>0.0</v>
      </c>
    </row>
    <row r="13">
      <c r="A13" s="9">
        <v>11.0</v>
      </c>
      <c r="B13" s="9" t="s">
        <v>14</v>
      </c>
      <c r="C13" s="9">
        <v>1990.0</v>
      </c>
      <c r="D13" s="9">
        <v>1790.0</v>
      </c>
      <c r="E13" s="9">
        <v>14.0</v>
      </c>
      <c r="F13" s="9">
        <v>450.0</v>
      </c>
      <c r="G13" s="9">
        <v>36.51</v>
      </c>
      <c r="H13" s="9">
        <v>7.3</v>
      </c>
      <c r="I13" s="9">
        <f t="shared" si="1"/>
        <v>103576</v>
      </c>
      <c r="J13" s="9">
        <v>10.0</v>
      </c>
      <c r="K13" s="9">
        <v>15.0</v>
      </c>
      <c r="L13" s="10">
        <f>1/950</f>
        <v>0.001052631579</v>
      </c>
      <c r="M13" s="11">
        <v>0.0</v>
      </c>
      <c r="N13" s="11">
        <v>0.0</v>
      </c>
      <c r="O13" s="11">
        <v>0.0</v>
      </c>
    </row>
    <row r="14">
      <c r="A14" s="9">
        <v>12.0</v>
      </c>
      <c r="B14" s="9" t="s">
        <v>15</v>
      </c>
      <c r="C14" s="9">
        <v>1690.0</v>
      </c>
      <c r="D14" s="9">
        <v>890.0</v>
      </c>
      <c r="E14" s="9">
        <v>7.0</v>
      </c>
      <c r="F14" s="9">
        <v>225.0</v>
      </c>
      <c r="G14" s="9">
        <v>38.23</v>
      </c>
      <c r="H14" s="9">
        <v>16.21</v>
      </c>
      <c r="I14" s="9">
        <f t="shared" si="1"/>
        <v>103576</v>
      </c>
      <c r="J14" s="9">
        <v>3.0</v>
      </c>
      <c r="K14" s="9">
        <v>4.0</v>
      </c>
      <c r="L14" s="19">
        <v>9.34579E-4</v>
      </c>
      <c r="M14" s="11">
        <v>0.0</v>
      </c>
      <c r="N14" s="11">
        <v>0.0</v>
      </c>
      <c r="O14" s="11">
        <v>0.0</v>
      </c>
    </row>
    <row r="18">
      <c r="A18" s="22" t="s">
        <v>45</v>
      </c>
      <c r="B18" s="25"/>
      <c r="C18" s="26" t="s">
        <v>50</v>
      </c>
      <c r="D18" s="26" t="s">
        <v>55</v>
      </c>
      <c r="E18" s="26" t="s">
        <v>57</v>
      </c>
    </row>
    <row r="19">
      <c r="A19" s="27" t="s">
        <v>59</v>
      </c>
      <c r="B19" s="25"/>
      <c r="C19" s="11" t="s">
        <v>64</v>
      </c>
      <c r="D19" s="11">
        <v>1.0</v>
      </c>
      <c r="E19" s="11" t="s">
        <v>67</v>
      </c>
    </row>
    <row r="20">
      <c r="A20" s="27" t="s">
        <v>69</v>
      </c>
      <c r="B20" s="25"/>
      <c r="C20" s="11" t="s">
        <v>72</v>
      </c>
      <c r="D20" s="11">
        <v>125.0</v>
      </c>
      <c r="E20" s="11" t="s">
        <v>75</v>
      </c>
    </row>
    <row r="21">
      <c r="A21" s="27" t="s">
        <v>77</v>
      </c>
      <c r="B21" s="25"/>
      <c r="C21" s="11" t="s">
        <v>78</v>
      </c>
      <c r="D21" s="11">
        <v>0.2</v>
      </c>
      <c r="E21" s="11" t="s">
        <v>75</v>
      </c>
    </row>
    <row r="22">
      <c r="A22" s="27" t="s">
        <v>79</v>
      </c>
      <c r="B22" s="25"/>
      <c r="C22" s="11" t="s">
        <v>80</v>
      </c>
      <c r="D22" s="11">
        <v>1.1</v>
      </c>
      <c r="E22" s="11" t="s">
        <v>75</v>
      </c>
    </row>
    <row r="23">
      <c r="A23" s="27" t="s">
        <v>81</v>
      </c>
      <c r="B23" s="25"/>
      <c r="C23" s="11" t="s">
        <v>82</v>
      </c>
      <c r="D23" s="11">
        <v>1000.0</v>
      </c>
      <c r="E23" s="11" t="s">
        <v>67</v>
      </c>
    </row>
    <row r="24">
      <c r="A24" s="27" t="s">
        <v>83</v>
      </c>
      <c r="B24" s="25"/>
      <c r="C24" s="11" t="s">
        <v>84</v>
      </c>
      <c r="D24" s="11">
        <f>21*2</f>
        <v>42</v>
      </c>
      <c r="E24" s="11" t="s">
        <v>85</v>
      </c>
    </row>
    <row r="25">
      <c r="A25" s="27" t="s">
        <v>86</v>
      </c>
      <c r="B25" s="25"/>
      <c r="C25" s="11" t="s">
        <v>87</v>
      </c>
      <c r="D25" s="11">
        <v>5.28</v>
      </c>
      <c r="E25" s="11" t="s">
        <v>88</v>
      </c>
    </row>
    <row r="26">
      <c r="A26" s="27" t="s">
        <v>89</v>
      </c>
      <c r="B26" s="25"/>
      <c r="C26" s="11" t="s">
        <v>90</v>
      </c>
      <c r="D26" s="11">
        <v>0.0</v>
      </c>
      <c r="E26" s="11" t="s">
        <v>85</v>
      </c>
    </row>
    <row r="27">
      <c r="A27" s="27" t="s">
        <v>91</v>
      </c>
      <c r="B27" s="25"/>
      <c r="C27" s="11" t="s">
        <v>92</v>
      </c>
      <c r="D27" s="11">
        <v>0.0</v>
      </c>
      <c r="E27" s="11" t="s">
        <v>88</v>
      </c>
    </row>
    <row r="28">
      <c r="A28" s="14"/>
      <c r="B28" s="14"/>
      <c r="C28" s="14"/>
      <c r="D28" s="14"/>
      <c r="E28" s="14"/>
    </row>
    <row r="29">
      <c r="A29" s="14"/>
      <c r="B29" s="14"/>
      <c r="C29" s="14"/>
      <c r="D29" s="14"/>
      <c r="E29" s="14"/>
    </row>
    <row r="30">
      <c r="C30" s="14"/>
      <c r="D30" s="14"/>
      <c r="E30" s="14"/>
    </row>
    <row r="31">
      <c r="C31" s="14"/>
      <c r="D31" s="14"/>
      <c r="E31" s="14"/>
    </row>
    <row r="32">
      <c r="C32" s="14"/>
      <c r="D32" s="14"/>
      <c r="E32" s="14"/>
    </row>
    <row r="33">
      <c r="C33" s="14"/>
      <c r="D33" s="14"/>
      <c r="E33" s="14"/>
    </row>
    <row r="34">
      <c r="C34" s="14"/>
      <c r="D34" s="14"/>
      <c r="E34" s="14"/>
    </row>
    <row r="35">
      <c r="C35" s="14"/>
      <c r="D35" s="14"/>
      <c r="E35" s="14"/>
    </row>
    <row r="36">
      <c r="C36" s="14"/>
      <c r="D36" s="14"/>
      <c r="E36" s="14"/>
    </row>
    <row r="37">
      <c r="C37" s="14"/>
      <c r="D37" s="14"/>
      <c r="E37" s="14"/>
    </row>
    <row r="38">
      <c r="C38" s="14"/>
      <c r="D38" s="14"/>
      <c r="E38" s="14"/>
    </row>
    <row r="39">
      <c r="C39" s="14"/>
      <c r="D39" s="14"/>
      <c r="E39" s="14"/>
    </row>
    <row r="40">
      <c r="C40" s="14"/>
      <c r="D40" s="14"/>
      <c r="E40" s="14"/>
    </row>
    <row r="41">
      <c r="C41" s="14"/>
      <c r="D41" s="14"/>
      <c r="E41" s="14"/>
    </row>
    <row r="42">
      <c r="C42" s="14"/>
      <c r="D42" s="14"/>
      <c r="E42" s="14"/>
    </row>
    <row r="43">
      <c r="C43" s="14"/>
      <c r="D43" s="14"/>
      <c r="E43" s="14"/>
    </row>
    <row r="44">
      <c r="C44" s="14"/>
      <c r="D44" s="14"/>
      <c r="E44" s="14"/>
    </row>
    <row r="45">
      <c r="C45" s="14"/>
      <c r="D45" s="14"/>
    </row>
    <row r="46">
      <c r="C46" s="14"/>
      <c r="D46" s="14"/>
    </row>
    <row r="47">
      <c r="C47" s="14"/>
    </row>
    <row r="48">
      <c r="C48" s="14"/>
    </row>
    <row r="49">
      <c r="C49" s="14"/>
    </row>
    <row r="50">
      <c r="C50" s="14"/>
    </row>
    <row r="51">
      <c r="C51" s="14"/>
    </row>
    <row r="52">
      <c r="C52" s="14"/>
    </row>
    <row r="53">
      <c r="C53" s="14"/>
    </row>
    <row r="54">
      <c r="C54" s="14"/>
    </row>
    <row r="55">
      <c r="C55" s="14"/>
    </row>
    <row r="56">
      <c r="C56" s="14"/>
    </row>
    <row r="57">
      <c r="C57" s="14"/>
    </row>
    <row r="58">
      <c r="C58" s="14"/>
    </row>
    <row r="59">
      <c r="C59" s="14"/>
    </row>
  </sheetData>
  <mergeCells count="10">
    <mergeCell ref="A25:B25"/>
    <mergeCell ref="A26:B26"/>
    <mergeCell ref="A27:B27"/>
    <mergeCell ref="A18:B18"/>
    <mergeCell ref="A19:B19"/>
    <mergeCell ref="A20:B20"/>
    <mergeCell ref="A21:B21"/>
    <mergeCell ref="A22:B22"/>
    <mergeCell ref="A23:B23"/>
    <mergeCell ref="A24:B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</cols>
  <sheetData>
    <row r="1">
      <c r="A1" s="2" t="s">
        <v>0</v>
      </c>
    </row>
    <row r="2">
      <c r="B2" s="1" t="s">
        <v>3</v>
      </c>
      <c r="C2" s="1" t="s">
        <v>4</v>
      </c>
      <c r="D2" s="4" t="s">
        <v>5</v>
      </c>
      <c r="E2" s="1" t="s">
        <v>7</v>
      </c>
      <c r="F2" s="1" t="s">
        <v>8</v>
      </c>
      <c r="G2" s="4" t="s">
        <v>9</v>
      </c>
      <c r="H2" s="4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>
      <c r="A3" s="1" t="s">
        <v>16</v>
      </c>
      <c r="B3" s="8">
        <f>(470+4240+840+2420+1800)*18</f>
        <v>175860</v>
      </c>
      <c r="C3" s="8">
        <f>(42+30+58+78+25)*400</f>
        <v>93200</v>
      </c>
      <c r="D3" s="8">
        <f>(38+25+40+61+25)*400</f>
        <v>75600</v>
      </c>
      <c r="E3" s="8">
        <f>(24+46+57+54+37)*400</f>
        <v>87200</v>
      </c>
      <c r="F3" s="8">
        <f>(520+355+380+530+660)*17</f>
        <v>41565</v>
      </c>
      <c r="G3" s="8">
        <f>(9+5+14)*450</f>
        <v>12600</v>
      </c>
      <c r="H3" s="8">
        <f>(2560+920+2200+1050+1070)*18</f>
        <v>140400</v>
      </c>
      <c r="J3" s="13">
        <f>('Valores parámetros'!G4/'Valores parámetros'!G3)*B3</f>
        <v>200393.7797</v>
      </c>
      <c r="K3" s="13">
        <f>('Valores parámetros'!G7/'Valores parámetros'!G3)*B3</f>
        <v>102543.9375</v>
      </c>
      <c r="L3" s="13">
        <f>('Valores parámetros'!G12/'Valores parámetros'!G3)*B3</f>
        <v>45177.42516</v>
      </c>
      <c r="M3" s="13">
        <f>('Valores parámetros'!G13/'Valores parámetros'!G3)*B3</f>
        <v>94685.86639</v>
      </c>
      <c r="N3" s="13">
        <f>('Valores parámetros'!G14/'Valores parámetros'!G3)*B3</f>
        <v>99146.55361</v>
      </c>
    </row>
    <row r="4">
      <c r="A4" s="1" t="s">
        <v>33</v>
      </c>
      <c r="B4" s="8">
        <f t="shared" ref="B4:H4" si="1">B3*4</f>
        <v>703440</v>
      </c>
      <c r="C4" s="8">
        <f t="shared" si="1"/>
        <v>372800</v>
      </c>
      <c r="D4" s="8">
        <f t="shared" si="1"/>
        <v>302400</v>
      </c>
      <c r="E4" s="8">
        <f t="shared" si="1"/>
        <v>348800</v>
      </c>
      <c r="F4" s="8">
        <f t="shared" si="1"/>
        <v>166260</v>
      </c>
      <c r="G4" s="8">
        <f t="shared" si="1"/>
        <v>50400</v>
      </c>
      <c r="H4" s="8">
        <f t="shared" si="1"/>
        <v>561600</v>
      </c>
      <c r="J4" s="13">
        <f t="shared" ref="J4:N4" si="2">J3*4</f>
        <v>801575.1187</v>
      </c>
      <c r="K4" s="13">
        <f t="shared" si="2"/>
        <v>410175.7499</v>
      </c>
      <c r="L4" s="13">
        <f t="shared" si="2"/>
        <v>180709.7006</v>
      </c>
      <c r="M4" s="13">
        <f t="shared" si="2"/>
        <v>378743.4656</v>
      </c>
      <c r="N4" s="13">
        <f t="shared" si="2"/>
        <v>396586.2144</v>
      </c>
    </row>
    <row r="5">
      <c r="A5" s="1" t="s">
        <v>35</v>
      </c>
      <c r="B5" s="8">
        <f t="shared" ref="B5:H5" si="3">B4/0.7</f>
        <v>1004914.286</v>
      </c>
      <c r="C5" s="13">
        <f t="shared" si="3"/>
        <v>532571.4286</v>
      </c>
      <c r="D5" s="8">
        <f t="shared" si="3"/>
        <v>432000</v>
      </c>
      <c r="E5" s="13">
        <f t="shared" si="3"/>
        <v>498285.7143</v>
      </c>
      <c r="F5" s="13">
        <f t="shared" si="3"/>
        <v>237514.2857</v>
      </c>
      <c r="G5" s="8">
        <f t="shared" si="3"/>
        <v>72000</v>
      </c>
      <c r="H5" s="13">
        <f t="shared" si="3"/>
        <v>802285.7143</v>
      </c>
      <c r="J5" s="8">
        <f t="shared" ref="J5:N5" si="4">J4/0.7</f>
        <v>1145107.312</v>
      </c>
      <c r="K5" s="8">
        <f t="shared" si="4"/>
        <v>585965.357</v>
      </c>
      <c r="L5" s="13">
        <f t="shared" si="4"/>
        <v>258156.7152</v>
      </c>
      <c r="M5" s="13">
        <f t="shared" si="4"/>
        <v>541062.0937</v>
      </c>
      <c r="N5" s="13">
        <f t="shared" si="4"/>
        <v>566551.7349</v>
      </c>
    </row>
    <row r="6">
      <c r="A6" s="1" t="s">
        <v>38</v>
      </c>
      <c r="B6" s="13">
        <f t="shared" ref="B6:H6" si="5">B5*0.25</f>
        <v>251228.5714</v>
      </c>
      <c r="C6" s="13">
        <f t="shared" si="5"/>
        <v>133142.8571</v>
      </c>
      <c r="D6" s="8">
        <f t="shared" si="5"/>
        <v>108000</v>
      </c>
      <c r="E6" s="13">
        <f t="shared" si="5"/>
        <v>124571.4286</v>
      </c>
      <c r="F6" s="13">
        <f t="shared" si="5"/>
        <v>59378.57143</v>
      </c>
      <c r="G6" s="8">
        <f t="shared" si="5"/>
        <v>18000</v>
      </c>
      <c r="H6" s="13">
        <f t="shared" si="5"/>
        <v>200571.4286</v>
      </c>
      <c r="J6" s="13">
        <f t="shared" ref="J6:N6" si="6">J5*0.25</f>
        <v>286276.8281</v>
      </c>
      <c r="K6" s="13">
        <f t="shared" si="6"/>
        <v>146491.3392</v>
      </c>
      <c r="L6" s="13">
        <f t="shared" si="6"/>
        <v>64539.1788</v>
      </c>
      <c r="M6" s="13">
        <f t="shared" si="6"/>
        <v>135265.5234</v>
      </c>
      <c r="N6" s="13">
        <f t="shared" si="6"/>
        <v>141637.9337</v>
      </c>
    </row>
    <row r="7">
      <c r="A7" s="1" t="s">
        <v>39</v>
      </c>
      <c r="B7" s="13">
        <f t="shared" ref="B7:H7" si="7">B6/4</f>
        <v>62807.14286</v>
      </c>
      <c r="C7" s="13">
        <f t="shared" si="7"/>
        <v>33285.71429</v>
      </c>
      <c r="D7" s="8">
        <f t="shared" si="7"/>
        <v>27000</v>
      </c>
      <c r="E7" s="13">
        <f t="shared" si="7"/>
        <v>31142.85714</v>
      </c>
      <c r="F7" s="13">
        <f t="shared" si="7"/>
        <v>14844.64286</v>
      </c>
      <c r="G7" s="8">
        <f t="shared" si="7"/>
        <v>4500</v>
      </c>
      <c r="H7" s="13">
        <f t="shared" si="7"/>
        <v>50142.85714</v>
      </c>
      <c r="J7" s="13">
        <f t="shared" ref="J7:N7" si="8">J6/4</f>
        <v>71569.20703</v>
      </c>
      <c r="K7" s="13">
        <f t="shared" si="8"/>
        <v>36622.83481</v>
      </c>
      <c r="L7" s="13">
        <f t="shared" si="8"/>
        <v>16134.7947</v>
      </c>
      <c r="M7" s="13">
        <f t="shared" si="8"/>
        <v>33816.38085</v>
      </c>
      <c r="N7" s="13">
        <f t="shared" si="8"/>
        <v>35409.48343</v>
      </c>
    </row>
    <row r="8">
      <c r="A8" s="1" t="s">
        <v>41</v>
      </c>
      <c r="B8" s="13">
        <f t="shared" ref="B8:H8" si="9">B7/7</f>
        <v>8972.44898</v>
      </c>
      <c r="C8" s="13">
        <f t="shared" si="9"/>
        <v>4755.102041</v>
      </c>
      <c r="D8" s="13">
        <f t="shared" si="9"/>
        <v>3857.142857</v>
      </c>
      <c r="E8" s="13">
        <f t="shared" si="9"/>
        <v>4448.979592</v>
      </c>
      <c r="F8" s="13">
        <f t="shared" si="9"/>
        <v>2120.663265</v>
      </c>
      <c r="G8" s="13">
        <f t="shared" si="9"/>
        <v>642.8571429</v>
      </c>
      <c r="H8" s="13">
        <f t="shared" si="9"/>
        <v>7163.265306</v>
      </c>
      <c r="J8" s="13">
        <f t="shared" ref="J8:N8" si="10">J7/7</f>
        <v>10224.17243</v>
      </c>
      <c r="K8" s="13">
        <f t="shared" si="10"/>
        <v>5231.833545</v>
      </c>
      <c r="L8" s="13">
        <f t="shared" si="10"/>
        <v>2304.970671</v>
      </c>
      <c r="M8" s="13">
        <f t="shared" si="10"/>
        <v>4830.911551</v>
      </c>
      <c r="N8" s="13">
        <f t="shared" si="10"/>
        <v>5058.497633</v>
      </c>
    </row>
    <row r="9">
      <c r="A9" s="1" t="s">
        <v>42</v>
      </c>
      <c r="B9" s="13">
        <f t="shared" ref="B9:H9" si="11">B8/20</f>
        <v>448.622449</v>
      </c>
      <c r="C9" s="13">
        <f t="shared" si="11"/>
        <v>237.755102</v>
      </c>
      <c r="D9" s="13">
        <f t="shared" si="11"/>
        <v>192.8571429</v>
      </c>
      <c r="E9" s="13">
        <f t="shared" si="11"/>
        <v>222.4489796</v>
      </c>
      <c r="F9" s="13">
        <f t="shared" si="11"/>
        <v>106.0331633</v>
      </c>
      <c r="G9" s="13">
        <f t="shared" si="11"/>
        <v>32.14285714</v>
      </c>
      <c r="H9" s="13">
        <f t="shared" si="11"/>
        <v>358.1632653</v>
      </c>
      <c r="J9" s="13">
        <f t="shared" ref="J9:N9" si="12">J8/20</f>
        <v>511.2086216</v>
      </c>
      <c r="K9" s="13">
        <f t="shared" si="12"/>
        <v>261.5916772</v>
      </c>
      <c r="L9" s="13">
        <f t="shared" si="12"/>
        <v>115.2485336</v>
      </c>
      <c r="M9" s="13">
        <f t="shared" si="12"/>
        <v>241.5455775</v>
      </c>
      <c r="N9" s="13">
        <f t="shared" si="12"/>
        <v>252.9248816</v>
      </c>
    </row>
    <row r="12">
      <c r="A12" s="2" t="s">
        <v>43</v>
      </c>
    </row>
    <row r="14">
      <c r="A14" s="18" t="s">
        <v>1</v>
      </c>
      <c r="B14" s="18" t="s">
        <v>17</v>
      </c>
      <c r="C14" s="21" t="s">
        <v>44</v>
      </c>
      <c r="D14" s="24" t="s">
        <v>46</v>
      </c>
      <c r="E14" s="24" t="s">
        <v>47</v>
      </c>
      <c r="F14" s="24" t="s">
        <v>48</v>
      </c>
      <c r="G14" s="24" t="s">
        <v>49</v>
      </c>
      <c r="H14" s="24" t="s">
        <v>51</v>
      </c>
      <c r="I14" s="24" t="s">
        <v>52</v>
      </c>
      <c r="J14" s="24" t="s">
        <v>53</v>
      </c>
      <c r="K14" s="24" t="s">
        <v>54</v>
      </c>
      <c r="L14" s="24" t="s">
        <v>56</v>
      </c>
      <c r="M14" s="24" t="s">
        <v>58</v>
      </c>
      <c r="N14" s="24" t="s">
        <v>60</v>
      </c>
      <c r="O14" s="24" t="s">
        <v>61</v>
      </c>
      <c r="P14" s="24" t="s">
        <v>62</v>
      </c>
      <c r="Q14" s="24" t="s">
        <v>63</v>
      </c>
      <c r="R14" s="24" t="s">
        <v>65</v>
      </c>
      <c r="S14" s="24" t="s">
        <v>66</v>
      </c>
      <c r="T14" s="24" t="s">
        <v>68</v>
      </c>
      <c r="U14" s="24" t="s">
        <v>70</v>
      </c>
      <c r="V14" s="24" t="s">
        <v>71</v>
      </c>
      <c r="W14" s="24" t="s">
        <v>73</v>
      </c>
      <c r="X14" s="24" t="s">
        <v>74</v>
      </c>
      <c r="Y14" s="24" t="s">
        <v>76</v>
      </c>
      <c r="Z14" s="28"/>
    </row>
    <row r="15">
      <c r="A15" s="9">
        <v>1.0</v>
      </c>
      <c r="B15" s="9" t="s">
        <v>3</v>
      </c>
      <c r="C15" s="29">
        <f>B9</f>
        <v>448.622449</v>
      </c>
      <c r="D15" s="30">
        <f>'Valores parámetros'!K3</f>
        <v>21</v>
      </c>
      <c r="E15" s="31">
        <f t="shared" ref="E15:Y15" si="13">ROUND(($D15 - (COLUMN(E15)-5)) * $C15 * 2 /($D15 * ($D15 + 1)),0)</f>
        <v>41</v>
      </c>
      <c r="F15" s="31">
        <f t="shared" si="13"/>
        <v>39</v>
      </c>
      <c r="G15" s="31">
        <f t="shared" si="13"/>
        <v>37</v>
      </c>
      <c r="H15" s="31">
        <f t="shared" si="13"/>
        <v>35</v>
      </c>
      <c r="I15" s="31">
        <f t="shared" si="13"/>
        <v>33</v>
      </c>
      <c r="J15" s="31">
        <f t="shared" si="13"/>
        <v>31</v>
      </c>
      <c r="K15" s="31">
        <f t="shared" si="13"/>
        <v>29</v>
      </c>
      <c r="L15" s="31">
        <f t="shared" si="13"/>
        <v>27</v>
      </c>
      <c r="M15" s="31">
        <f t="shared" si="13"/>
        <v>25</v>
      </c>
      <c r="N15" s="31">
        <f t="shared" si="13"/>
        <v>23</v>
      </c>
      <c r="O15" s="31">
        <f t="shared" si="13"/>
        <v>21</v>
      </c>
      <c r="P15" s="31">
        <f t="shared" si="13"/>
        <v>19</v>
      </c>
      <c r="Q15" s="31">
        <f t="shared" si="13"/>
        <v>17</v>
      </c>
      <c r="R15" s="31">
        <f t="shared" si="13"/>
        <v>16</v>
      </c>
      <c r="S15" s="31">
        <f t="shared" si="13"/>
        <v>14</v>
      </c>
      <c r="T15" s="31">
        <f t="shared" si="13"/>
        <v>12</v>
      </c>
      <c r="U15" s="31">
        <f t="shared" si="13"/>
        <v>10</v>
      </c>
      <c r="V15" s="31">
        <f t="shared" si="13"/>
        <v>8</v>
      </c>
      <c r="W15" s="31">
        <f t="shared" si="13"/>
        <v>6</v>
      </c>
      <c r="X15" s="31">
        <f t="shared" si="13"/>
        <v>4</v>
      </c>
      <c r="Y15" s="31">
        <f t="shared" si="13"/>
        <v>2</v>
      </c>
      <c r="Z15" s="32"/>
    </row>
    <row r="16">
      <c r="A16" s="9">
        <v>2.0</v>
      </c>
      <c r="B16" s="9" t="s">
        <v>11</v>
      </c>
      <c r="C16" s="29">
        <f>J9</f>
        <v>511.2086216</v>
      </c>
      <c r="D16" s="30">
        <f>'Valores parámetros'!K4</f>
        <v>5</v>
      </c>
      <c r="E16" s="31">
        <f t="shared" ref="E16:I16" si="14">ROUND(($D16 - (COLUMN(E16)-5)) * $C16 * 2 /($D16 * ($D16 + 1)),0)</f>
        <v>170</v>
      </c>
      <c r="F16" s="31">
        <f t="shared" si="14"/>
        <v>136</v>
      </c>
      <c r="G16" s="31">
        <f t="shared" si="14"/>
        <v>102</v>
      </c>
      <c r="H16" s="31">
        <f t="shared" si="14"/>
        <v>68</v>
      </c>
      <c r="I16" s="31">
        <f t="shared" si="14"/>
        <v>34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4"/>
    </row>
    <row r="17">
      <c r="A17" s="9">
        <v>3.0</v>
      </c>
      <c r="B17" s="9" t="s">
        <v>31</v>
      </c>
      <c r="C17" s="29">
        <f>G9</f>
        <v>32.14285714</v>
      </c>
      <c r="D17" s="30">
        <f>'Valores parámetros'!K5</f>
        <v>3</v>
      </c>
      <c r="E17" s="31">
        <f t="shared" ref="E17:G17" si="15">ROUND(($D17 - (COLUMN(E17)-5)) * $C17 * 2 /($D17 * ($D17 + 1)),0)</f>
        <v>16</v>
      </c>
      <c r="F17" s="31">
        <f t="shared" si="15"/>
        <v>11</v>
      </c>
      <c r="G17" s="31">
        <f t="shared" si="15"/>
        <v>5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4"/>
    </row>
    <row r="18">
      <c r="A18" s="9">
        <v>4.0</v>
      </c>
      <c r="B18" s="9" t="s">
        <v>32</v>
      </c>
      <c r="C18" s="29">
        <f>E9</f>
        <v>222.4489796</v>
      </c>
      <c r="D18" s="30">
        <f>'Valores parámetros'!K6</f>
        <v>4</v>
      </c>
      <c r="E18" s="31">
        <f t="shared" ref="E18:H18" si="16">ROUND(($D18 - (COLUMN(E18)-5)) * $C18 * 2 /($D18 * ($D18 + 1)),0)</f>
        <v>89</v>
      </c>
      <c r="F18" s="31">
        <f t="shared" si="16"/>
        <v>67</v>
      </c>
      <c r="G18" s="31">
        <f t="shared" si="16"/>
        <v>44</v>
      </c>
      <c r="H18" s="31">
        <f t="shared" si="16"/>
        <v>22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4"/>
    </row>
    <row r="19">
      <c r="A19" s="9">
        <v>5.0</v>
      </c>
      <c r="B19" s="9" t="s">
        <v>12</v>
      </c>
      <c r="C19" s="29">
        <f>K9</f>
        <v>261.5916772</v>
      </c>
      <c r="D19" s="30">
        <f>'Valores parámetros'!K7</f>
        <v>2</v>
      </c>
      <c r="E19" s="31">
        <f t="shared" ref="E19:F19" si="17">ROUND(($D19 - (COLUMN(E19)-5)) * $C19 * 2 /($D19 * ($D19 + 1)),0)</f>
        <v>174</v>
      </c>
      <c r="F19" s="31">
        <f t="shared" si="17"/>
        <v>87</v>
      </c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</row>
    <row r="20">
      <c r="A20" s="9">
        <v>6.0</v>
      </c>
      <c r="B20" s="9" t="s">
        <v>34</v>
      </c>
      <c r="C20" s="29">
        <f>C9</f>
        <v>237.755102</v>
      </c>
      <c r="D20" s="30">
        <f>'Valores parámetros'!K8</f>
        <v>21</v>
      </c>
      <c r="E20" s="31">
        <f t="shared" ref="E20:Y20" si="18">ROUND(($D20 - (COLUMN(E20)-5)) * $C20 * 2 /($D20 * ($D20 + 1)),0)</f>
        <v>22</v>
      </c>
      <c r="F20" s="31">
        <f t="shared" si="18"/>
        <v>21</v>
      </c>
      <c r="G20" s="31">
        <f t="shared" si="18"/>
        <v>20</v>
      </c>
      <c r="H20" s="31">
        <f t="shared" si="18"/>
        <v>19</v>
      </c>
      <c r="I20" s="31">
        <f t="shared" si="18"/>
        <v>17</v>
      </c>
      <c r="J20" s="31">
        <f t="shared" si="18"/>
        <v>16</v>
      </c>
      <c r="K20" s="31">
        <f t="shared" si="18"/>
        <v>15</v>
      </c>
      <c r="L20" s="31">
        <f t="shared" si="18"/>
        <v>14</v>
      </c>
      <c r="M20" s="31">
        <f t="shared" si="18"/>
        <v>13</v>
      </c>
      <c r="N20" s="31">
        <f t="shared" si="18"/>
        <v>12</v>
      </c>
      <c r="O20" s="31">
        <f t="shared" si="18"/>
        <v>11</v>
      </c>
      <c r="P20" s="31">
        <f t="shared" si="18"/>
        <v>10</v>
      </c>
      <c r="Q20" s="31">
        <f t="shared" si="18"/>
        <v>9</v>
      </c>
      <c r="R20" s="31">
        <f t="shared" si="18"/>
        <v>8</v>
      </c>
      <c r="S20" s="31">
        <f t="shared" si="18"/>
        <v>7</v>
      </c>
      <c r="T20" s="31">
        <f t="shared" si="18"/>
        <v>6</v>
      </c>
      <c r="U20" s="31">
        <f t="shared" si="18"/>
        <v>5</v>
      </c>
      <c r="V20" s="31">
        <f t="shared" si="18"/>
        <v>4</v>
      </c>
      <c r="W20" s="31">
        <f t="shared" si="18"/>
        <v>3</v>
      </c>
      <c r="X20" s="31">
        <f t="shared" si="18"/>
        <v>2</v>
      </c>
      <c r="Y20" s="31">
        <f t="shared" si="18"/>
        <v>1</v>
      </c>
      <c r="Z20" s="34"/>
    </row>
    <row r="21">
      <c r="A21" s="9">
        <v>7.0</v>
      </c>
      <c r="B21" s="9" t="s">
        <v>36</v>
      </c>
      <c r="C21" s="29">
        <f>D9</f>
        <v>192.8571429</v>
      </c>
      <c r="D21" s="30">
        <f>'Valores parámetros'!K9</f>
        <v>21</v>
      </c>
      <c r="E21" s="31">
        <f t="shared" ref="E21:Y21" si="19">ROUND(($D21 - (COLUMN(E21)-5)) * $C21 * 2 /($D21 * ($D21 + 1)),0)</f>
        <v>18</v>
      </c>
      <c r="F21" s="31">
        <f t="shared" si="19"/>
        <v>17</v>
      </c>
      <c r="G21" s="31">
        <f t="shared" si="19"/>
        <v>16</v>
      </c>
      <c r="H21" s="31">
        <f t="shared" si="19"/>
        <v>15</v>
      </c>
      <c r="I21" s="31">
        <f t="shared" si="19"/>
        <v>14</v>
      </c>
      <c r="J21" s="31">
        <f t="shared" si="19"/>
        <v>13</v>
      </c>
      <c r="K21" s="31">
        <f t="shared" si="19"/>
        <v>13</v>
      </c>
      <c r="L21" s="31">
        <f t="shared" si="19"/>
        <v>12</v>
      </c>
      <c r="M21" s="31">
        <f t="shared" si="19"/>
        <v>11</v>
      </c>
      <c r="N21" s="31">
        <f t="shared" si="19"/>
        <v>10</v>
      </c>
      <c r="O21" s="31">
        <f t="shared" si="19"/>
        <v>9</v>
      </c>
      <c r="P21" s="31">
        <f t="shared" si="19"/>
        <v>8</v>
      </c>
      <c r="Q21" s="31">
        <f t="shared" si="19"/>
        <v>8</v>
      </c>
      <c r="R21" s="31">
        <f t="shared" si="19"/>
        <v>7</v>
      </c>
      <c r="S21" s="31">
        <f t="shared" si="19"/>
        <v>6</v>
      </c>
      <c r="T21" s="31">
        <f t="shared" si="19"/>
        <v>5</v>
      </c>
      <c r="U21" s="31">
        <f t="shared" si="19"/>
        <v>4</v>
      </c>
      <c r="V21" s="31">
        <f t="shared" si="19"/>
        <v>3</v>
      </c>
      <c r="W21" s="31">
        <f t="shared" si="19"/>
        <v>3</v>
      </c>
      <c r="X21" s="31">
        <f t="shared" si="19"/>
        <v>2</v>
      </c>
      <c r="Y21" s="31">
        <f t="shared" si="19"/>
        <v>1</v>
      </c>
      <c r="Z21" s="34"/>
    </row>
    <row r="22">
      <c r="A22" s="9">
        <v>8.0</v>
      </c>
      <c r="B22" s="9" t="s">
        <v>37</v>
      </c>
      <c r="C22" s="29">
        <f>F9</f>
        <v>106.0331633</v>
      </c>
      <c r="D22" s="30">
        <f>'Valores parámetros'!K10</f>
        <v>3</v>
      </c>
      <c r="E22" s="31">
        <f t="shared" ref="E22:G22" si="20">ROUND(($D22 - (COLUMN(E22)-5)) * $C22 * 2 /($D22 * ($D22 + 1)),0)</f>
        <v>53</v>
      </c>
      <c r="F22" s="31">
        <f t="shared" si="20"/>
        <v>35</v>
      </c>
      <c r="G22" s="31">
        <f t="shared" si="20"/>
        <v>18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4"/>
    </row>
    <row r="23">
      <c r="A23" s="9">
        <v>9.0</v>
      </c>
      <c r="B23" s="9" t="s">
        <v>40</v>
      </c>
      <c r="C23" s="29">
        <f>H9</f>
        <v>358.1632653</v>
      </c>
      <c r="D23" s="30">
        <f>'Valores parámetros'!K11</f>
        <v>6</v>
      </c>
      <c r="E23" s="31">
        <f t="shared" ref="E23:J23" si="21">ROUND(($D23 - (COLUMN(E23)-5)) * $C23 * 2 /($D23 * ($D23 + 1)),0)</f>
        <v>102</v>
      </c>
      <c r="F23" s="31">
        <f t="shared" si="21"/>
        <v>85</v>
      </c>
      <c r="G23" s="31">
        <f t="shared" si="21"/>
        <v>68</v>
      </c>
      <c r="H23" s="31">
        <f t="shared" si="21"/>
        <v>51</v>
      </c>
      <c r="I23" s="31">
        <f t="shared" si="21"/>
        <v>34</v>
      </c>
      <c r="J23" s="31">
        <f t="shared" si="21"/>
        <v>17</v>
      </c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4"/>
    </row>
    <row r="24">
      <c r="A24" s="9">
        <v>10.0</v>
      </c>
      <c r="B24" s="9" t="s">
        <v>13</v>
      </c>
      <c r="C24" s="29">
        <f>L9</f>
        <v>115.2485336</v>
      </c>
      <c r="D24" s="30">
        <f>'Valores parámetros'!K12</f>
        <v>3</v>
      </c>
      <c r="E24" s="31">
        <f t="shared" ref="E24:G24" si="22">ROUND(($D24 - (COLUMN(E24)-5)) * $C24 * 2 /($D24 * ($D24 + 1)),0)</f>
        <v>58</v>
      </c>
      <c r="F24" s="31">
        <f t="shared" si="22"/>
        <v>38</v>
      </c>
      <c r="G24" s="31">
        <f t="shared" si="22"/>
        <v>19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</row>
    <row r="25">
      <c r="A25" s="9">
        <v>11.0</v>
      </c>
      <c r="B25" s="9" t="s">
        <v>14</v>
      </c>
      <c r="C25" s="29">
        <f>M9</f>
        <v>241.5455775</v>
      </c>
      <c r="D25" s="11">
        <f>'Valores parámetros'!K13</f>
        <v>15</v>
      </c>
      <c r="E25" s="31">
        <f t="shared" ref="E25:S25" si="23">ROUND(($D25 - (COLUMN(E25)-5)) * $C25 * 2 /($D25 * ($D25 + 1)),0)</f>
        <v>30</v>
      </c>
      <c r="F25" s="31">
        <f t="shared" si="23"/>
        <v>28</v>
      </c>
      <c r="G25" s="31">
        <f t="shared" si="23"/>
        <v>26</v>
      </c>
      <c r="H25" s="31">
        <f t="shared" si="23"/>
        <v>24</v>
      </c>
      <c r="I25" s="31">
        <f t="shared" si="23"/>
        <v>22</v>
      </c>
      <c r="J25" s="31">
        <f t="shared" si="23"/>
        <v>20</v>
      </c>
      <c r="K25" s="31">
        <f t="shared" si="23"/>
        <v>18</v>
      </c>
      <c r="L25" s="31">
        <f t="shared" si="23"/>
        <v>16</v>
      </c>
      <c r="M25" s="31">
        <f t="shared" si="23"/>
        <v>14</v>
      </c>
      <c r="N25" s="31">
        <f t="shared" si="23"/>
        <v>12</v>
      </c>
      <c r="O25" s="31">
        <f t="shared" si="23"/>
        <v>10</v>
      </c>
      <c r="P25" s="31">
        <f t="shared" si="23"/>
        <v>8</v>
      </c>
      <c r="Q25" s="31">
        <f t="shared" si="23"/>
        <v>6</v>
      </c>
      <c r="R25" s="31">
        <f t="shared" si="23"/>
        <v>4</v>
      </c>
      <c r="S25" s="31">
        <f t="shared" si="23"/>
        <v>2</v>
      </c>
      <c r="T25" s="33"/>
      <c r="U25" s="33"/>
      <c r="V25" s="33"/>
      <c r="W25" s="33"/>
      <c r="X25" s="33"/>
      <c r="Y25" s="33"/>
      <c r="Z25" s="34"/>
    </row>
    <row r="26">
      <c r="A26" s="9">
        <v>12.0</v>
      </c>
      <c r="B26" s="9" t="s">
        <v>15</v>
      </c>
      <c r="C26" s="29">
        <f>N9</f>
        <v>252.9248816</v>
      </c>
      <c r="D26" s="30">
        <f>'Valores parámetros'!K14</f>
        <v>4</v>
      </c>
      <c r="E26" s="31">
        <f t="shared" ref="E26:H26" si="24">ROUND(($D26 - (COLUMN(E26)-5)) * $C26 * 2 /($D26 * ($D26 + 1)),0)</f>
        <v>101</v>
      </c>
      <c r="F26" s="31">
        <f t="shared" si="24"/>
        <v>76</v>
      </c>
      <c r="G26" s="31">
        <f t="shared" si="24"/>
        <v>51</v>
      </c>
      <c r="H26" s="31">
        <f t="shared" si="24"/>
        <v>25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4"/>
    </row>
    <row r="28">
      <c r="B28" s="35"/>
      <c r="C28" s="36"/>
      <c r="D28" s="1" t="s">
        <v>93</v>
      </c>
    </row>
  </sheetData>
  <mergeCells count="2">
    <mergeCell ref="A1:C1"/>
    <mergeCell ref="A12:C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3" t="s">
        <v>2</v>
      </c>
      <c r="C1" s="6" t="s">
        <v>6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4"/>
      <c r="Z1" s="14"/>
      <c r="AA1" s="14"/>
      <c r="AB1" s="14"/>
    </row>
    <row r="2">
      <c r="A2" s="3">
        <v>1.0</v>
      </c>
      <c r="B2" s="15" t="s">
        <v>3</v>
      </c>
      <c r="C2" s="16">
        <f>6952213342/100000000</f>
        <v>69.52213342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4"/>
      <c r="Z2" s="14"/>
      <c r="AA2" s="14"/>
      <c r="AB2" s="14"/>
    </row>
    <row r="3">
      <c r="A3" s="3">
        <v>2.0</v>
      </c>
      <c r="B3" s="15" t="s">
        <v>11</v>
      </c>
      <c r="C3" s="16">
        <f>6390569311/100000000</f>
        <v>63.90569311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4"/>
      <c r="Z3" s="14"/>
      <c r="AA3" s="14"/>
      <c r="AB3" s="14"/>
    </row>
    <row r="4">
      <c r="A4" s="3">
        <v>3.0</v>
      </c>
      <c r="B4" s="15" t="s">
        <v>31</v>
      </c>
      <c r="C4" s="16">
        <f>4784266478/100000000</f>
        <v>47.84266478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4"/>
      <c r="Z4" s="14"/>
      <c r="AA4" s="14"/>
      <c r="AB4" s="14"/>
    </row>
    <row r="5">
      <c r="A5" s="3">
        <v>4.0</v>
      </c>
      <c r="B5" s="15" t="s">
        <v>32</v>
      </c>
      <c r="C5" s="16">
        <f>5999797052/100000000</f>
        <v>59.99797052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4"/>
      <c r="Z5" s="14"/>
      <c r="AA5" s="14"/>
      <c r="AB5" s="14"/>
    </row>
    <row r="6">
      <c r="A6" s="3">
        <v>5.0</v>
      </c>
      <c r="B6" s="15" t="s">
        <v>12</v>
      </c>
      <c r="C6" s="16">
        <f>4345770747/100000000</f>
        <v>43.45770747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4"/>
      <c r="Z6" s="14"/>
      <c r="AA6" s="14"/>
      <c r="AB6" s="14"/>
    </row>
    <row r="7">
      <c r="A7" s="3">
        <v>6.0</v>
      </c>
      <c r="B7" s="15" t="s">
        <v>34</v>
      </c>
      <c r="C7" s="16">
        <f>5018941191/100000000</f>
        <v>50.18941191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4"/>
      <c r="Z7" s="14"/>
      <c r="AA7" s="14"/>
      <c r="AB7" s="14"/>
    </row>
    <row r="8">
      <c r="A8" s="3">
        <v>7.0</v>
      </c>
      <c r="B8" s="15" t="s">
        <v>36</v>
      </c>
      <c r="C8" s="16">
        <f>2752566358/100000000</f>
        <v>27.52566358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4"/>
      <c r="Z8" s="14"/>
      <c r="AA8" s="14"/>
      <c r="AB8" s="14"/>
    </row>
    <row r="9">
      <c r="A9" s="3">
        <v>8.0</v>
      </c>
      <c r="B9" s="15" t="s">
        <v>37</v>
      </c>
      <c r="C9" s="16">
        <f>8907596268/100000000</f>
        <v>89.07596268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4"/>
      <c r="Z9" s="14"/>
      <c r="AA9" s="14"/>
      <c r="AB9" s="14"/>
    </row>
    <row r="10">
      <c r="A10" s="3">
        <v>9.0</v>
      </c>
      <c r="B10" s="15" t="s">
        <v>40</v>
      </c>
      <c r="C10" s="16">
        <f>915863673/100000000</f>
        <v>9.15863673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4"/>
      <c r="Z10" s="14"/>
      <c r="AA10" s="14"/>
      <c r="AB10" s="14"/>
    </row>
    <row r="11">
      <c r="A11" s="3">
        <v>10.0</v>
      </c>
      <c r="B11" s="15" t="s">
        <v>13</v>
      </c>
      <c r="C11" s="16">
        <f>1622071663/100000000</f>
        <v>16.22071663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4"/>
      <c r="Z11" s="14"/>
      <c r="AA11" s="14"/>
      <c r="AB11" s="14"/>
    </row>
    <row r="12">
      <c r="A12" s="3">
        <v>11.0</v>
      </c>
      <c r="B12" s="15" t="s">
        <v>14</v>
      </c>
      <c r="C12" s="16">
        <f>3331231589/100000000</f>
        <v>33.31231589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4"/>
      <c r="Z12" s="14"/>
      <c r="AA12" s="14"/>
      <c r="AB12" s="14"/>
    </row>
    <row r="13">
      <c r="A13" s="3">
        <v>12.0</v>
      </c>
      <c r="B13" s="15" t="s">
        <v>15</v>
      </c>
      <c r="C13" s="16">
        <f>3737235796/100000000</f>
        <v>37.37235796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4"/>
      <c r="Z13" s="14"/>
      <c r="AA13" s="14"/>
      <c r="AB13" s="14"/>
    </row>
    <row r="14"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3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</sheetData>
  <drawing r:id="rId1"/>
</worksheet>
</file>