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G:\Drives compartilhados\Area - FPA\FPA\29. Checks Contabilidade\2026\Base Streamlit\"/>
    </mc:Choice>
  </mc:AlternateContent>
  <xr:revisionPtr revIDLastSave="0" documentId="13_ncr:1_{F57631A9-0297-461E-8185-B86CB936209B}" xr6:coauthVersionLast="47" xr6:coauthVersionMax="47" xr10:uidLastSave="{00000000-0000-0000-0000-000000000000}"/>
  <bookViews>
    <workbookView xWindow="20370" yWindow="-3630" windowWidth="29040" windowHeight="15720" tabRatio="891" activeTab="3" xr2:uid="{45BC16FE-E51D-40F2-A34C-C3AE7B5C5E73}"/>
  </bookViews>
  <sheets>
    <sheet name="Passo a Passo" sheetId="27" r:id="rId1"/>
    <sheet name="Premissas" sheetId="5" state="hidden" r:id="rId2"/>
    <sheet name="RESULTADO" sheetId="1" r:id="rId3"/>
    <sheet name="P&amp;L Mensal - Anualizado" sheetId="32" r:id="rId4"/>
    <sheet name="P&amp;L Acumulado" sheetId="9" r:id="rId5"/>
    <sheet name="Comparativo 2026 x 2025" sheetId="33" r:id="rId6"/>
    <sheet name="2025 Acumulado" sheetId="34" r:id="rId7"/>
    <sheet name="BASE DASH" sheetId="36" r:id="rId8"/>
    <sheet name="Realizado" sheetId="4" state="hidden" r:id="rId9"/>
    <sheet name="Orçado " sheetId="6" state="hidden" r:id="rId10"/>
    <sheet name="Evolução acima de 10 k - Imob" sheetId="29" state="hidden" r:id="rId11"/>
    <sheet name="Base comparativo - Desp Admin" sheetId="28" state="hidden" r:id="rId12"/>
    <sheet name="Organização P&amp;L" sheetId="10" state="hidden" r:id="rId13"/>
    <sheet name="DRE Simplificado" sheetId="20" state="hidden" r:id="rId14"/>
    <sheet name="Evolução PDD Imobiliário" sheetId="26" state="hidden" r:id="rId15"/>
    <sheet name="Despesas" sheetId="16" state="hidden" r:id="rId16"/>
    <sheet name="Margem Financeira" sheetId="25" state="hidden" r:id="rId17"/>
    <sheet name="Lista de data para filtro" sheetId="21" state="hidden" r:id="rId18"/>
  </sheets>
  <externalReferences>
    <externalReference r:id="rId19"/>
    <externalReference r:id="rId20"/>
  </externalReferences>
  <definedNames>
    <definedName name="_xlnm._FilterDatabase" localSheetId="13" hidden="1">'DRE Simplificado'!$G$10:$G$18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K26" i="1" l="1"/>
  <c r="CK21" i="1"/>
  <c r="CK19" i="1"/>
  <c r="CK8" i="1"/>
  <c r="CH25" i="1"/>
  <c r="CH17" i="1"/>
  <c r="CH16" i="1"/>
  <c r="CH15" i="1"/>
  <c r="CH13" i="1"/>
  <c r="CH11" i="1"/>
  <c r="CH10" i="1"/>
  <c r="CH19" i="1" s="1"/>
  <c r="CH6" i="1"/>
  <c r="CH8" i="1" s="1"/>
  <c r="H111" i="36"/>
  <c r="G111" i="36"/>
  <c r="J111" i="36" s="1"/>
  <c r="F111" i="36"/>
  <c r="I111" i="36" s="1"/>
  <c r="E111" i="36"/>
  <c r="D111" i="36"/>
  <c r="C111" i="36"/>
  <c r="H110" i="36"/>
  <c r="G110" i="36"/>
  <c r="F110" i="36"/>
  <c r="E110" i="36"/>
  <c r="D110" i="36"/>
  <c r="C110" i="36"/>
  <c r="H109" i="36"/>
  <c r="G109" i="36"/>
  <c r="F109" i="36"/>
  <c r="E109" i="36"/>
  <c r="D109" i="36"/>
  <c r="C109" i="36"/>
  <c r="H108" i="36"/>
  <c r="G108" i="36"/>
  <c r="F108" i="36"/>
  <c r="E108" i="36"/>
  <c r="D108" i="36"/>
  <c r="C108" i="36"/>
  <c r="H107" i="36"/>
  <c r="G107" i="36"/>
  <c r="F107" i="36"/>
  <c r="E107" i="36"/>
  <c r="D107" i="36"/>
  <c r="C107" i="36"/>
  <c r="H106" i="36"/>
  <c r="G106" i="36"/>
  <c r="F106" i="36"/>
  <c r="E106" i="36"/>
  <c r="D106" i="36"/>
  <c r="C106" i="36"/>
  <c r="H105" i="36"/>
  <c r="G105" i="36"/>
  <c r="F105" i="36"/>
  <c r="E105" i="36"/>
  <c r="D105" i="36"/>
  <c r="C105" i="36"/>
  <c r="H98" i="36"/>
  <c r="G98" i="36"/>
  <c r="F98" i="36"/>
  <c r="E98" i="36"/>
  <c r="D98" i="36"/>
  <c r="C98" i="36"/>
  <c r="H97" i="36"/>
  <c r="G97" i="36"/>
  <c r="F97" i="36"/>
  <c r="E97" i="36"/>
  <c r="D97" i="36"/>
  <c r="C97" i="36"/>
  <c r="H96" i="36"/>
  <c r="G96" i="36"/>
  <c r="F96" i="36"/>
  <c r="E96" i="36"/>
  <c r="D96" i="36"/>
  <c r="C96" i="36"/>
  <c r="H95" i="36"/>
  <c r="G95" i="36"/>
  <c r="F95" i="36"/>
  <c r="E95" i="36"/>
  <c r="D95" i="36"/>
  <c r="C95" i="36"/>
  <c r="H94" i="36"/>
  <c r="G94" i="36"/>
  <c r="F94" i="36"/>
  <c r="E94" i="36"/>
  <c r="D94" i="36"/>
  <c r="C94" i="36"/>
  <c r="H93" i="36"/>
  <c r="G93" i="36"/>
  <c r="F93" i="36"/>
  <c r="E93" i="36"/>
  <c r="D93" i="36"/>
  <c r="C93" i="36"/>
  <c r="H92" i="36"/>
  <c r="G92" i="36"/>
  <c r="F92" i="36"/>
  <c r="E92" i="36"/>
  <c r="D92" i="36"/>
  <c r="C92" i="36"/>
  <c r="H91" i="36"/>
  <c r="G91" i="36"/>
  <c r="F91" i="36"/>
  <c r="E91" i="36"/>
  <c r="D91" i="36"/>
  <c r="C91" i="36"/>
  <c r="H90" i="36"/>
  <c r="G90" i="36"/>
  <c r="F90" i="36"/>
  <c r="E90" i="36"/>
  <c r="D90" i="36"/>
  <c r="C90" i="36"/>
  <c r="H89" i="36"/>
  <c r="G89" i="36"/>
  <c r="F89" i="36"/>
  <c r="E89" i="36"/>
  <c r="D89" i="36"/>
  <c r="C89" i="36"/>
  <c r="H88" i="36"/>
  <c r="G88" i="36"/>
  <c r="F88" i="36"/>
  <c r="E88" i="36"/>
  <c r="D88" i="36"/>
  <c r="C88" i="36"/>
  <c r="H87" i="36"/>
  <c r="G87" i="36"/>
  <c r="F87" i="36"/>
  <c r="E87" i="36"/>
  <c r="D87" i="36"/>
  <c r="C87" i="36"/>
  <c r="H81" i="36"/>
  <c r="G81" i="36"/>
  <c r="F81" i="36"/>
  <c r="E81" i="36"/>
  <c r="D81" i="36"/>
  <c r="C81" i="36"/>
  <c r="H80" i="36"/>
  <c r="G80" i="36"/>
  <c r="F80" i="36"/>
  <c r="E80" i="36"/>
  <c r="D80" i="36"/>
  <c r="C80" i="36"/>
  <c r="H79" i="36"/>
  <c r="G79" i="36"/>
  <c r="F79" i="36"/>
  <c r="E79" i="36"/>
  <c r="D79" i="36"/>
  <c r="C79" i="36"/>
  <c r="H78" i="36"/>
  <c r="G78" i="36"/>
  <c r="J78" i="36" s="1"/>
  <c r="F78" i="36"/>
  <c r="I78" i="36" s="1"/>
  <c r="E78" i="36"/>
  <c r="D78" i="36"/>
  <c r="C78" i="36"/>
  <c r="H77" i="36"/>
  <c r="G77" i="36"/>
  <c r="F77" i="36"/>
  <c r="E77" i="36"/>
  <c r="D77" i="36"/>
  <c r="C77" i="36"/>
  <c r="H76" i="36"/>
  <c r="G76" i="36"/>
  <c r="F76" i="36"/>
  <c r="E76" i="36"/>
  <c r="D76" i="36"/>
  <c r="C76" i="36"/>
  <c r="H75" i="36"/>
  <c r="G75" i="36"/>
  <c r="F75" i="36"/>
  <c r="E75" i="36"/>
  <c r="D75" i="36"/>
  <c r="C75" i="36"/>
  <c r="H74" i="36"/>
  <c r="G74" i="36"/>
  <c r="F74" i="36"/>
  <c r="E74" i="36"/>
  <c r="D74" i="36"/>
  <c r="J74" i="36" s="1"/>
  <c r="C74" i="36"/>
  <c r="H73" i="36"/>
  <c r="G73" i="36"/>
  <c r="F73" i="36"/>
  <c r="E73" i="36"/>
  <c r="D73" i="36"/>
  <c r="C73" i="36"/>
  <c r="I73" i="36" s="1"/>
  <c r="H72" i="36"/>
  <c r="G72" i="36"/>
  <c r="F72" i="36"/>
  <c r="E72" i="36"/>
  <c r="D72" i="36"/>
  <c r="C72" i="36"/>
  <c r="H71" i="36"/>
  <c r="G71" i="36"/>
  <c r="F71" i="36"/>
  <c r="E71" i="36"/>
  <c r="D71" i="36"/>
  <c r="J71" i="36" s="1"/>
  <c r="C71" i="36"/>
  <c r="H70" i="36"/>
  <c r="G70" i="36"/>
  <c r="F70" i="36"/>
  <c r="E70" i="36"/>
  <c r="D70" i="36"/>
  <c r="C70" i="36"/>
  <c r="AL63" i="36"/>
  <c r="AK63" i="36"/>
  <c r="AJ63" i="36"/>
  <c r="AI63" i="36"/>
  <c r="AH63" i="36"/>
  <c r="AG63" i="36"/>
  <c r="AL62" i="36"/>
  <c r="AK62" i="36"/>
  <c r="AJ62" i="36"/>
  <c r="AI62" i="36"/>
  <c r="AH62" i="36"/>
  <c r="AG62" i="36"/>
  <c r="AL61" i="36"/>
  <c r="AK61" i="36"/>
  <c r="AJ61" i="36"/>
  <c r="AI61" i="36"/>
  <c r="AH61" i="36"/>
  <c r="AG61" i="36"/>
  <c r="AL60" i="36"/>
  <c r="AK60" i="36"/>
  <c r="AJ60" i="36"/>
  <c r="AI60" i="36"/>
  <c r="AH60" i="36"/>
  <c r="AG60" i="36"/>
  <c r="AL59" i="36"/>
  <c r="AK59" i="36"/>
  <c r="AJ59" i="36"/>
  <c r="AI59" i="36"/>
  <c r="AH59" i="36"/>
  <c r="AG59" i="36"/>
  <c r="AL58" i="36"/>
  <c r="AK58" i="36"/>
  <c r="AJ58" i="36"/>
  <c r="AI58" i="36"/>
  <c r="AH58" i="36"/>
  <c r="AG58" i="36"/>
  <c r="AL57" i="36"/>
  <c r="AK57" i="36"/>
  <c r="AJ57" i="36"/>
  <c r="AI57" i="36"/>
  <c r="AH57" i="36"/>
  <c r="AG57" i="36"/>
  <c r="AL56" i="36"/>
  <c r="AK56" i="36"/>
  <c r="AJ56" i="36"/>
  <c r="AI56" i="36"/>
  <c r="AH56" i="36"/>
  <c r="AG56" i="36"/>
  <c r="AL55" i="36"/>
  <c r="AK55" i="36"/>
  <c r="AJ55" i="36"/>
  <c r="AI55" i="36"/>
  <c r="AH55" i="36"/>
  <c r="AG55" i="36"/>
  <c r="AL54" i="36"/>
  <c r="AK54" i="36"/>
  <c r="AJ54" i="36"/>
  <c r="AI54" i="36"/>
  <c r="AH54" i="36"/>
  <c r="AG54" i="36"/>
  <c r="AL53" i="36"/>
  <c r="AK53" i="36"/>
  <c r="AJ53" i="36"/>
  <c r="AI53" i="36"/>
  <c r="AH53" i="36"/>
  <c r="AG53" i="36"/>
  <c r="AL52" i="36"/>
  <c r="AK52" i="36"/>
  <c r="AJ52" i="36"/>
  <c r="AI52" i="36"/>
  <c r="AH52" i="36"/>
  <c r="AG52" i="36"/>
  <c r="AG49" i="36"/>
  <c r="AF46" i="36"/>
  <c r="AE46" i="36"/>
  <c r="AD46" i="36"/>
  <c r="AF45" i="36"/>
  <c r="AE45" i="36"/>
  <c r="AD45" i="36"/>
  <c r="AF44" i="36"/>
  <c r="AE44" i="36"/>
  <c r="AD44" i="36"/>
  <c r="AF43" i="36"/>
  <c r="AE43" i="36"/>
  <c r="AD43" i="36"/>
  <c r="AF42" i="36"/>
  <c r="AE42" i="36"/>
  <c r="AD42" i="36"/>
  <c r="AF41" i="36"/>
  <c r="AE41" i="36"/>
  <c r="AD41" i="36"/>
  <c r="AF40" i="36"/>
  <c r="AE40" i="36"/>
  <c r="AD40" i="36"/>
  <c r="AF39" i="36"/>
  <c r="AE39" i="36"/>
  <c r="AD39" i="36"/>
  <c r="AF38" i="36"/>
  <c r="AE38" i="36"/>
  <c r="AD38" i="36"/>
  <c r="AF37" i="36"/>
  <c r="AE37" i="36"/>
  <c r="AD37" i="36"/>
  <c r="AF36" i="36"/>
  <c r="AE36" i="36"/>
  <c r="AD36" i="36"/>
  <c r="AF35" i="36"/>
  <c r="AE35" i="36"/>
  <c r="AD35" i="36"/>
  <c r="AD33" i="36"/>
  <c r="H25" i="36"/>
  <c r="H23" i="36"/>
  <c r="H20" i="36"/>
  <c r="H19" i="36"/>
  <c r="H18" i="36"/>
  <c r="H14" i="36"/>
  <c r="L7" i="36"/>
  <c r="H60" i="36"/>
  <c r="H59" i="36"/>
  <c r="F55" i="36"/>
  <c r="H58" i="36"/>
  <c r="H53" i="36"/>
  <c r="F53" i="36"/>
  <c r="D53" i="36"/>
  <c r="AF63" i="36"/>
  <c r="AF62" i="36"/>
  <c r="AF61" i="36"/>
  <c r="AF60" i="36"/>
  <c r="AF59" i="36"/>
  <c r="AF58" i="36"/>
  <c r="AF57" i="36"/>
  <c r="AF56" i="36"/>
  <c r="AF55" i="36"/>
  <c r="AF54" i="36"/>
  <c r="AF53" i="36"/>
  <c r="AF52" i="36"/>
  <c r="AE63" i="36"/>
  <c r="AE62" i="36"/>
  <c r="AE61" i="36"/>
  <c r="AE60" i="36"/>
  <c r="AE59" i="36"/>
  <c r="AE58" i="36"/>
  <c r="AE57" i="36"/>
  <c r="AE56" i="36"/>
  <c r="AE55" i="36"/>
  <c r="AE54" i="36"/>
  <c r="AE53" i="36"/>
  <c r="AE52" i="36"/>
  <c r="AD63" i="36"/>
  <c r="AD62" i="36"/>
  <c r="AD61" i="36"/>
  <c r="AD60" i="36"/>
  <c r="AD59" i="36"/>
  <c r="AD58" i="36"/>
  <c r="AD57" i="36"/>
  <c r="AD56" i="36"/>
  <c r="AD55" i="36"/>
  <c r="AD54" i="36"/>
  <c r="AD53" i="36"/>
  <c r="AD52" i="36"/>
  <c r="AC63" i="36"/>
  <c r="AC62" i="36"/>
  <c r="AC61" i="36"/>
  <c r="AC60" i="36"/>
  <c r="AC59" i="36"/>
  <c r="AC58" i="36"/>
  <c r="AC57" i="36"/>
  <c r="AC56" i="36"/>
  <c r="AC55" i="36"/>
  <c r="AC54" i="36"/>
  <c r="AC53" i="36"/>
  <c r="AC52" i="36"/>
  <c r="AB63" i="36"/>
  <c r="AB62" i="36"/>
  <c r="AB61" i="36"/>
  <c r="AB60" i="36"/>
  <c r="AB59" i="36"/>
  <c r="AB58" i="36"/>
  <c r="AB57" i="36"/>
  <c r="AB56" i="36"/>
  <c r="AB55" i="36"/>
  <c r="AB54" i="36"/>
  <c r="AB53" i="36"/>
  <c r="AB52" i="36"/>
  <c r="AA63" i="36"/>
  <c r="AA62" i="36"/>
  <c r="AA61" i="36"/>
  <c r="AA60" i="36"/>
  <c r="AA59" i="36"/>
  <c r="AA58" i="36"/>
  <c r="AA57" i="36"/>
  <c r="AA56" i="36"/>
  <c r="AA55" i="36"/>
  <c r="AA54" i="36"/>
  <c r="AA53" i="36"/>
  <c r="AA52" i="36"/>
  <c r="Z63" i="36"/>
  <c r="Z62" i="36"/>
  <c r="Z61" i="36"/>
  <c r="Z60" i="36"/>
  <c r="Z59" i="36"/>
  <c r="Z58" i="36"/>
  <c r="Z57" i="36"/>
  <c r="Z56" i="36"/>
  <c r="Z55" i="36"/>
  <c r="Z54" i="36"/>
  <c r="Z53" i="36"/>
  <c r="Z52" i="36"/>
  <c r="Y63" i="36"/>
  <c r="Y62" i="36"/>
  <c r="Y61" i="36"/>
  <c r="Y60" i="36"/>
  <c r="Y59" i="36"/>
  <c r="Y58" i="36"/>
  <c r="Y57" i="36"/>
  <c r="Y56" i="36"/>
  <c r="Y55" i="36"/>
  <c r="Y54" i="36"/>
  <c r="Y53" i="36"/>
  <c r="Y52" i="36"/>
  <c r="X63" i="36"/>
  <c r="X62" i="36"/>
  <c r="X61" i="36"/>
  <c r="X60" i="36"/>
  <c r="X59" i="36"/>
  <c r="X58" i="36"/>
  <c r="X57" i="36"/>
  <c r="X56" i="36"/>
  <c r="X55" i="36"/>
  <c r="X54" i="36"/>
  <c r="X53" i="36"/>
  <c r="X52" i="36"/>
  <c r="W63" i="36"/>
  <c r="W62" i="36"/>
  <c r="W61" i="36"/>
  <c r="W60" i="36"/>
  <c r="W59" i="36"/>
  <c r="W58" i="36"/>
  <c r="W57" i="36"/>
  <c r="W56" i="36"/>
  <c r="W55" i="36"/>
  <c r="W54" i="36"/>
  <c r="W53" i="36"/>
  <c r="W52" i="36"/>
  <c r="V63" i="36"/>
  <c r="V62" i="36"/>
  <c r="V61" i="36"/>
  <c r="V60" i="36"/>
  <c r="V59" i="36"/>
  <c r="V58" i="36"/>
  <c r="V57" i="36"/>
  <c r="V56" i="36"/>
  <c r="V55" i="36"/>
  <c r="V54" i="36"/>
  <c r="V53" i="36"/>
  <c r="V52" i="36"/>
  <c r="U63" i="36"/>
  <c r="U62" i="36"/>
  <c r="U61" i="36"/>
  <c r="U60" i="36"/>
  <c r="U59" i="36"/>
  <c r="U58" i="36"/>
  <c r="U57" i="36"/>
  <c r="U56" i="36"/>
  <c r="U55" i="36"/>
  <c r="U54" i="36"/>
  <c r="U53" i="36"/>
  <c r="U52" i="36"/>
  <c r="T63" i="36"/>
  <c r="T62" i="36"/>
  <c r="T61" i="36"/>
  <c r="T60" i="36"/>
  <c r="T59" i="36"/>
  <c r="T58" i="36"/>
  <c r="T57" i="36"/>
  <c r="T56" i="36"/>
  <c r="T55" i="36"/>
  <c r="T54" i="36"/>
  <c r="T53" i="36"/>
  <c r="T52" i="36"/>
  <c r="S63" i="36"/>
  <c r="S62" i="36"/>
  <c r="S61" i="36"/>
  <c r="S60" i="36"/>
  <c r="S59" i="36"/>
  <c r="S58" i="36"/>
  <c r="S57" i="36"/>
  <c r="S56" i="36"/>
  <c r="S55" i="36"/>
  <c r="S54" i="36"/>
  <c r="S53" i="36"/>
  <c r="S52" i="36"/>
  <c r="R63" i="36"/>
  <c r="R62" i="36"/>
  <c r="R61" i="36"/>
  <c r="R60" i="36"/>
  <c r="R59" i="36"/>
  <c r="R58" i="36"/>
  <c r="R57" i="36"/>
  <c r="R56" i="36"/>
  <c r="R55" i="36"/>
  <c r="R54" i="36"/>
  <c r="R53" i="36"/>
  <c r="R52" i="36"/>
  <c r="Q63" i="36"/>
  <c r="Q62" i="36"/>
  <c r="Q61" i="36"/>
  <c r="Q60" i="36"/>
  <c r="Q59" i="36"/>
  <c r="Q58" i="36"/>
  <c r="Q57" i="36"/>
  <c r="Q56" i="36"/>
  <c r="Q55" i="36"/>
  <c r="Q54" i="36"/>
  <c r="Q53" i="36"/>
  <c r="Q52" i="36"/>
  <c r="P63" i="36"/>
  <c r="P62" i="36"/>
  <c r="P61" i="36"/>
  <c r="P60" i="36"/>
  <c r="P59" i="36"/>
  <c r="P58" i="36"/>
  <c r="P57" i="36"/>
  <c r="P56" i="36"/>
  <c r="P55" i="36"/>
  <c r="P54" i="36"/>
  <c r="P53" i="36"/>
  <c r="P52" i="36"/>
  <c r="O63" i="36"/>
  <c r="O62" i="36"/>
  <c r="O61" i="36"/>
  <c r="O60" i="36"/>
  <c r="O59" i="36"/>
  <c r="O58" i="36"/>
  <c r="O57" i="36"/>
  <c r="O56" i="36"/>
  <c r="O55" i="36"/>
  <c r="O54" i="36"/>
  <c r="O53" i="36"/>
  <c r="O52" i="36"/>
  <c r="N63" i="36"/>
  <c r="N62" i="36"/>
  <c r="N61" i="36"/>
  <c r="N60" i="36"/>
  <c r="N59" i="36"/>
  <c r="N58" i="36"/>
  <c r="N57" i="36"/>
  <c r="N56" i="36"/>
  <c r="N55" i="36"/>
  <c r="N54" i="36"/>
  <c r="N53" i="36"/>
  <c r="N52" i="36"/>
  <c r="M63" i="36"/>
  <c r="M62" i="36"/>
  <c r="M61" i="36"/>
  <c r="M60" i="36"/>
  <c r="M59" i="36"/>
  <c r="M58" i="36"/>
  <c r="M57" i="36"/>
  <c r="M56" i="36"/>
  <c r="M55" i="36"/>
  <c r="M54" i="36"/>
  <c r="M53" i="36"/>
  <c r="M52" i="36"/>
  <c r="L63" i="36"/>
  <c r="L62" i="36"/>
  <c r="L61" i="36"/>
  <c r="L60" i="36"/>
  <c r="L59" i="36"/>
  <c r="L58" i="36"/>
  <c r="L57" i="36"/>
  <c r="L56" i="36"/>
  <c r="L55" i="36"/>
  <c r="L54" i="36"/>
  <c r="L53" i="36"/>
  <c r="L52" i="36"/>
  <c r="K63" i="36"/>
  <c r="K62" i="36"/>
  <c r="K61" i="36"/>
  <c r="K60" i="36"/>
  <c r="K59" i="36"/>
  <c r="K58" i="36"/>
  <c r="K57" i="36"/>
  <c r="K56" i="36"/>
  <c r="K55" i="36"/>
  <c r="K54" i="36"/>
  <c r="K53" i="36"/>
  <c r="K52" i="36"/>
  <c r="J63" i="36"/>
  <c r="J62" i="36"/>
  <c r="J61" i="36"/>
  <c r="J60" i="36"/>
  <c r="J59" i="36"/>
  <c r="J58" i="36"/>
  <c r="J57" i="36"/>
  <c r="J56" i="36"/>
  <c r="J55" i="36"/>
  <c r="J54" i="36"/>
  <c r="J53" i="36"/>
  <c r="J52" i="36"/>
  <c r="I63" i="36"/>
  <c r="I62" i="36"/>
  <c r="I61" i="36"/>
  <c r="I60" i="36"/>
  <c r="I59" i="36"/>
  <c r="I58" i="36"/>
  <c r="I57" i="36"/>
  <c r="I56" i="36"/>
  <c r="I55" i="36"/>
  <c r="I54" i="36"/>
  <c r="I53" i="36"/>
  <c r="I52" i="36"/>
  <c r="F62" i="36"/>
  <c r="F60" i="36"/>
  <c r="F59" i="36"/>
  <c r="F58" i="36"/>
  <c r="F57" i="36"/>
  <c r="E62" i="36"/>
  <c r="E60" i="36"/>
  <c r="E59" i="36"/>
  <c r="E58" i="36"/>
  <c r="E57" i="36"/>
  <c r="D62" i="36"/>
  <c r="D60" i="36"/>
  <c r="D59" i="36"/>
  <c r="D58" i="36"/>
  <c r="D57" i="36"/>
  <c r="C62" i="36"/>
  <c r="C60" i="36"/>
  <c r="C59" i="36"/>
  <c r="C57" i="36"/>
  <c r="Y46" i="36"/>
  <c r="Y45" i="36"/>
  <c r="Y44" i="36"/>
  <c r="Y43" i="36"/>
  <c r="Y42" i="36"/>
  <c r="Y41" i="36"/>
  <c r="Y40" i="36"/>
  <c r="Y39" i="36"/>
  <c r="Y38" i="36"/>
  <c r="Y37" i="36"/>
  <c r="Y36" i="36"/>
  <c r="Y35" i="36"/>
  <c r="X46" i="36"/>
  <c r="X45" i="36"/>
  <c r="X44" i="36"/>
  <c r="X43" i="36"/>
  <c r="X42" i="36"/>
  <c r="X41" i="36"/>
  <c r="X40" i="36"/>
  <c r="X39" i="36"/>
  <c r="X38" i="36"/>
  <c r="X37" i="36"/>
  <c r="X36" i="36"/>
  <c r="X35" i="36"/>
  <c r="S46" i="36"/>
  <c r="S45" i="36"/>
  <c r="S44" i="36"/>
  <c r="S43" i="36"/>
  <c r="S42" i="36"/>
  <c r="S41" i="36"/>
  <c r="S40" i="36"/>
  <c r="S39" i="36"/>
  <c r="S38" i="36"/>
  <c r="S37" i="36"/>
  <c r="S36" i="36"/>
  <c r="S35" i="36"/>
  <c r="R46" i="36"/>
  <c r="R45" i="36"/>
  <c r="R44" i="36"/>
  <c r="R43" i="36"/>
  <c r="R42" i="36"/>
  <c r="R41" i="36"/>
  <c r="R40" i="36"/>
  <c r="R39" i="36"/>
  <c r="R38" i="36"/>
  <c r="R37" i="36"/>
  <c r="R36" i="36"/>
  <c r="R35" i="36"/>
  <c r="M46" i="36"/>
  <c r="M45" i="36"/>
  <c r="M44" i="36"/>
  <c r="M43" i="36"/>
  <c r="M42" i="36"/>
  <c r="M41" i="36"/>
  <c r="M40" i="36"/>
  <c r="M39" i="36"/>
  <c r="M38" i="36"/>
  <c r="M37" i="36"/>
  <c r="M36" i="36"/>
  <c r="M35" i="36"/>
  <c r="L46" i="36"/>
  <c r="L45" i="36"/>
  <c r="L44" i="36"/>
  <c r="L43" i="36"/>
  <c r="L42" i="36"/>
  <c r="L41" i="36"/>
  <c r="L40" i="36"/>
  <c r="L39" i="36"/>
  <c r="L38" i="36"/>
  <c r="L37" i="36"/>
  <c r="L36" i="36"/>
  <c r="L35" i="36"/>
  <c r="G46" i="36"/>
  <c r="G45" i="36"/>
  <c r="G44" i="36"/>
  <c r="G43" i="36"/>
  <c r="G42" i="36"/>
  <c r="G41" i="36"/>
  <c r="G40" i="36"/>
  <c r="G39" i="36"/>
  <c r="G38" i="36"/>
  <c r="G37" i="36"/>
  <c r="G36" i="36"/>
  <c r="F46" i="36"/>
  <c r="F45" i="36"/>
  <c r="F44" i="36"/>
  <c r="F43" i="36"/>
  <c r="F42" i="36"/>
  <c r="F41" i="36"/>
  <c r="F40" i="36"/>
  <c r="F39" i="36"/>
  <c r="F38" i="36"/>
  <c r="F37" i="36"/>
  <c r="F36" i="36"/>
  <c r="G35" i="36"/>
  <c r="F35" i="36"/>
  <c r="D45" i="36"/>
  <c r="C45" i="36"/>
  <c r="D43" i="36"/>
  <c r="C43" i="36"/>
  <c r="D42" i="36"/>
  <c r="C42" i="36"/>
  <c r="D41" i="36"/>
  <c r="C41" i="36"/>
  <c r="D40" i="36"/>
  <c r="C40" i="36"/>
  <c r="C25" i="36"/>
  <c r="D25" i="36"/>
  <c r="E25" i="36"/>
  <c r="F25" i="36"/>
  <c r="G25" i="36"/>
  <c r="G20" i="36"/>
  <c r="G19" i="36"/>
  <c r="F20" i="36"/>
  <c r="F19" i="36"/>
  <c r="E20" i="36"/>
  <c r="E19" i="36"/>
  <c r="CG23" i="1"/>
  <c r="CG17" i="1"/>
  <c r="CG16" i="1"/>
  <c r="CG15" i="1"/>
  <c r="CG13" i="1"/>
  <c r="CG11" i="1"/>
  <c r="CG10" i="1"/>
  <c r="CG7" i="1"/>
  <c r="CG3" i="1"/>
  <c r="CG6" i="1" s="1"/>
  <c r="AQ142" i="4"/>
  <c r="AQ143" i="4"/>
  <c r="AP142" i="4"/>
  <c r="AP143" i="4"/>
  <c r="AQ100" i="4"/>
  <c r="CF6" i="1"/>
  <c r="CF8" i="1" s="1"/>
  <c r="H8" i="36" s="1"/>
  <c r="CF25" i="1"/>
  <c r="CF19" i="1"/>
  <c r="H9" i="36" s="1"/>
  <c r="AH36" i="36" l="1"/>
  <c r="AH46" i="36"/>
  <c r="AG46" i="36"/>
  <c r="AH45" i="36"/>
  <c r="AG44" i="36"/>
  <c r="AH43" i="36"/>
  <c r="AG42" i="36"/>
  <c r="AH41" i="36"/>
  <c r="AH39" i="36"/>
  <c r="AH38" i="36"/>
  <c r="AG38" i="36"/>
  <c r="AH37" i="36"/>
  <c r="AG36" i="36"/>
  <c r="AH35" i="36"/>
  <c r="AG45" i="36"/>
  <c r="AH44" i="36"/>
  <c r="AG43" i="36"/>
  <c r="AH42" i="36"/>
  <c r="AG41" i="36"/>
  <c r="AH40" i="36"/>
  <c r="AG40" i="36"/>
  <c r="AG39" i="36"/>
  <c r="AG37" i="36"/>
  <c r="AG35" i="36"/>
  <c r="I79" i="36"/>
  <c r="I76" i="36"/>
  <c r="CG19" i="1"/>
  <c r="I71" i="36"/>
  <c r="L9" i="36"/>
  <c r="L8" i="36"/>
  <c r="CH21" i="1"/>
  <c r="E55" i="36"/>
  <c r="D38" i="36"/>
  <c r="C58" i="36"/>
  <c r="D36" i="36"/>
  <c r="E53" i="36"/>
  <c r="C36" i="36"/>
  <c r="I36" i="36" s="1"/>
  <c r="C53" i="36"/>
  <c r="F52" i="36"/>
  <c r="D52" i="36"/>
  <c r="C35" i="36"/>
  <c r="I35" i="36" s="1"/>
  <c r="C52" i="36"/>
  <c r="J9" i="36"/>
  <c r="K9" i="36" s="1"/>
  <c r="K111" i="36"/>
  <c r="K110" i="36"/>
  <c r="K109" i="36"/>
  <c r="K108" i="36"/>
  <c r="K107" i="36"/>
  <c r="K106" i="36"/>
  <c r="K105" i="36"/>
  <c r="J109" i="36"/>
  <c r="J108" i="36"/>
  <c r="J107" i="36"/>
  <c r="J106" i="36"/>
  <c r="J105" i="36"/>
  <c r="I109" i="36"/>
  <c r="I108" i="36"/>
  <c r="I107" i="36"/>
  <c r="I106" i="36"/>
  <c r="I105" i="36"/>
  <c r="K81" i="36"/>
  <c r="K80" i="36"/>
  <c r="K78" i="36"/>
  <c r="K72" i="36"/>
  <c r="K71" i="36"/>
  <c r="K70" i="36"/>
  <c r="J81" i="36"/>
  <c r="J80" i="36"/>
  <c r="J76" i="36"/>
  <c r="J70" i="36"/>
  <c r="I81" i="36"/>
  <c r="I70" i="36"/>
  <c r="J40" i="36"/>
  <c r="J41" i="36"/>
  <c r="J42" i="36"/>
  <c r="J43" i="36"/>
  <c r="J45" i="36"/>
  <c r="I40" i="36"/>
  <c r="I41" i="36"/>
  <c r="I42" i="36"/>
  <c r="I43" i="36"/>
  <c r="I45" i="36"/>
  <c r="P36" i="36"/>
  <c r="P37" i="36"/>
  <c r="P38" i="36"/>
  <c r="P39" i="36"/>
  <c r="P40" i="36"/>
  <c r="P41" i="36"/>
  <c r="P42" i="36"/>
  <c r="P43" i="36"/>
  <c r="P44" i="36"/>
  <c r="P45" i="36"/>
  <c r="P46" i="36"/>
  <c r="P35" i="36"/>
  <c r="O46" i="36"/>
  <c r="O45" i="36"/>
  <c r="O44" i="36"/>
  <c r="O43" i="36"/>
  <c r="O42" i="36"/>
  <c r="O41" i="36"/>
  <c r="O40" i="36"/>
  <c r="O39" i="36"/>
  <c r="O38" i="36"/>
  <c r="O37" i="36"/>
  <c r="O36" i="36"/>
  <c r="O35" i="36"/>
  <c r="I110" i="36"/>
  <c r="J110" i="36"/>
  <c r="K79" i="36"/>
  <c r="K77" i="36"/>
  <c r="K76" i="36"/>
  <c r="K75" i="36"/>
  <c r="K74" i="36"/>
  <c r="K73" i="36"/>
  <c r="J79" i="36"/>
  <c r="J77" i="36"/>
  <c r="J75" i="36"/>
  <c r="J73" i="36"/>
  <c r="J72" i="36"/>
  <c r="I80" i="36"/>
  <c r="I77" i="36"/>
  <c r="I75" i="36"/>
  <c r="I74" i="36"/>
  <c r="I72" i="36"/>
  <c r="V36" i="36"/>
  <c r="V37" i="36"/>
  <c r="V38" i="36"/>
  <c r="V39" i="36"/>
  <c r="V40" i="36"/>
  <c r="V41" i="36"/>
  <c r="V42" i="36"/>
  <c r="V43" i="36"/>
  <c r="V44" i="36"/>
  <c r="V45" i="36"/>
  <c r="V46" i="36"/>
  <c r="V35" i="36"/>
  <c r="U36" i="36"/>
  <c r="U37" i="36"/>
  <c r="U38" i="36"/>
  <c r="U39" i="36"/>
  <c r="U40" i="36"/>
  <c r="U41" i="36"/>
  <c r="U42" i="36"/>
  <c r="U43" i="36"/>
  <c r="U44" i="36"/>
  <c r="U45" i="36"/>
  <c r="U46" i="36"/>
  <c r="U35" i="36"/>
  <c r="AB36" i="36"/>
  <c r="AB37" i="36"/>
  <c r="AB38" i="36"/>
  <c r="AB39" i="36"/>
  <c r="AA36" i="36"/>
  <c r="AA37" i="36"/>
  <c r="AA39" i="36"/>
  <c r="AA41" i="36"/>
  <c r="AA43" i="36"/>
  <c r="AA44" i="36"/>
  <c r="AA46" i="36"/>
  <c r="AA35" i="36"/>
  <c r="AB40" i="36"/>
  <c r="AB41" i="36"/>
  <c r="AB42" i="36"/>
  <c r="AB43" i="36"/>
  <c r="AB44" i="36"/>
  <c r="AB45" i="36"/>
  <c r="AB46" i="36"/>
  <c r="AB35" i="36"/>
  <c r="AA38" i="36"/>
  <c r="AA40" i="36"/>
  <c r="AA42" i="36"/>
  <c r="AA45" i="36"/>
  <c r="T38" i="36"/>
  <c r="T37" i="36"/>
  <c r="T36" i="36"/>
  <c r="T35" i="36"/>
  <c r="Z46" i="36"/>
  <c r="AI46" i="36" s="1"/>
  <c r="Z45" i="36"/>
  <c r="AI45" i="36" s="1"/>
  <c r="Z44" i="36"/>
  <c r="AI44" i="36" s="1"/>
  <c r="Z43" i="36"/>
  <c r="AI43" i="36" s="1"/>
  <c r="Z42" i="36"/>
  <c r="AI42" i="36" s="1"/>
  <c r="Z41" i="36"/>
  <c r="AI41" i="36" s="1"/>
  <c r="Z40" i="36"/>
  <c r="AI40" i="36" s="1"/>
  <c r="Z39" i="36"/>
  <c r="AI39" i="36" s="1"/>
  <c r="Z38" i="36"/>
  <c r="AI38" i="36" s="1"/>
  <c r="Z37" i="36"/>
  <c r="AI37" i="36" s="1"/>
  <c r="Z36" i="36"/>
  <c r="AI36" i="36" s="1"/>
  <c r="Z35" i="36"/>
  <c r="AI35" i="36" s="1"/>
  <c r="T39" i="36"/>
  <c r="N39" i="36"/>
  <c r="N36" i="36"/>
  <c r="T46" i="36"/>
  <c r="T45" i="36"/>
  <c r="T44" i="36"/>
  <c r="T43" i="36"/>
  <c r="T42" i="36"/>
  <c r="T41" i="36"/>
  <c r="T40" i="36"/>
  <c r="N38" i="36"/>
  <c r="N46" i="36"/>
  <c r="N45" i="36"/>
  <c r="N44" i="36"/>
  <c r="N43" i="36"/>
  <c r="N42" i="36"/>
  <c r="N41" i="36"/>
  <c r="N40" i="36"/>
  <c r="N37" i="36"/>
  <c r="N35" i="36"/>
  <c r="E40" i="36"/>
  <c r="H41" i="36"/>
  <c r="H46" i="36"/>
  <c r="H45" i="36"/>
  <c r="H44" i="36"/>
  <c r="H43" i="36"/>
  <c r="H42" i="36"/>
  <c r="H40" i="36"/>
  <c r="K40" i="36" s="1"/>
  <c r="H39" i="36"/>
  <c r="H38" i="36"/>
  <c r="H37" i="36"/>
  <c r="H36" i="36"/>
  <c r="H35" i="36"/>
  <c r="E45" i="36"/>
  <c r="E43" i="36"/>
  <c r="E42" i="36"/>
  <c r="E41" i="36"/>
  <c r="CG25" i="1"/>
  <c r="CG8" i="1"/>
  <c r="CF21" i="1"/>
  <c r="H10" i="36" s="1"/>
  <c r="M9" i="36" l="1"/>
  <c r="CH26" i="1"/>
  <c r="L10" i="36"/>
  <c r="H62" i="36"/>
  <c r="G62" i="36"/>
  <c r="G60" i="36"/>
  <c r="G59" i="36"/>
  <c r="H57" i="36"/>
  <c r="G57" i="36"/>
  <c r="H55" i="36"/>
  <c r="D55" i="36"/>
  <c r="C38" i="36"/>
  <c r="C55" i="36"/>
  <c r="G58" i="36"/>
  <c r="D35" i="36"/>
  <c r="E52" i="36"/>
  <c r="F54" i="36"/>
  <c r="D54" i="36"/>
  <c r="C54" i="36"/>
  <c r="C37" i="36"/>
  <c r="I37" i="36" s="1"/>
  <c r="J38" i="36"/>
  <c r="J36" i="36"/>
  <c r="E36" i="36"/>
  <c r="K36" i="36" s="1"/>
  <c r="CG21" i="1"/>
  <c r="J8" i="36"/>
  <c r="AC38" i="36"/>
  <c r="AC37" i="36"/>
  <c r="AC36" i="36"/>
  <c r="AC35" i="36"/>
  <c r="W40" i="36"/>
  <c r="Q38" i="36"/>
  <c r="Q46" i="36"/>
  <c r="Q45" i="36"/>
  <c r="Q44" i="36"/>
  <c r="Q43" i="36"/>
  <c r="Q42" i="36"/>
  <c r="Q41" i="36"/>
  <c r="W38" i="36"/>
  <c r="W37" i="36"/>
  <c r="W36" i="36"/>
  <c r="W35" i="36"/>
  <c r="AC46" i="36"/>
  <c r="AC45" i="36"/>
  <c r="AC44" i="36"/>
  <c r="AC43" i="36"/>
  <c r="AC42" i="36"/>
  <c r="W39" i="36"/>
  <c r="Q39" i="36"/>
  <c r="Q36" i="36"/>
  <c r="W46" i="36"/>
  <c r="W45" i="36"/>
  <c r="W44" i="36"/>
  <c r="W43" i="36"/>
  <c r="W42" i="36"/>
  <c r="W41" i="36"/>
  <c r="AC41" i="36"/>
  <c r="AC40" i="36"/>
  <c r="AC39" i="36"/>
  <c r="Q40" i="36"/>
  <c r="Q37" i="36"/>
  <c r="Q35" i="36"/>
  <c r="K41" i="36"/>
  <c r="K45" i="36"/>
  <c r="K43" i="36"/>
  <c r="K42" i="36"/>
  <c r="CF26" i="1"/>
  <c r="H11" i="36" s="1"/>
  <c r="CG26" i="1" l="1"/>
  <c r="K8" i="36"/>
  <c r="M8" i="36"/>
  <c r="L11" i="36"/>
  <c r="I38" i="36"/>
  <c r="E38" i="36"/>
  <c r="K38" i="36" s="1"/>
  <c r="G55" i="36"/>
  <c r="G53" i="36"/>
  <c r="E35" i="36"/>
  <c r="K35" i="36" s="1"/>
  <c r="J35" i="36"/>
  <c r="D37" i="36"/>
  <c r="E54" i="36"/>
  <c r="H52" i="36"/>
  <c r="G52" i="36"/>
  <c r="F56" i="36"/>
  <c r="D56" i="36"/>
  <c r="C39" i="36"/>
  <c r="I39" i="36" s="1"/>
  <c r="C56" i="36"/>
  <c r="J11" i="36"/>
  <c r="K11" i="36" s="1"/>
  <c r="J10" i="36"/>
  <c r="CE25" i="1"/>
  <c r="K10" i="36" l="1"/>
  <c r="M10" i="36"/>
  <c r="M11" i="36"/>
  <c r="E56" i="36"/>
  <c r="D39" i="36"/>
  <c r="E37" i="36"/>
  <c r="K37" i="36" s="1"/>
  <c r="J37" i="36"/>
  <c r="H54" i="36"/>
  <c r="G54" i="36"/>
  <c r="F61" i="36"/>
  <c r="D61" i="36"/>
  <c r="AP125" i="6"/>
  <c r="AQ125" i="6"/>
  <c r="AR125" i="6"/>
  <c r="AS125" i="6"/>
  <c r="AT125" i="6"/>
  <c r="AU125" i="6"/>
  <c r="AV125" i="6"/>
  <c r="AW125" i="6"/>
  <c r="AX125" i="6"/>
  <c r="AY125" i="6"/>
  <c r="E39" i="36" l="1"/>
  <c r="K39" i="36" s="1"/>
  <c r="J39" i="36"/>
  <c r="H56" i="36"/>
  <c r="G56" i="36"/>
  <c r="F63" i="36"/>
  <c r="D63" i="36"/>
  <c r="C61" i="36"/>
  <c r="C44" i="36"/>
  <c r="I44" i="36" s="1"/>
  <c r="CE19" i="1"/>
  <c r="F9" i="36" s="1"/>
  <c r="CE6" i="1"/>
  <c r="CE8" i="1" s="1"/>
  <c r="F8" i="36" s="1"/>
  <c r="AO143" i="4"/>
  <c r="AO142" i="4"/>
  <c r="AN142" i="4"/>
  <c r="AN143" i="4"/>
  <c r="E61" i="36" l="1"/>
  <c r="D44" i="36"/>
  <c r="H61" i="36"/>
  <c r="C63" i="36"/>
  <c r="C19" i="36"/>
  <c r="C46" i="36"/>
  <c r="I46" i="36" s="1"/>
  <c r="I9" i="36"/>
  <c r="I8" i="36"/>
  <c r="CE21" i="1"/>
  <c r="F10" i="36" s="1"/>
  <c r="E63" i="36" l="1"/>
  <c r="C20" i="36"/>
  <c r="D46" i="36"/>
  <c r="E44" i="36"/>
  <c r="K44" i="36" s="1"/>
  <c r="J44" i="36"/>
  <c r="H63" i="36"/>
  <c r="G61" i="36"/>
  <c r="I10" i="36"/>
  <c r="CE26" i="1"/>
  <c r="F11" i="36" s="1"/>
  <c r="AN124" i="6"/>
  <c r="AN125" i="6" s="1"/>
  <c r="AO124" i="6"/>
  <c r="AO125" i="6" s="1"/>
  <c r="E46" i="36" l="1"/>
  <c r="K46" i="36" s="1"/>
  <c r="J46" i="36"/>
  <c r="G63" i="36"/>
  <c r="I11" i="36"/>
  <c r="CA25" i="1"/>
  <c r="CD19" i="1" l="1"/>
  <c r="D9" i="36" s="1"/>
  <c r="CD8" i="1"/>
  <c r="D8" i="36" s="1"/>
  <c r="G9" i="36" l="1"/>
  <c r="G8" i="36"/>
  <c r="CD21" i="1"/>
  <c r="D10" i="36" s="1"/>
  <c r="CA18" i="1"/>
  <c r="CC8" i="1"/>
  <c r="C8" i="36" s="1"/>
  <c r="E8" i="36" s="1"/>
  <c r="CC19" i="1"/>
  <c r="C9" i="36" s="1"/>
  <c r="E9" i="36" s="1"/>
  <c r="CA5" i="1"/>
  <c r="G10" i="36" l="1"/>
  <c r="CD26" i="1"/>
  <c r="D11" i="36" s="1"/>
  <c r="BP19" i="1"/>
  <c r="BN19" i="1"/>
  <c r="BR19" i="1"/>
  <c r="BK19" i="1"/>
  <c r="BM19" i="1"/>
  <c r="BU19" i="1"/>
  <c r="BT19" i="1"/>
  <c r="BJ19" i="1"/>
  <c r="BL19" i="1"/>
  <c r="BQ19" i="1"/>
  <c r="BS19" i="1"/>
  <c r="BO19" i="1"/>
  <c r="CC21" i="1"/>
  <c r="CA4" i="1"/>
  <c r="CA7" i="1"/>
  <c r="CA15" i="1"/>
  <c r="CA16" i="1"/>
  <c r="CA3" i="1"/>
  <c r="CA17" i="1"/>
  <c r="CA13" i="1"/>
  <c r="CA14" i="1"/>
  <c r="CA12" i="1"/>
  <c r="CA11" i="1"/>
  <c r="BL8" i="1"/>
  <c r="BK8" i="1"/>
  <c r="BM8" i="1"/>
  <c r="BO8" i="1"/>
  <c r="BP8" i="1"/>
  <c r="BR8" i="1"/>
  <c r="BQ8" i="1"/>
  <c r="BU8" i="1"/>
  <c r="CA10" i="1"/>
  <c r="BS8" i="1"/>
  <c r="BT8" i="1"/>
  <c r="BN8" i="1"/>
  <c r="G11" i="36" l="1"/>
  <c r="CC26" i="1"/>
  <c r="C11" i="36" s="1"/>
  <c r="E11" i="36" s="1"/>
  <c r="C10" i="36"/>
  <c r="E10" i="36" s="1"/>
  <c r="BJ8" i="1"/>
  <c r="CA6" i="1"/>
  <c r="G15" i="36" l="1"/>
  <c r="H15" i="36" s="1"/>
  <c r="D15" i="36"/>
  <c r="D24" i="36" s="1"/>
  <c r="E15" i="36"/>
  <c r="E24" i="36" s="1"/>
  <c r="F15" i="36"/>
  <c r="F24" i="36" s="1"/>
  <c r="C15" i="36"/>
  <c r="C24" i="36" s="1"/>
  <c r="C2" i="28"/>
  <c r="H24" i="36" l="1"/>
  <c r="C114" i="36"/>
  <c r="G24" i="36"/>
  <c r="D27" i="36"/>
  <c r="D26" i="36"/>
  <c r="E27" i="36"/>
  <c r="E26" i="36"/>
  <c r="F27" i="36"/>
  <c r="F26" i="36"/>
  <c r="C27" i="36"/>
  <c r="C26" i="36"/>
  <c r="AK68" i="4"/>
  <c r="AL68" i="4"/>
  <c r="AM68" i="4"/>
  <c r="H26" i="36" l="1"/>
  <c r="H27" i="36"/>
  <c r="C117" i="36"/>
  <c r="C116" i="36"/>
  <c r="G26" i="36"/>
  <c r="G27" i="36"/>
  <c r="AM59" i="4"/>
  <c r="AM103" i="4"/>
  <c r="AK59" i="4" l="1"/>
  <c r="AK103" i="4"/>
  <c r="AL60" i="4" l="1"/>
  <c r="AM60" i="4"/>
  <c r="AK104" i="4"/>
  <c r="AK60" i="4"/>
  <c r="C2" i="4" l="1"/>
  <c r="B2" i="4" s="1"/>
  <c r="E2" i="4"/>
  <c r="F2" i="4" s="1"/>
  <c r="G2" i="4" s="1"/>
  <c r="H2" i="4" s="1"/>
  <c r="I2" i="4" s="1"/>
  <c r="J2" i="4" l="1"/>
  <c r="K2" i="4" l="1"/>
  <c r="L2" i="4" l="1"/>
  <c r="M2" i="4" l="1"/>
  <c r="N2" i="4" l="1"/>
  <c r="O2" i="4" l="1"/>
  <c r="P2" i="4" l="1"/>
  <c r="Q2" i="4" l="1"/>
  <c r="R2" i="4" l="1"/>
  <c r="S2" i="4" l="1"/>
  <c r="T2" i="4" l="1"/>
  <c r="U2" i="4" l="1"/>
  <c r="V2" i="4" l="1"/>
  <c r="W2" i="4" l="1"/>
  <c r="X2" i="4" l="1"/>
  <c r="Y2" i="4" l="1"/>
  <c r="Z2" i="4" l="1"/>
  <c r="AA2" i="4" l="1"/>
  <c r="AB2" i="4" l="1"/>
  <c r="AC2" i="4" l="1"/>
  <c r="AD2" i="4" l="1"/>
  <c r="AE2" i="4" l="1"/>
  <c r="AF2" i="4" l="1"/>
  <c r="AG2" i="4" l="1"/>
  <c r="AH2" i="4" l="1"/>
  <c r="B4" i="28" l="1"/>
  <c r="I3" i="28" s="1"/>
  <c r="J3" i="28" s="1"/>
  <c r="AM109" i="4" l="1"/>
  <c r="AM65" i="4"/>
  <c r="BU21" i="1" l="1"/>
  <c r="BU26" i="1" s="1"/>
  <c r="AL136" i="4"/>
  <c r="AL109" i="4"/>
  <c r="AL65" i="4"/>
  <c r="AK65" i="4"/>
  <c r="AK70" i="4"/>
  <c r="BQ21" i="1" l="1"/>
  <c r="BP21" i="1"/>
  <c r="BO21" i="1"/>
  <c r="BN21" i="1"/>
  <c r="BM21" i="1"/>
  <c r="BL21" i="1"/>
  <c r="BK21" i="1"/>
  <c r="BJ21" i="1"/>
  <c r="BY18" i="1"/>
  <c r="BW18" i="1"/>
  <c r="BT21" i="1" l="1"/>
  <c r="BT26" i="1" s="1"/>
  <c r="AK109" i="4" l="1"/>
  <c r="AK114" i="4" l="1"/>
  <c r="BK26" i="1" l="1"/>
  <c r="BL26" i="1"/>
  <c r="BM26" i="1"/>
  <c r="BN26" i="1"/>
  <c r="BO26" i="1"/>
  <c r="BP26" i="1"/>
  <c r="BQ26" i="1"/>
  <c r="BJ26" i="1" l="1"/>
  <c r="BR21" i="1"/>
  <c r="BR26" i="1" s="1"/>
  <c r="BS21" i="1" l="1"/>
  <c r="BS26" i="1" s="1"/>
  <c r="BY16" i="1" l="1"/>
  <c r="BY3" i="1" l="1"/>
  <c r="B2" i="25" l="1"/>
  <c r="B24" i="25"/>
  <c r="K5" i="25" l="1"/>
  <c r="K6" i="25"/>
  <c r="K7" i="25"/>
  <c r="K8" i="25"/>
  <c r="K10" i="25"/>
  <c r="K11" i="25"/>
  <c r="K12" i="25"/>
  <c r="K13" i="25"/>
  <c r="K14" i="25"/>
  <c r="K17" i="25"/>
  <c r="K20" i="25"/>
  <c r="K21" i="25"/>
  <c r="K9" i="25" l="1"/>
  <c r="K4" i="25"/>
  <c r="K15" i="25" l="1"/>
  <c r="C3" i="20" l="1"/>
  <c r="J21" i="25" l="1"/>
  <c r="K22" i="25" s="1"/>
  <c r="J17" i="25"/>
  <c r="K18" i="25" s="1"/>
  <c r="K49" i="25" s="1"/>
  <c r="J14" i="25"/>
  <c r="J13" i="25"/>
  <c r="J12" i="25"/>
  <c r="J11" i="25"/>
  <c r="J10" i="25"/>
  <c r="J8" i="25"/>
  <c r="J7" i="25"/>
  <c r="J6" i="25"/>
  <c r="J5" i="25"/>
  <c r="J4" i="25" l="1"/>
  <c r="J9" i="25"/>
  <c r="J15" i="25" l="1"/>
  <c r="K35" i="25"/>
  <c r="K34" i="25"/>
  <c r="K33" i="25"/>
  <c r="K32" i="25"/>
  <c r="J35" i="25"/>
  <c r="J34" i="25"/>
  <c r="J33" i="25"/>
  <c r="J32" i="25"/>
  <c r="K28" i="25" l="1"/>
  <c r="J27" i="25"/>
  <c r="K55" i="25"/>
  <c r="K44" i="25"/>
  <c r="K41" i="25"/>
  <c r="J55" i="25"/>
  <c r="J41" i="25"/>
  <c r="J44" i="25"/>
  <c r="J30" i="25"/>
  <c r="J36" i="25"/>
  <c r="J31" i="25" s="1"/>
  <c r="K29" i="25"/>
  <c r="K36" i="25"/>
  <c r="K31" i="25" s="1"/>
  <c r="K27" i="25"/>
  <c r="J29" i="25"/>
  <c r="J28" i="25"/>
  <c r="K30" i="25"/>
  <c r="K43" i="25"/>
  <c r="J43" i="25"/>
  <c r="K42" i="25" l="1"/>
  <c r="K50" i="25" s="1"/>
  <c r="K51" i="25" s="1"/>
  <c r="K45" i="25"/>
  <c r="K26" i="25"/>
  <c r="K37" i="25" s="1"/>
  <c r="K39" i="25" s="1"/>
  <c r="J26" i="25"/>
  <c r="J37" i="25" s="1"/>
  <c r="J39" i="25" s="1"/>
  <c r="AK127" i="4" l="1"/>
  <c r="AL127" i="4" s="1"/>
  <c r="AM127" i="4" s="1"/>
  <c r="BW26" i="1" l="1"/>
  <c r="BY26" i="1" l="1"/>
  <c r="I21" i="25" l="1"/>
  <c r="J22" i="25" s="1"/>
  <c r="H21" i="25"/>
  <c r="I17" i="25"/>
  <c r="J18" i="25" s="1"/>
  <c r="J49" i="25" s="1"/>
  <c r="H17" i="25"/>
  <c r="I14" i="25"/>
  <c r="H14" i="25"/>
  <c r="I13" i="25"/>
  <c r="H13" i="25"/>
  <c r="I12" i="25"/>
  <c r="H12" i="25"/>
  <c r="I11" i="25"/>
  <c r="H11" i="25"/>
  <c r="I10" i="25"/>
  <c r="H10" i="25"/>
  <c r="I8" i="25"/>
  <c r="H8" i="25"/>
  <c r="I7" i="25"/>
  <c r="H7" i="25"/>
  <c r="I6" i="25"/>
  <c r="H6" i="25"/>
  <c r="I5" i="25"/>
  <c r="H5" i="25"/>
  <c r="I18" i="25" l="1"/>
  <c r="I49" i="25" s="1"/>
  <c r="H4" i="25"/>
  <c r="I4" i="25"/>
  <c r="I9" i="25"/>
  <c r="I22" i="25"/>
  <c r="H9" i="25"/>
  <c r="I15" i="25" l="1"/>
  <c r="H15" i="25"/>
  <c r="C17" i="25" l="1"/>
  <c r="G17" i="25"/>
  <c r="H18" i="25" s="1"/>
  <c r="H49" i="25" s="1"/>
  <c r="F17" i="25"/>
  <c r="E17" i="25"/>
  <c r="D17" i="25"/>
  <c r="D14" i="25" l="1"/>
  <c r="E14" i="25"/>
  <c r="F14" i="25"/>
  <c r="G14" i="25"/>
  <c r="O14" i="25" l="1"/>
  <c r="P14" i="25" s="1"/>
  <c r="Q14" i="25" s="1"/>
  <c r="R14" i="25" s="1"/>
  <c r="S14" i="25" s="1"/>
  <c r="G21" i="25"/>
  <c r="H22" i="25" s="1"/>
  <c r="F21" i="25"/>
  <c r="E21" i="25"/>
  <c r="D21" i="25"/>
  <c r="C21" i="25"/>
  <c r="N14" i="25"/>
  <c r="G13" i="25"/>
  <c r="F13" i="25"/>
  <c r="E13" i="25"/>
  <c r="D13" i="25"/>
  <c r="N13" i="25" s="1"/>
  <c r="G12" i="25"/>
  <c r="F12" i="25"/>
  <c r="E12" i="25"/>
  <c r="D12" i="25"/>
  <c r="N12" i="25" s="1"/>
  <c r="G11" i="25"/>
  <c r="G18" i="25" s="1"/>
  <c r="G49" i="25" s="1"/>
  <c r="F11" i="25"/>
  <c r="F18" i="25" s="1"/>
  <c r="F49" i="25" s="1"/>
  <c r="E11" i="25"/>
  <c r="D11" i="25"/>
  <c r="D18" i="25" s="1"/>
  <c r="D49" i="25" s="1"/>
  <c r="G10" i="25"/>
  <c r="F10" i="25"/>
  <c r="E10" i="25"/>
  <c r="D10" i="25"/>
  <c r="N10" i="25" s="1"/>
  <c r="G8" i="25"/>
  <c r="F8" i="25"/>
  <c r="E8" i="25"/>
  <c r="D8" i="25"/>
  <c r="N8" i="25" s="1"/>
  <c r="G7" i="25"/>
  <c r="F7" i="25"/>
  <c r="E7" i="25"/>
  <c r="D7" i="25"/>
  <c r="N7" i="25" s="1"/>
  <c r="G6" i="25"/>
  <c r="F6" i="25"/>
  <c r="E6" i="25"/>
  <c r="D6" i="25"/>
  <c r="N6" i="25" s="1"/>
  <c r="G5" i="25"/>
  <c r="F5" i="25"/>
  <c r="E5" i="25"/>
  <c r="D5" i="25"/>
  <c r="N5" i="25" s="1"/>
  <c r="E22" i="25" l="1"/>
  <c r="E18" i="25"/>
  <c r="E49" i="25" s="1"/>
  <c r="O13" i="25"/>
  <c r="P13" i="25" s="1"/>
  <c r="Q13" i="25" s="1"/>
  <c r="R13" i="25" s="1"/>
  <c r="S13" i="25" s="1"/>
  <c r="E9" i="25"/>
  <c r="F9" i="25"/>
  <c r="E4" i="25"/>
  <c r="O11" i="25"/>
  <c r="P11" i="25" s="1"/>
  <c r="O10" i="25"/>
  <c r="P10" i="25" s="1"/>
  <c r="Q10" i="25" s="1"/>
  <c r="R10" i="25" s="1"/>
  <c r="S10" i="25" s="1"/>
  <c r="O12" i="25"/>
  <c r="P12" i="25" s="1"/>
  <c r="Q12" i="25" s="1"/>
  <c r="R12" i="25" s="1"/>
  <c r="S12" i="25" s="1"/>
  <c r="G4" i="25"/>
  <c r="G9" i="25"/>
  <c r="D9" i="25"/>
  <c r="N9" i="25" s="1"/>
  <c r="F4" i="25"/>
  <c r="D4" i="25"/>
  <c r="N4" i="25" s="1"/>
  <c r="O6" i="25"/>
  <c r="P6" i="25" s="1"/>
  <c r="O8" i="25"/>
  <c r="P8" i="25" s="1"/>
  <c r="Q8" i="25" s="1"/>
  <c r="R8" i="25" s="1"/>
  <c r="S8" i="25" s="1"/>
  <c r="O5" i="25"/>
  <c r="P5" i="25" s="1"/>
  <c r="Q5" i="25" s="1"/>
  <c r="R5" i="25" s="1"/>
  <c r="S5" i="25" s="1"/>
  <c r="O7" i="25"/>
  <c r="P7" i="25" s="1"/>
  <c r="Q7" i="25" s="1"/>
  <c r="R7" i="25" s="1"/>
  <c r="S7" i="25" s="1"/>
  <c r="F22" i="25"/>
  <c r="N11" i="25"/>
  <c r="G22" i="25"/>
  <c r="D22" i="25"/>
  <c r="E15" i="25" l="1"/>
  <c r="O9" i="25"/>
  <c r="P9" i="25" s="1"/>
  <c r="Q9" i="25" s="1"/>
  <c r="R9" i="25" s="1"/>
  <c r="S9" i="25" s="1"/>
  <c r="F15" i="25"/>
  <c r="D15" i="25"/>
  <c r="O4" i="25"/>
  <c r="P4" i="25" s="1"/>
  <c r="Q4" i="25" s="1"/>
  <c r="R4" i="25" s="1"/>
  <c r="S4" i="25" s="1"/>
  <c r="G15" i="25"/>
  <c r="Q6" i="25"/>
  <c r="R6" i="25" s="1"/>
  <c r="S6" i="25" s="1"/>
  <c r="Q11" i="25"/>
  <c r="R11" i="25" s="1"/>
  <c r="S11" i="25" s="1"/>
  <c r="O15" i="25" l="1"/>
  <c r="P15" i="25" s="1"/>
  <c r="Q15" i="25" s="1"/>
  <c r="R15" i="25" s="1"/>
  <c r="S15" i="25" s="1"/>
  <c r="N15" i="25"/>
  <c r="H35" i="25" l="1"/>
  <c r="G35" i="25"/>
  <c r="F35" i="25"/>
  <c r="E35" i="25"/>
  <c r="D35" i="25"/>
  <c r="N35" i="25" s="1"/>
  <c r="H34" i="25"/>
  <c r="G34" i="25"/>
  <c r="F34" i="25"/>
  <c r="E34" i="25"/>
  <c r="D34" i="25"/>
  <c r="N34" i="25" s="1"/>
  <c r="H33" i="25"/>
  <c r="G33" i="25"/>
  <c r="F33" i="25"/>
  <c r="E33" i="25"/>
  <c r="D33" i="25"/>
  <c r="I35" i="25"/>
  <c r="I34" i="25"/>
  <c r="I33" i="25"/>
  <c r="I32" i="25"/>
  <c r="I55" i="25" s="1"/>
  <c r="H32" i="25"/>
  <c r="H55" i="25" s="1"/>
  <c r="G32" i="25"/>
  <c r="G55" i="25" s="1"/>
  <c r="F32" i="25"/>
  <c r="F55" i="25" s="1"/>
  <c r="E32" i="25"/>
  <c r="E55" i="25" s="1"/>
  <c r="D32" i="25"/>
  <c r="D55" i="25" s="1"/>
  <c r="D43" i="25" l="1"/>
  <c r="I44" i="25"/>
  <c r="J45" i="25" s="1"/>
  <c r="I41" i="25"/>
  <c r="J42" i="25" s="1"/>
  <c r="J50" i="25" s="1"/>
  <c r="J51" i="25" s="1"/>
  <c r="H44" i="25"/>
  <c r="H41" i="25"/>
  <c r="C44" i="25"/>
  <c r="C41" i="25"/>
  <c r="D44" i="25"/>
  <c r="D41" i="25"/>
  <c r="E44" i="25"/>
  <c r="E41" i="25"/>
  <c r="F44" i="25"/>
  <c r="F41" i="25"/>
  <c r="G44" i="25"/>
  <c r="G41" i="25"/>
  <c r="O34" i="25"/>
  <c r="P34" i="25" s="1"/>
  <c r="Q34" i="25" s="1"/>
  <c r="R34" i="25" s="1"/>
  <c r="S34" i="25" s="1"/>
  <c r="O33" i="25"/>
  <c r="P33" i="25" s="1"/>
  <c r="O35" i="25"/>
  <c r="P35" i="25" s="1"/>
  <c r="Q35" i="25" s="1"/>
  <c r="R35" i="25" s="1"/>
  <c r="S35" i="25" s="1"/>
  <c r="N32" i="25"/>
  <c r="O32" i="25"/>
  <c r="P32" i="25" s="1"/>
  <c r="Q32" i="25" s="1"/>
  <c r="R32" i="25" s="1"/>
  <c r="S32" i="25" s="1"/>
  <c r="N33" i="25"/>
  <c r="N40" i="25" s="1"/>
  <c r="H45" i="25" l="1"/>
  <c r="I42" i="25"/>
  <c r="I50" i="25" s="1"/>
  <c r="I51" i="25" s="1"/>
  <c r="I45" i="25"/>
  <c r="E43" i="25"/>
  <c r="G43" i="25"/>
  <c r="H43" i="25"/>
  <c r="F43" i="25"/>
  <c r="I43" i="25"/>
  <c r="G42" i="25"/>
  <c r="G50" i="25" s="1"/>
  <c r="G51" i="25" s="1"/>
  <c r="E45" i="25"/>
  <c r="G45" i="25"/>
  <c r="H42" i="25"/>
  <c r="H50" i="25" s="1"/>
  <c r="H51" i="25" s="1"/>
  <c r="D45" i="25"/>
  <c r="E42" i="25"/>
  <c r="E50" i="25" s="1"/>
  <c r="E51" i="25" s="1"/>
  <c r="O40" i="25"/>
  <c r="D42" i="25"/>
  <c r="D50" i="25" s="1"/>
  <c r="D51" i="25" s="1"/>
  <c r="F42" i="25"/>
  <c r="F50" i="25" s="1"/>
  <c r="F51" i="25" s="1"/>
  <c r="F45" i="25"/>
  <c r="Q33" i="25"/>
  <c r="P40" i="25"/>
  <c r="Q40" i="25" l="1"/>
  <c r="R33" i="25"/>
  <c r="R40" i="25" l="1"/>
  <c r="S33" i="25"/>
  <c r="S40" i="25" s="1"/>
  <c r="D20" i="25" l="1"/>
  <c r="F20" i="25"/>
  <c r="G20" i="25" l="1"/>
  <c r="E20" i="25" l="1"/>
  <c r="BY23" i="1"/>
  <c r="BW23" i="1"/>
  <c r="BY21" i="1"/>
  <c r="BW21" i="1"/>
  <c r="BY19" i="1"/>
  <c r="BW19" i="1"/>
  <c r="BY17" i="1"/>
  <c r="BW17" i="1"/>
  <c r="BW16" i="1"/>
  <c r="BY15" i="1"/>
  <c r="BW15" i="1"/>
  <c r="BY14" i="1"/>
  <c r="BW14" i="1"/>
  <c r="BY13" i="1"/>
  <c r="BW13" i="1"/>
  <c r="BY12" i="1"/>
  <c r="BW12" i="1"/>
  <c r="BY11" i="1"/>
  <c r="BW11" i="1"/>
  <c r="BY10" i="1"/>
  <c r="BW10" i="1"/>
  <c r="BY8" i="1"/>
  <c r="BW8" i="1"/>
  <c r="BY7" i="1"/>
  <c r="BW7" i="1"/>
  <c r="BW6" i="1"/>
  <c r="BY5" i="1"/>
  <c r="BW5" i="1"/>
  <c r="BY4" i="1"/>
  <c r="BW4" i="1"/>
  <c r="BW3" i="1"/>
  <c r="J20" i="25" l="1"/>
  <c r="H20" i="25"/>
  <c r="BY6" i="1"/>
  <c r="CA19" i="1"/>
  <c r="I20" i="25" l="1"/>
  <c r="CA8" i="1" l="1"/>
  <c r="CA21" i="1" s="1"/>
  <c r="CA26" i="1" s="1"/>
  <c r="AK133" i="4"/>
  <c r="AK129" i="4"/>
  <c r="AK128" i="4" l="1"/>
  <c r="AK132" i="4"/>
  <c r="AM129" i="4"/>
  <c r="AM133" i="4" l="1"/>
  <c r="AM128" i="4" l="1"/>
  <c r="AM132" i="4"/>
  <c r="I36" i="25"/>
  <c r="I31" i="25" s="1"/>
  <c r="H36" i="25"/>
  <c r="H31" i="25" s="1"/>
  <c r="G36" i="25"/>
  <c r="G31" i="25" s="1"/>
  <c r="F36" i="25"/>
  <c r="F31" i="25" s="1"/>
  <c r="E36" i="25"/>
  <c r="I30" i="25"/>
  <c r="H30" i="25"/>
  <c r="E30" i="25"/>
  <c r="D30" i="25"/>
  <c r="N30" i="25" s="1"/>
  <c r="I29" i="25"/>
  <c r="G29" i="25"/>
  <c r="F29" i="25"/>
  <c r="I28" i="25"/>
  <c r="H28" i="25"/>
  <c r="G28" i="25"/>
  <c r="E28" i="25"/>
  <c r="D28" i="25"/>
  <c r="N28" i="25" s="1"/>
  <c r="N39" i="25" s="1"/>
  <c r="N41" i="25" s="1"/>
  <c r="G27" i="25"/>
  <c r="F27" i="25"/>
  <c r="E27" i="25"/>
  <c r="O28" i="25" l="1"/>
  <c r="O39" i="25" s="1"/>
  <c r="O41" i="25" s="1"/>
  <c r="O30" i="25"/>
  <c r="E31" i="25"/>
  <c r="F28" i="25"/>
  <c r="H29" i="25"/>
  <c r="D27" i="25"/>
  <c r="H27" i="25"/>
  <c r="D29" i="25"/>
  <c r="N29" i="25" s="1"/>
  <c r="F30" i="25"/>
  <c r="D36" i="25"/>
  <c r="O36" i="25" s="1"/>
  <c r="P36" i="25" s="1"/>
  <c r="Q36" i="25" s="1"/>
  <c r="R36" i="25" s="1"/>
  <c r="S36" i="25" s="1"/>
  <c r="I27" i="25"/>
  <c r="I26" i="25" s="1"/>
  <c r="I37" i="25" s="1"/>
  <c r="I39" i="25" s="1"/>
  <c r="E29" i="25"/>
  <c r="G30" i="25"/>
  <c r="G26" i="25" s="1"/>
  <c r="G37" i="25" s="1"/>
  <c r="G39" i="25" s="1"/>
  <c r="H26" i="25" l="1"/>
  <c r="H37" i="25" s="1"/>
  <c r="H39" i="25" s="1"/>
  <c r="P30" i="25"/>
  <c r="Q30" i="25" s="1"/>
  <c r="R30" i="25" s="1"/>
  <c r="S30" i="25" s="1"/>
  <c r="F26" i="25"/>
  <c r="F37" i="25" s="1"/>
  <c r="F39" i="25" s="1"/>
  <c r="O29" i="25"/>
  <c r="P29" i="25" s="1"/>
  <c r="Q29" i="25" s="1"/>
  <c r="R29" i="25" s="1"/>
  <c r="S29" i="25" s="1"/>
  <c r="N36" i="25"/>
  <c r="D31" i="25"/>
  <c r="N31" i="25" s="1"/>
  <c r="P28" i="25"/>
  <c r="N27" i="25"/>
  <c r="D26" i="25"/>
  <c r="E26" i="25"/>
  <c r="O27" i="25"/>
  <c r="P27" i="25" s="1"/>
  <c r="Q27" i="25" s="1"/>
  <c r="R27" i="25" s="1"/>
  <c r="S27" i="25" s="1"/>
  <c r="Q28" i="25" l="1"/>
  <c r="P39" i="25"/>
  <c r="P41" i="25" s="1"/>
  <c r="N26" i="25"/>
  <c r="D37" i="25"/>
  <c r="O26" i="25"/>
  <c r="P26" i="25" s="1"/>
  <c r="Q26" i="25" s="1"/>
  <c r="R26" i="25" s="1"/>
  <c r="S26" i="25" s="1"/>
  <c r="E37" i="25"/>
  <c r="O31" i="25"/>
  <c r="P31" i="25" s="1"/>
  <c r="Q31" i="25" s="1"/>
  <c r="R31" i="25" s="1"/>
  <c r="S31" i="25" s="1"/>
  <c r="C4" i="20"/>
  <c r="Q39" i="25" l="1"/>
  <c r="Q41" i="25" s="1"/>
  <c r="R28" i="25"/>
  <c r="S28" i="25" s="1"/>
  <c r="O37" i="25"/>
  <c r="P37" i="25" s="1"/>
  <c r="Q37" i="25" s="1"/>
  <c r="R37" i="25" s="1"/>
  <c r="S37" i="25" s="1"/>
  <c r="E39" i="25"/>
  <c r="N37" i="25"/>
  <c r="D39" i="25"/>
  <c r="S39" i="25" l="1"/>
  <c r="S41" i="25" s="1"/>
  <c r="R39" i="25"/>
  <c r="R41" i="25" s="1"/>
  <c r="AN26" i="1" l="1"/>
  <c r="AO26" i="1"/>
  <c r="AH2" i="1" l="1"/>
  <c r="BC26" i="1"/>
  <c r="BB26" i="1"/>
  <c r="BA26" i="1"/>
  <c r="AW26" i="1"/>
  <c r="AV26" i="1"/>
  <c r="AU26" i="1"/>
  <c r="AM26" i="1"/>
  <c r="AI26" i="1"/>
  <c r="AH26" i="1"/>
  <c r="AG26" i="1"/>
  <c r="BG23" i="1"/>
  <c r="BE23" i="1"/>
  <c r="AY23" i="1"/>
  <c r="AS23" i="1"/>
  <c r="AQ23" i="1"/>
  <c r="AK23" i="1"/>
  <c r="BG21" i="1"/>
  <c r="BE21" i="1"/>
  <c r="AY21" i="1"/>
  <c r="AS21" i="1"/>
  <c r="AQ21" i="1"/>
  <c r="AK21" i="1"/>
  <c r="BG19" i="1"/>
  <c r="BE19" i="1"/>
  <c r="AY19" i="1"/>
  <c r="AS19" i="1"/>
  <c r="AQ19" i="1"/>
  <c r="AK19" i="1"/>
  <c r="BG17" i="1"/>
  <c r="BE17" i="1"/>
  <c r="AY17" i="1"/>
  <c r="AS17" i="1"/>
  <c r="AQ17" i="1"/>
  <c r="AK17" i="1"/>
  <c r="BG16" i="1"/>
  <c r="BE16" i="1"/>
  <c r="AY16" i="1"/>
  <c r="AS16" i="1"/>
  <c r="AQ16" i="1"/>
  <c r="AK16" i="1"/>
  <c r="BG15" i="1"/>
  <c r="BE15" i="1"/>
  <c r="AY15" i="1"/>
  <c r="AS15" i="1"/>
  <c r="AQ15" i="1"/>
  <c r="AK15" i="1"/>
  <c r="BG14" i="1"/>
  <c r="BE14" i="1"/>
  <c r="AY14" i="1"/>
  <c r="AS14" i="1"/>
  <c r="AQ14" i="1"/>
  <c r="AK14" i="1"/>
  <c r="BG13" i="1"/>
  <c r="BE13" i="1"/>
  <c r="AY13" i="1"/>
  <c r="AS13" i="1"/>
  <c r="AQ13" i="1"/>
  <c r="AK13" i="1"/>
  <c r="BG12" i="1"/>
  <c r="BE12" i="1"/>
  <c r="AY12" i="1"/>
  <c r="AS12" i="1"/>
  <c r="AQ12" i="1"/>
  <c r="AK12" i="1"/>
  <c r="BG11" i="1"/>
  <c r="BE11" i="1"/>
  <c r="AY11" i="1"/>
  <c r="AS11" i="1"/>
  <c r="AQ11" i="1"/>
  <c r="AK11" i="1"/>
  <c r="BG10" i="1"/>
  <c r="BE10" i="1"/>
  <c r="AY10" i="1"/>
  <c r="AS10" i="1"/>
  <c r="AQ10" i="1"/>
  <c r="AK10" i="1"/>
  <c r="BG8" i="1"/>
  <c r="BE8" i="1"/>
  <c r="AY8" i="1"/>
  <c r="AS8" i="1"/>
  <c r="AQ8" i="1"/>
  <c r="AK8" i="1"/>
  <c r="BG7" i="1"/>
  <c r="BE7" i="1"/>
  <c r="AY7" i="1"/>
  <c r="AS7" i="1"/>
  <c r="AQ7" i="1"/>
  <c r="AK7" i="1"/>
  <c r="BE6" i="1"/>
  <c r="AY6" i="1"/>
  <c r="AQ6" i="1"/>
  <c r="AK6" i="1"/>
  <c r="BG5" i="1"/>
  <c r="BE5" i="1"/>
  <c r="AY5" i="1"/>
  <c r="AS5" i="1"/>
  <c r="AQ5" i="1"/>
  <c r="AK5" i="1"/>
  <c r="BG4" i="1"/>
  <c r="BE4" i="1"/>
  <c r="AY4" i="1"/>
  <c r="AS4" i="1"/>
  <c r="AQ4" i="1"/>
  <c r="AK4" i="1"/>
  <c r="BG3" i="1"/>
  <c r="BE3" i="1"/>
  <c r="AY3" i="1"/>
  <c r="AS3" i="1"/>
  <c r="AQ3" i="1"/>
  <c r="AK3" i="1"/>
  <c r="K6" i="1"/>
  <c r="J6" i="1"/>
  <c r="I6" i="1"/>
  <c r="F6" i="1"/>
  <c r="E6" i="1"/>
  <c r="D6" i="1"/>
  <c r="S6" i="1"/>
  <c r="R6" i="1"/>
  <c r="Q6" i="1"/>
  <c r="BI3" i="1" l="1"/>
  <c r="BI11" i="1"/>
  <c r="BI15" i="1"/>
  <c r="BI19" i="1"/>
  <c r="BI10" i="1"/>
  <c r="BI14" i="1"/>
  <c r="BI17" i="1"/>
  <c r="BI5" i="1"/>
  <c r="BI8" i="1"/>
  <c r="BI13" i="1"/>
  <c r="BI23" i="1"/>
  <c r="BI4" i="1"/>
  <c r="BI7" i="1"/>
  <c r="BI12" i="1"/>
  <c r="BI16" i="1"/>
  <c r="BI21" i="1"/>
  <c r="AY26" i="1"/>
  <c r="AI2" i="1"/>
  <c r="AK26" i="1"/>
  <c r="BG6" i="1"/>
  <c r="AS6" i="1"/>
  <c r="AQ26" i="1"/>
  <c r="AS26" i="1"/>
  <c r="BE26" i="1"/>
  <c r="BG26" i="1"/>
  <c r="BI26" i="1" l="1"/>
  <c r="BI6" i="1"/>
  <c r="AM2" i="1"/>
  <c r="AN2" i="1" l="1"/>
  <c r="AO2" i="1" l="1"/>
  <c r="AU2" i="1" l="1"/>
  <c r="AV2" i="1" l="1"/>
  <c r="AW2" i="1" l="1"/>
  <c r="BA2" i="1" l="1"/>
  <c r="BB2" i="1" l="1"/>
  <c r="BC2" i="1" l="1"/>
  <c r="BJ2" i="1" s="1"/>
  <c r="BK2" i="1" l="1"/>
  <c r="BL2" i="1" l="1"/>
  <c r="BM2" i="1" l="1"/>
  <c r="BN2" i="1" s="1"/>
  <c r="BO2" i="1" s="1"/>
  <c r="BP2" i="1" s="1"/>
  <c r="BQ2" i="1" s="1"/>
  <c r="BS2" i="1" s="1"/>
  <c r="BT2" i="1" s="1"/>
  <c r="BU2" i="1" s="1"/>
  <c r="CC2" i="1" s="1"/>
  <c r="CD2" i="1" s="1"/>
  <c r="CE2" i="1" s="1"/>
  <c r="CF2" i="1" s="1"/>
  <c r="CG2" i="1" s="1"/>
  <c r="CH2" i="1" s="1"/>
  <c r="G17" i="1" l="1"/>
  <c r="U17" i="1"/>
  <c r="O13" i="1" l="1"/>
  <c r="D26" i="1" l="1"/>
  <c r="E26" i="1"/>
  <c r="F26" i="1"/>
  <c r="I26" i="1" l="1"/>
  <c r="C26" i="1" l="1"/>
  <c r="C2" i="1"/>
  <c r="I2" i="1" l="1"/>
  <c r="Y26" i="1"/>
  <c r="X26" i="1"/>
  <c r="W26" i="1"/>
  <c r="S26" i="1"/>
  <c r="R26" i="1"/>
  <c r="Q26" i="1"/>
  <c r="AC23" i="1"/>
  <c r="AA23" i="1"/>
  <c r="U23" i="1"/>
  <c r="AC21" i="1"/>
  <c r="AA21" i="1"/>
  <c r="U21" i="1"/>
  <c r="AC19" i="1"/>
  <c r="AA19" i="1"/>
  <c r="U19" i="1"/>
  <c r="AC17" i="1"/>
  <c r="AA17" i="1"/>
  <c r="AC16" i="1"/>
  <c r="AA16" i="1"/>
  <c r="U16" i="1"/>
  <c r="AC15" i="1"/>
  <c r="AA15" i="1"/>
  <c r="U15" i="1"/>
  <c r="AC14" i="1"/>
  <c r="AA14" i="1"/>
  <c r="U14" i="1"/>
  <c r="AC13" i="1"/>
  <c r="AA13" i="1"/>
  <c r="U13" i="1"/>
  <c r="AC12" i="1"/>
  <c r="AA12" i="1"/>
  <c r="U12" i="1"/>
  <c r="AC11" i="1"/>
  <c r="AA11" i="1"/>
  <c r="U11" i="1"/>
  <c r="AC10" i="1"/>
  <c r="AA10" i="1"/>
  <c r="U10" i="1"/>
  <c r="AC8" i="1"/>
  <c r="AA8" i="1"/>
  <c r="U8" i="1"/>
  <c r="AC7" i="1"/>
  <c r="AA7" i="1"/>
  <c r="U7" i="1"/>
  <c r="AA6" i="1"/>
  <c r="U6" i="1"/>
  <c r="AC5" i="1"/>
  <c r="AA5" i="1"/>
  <c r="U5" i="1"/>
  <c r="AC4" i="1"/>
  <c r="AA4" i="1"/>
  <c r="U4" i="1"/>
  <c r="AC3" i="1"/>
  <c r="AA3" i="1"/>
  <c r="U3" i="1"/>
  <c r="AC6" i="1" l="1"/>
  <c r="J2" i="1"/>
  <c r="U26" i="1"/>
  <c r="AC26" i="1"/>
  <c r="AA26" i="1"/>
  <c r="K2" i="1" l="1"/>
  <c r="K26" i="1"/>
  <c r="J26" i="1"/>
  <c r="Q2" i="1" l="1"/>
  <c r="O26" i="1"/>
  <c r="M26" i="1"/>
  <c r="R2" i="1" l="1"/>
  <c r="O23" i="1"/>
  <c r="AE23" i="1" s="1"/>
  <c r="O21" i="1"/>
  <c r="AE21" i="1" s="1"/>
  <c r="O19" i="1"/>
  <c r="AE19" i="1" s="1"/>
  <c r="O17" i="1"/>
  <c r="AE17" i="1" s="1"/>
  <c r="O16" i="1"/>
  <c r="AE16" i="1" s="1"/>
  <c r="O15" i="1"/>
  <c r="AE15" i="1" s="1"/>
  <c r="O14" i="1"/>
  <c r="AE14" i="1" s="1"/>
  <c r="AE13" i="1"/>
  <c r="O12" i="1"/>
  <c r="AE12" i="1" s="1"/>
  <c r="O11" i="1"/>
  <c r="AE11" i="1" s="1"/>
  <c r="O10" i="1"/>
  <c r="AE10" i="1" s="1"/>
  <c r="O8" i="1"/>
  <c r="AE8" i="1" s="1"/>
  <c r="O7" i="1"/>
  <c r="AE7" i="1" s="1"/>
  <c r="O5" i="1"/>
  <c r="AE5" i="1" s="1"/>
  <c r="O4" i="1"/>
  <c r="AE4" i="1" s="1"/>
  <c r="O3" i="1"/>
  <c r="M23" i="1"/>
  <c r="M21" i="1"/>
  <c r="M19" i="1"/>
  <c r="M17" i="1"/>
  <c r="M16" i="1"/>
  <c r="M15" i="1"/>
  <c r="M14" i="1"/>
  <c r="M13" i="1"/>
  <c r="M12" i="1"/>
  <c r="M11" i="1"/>
  <c r="M10" i="1"/>
  <c r="M8" i="1"/>
  <c r="M7" i="1"/>
  <c r="M6" i="1"/>
  <c r="M5" i="1"/>
  <c r="M4" i="1"/>
  <c r="M3" i="1"/>
  <c r="G23" i="1"/>
  <c r="G21" i="1"/>
  <c r="G19" i="1"/>
  <c r="G16" i="1"/>
  <c r="G15" i="1"/>
  <c r="G14" i="1"/>
  <c r="G13" i="1"/>
  <c r="G12" i="1"/>
  <c r="G11" i="1"/>
  <c r="G10" i="1"/>
  <c r="G8" i="1"/>
  <c r="G7" i="1"/>
  <c r="G6" i="1"/>
  <c r="G5" i="1"/>
  <c r="G4" i="1"/>
  <c r="G3" i="1"/>
  <c r="AE3" i="1" l="1"/>
  <c r="AE6" i="1" s="1"/>
  <c r="O6" i="1"/>
  <c r="S2" i="1"/>
  <c r="G26" i="1"/>
  <c r="AE26" i="1"/>
  <c r="W2" i="1" l="1"/>
  <c r="Y2" i="1" l="1"/>
  <c r="D3" i="25" l="1"/>
  <c r="D25" i="25" s="1"/>
  <c r="E3" i="25" l="1"/>
  <c r="E25" i="25" s="1"/>
  <c r="F3" i="25" l="1"/>
  <c r="F25" i="25" s="1"/>
  <c r="G3" i="25" l="1"/>
  <c r="G25" i="25" s="1"/>
  <c r="H3" i="25" l="1"/>
  <c r="H25" i="25" s="1"/>
  <c r="J3" i="25" l="1"/>
  <c r="J25" i="25" s="1"/>
  <c r="I3" i="25"/>
  <c r="I25" i="25" s="1"/>
  <c r="K3" i="25" l="1"/>
  <c r="K25" i="25" s="1"/>
  <c r="AK2" i="4" l="1"/>
  <c r="AL2" i="4" l="1"/>
  <c r="AK80" i="4"/>
  <c r="AM2" i="4" l="1"/>
  <c r="AL80" i="4"/>
  <c r="AN2" i="4" l="1"/>
  <c r="AN80" i="4" s="1"/>
  <c r="AM80" i="4"/>
  <c r="AO2" i="4" l="1"/>
  <c r="AO80" i="4" s="1"/>
  <c r="AP2" i="4" l="1"/>
  <c r="AP80" i="4" l="1"/>
  <c r="AQ2" i="4"/>
  <c r="AQ80" i="4" l="1"/>
  <c r="AR2" i="4"/>
  <c r="AR80" i="4" s="1"/>
  <c r="AS2" i="4" l="1"/>
  <c r="AS80" i="4" s="1"/>
  <c r="AT2" i="4" l="1"/>
  <c r="AT80" i="4" s="1"/>
  <c r="AU2" i="4" l="1"/>
  <c r="AU80" i="4" s="1"/>
  <c r="AV2" i="4" l="1"/>
  <c r="AV80" i="4" s="1"/>
  <c r="AW2" i="4" l="1"/>
  <c r="AW80" i="4" s="1"/>
  <c r="AX2" i="4" l="1"/>
  <c r="AX80" i="4" s="1"/>
  <c r="AY2" i="4" l="1"/>
  <c r="C13" i="20"/>
  <c r="C16" i="20" l="1"/>
  <c r="C19" i="20"/>
  <c r="AY80" i="4"/>
  <c r="C15" i="20"/>
  <c r="C11" i="20"/>
  <c r="C14" i="20"/>
  <c r="C10" i="20"/>
  <c r="A2" i="21"/>
  <c r="A3" i="21" s="1"/>
  <c r="A4" i="21" s="1"/>
  <c r="A5" i="21" s="1"/>
  <c r="A6" i="21" s="1"/>
  <c r="A7" i="21" s="1"/>
  <c r="A8" i="21" s="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C18" i="20"/>
  <c r="C12" i="20"/>
  <c r="C9" i="20" l="1"/>
  <c r="C8" i="20" s="1"/>
  <c r="C17" i="20" s="1"/>
  <c r="C20" i="20" s="1"/>
  <c r="C21" i="20" l="1"/>
  <c r="C22" i="20" l="1"/>
  <c r="B2" i="28" l="1"/>
  <c r="B6" i="28" s="1"/>
  <c r="D2" i="28" l="1"/>
  <c r="C27" i="20" l="1"/>
  <c r="C25" i="20"/>
  <c r="C26" i="20" l="1"/>
  <c r="C29" i="2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Felipe Ricardo Huergo Cagol</author>
    <author>Camille Mateus Pleger</author>
  </authors>
  <commentList>
    <comment ref="B4" authorId="0" shapeId="0" xr:uid="{AAD2AEC2-A29B-419B-A478-2090FC53848E}">
      <text>
        <r>
          <rPr>
            <b/>
            <sz val="9"/>
            <color indexed="81"/>
            <rFont val="Segoe UI"/>
            <family val="2"/>
          </rPr>
          <t>Felipe Ricardo Huergo Cagol:</t>
        </r>
        <r>
          <rPr>
            <sz val="9"/>
            <color indexed="81"/>
            <rFont val="Segoe UI"/>
            <family val="2"/>
          </rPr>
          <t xml:space="preserve">
Conta cosif: 7.1.8.20.00.00-0 (coluna "Creditos")</t>
        </r>
      </text>
    </comment>
    <comment ref="Y5" authorId="1" shapeId="0" xr:uid="{ED49A03D-5E84-4453-A2CF-5858A561E8EF}">
      <text>
        <r>
          <rPr>
            <b/>
            <sz val="9"/>
            <color indexed="81"/>
            <rFont val="Segoe UI"/>
            <family val="2"/>
          </rPr>
          <t>Camille Mateus Pleger:</t>
        </r>
        <r>
          <rPr>
            <sz val="9"/>
            <color indexed="81"/>
            <rFont val="Segoe UI"/>
            <family val="2"/>
          </rPr>
          <t xml:space="preserve">
JCP de R$ 4.207.500 MM da Hipotecária, R$445.500 da Securitizadora e Dividendos de R$ 211 mil da CIP. </t>
        </r>
      </text>
    </comment>
    <comment ref="BU5" authorId="1" shapeId="0" xr:uid="{48071F10-0044-48E1-B0D4-8896C28FA6FA}">
      <text>
        <r>
          <rPr>
            <b/>
            <sz val="9"/>
            <color indexed="81"/>
            <rFont val="Segoe UI"/>
            <family val="2"/>
          </rPr>
          <t>Camille Mateus Pleger:</t>
        </r>
        <r>
          <rPr>
            <sz val="9"/>
            <color indexed="81"/>
            <rFont val="Segoe UI"/>
            <family val="2"/>
          </rPr>
          <t xml:space="preserve">
JCP de R$ 4.207.500 MM da Hipotecária, R$445.500 da Securitizadora e Dividendos de R$ 211 mil da CIP. </t>
        </r>
      </text>
    </comment>
    <comment ref="B14" authorId="0" shapeId="0" xr:uid="{6165B9E3-30B2-498D-B6AA-968FA5E4C172}">
      <text>
        <r>
          <rPr>
            <b/>
            <sz val="9"/>
            <color indexed="81"/>
            <rFont val="Segoe UI"/>
            <family val="2"/>
          </rPr>
          <t>Felipe Ricardo Huergo Cagol:</t>
        </r>
        <r>
          <rPr>
            <sz val="9"/>
            <color indexed="81"/>
            <rFont val="Segoe UI"/>
            <family val="2"/>
          </rPr>
          <t xml:space="preserve">
Lucro(Prejuízo) Líquido do Exercício da Planilha de Resultado por Empresa da Contabilidade.</t>
        </r>
      </text>
    </comment>
    <comment ref="B18" authorId="0" shapeId="0" xr:uid="{E438B56E-463D-43FF-826D-8359F4A27FFF}">
      <text>
        <r>
          <rPr>
            <b/>
            <sz val="9"/>
            <color indexed="81"/>
            <rFont val="Segoe UI"/>
            <family val="2"/>
          </rPr>
          <t>Felipe Ricardo Huergo Cagol:</t>
        </r>
        <r>
          <rPr>
            <sz val="9"/>
            <color indexed="81"/>
            <rFont val="Segoe UI"/>
            <family val="2"/>
          </rPr>
          <t xml:space="preserve">
Lucro(Prejuízo) Líquido do Exercício da Planilha de Resultado por Empresa da Contabilidade.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Camille Mateus Pleger</author>
  </authors>
  <commentList>
    <comment ref="A137" authorId="0" shapeId="0" xr:uid="{B238371D-762B-4ED4-AE7E-B78439D56EA2}">
      <text>
        <r>
          <rPr>
            <b/>
            <sz val="9"/>
            <color indexed="81"/>
            <rFont val="Segoe UI"/>
            <family val="2"/>
          </rPr>
          <t>Camille Mateus Pleger:</t>
        </r>
        <r>
          <rPr>
            <sz val="9"/>
            <color indexed="81"/>
            <rFont val="Segoe UI"/>
            <family val="2"/>
          </rPr>
          <t xml:space="preserve">
Linha 633 da aba Banco - Check</t>
        </r>
      </text>
    </comment>
  </commentList>
</comments>
</file>

<file path=xl/sharedStrings.xml><?xml version="1.0" encoding="utf-8"?>
<sst xmlns="http://schemas.openxmlformats.org/spreadsheetml/2006/main" count="1849" uniqueCount="584">
  <si>
    <t>5.1</t>
  </si>
  <si>
    <t>Mês</t>
  </si>
  <si>
    <t>Total</t>
  </si>
  <si>
    <t>Receita Externa Cebraco:</t>
  </si>
  <si>
    <t>Apresenta todas as receitas, exceto receita das ligadas: Banco e Hipo. Desconsidera Securitizadora, pois os valores são pagos em patrimônio separado, ou seja, a sec apenas faz a intermediação.</t>
  </si>
  <si>
    <t>Conta "7.1.7.99.00.000007", "RENDAS CALL CENTER (PESSOA FISICA)" do Balancete e do arquivo de Resultados da Contabilidade</t>
  </si>
  <si>
    <t>Receita de Serviços, Interchange e Comissão CRI</t>
  </si>
  <si>
    <t>A conta cosif "7.1.7.99.00.00.000013 - COORDENADOR LÍDER", é alocada em Receita de CRI</t>
  </si>
  <si>
    <t>Receita cobrança externa Cebraco</t>
  </si>
  <si>
    <t>Receitas de prestação de serviços das empresas terceiras.</t>
  </si>
  <si>
    <t>Resultado de Seguros</t>
  </si>
  <si>
    <t>Resultado da "Bariseg" obtido da própria planilha "RESULTADO"</t>
  </si>
  <si>
    <t>Resultado da BRCards</t>
  </si>
  <si>
    <t>Despesas de Originação</t>
  </si>
  <si>
    <t>A base de dados é o check contábil</t>
  </si>
  <si>
    <t>1) Todas as despesas de captação indexadas, tanto a parte de inflação quanto a de "cupom - juros", (IPCA e IGPM) entram na linha de inflação e são alocadas no Imobiliário</t>
  </si>
  <si>
    <t>2) Todas LCIs são designadas para o imobiliário</t>
  </si>
  <si>
    <t>Swap</t>
  </si>
  <si>
    <t>A base de dados é a planilha de "RESULTADO" da Contabilidade</t>
  </si>
  <si>
    <t>1) Swap DIxPRÉ é alocado no Consignado</t>
  </si>
  <si>
    <t>2) Swap DIxIPCA é alocado no Imobiliário</t>
  </si>
  <si>
    <t>Receita financeira + outros</t>
  </si>
  <si>
    <t>1) Contas 7.1.4 e 7.1.5 dos balancetes do Banco e da Hipotecária, com exceção dos Swaps;</t>
  </si>
  <si>
    <t>3) A fonte dos dados é o arquivo de "Receitas e Despesas Contabilidade")</t>
  </si>
  <si>
    <t>Provisões</t>
  </si>
  <si>
    <t>1) A base de dados da PDD é o dash da PDD;</t>
  </si>
  <si>
    <t>2) No Consignado é alocada a PDD do Banco Digital;</t>
  </si>
  <si>
    <t>3) No Imobiliário é alocada a PDD do BNDU;</t>
  </si>
  <si>
    <t>Impostos Diretos</t>
  </si>
  <si>
    <t>1) Fonte dos dados é a planilha de conferência contábil, que fica salva no diretório de FP&amp;A "G:\Drives compartilhados\Area - FPA\FPA\29. Checks Contabilidade\2025"</t>
  </si>
  <si>
    <t>2)  O valor dos Impostos Diretos é obtido através da soma da linha 518 das abas do "Banco" e "Hipotecária" e da linha 158 da "DI"</t>
  </si>
  <si>
    <t>3) São impostos referente a PIS e Cofins</t>
  </si>
  <si>
    <t>4) O critério de rateio é o seguinte: o PIS/COFINS atinente a Hipotecária e DI é alocado no Imobiliário e para o valor do Banco é feito um rateio entre Consignado e Imobiliário pelo tamanho da carteira</t>
  </si>
  <si>
    <t>Amortização</t>
  </si>
  <si>
    <t>2) Deve-se buscar o valor que consta na aba "Despesa", linha 13</t>
  </si>
  <si>
    <t>Despesas Diretas e Indiretas</t>
  </si>
  <si>
    <t>2) As despesas Diretas e Indiretas estão segregadas na aba "Despesa"</t>
  </si>
  <si>
    <t>3) A Elo foi alocada em despesa administrativa indireta no imobiliário, o valor corresponde ao saldo da linha 511 da aba "Banco" dividido pelo prazo remanescente do diferimento</t>
  </si>
  <si>
    <t>Comissão</t>
  </si>
  <si>
    <t>2) Comissão paga pelo Banco e pela Hipo deduzida da Comissão recebida pela Apoio</t>
  </si>
  <si>
    <t>3) Os dados estão na planilha "Banco" e "Hipotecária", linha 513 e na planilha "Apoio", linha 147</t>
  </si>
  <si>
    <t>4) O rateio entre produtos é feito por carteira</t>
  </si>
  <si>
    <t>Impostos (IR/CSLL)</t>
  </si>
  <si>
    <t>2) Os dados estão nas planilhas "Banco" e "hipo", linha 529</t>
  </si>
  <si>
    <t>3) O imposto da Hipotecária é alocado integralmente no Imobiliário</t>
  </si>
  <si>
    <t>4) Para o imposto do Banco é feito o rateio entre Consignado e Imobiliário com base no tamanho da carteira</t>
  </si>
  <si>
    <t>Não estamos utilizando os critérios específicados dessa linha para baixo</t>
  </si>
  <si>
    <t>PART. CONTROLADAS (SEC)</t>
  </si>
  <si>
    <t>1) O dados é o mesmo que está na planilha "RESULTADO" e correspondente ao lucro líquido da Sec</t>
  </si>
  <si>
    <t>Critério de Rateio Captação:</t>
  </si>
  <si>
    <t>Lógica até Abril/2023</t>
  </si>
  <si>
    <t>Cartão é o resultado da receita de float/despesa da carteira de crédito que gera juros (desconsidera Creliq).</t>
  </si>
  <si>
    <t>Imobiliário --&gt; LCI + CDB/LC - IPCA e IGPM + Resultado de Swap.</t>
  </si>
  <si>
    <t>Consignado --&gt; CDB/LC - Pré/DI</t>
  </si>
  <si>
    <t>Outros (Receita Financeira, FGC, DPGE, e LFS) --&gt; rateado pela carteira de consignado e imobiliário.</t>
  </si>
  <si>
    <t>Lógica após Maio/2023</t>
  </si>
  <si>
    <t>Cartão é o resultado da receita de float/despesa da carteira de crédito.</t>
  </si>
  <si>
    <t>Consignado --&gt;  Consome a despesa até fechar a carteira de ativa e passiva, na seguinte ordem quanto faltar carteira: CDB/LC  - Pré, CDB/LC - DI, LCI - Pré e LCI - DI  e Resultado Swap (DI x Pré)</t>
  </si>
  <si>
    <t>Imobiliário --&gt; LCI + CDB/LC - IPCA e IGPM + Resultado de Swap (DI x IPCA), e o restante LCI Pré e DI que não forem utilizadas para fechar a carteira do consignado.</t>
  </si>
  <si>
    <t>Critérios de Rateio Imposto Direto</t>
  </si>
  <si>
    <t>São considerados os impostos diretos do Banco, Hipo e DI, rateados pela margem de cada linha de negócio.</t>
  </si>
  <si>
    <t>Critérios de Rateio despesas Administrativas:</t>
  </si>
  <si>
    <t>Demostra a ficha razão das empresas: Banco, Hipo, Tec, Service, DI, Cebraco e Apoio.</t>
  </si>
  <si>
    <t>Desconsidera receitas e despesas ligadas.</t>
  </si>
  <si>
    <t>Utiliza o critério de rateio estabelecido em orçamento em elaboração.</t>
  </si>
  <si>
    <t xml:space="preserve">*Orçamento: </t>
  </si>
  <si>
    <t>Janeiro/23 a Abril/23: Versão de Janeiro/23 considerando savings.</t>
  </si>
  <si>
    <t>Maio/23 a Dezembro/23: Versão Junho/2023.</t>
  </si>
  <si>
    <t>Janeiro/24 a junho/24: versão de Março/24.</t>
  </si>
  <si>
    <t>A partir de julho/24: versão de Março/24 adequando os rateios para retirada do banco digital.</t>
  </si>
  <si>
    <t>1º TRIM</t>
  </si>
  <si>
    <t>2º TRIM</t>
  </si>
  <si>
    <t>1º SEM</t>
  </si>
  <si>
    <t>3º TRIM</t>
  </si>
  <si>
    <t>4º TRIM</t>
  </si>
  <si>
    <t>2º SEM</t>
  </si>
  <si>
    <t>YTD</t>
  </si>
  <si>
    <t>Banco</t>
  </si>
  <si>
    <t>Equiv.Patr.</t>
  </si>
  <si>
    <t>JCP + Dividendos</t>
  </si>
  <si>
    <t>Resultado Banco</t>
  </si>
  <si>
    <t>Hipotecária</t>
  </si>
  <si>
    <t>Resultado Congl. Financeiro</t>
  </si>
  <si>
    <t>Apoio</t>
  </si>
  <si>
    <t>Service</t>
  </si>
  <si>
    <t>Sec</t>
  </si>
  <si>
    <t>Cebraco</t>
  </si>
  <si>
    <t>Marumbi</t>
  </si>
  <si>
    <t>Tec</t>
  </si>
  <si>
    <t>Bariseg</t>
  </si>
  <si>
    <t>DI</t>
  </si>
  <si>
    <t>Bari Capital</t>
  </si>
  <si>
    <t>Resultado Coligadas</t>
  </si>
  <si>
    <t>Resultado Congl. + Coligadas</t>
  </si>
  <si>
    <t>BR Cards</t>
  </si>
  <si>
    <t>RES. TOTAL</t>
  </si>
  <si>
    <t>Amortização (estoque - projeto banco)</t>
  </si>
  <si>
    <t>Data Base -&gt;</t>
  </si>
  <si>
    <t>CONSIGNADO</t>
  </si>
  <si>
    <t>IMOBILIARIO</t>
  </si>
  <si>
    <t>TOTAL</t>
  </si>
  <si>
    <t>Realizado</t>
  </si>
  <si>
    <t>Orçado</t>
  </si>
  <si>
    <t>∆ (%)</t>
  </si>
  <si>
    <t>∆ (R$)</t>
  </si>
  <si>
    <t>RECEITAS</t>
  </si>
  <si>
    <t>Operações de Crédito</t>
  </si>
  <si>
    <t>Receita Juros</t>
  </si>
  <si>
    <t>Receita CM - Crédito Imobiliário</t>
  </si>
  <si>
    <t>Multa + Mora - Crédito Imobiliário</t>
  </si>
  <si>
    <t>Receita Juros - Cartão</t>
  </si>
  <si>
    <t xml:space="preserve">Receita Serviços </t>
  </si>
  <si>
    <t>Receita Interchange</t>
  </si>
  <si>
    <t>Receita Comissão CRI</t>
  </si>
  <si>
    <t>Barigui Veículos</t>
  </si>
  <si>
    <t>Honorários</t>
  </si>
  <si>
    <t>Securitizadora (Patrimônio Separado)</t>
  </si>
  <si>
    <t>Resultado Brasil Cards</t>
  </si>
  <si>
    <t>DESPESAS DE ORIGINAÇÃO</t>
  </si>
  <si>
    <t>Despesa de Captação*</t>
  </si>
  <si>
    <t>Inflação</t>
  </si>
  <si>
    <t>DI/Pré</t>
  </si>
  <si>
    <t>Receita Financeira + Outros</t>
  </si>
  <si>
    <t>MARGEM INTERMEDIAÇÃO</t>
  </si>
  <si>
    <t>Desvalorização e Recuperação de BNDU</t>
  </si>
  <si>
    <t>MG INTERMEDIAÇÃO LIQ</t>
  </si>
  <si>
    <t>Despesas Administrativas Diretas</t>
  </si>
  <si>
    <t>MG CONTRIBUIÇÃO DIRETA</t>
  </si>
  <si>
    <t>Desp. Administrativas Indiretas</t>
  </si>
  <si>
    <t>RESULTADO ANTES IMPOSTO</t>
  </si>
  <si>
    <t>RESULTADO ANTES PARTICIPAÇÃO</t>
  </si>
  <si>
    <t>ELO</t>
  </si>
  <si>
    <t>RESULTADO CONTÁBIL</t>
  </si>
  <si>
    <t>RESULTADO ANTES IMPOSTO RECORRENTE</t>
  </si>
  <si>
    <t>RESULTADO CONTÁBIL RECORRENTE</t>
  </si>
  <si>
    <t>Margem Bruta</t>
  </si>
  <si>
    <t>Margem Liquida</t>
  </si>
  <si>
    <t>Rácio de Eficiência</t>
  </si>
  <si>
    <t>Rácio de Eficiência Recorrente</t>
  </si>
  <si>
    <t>RPL - RES. CONTÁBIL</t>
  </si>
  <si>
    <t>RPL - RES. CONTÁBIL RECORRENTE</t>
  </si>
  <si>
    <t>Carteira de Crédito Bruta Média</t>
  </si>
  <si>
    <t>Carteira de Crédito SD Cliente Média</t>
  </si>
  <si>
    <t>Taxa Média Carteira Bruta Média</t>
  </si>
  <si>
    <t>Taxa Média Carteira SD Cliente Média</t>
  </si>
  <si>
    <t>Rateio Carteira</t>
  </si>
  <si>
    <t>Alocação de Capital</t>
  </si>
  <si>
    <t>PL Médio (Banco + Hipo)</t>
  </si>
  <si>
    <t>PL Médio (Prudencial + BRCards)</t>
  </si>
  <si>
    <t>Despesa de Captação</t>
  </si>
  <si>
    <t>Despesa de Juros</t>
  </si>
  <si>
    <t>Despesa de CM</t>
  </si>
  <si>
    <t>Despesa FGC + Outros</t>
  </si>
  <si>
    <t>Receitas De Aplicações Financeiras</t>
  </si>
  <si>
    <t>Swaps</t>
  </si>
  <si>
    <t>Receita Cobrança Ext. Cebraco</t>
  </si>
  <si>
    <t>Outros</t>
  </si>
  <si>
    <t xml:space="preserve">Comissão Correspondentes </t>
  </si>
  <si>
    <t>PART. CONTROLADAS (GESTAO + SEC)</t>
  </si>
  <si>
    <t>Consignado</t>
  </si>
  <si>
    <t xml:space="preserve">                             -  </t>
  </si>
  <si>
    <t xml:space="preserve">                                        -  </t>
  </si>
  <si>
    <t>Imobiliário</t>
  </si>
  <si>
    <t xml:space="preserve">                                     -  </t>
  </si>
  <si>
    <t>Resultado Total</t>
  </si>
  <si>
    <t>Carteira Mensal - Contábil Bruto</t>
  </si>
  <si>
    <t>Carteira Mensal - Saldo devedor (Cliente)</t>
  </si>
  <si>
    <t>PL Conglomerado Bari</t>
  </si>
  <si>
    <t>PL Consolidado Ajustado</t>
  </si>
  <si>
    <t>Carteira de Captação</t>
  </si>
  <si>
    <t>Carteira Indexada</t>
  </si>
  <si>
    <t>Imposto</t>
  </si>
  <si>
    <t>Ajuste da Amortização no totalizador</t>
  </si>
  <si>
    <t>Provisão</t>
  </si>
  <si>
    <t>Resultado Sec</t>
  </si>
  <si>
    <t>Despesas Administrativas</t>
  </si>
  <si>
    <t>Empresas Financeiras</t>
  </si>
  <si>
    <t>Empresas Não Financerias</t>
  </si>
  <si>
    <t>Participação das Não Financeiras</t>
  </si>
  <si>
    <t>Fonte dos Dados</t>
  </si>
  <si>
    <t>Banco + Hipo</t>
  </si>
  <si>
    <t>-</t>
  </si>
  <si>
    <t>Relatório Gerencial da Contabilidade</t>
  </si>
  <si>
    <t>Na planilha do mês anterior há um "de-para", recomenda-se consultar a planilha a fim de verificar a coerência nas classificações</t>
  </si>
  <si>
    <t>Receita (sem deduções) até 2023, após com dedução de 20%</t>
  </si>
  <si>
    <t>Receita de Terceiros (sem deduções) até 2023, após com dedução de 20%</t>
  </si>
  <si>
    <t>BarigSeg</t>
  </si>
  <si>
    <t>Lucro Líquido</t>
  </si>
  <si>
    <t>Pis / Cofins</t>
  </si>
  <si>
    <t>Check Contábil</t>
  </si>
  <si>
    <t>Service, Cebraco (Interno), Tec e DI.</t>
  </si>
  <si>
    <t>SG&amp;A / Pis / Cofins / ISS / IR</t>
  </si>
  <si>
    <t>Service, Cebraco, Tec e DI</t>
  </si>
  <si>
    <t>SG&amp;A / Receita Financeira</t>
  </si>
  <si>
    <t>IR/CSLL</t>
  </si>
  <si>
    <t>Gestão e Sec</t>
  </si>
  <si>
    <t>Slide 1</t>
  </si>
  <si>
    <t>Data ---&gt;</t>
  </si>
  <si>
    <t>Quantidade mês</t>
  </si>
  <si>
    <t>Banco Digital</t>
  </si>
  <si>
    <t>Juros Pagos</t>
  </si>
  <si>
    <t>Despesas</t>
  </si>
  <si>
    <t>Part. Coligadas</t>
  </si>
  <si>
    <t>RESULTADO ANTES IMPOSTO RECORRENTE *</t>
  </si>
  <si>
    <t>*Ajuste intangível + Resultado Securitizadora.</t>
  </si>
  <si>
    <t>De:</t>
  </si>
  <si>
    <t>Até:</t>
  </si>
  <si>
    <t>Proporção anual para Indicadores -&gt;</t>
  </si>
  <si>
    <t>BANCO DIGITAL</t>
  </si>
  <si>
    <t>Fornecedor</t>
  </si>
  <si>
    <t>Diferença</t>
  </si>
  <si>
    <t>Observações</t>
  </si>
  <si>
    <t>Marketing</t>
  </si>
  <si>
    <t>Pessoal</t>
  </si>
  <si>
    <t>Sistemas</t>
  </si>
  <si>
    <t>Terceiros</t>
  </si>
  <si>
    <t>Realizado x Orçado (total)</t>
  </si>
  <si>
    <t>Realizado x Orçado (sem comissão)</t>
  </si>
  <si>
    <t>TRIBUNAL DE JUSTIÇA DE SC</t>
  </si>
  <si>
    <t>CAIXA ECONOMICA FEDERAL</t>
  </si>
  <si>
    <t>OPERADOR NACIONAL DO SISTEMA DE REGISTRO</t>
  </si>
  <si>
    <t>Em linhas gerais, veio bem próximo do orçado.</t>
  </si>
  <si>
    <t>Atualizado com novo orçado, aprovado em Nov/22.</t>
  </si>
  <si>
    <t>Atualizado com novo orçado, aprovado em Jan/23.</t>
  </si>
  <si>
    <t>Atualizado com novo orçado, prévia</t>
  </si>
  <si>
    <t>Orçamento aprovado em mar/24.</t>
  </si>
  <si>
    <t>Orçamento aprovado em mar/24, ajustando rateio (sem banco digital) e amortização.</t>
  </si>
  <si>
    <t>Novo Orçamento (ainda não aprovado)</t>
  </si>
  <si>
    <t>Receita de outras taxas e serviços</t>
  </si>
  <si>
    <t>Receita de Juros PMT</t>
  </si>
  <si>
    <t>Custo de originação diferido TJEO</t>
  </si>
  <si>
    <t>PL Prudencial</t>
  </si>
  <si>
    <t>Depositos</t>
  </si>
  <si>
    <t>Recursos de Aceite e Emissão de Títulos</t>
  </si>
  <si>
    <t>Dias juros apropriados (receita)</t>
  </si>
  <si>
    <t>Margem Intermediação</t>
  </si>
  <si>
    <t xml:space="preserve">Carteira Captação Indexada </t>
  </si>
  <si>
    <t>Carteira Cred (TJEO)</t>
  </si>
  <si>
    <t>Carteira Captação Indexada</t>
  </si>
  <si>
    <t>Descasamento de margem</t>
  </si>
  <si>
    <t>CM Receita</t>
  </si>
  <si>
    <t>Receita orçada a maior</t>
  </si>
  <si>
    <t>CM Despesa</t>
  </si>
  <si>
    <t>Despesa orçada a maior</t>
  </si>
  <si>
    <t>Net</t>
  </si>
  <si>
    <t>CM média</t>
  </si>
  <si>
    <t xml:space="preserve">Dif. </t>
  </si>
  <si>
    <t>Juros diários</t>
  </si>
  <si>
    <t>Fatores que podem afetar:</t>
  </si>
  <si>
    <t>-Desconto de taxa bonificada está impactando a CM, mas ainda não temos relatórios gerenciais validar o montante do desconto.</t>
  </si>
  <si>
    <t>-Correção monetária a maior no orçado, que no realizado</t>
  </si>
  <si>
    <t>Data</t>
  </si>
  <si>
    <t>Valor extraído da planilha "TD_P&amp;L (Total)" do check contábil, célula "D12"</t>
  </si>
  <si>
    <t>Esse valor deve coincidir com a soma das contas cosif (7.1.7.99.00.000005 e 7.1.7.99.00.000007) do balancete da Cebraco</t>
  </si>
  <si>
    <t>Resultado da "BRCards" obtido da própria planilha "RESULTADO", sem considerar equivalência patrimonial (linha 26)</t>
  </si>
  <si>
    <t>3) Todas as LFs também entram no Imobiliário</t>
  </si>
  <si>
    <t>5) LFs são alocadas no Imobiliário</t>
  </si>
  <si>
    <t>4) CDBs não idexados a inflação, DPGEs e CDIs são alocados no Consignado, desde que o montante total seja suficiente para cobrir todo o valor da Carteira</t>
  </si>
  <si>
    <t>4) A provisão com a desvalorização na venda de imóveis tem como base o arquivo "Receitas e Despesas Contabilidade", para o Banco e a Hipo conta cosif 8.1.9.92.19.90.000001 e 8.3.1.50.80.00</t>
  </si>
  <si>
    <t>2) Rateio entre Consignado e Imobiliário é feito pelo tamanho da carteira ---&gt; (77% para Consignado e 23% para Imobiliário em Novembro/2025) para a base do Banco. Já para a da Hipo, é alocada integraçmente no imobiliário.</t>
  </si>
  <si>
    <r>
      <rPr>
        <b/>
        <sz val="11"/>
        <color theme="1"/>
        <rFont val="Calibri"/>
        <family val="2"/>
      </rPr>
      <t>Serviços &gt;&gt;</t>
    </r>
    <r>
      <rPr>
        <sz val="11"/>
        <color theme="1"/>
        <rFont val="Calibri"/>
        <family val="2"/>
        <scheme val="minor"/>
      </rPr>
      <t xml:space="preserve"> Grupo 7.1.7 do cosif do Banco, da Hipotecária, da DI (conta cosif: 7.1.7.00.00), receita de despachante da Service (conta cosif: 7.1.7.80.00.000024) e receita Call Center da Poio (conta cosif: 7.1.7.80.00.000002) . No arquivo de "Receitas e Despesas Contabilidade", salvo no diretório "G:\Drives compartilhados\Area - FPA\FPA\29. Checks Contabilidade\2025" há toda a relação dos "de-paras" nas abas do BANCO e da HIPO.</t>
    </r>
  </si>
  <si>
    <t>Fonte: Arquivo Patrimonio_liquido_total (Banco)</t>
  </si>
  <si>
    <t>Fonte: Arquivo Patrimonio_liquido_total (Banco + Brasil Cards)</t>
  </si>
  <si>
    <t>GABARDO E TERRA ADVOGADOS ASSOCIADOS</t>
  </si>
  <si>
    <t>Resultado Bari Capital</t>
  </si>
  <si>
    <t>Receita Juros Cartão</t>
  </si>
  <si>
    <t>Fonte: Planilha de resultados da Contabilidade;</t>
  </si>
  <si>
    <t>1) O que é cartão benefício é alocado no Consignado;</t>
  </si>
  <si>
    <t>2) As demais rúbricas contábeis do cartão são alocadas da seguinte forma: 1) 42,6% para o Consignado e 57,4% para o Imobiliário.</t>
  </si>
  <si>
    <t>As contas cosif "7.1.7.99.00.00.000015 - RECEITA INTERCHANGE - FUNCAO CREDITO", "7.1.7.99.00.00.000016 - RECEITA INTERCHANGE - FUNCAO DEBITO" e "7.1.7.99.00.00.000017 - BOLETO DE DEPOSITO LIQUIDADO" são alocada em Receita de Interchange. A divisão entre Consignado e Imobiliário é feita da seguinte forma: 42,6% para Consignado e 57,4% para Imobiliário.</t>
  </si>
  <si>
    <t>Comissão Diferida (TJEO)</t>
  </si>
  <si>
    <t>Componente Juros</t>
  </si>
  <si>
    <t>Componente Inflação</t>
  </si>
  <si>
    <t xml:space="preserve">Amortização </t>
  </si>
  <si>
    <t>Até 2025</t>
  </si>
  <si>
    <t>A partir de 2026</t>
  </si>
  <si>
    <t>Desp. Administrativas Realizadas</t>
  </si>
  <si>
    <t>IR e CSLL das coligadas</t>
  </si>
  <si>
    <t>Mídia Paga</t>
  </si>
  <si>
    <t>Folha Apoio</t>
  </si>
  <si>
    <t>&gt;&gt;&gt; Entra na linha de Comissões</t>
  </si>
  <si>
    <t>&gt;&gt; Entra como IR e CSLL</t>
  </si>
  <si>
    <t>Contingências Trabalhistas/Civeis e Outros</t>
  </si>
  <si>
    <t>Recuperação de Despesas</t>
  </si>
  <si>
    <t>Receitas Financeiras das periféricas</t>
  </si>
  <si>
    <t>É Orçado, mas não está no Dash</t>
  </si>
  <si>
    <t>&gt;&gt;&gt; Sazonal</t>
  </si>
  <si>
    <t>&gt;&gt;&gt; Não é sazonal</t>
  </si>
  <si>
    <t>ISS - Service, Tec, Cebraco e Apoio</t>
  </si>
  <si>
    <t>PIS e COFINS - Service, Tec, Cebraco e Apoio</t>
  </si>
  <si>
    <t>PART. CONTROLADAS ( SEC)</t>
  </si>
  <si>
    <t>&gt;&gt;&gt; Planilha da PDD</t>
  </si>
  <si>
    <t>&gt;&gt; Dash de Captação</t>
  </si>
  <si>
    <t>Comissão (Apoio - Comercial - Mídia Paga)</t>
  </si>
  <si>
    <t xml:space="preserve">Novo Orçamento </t>
  </si>
  <si>
    <t>Check</t>
  </si>
  <si>
    <t>Desvalorização de BNDU</t>
  </si>
  <si>
    <t>Resulta Br Cards</t>
  </si>
  <si>
    <t>Contrato</t>
  </si>
  <si>
    <t>Nome</t>
  </si>
  <si>
    <t>Saldo Atual</t>
  </si>
  <si>
    <t>Saldo M-1</t>
  </si>
  <si>
    <t>Atraso</t>
  </si>
  <si>
    <t>Atraso M-1</t>
  </si>
  <si>
    <t>PDD</t>
  </si>
  <si>
    <t>PDD M-1</t>
  </si>
  <si>
    <t>Evolução</t>
  </si>
  <si>
    <t>504026-4</t>
  </si>
  <si>
    <t>FERRAGEM THONY LTDA</t>
  </si>
  <si>
    <t>502813-2</t>
  </si>
  <si>
    <t>JOSE GERALDO DE BARROS COSCELLI</t>
  </si>
  <si>
    <t>503527-9</t>
  </si>
  <si>
    <t>MARCELO THYSE DE AZEVEDO STEIN</t>
  </si>
  <si>
    <t>010583-A</t>
  </si>
  <si>
    <t>SOPETRA ROLAMENTOS E PECAS LTDA.</t>
  </si>
  <si>
    <t>011423-5</t>
  </si>
  <si>
    <t>JORGE VACITE NETO</t>
  </si>
  <si>
    <t>010775-1</t>
  </si>
  <si>
    <t>ROBERTO PROVASI DE CAROLICE BARBOSA</t>
  </si>
  <si>
    <t>500299-0</t>
  </si>
  <si>
    <t>JORGE ASSAD</t>
  </si>
  <si>
    <t>507878-4</t>
  </si>
  <si>
    <t>LILIANE MARIA COUTINHO BARBOSA</t>
  </si>
  <si>
    <t>506303-5</t>
  </si>
  <si>
    <t>JACSON MOREIRA NIZA</t>
  </si>
  <si>
    <t>505674-8</t>
  </si>
  <si>
    <t>MARCELO CHIBA PROENÇA</t>
  </si>
  <si>
    <t>013637-9</t>
  </si>
  <si>
    <t>ELLY JOSE CORREIA</t>
  </si>
  <si>
    <t>504766-8</t>
  </si>
  <si>
    <t>PEDRO PAULO MOLLO NETO</t>
  </si>
  <si>
    <t>507892-A</t>
  </si>
  <si>
    <t>FABIO FABRICIO MANIGLIA</t>
  </si>
  <si>
    <t>505037-5</t>
  </si>
  <si>
    <t>AFRANIO AFFONSO FERREIRA NETO</t>
  </si>
  <si>
    <t>011303-4</t>
  </si>
  <si>
    <t>MARCOS TULIO SILVEIRA FREITAS</t>
  </si>
  <si>
    <t>502993-7</t>
  </si>
  <si>
    <t>JOSE MAURICIO ZULINI</t>
  </si>
  <si>
    <t>504325-5</t>
  </si>
  <si>
    <t>ERICA MARCIANA SOUSA</t>
  </si>
  <si>
    <t>505728-0</t>
  </si>
  <si>
    <t>FABIO KENJI SERRA FUGIWARA</t>
  </si>
  <si>
    <t>010159-1</t>
  </si>
  <si>
    <t>MURILO ESTEVES DE CARVALHO</t>
  </si>
  <si>
    <t>011120-1</t>
  </si>
  <si>
    <t>CLAUDIA BARBOSA DE BRITO</t>
  </si>
  <si>
    <t>507893-8</t>
  </si>
  <si>
    <t>EUGENIO PACELLI ROMA FERNANDES</t>
  </si>
  <si>
    <t>011204-6</t>
  </si>
  <si>
    <t>ZAQUEO ALVES DA LUZ</t>
  </si>
  <si>
    <t>013643-3</t>
  </si>
  <si>
    <t>CICERO AUGUSTO GOULART</t>
  </si>
  <si>
    <t>012488-5</t>
  </si>
  <si>
    <t>RICARDO ANTONIO PORTELLA BARROSO</t>
  </si>
  <si>
    <t>506418-A</t>
  </si>
  <si>
    <t>ELIAS ROBERTO DE PAIVA</t>
  </si>
  <si>
    <t>011192-9</t>
  </si>
  <si>
    <t>ALEX RAPHAEL MESCHINI</t>
  </si>
  <si>
    <t>503836-7</t>
  </si>
  <si>
    <t>EDIR KESTRING PERIN</t>
  </si>
  <si>
    <t>013704-9</t>
  </si>
  <si>
    <t>RAFAEL DA SILVA DA LUZ</t>
  </si>
  <si>
    <t>504924-5</t>
  </si>
  <si>
    <t>DEBORA MONTEIRO FERNANDES</t>
  </si>
  <si>
    <t>012383-8</t>
  </si>
  <si>
    <t>FLAVIA VINOCUR WAHBA</t>
  </si>
  <si>
    <t>504758-7</t>
  </si>
  <si>
    <t>MAX DE OLIVEIRA YOSHIZAKI</t>
  </si>
  <si>
    <t>012585-7</t>
  </si>
  <si>
    <t>SIMONE PAES</t>
  </si>
  <si>
    <t>013651-4</t>
  </si>
  <si>
    <t>JOSEANE BITTENCOURT ALTHOFF</t>
  </si>
  <si>
    <t>503279-2</t>
  </si>
  <si>
    <t>ROSELI DE LIMA RAMOS XAVIER</t>
  </si>
  <si>
    <t>011426-A</t>
  </si>
  <si>
    <t>TIAGO OLIVEIRA DE SOUSA</t>
  </si>
  <si>
    <t>500885-9</t>
  </si>
  <si>
    <t>ANDERSON SANTOS DA SILVA</t>
  </si>
  <si>
    <t>507857-1</t>
  </si>
  <si>
    <t>THIAGO BUENO DE OLIVEIRA</t>
  </si>
  <si>
    <t>505417-6</t>
  </si>
  <si>
    <t>FRANKLIN GRAY ELVAS PEREIRA</t>
  </si>
  <si>
    <t>009136-7</t>
  </si>
  <si>
    <t>ROGER RODRIGUES DA SILVA</t>
  </si>
  <si>
    <t>500474-8</t>
  </si>
  <si>
    <t>JOSE MIGUEL SAKER NETO</t>
  </si>
  <si>
    <t>506461-9</t>
  </si>
  <si>
    <t>MAURO DE PAULA RAMOS</t>
  </si>
  <si>
    <t>010589-9</t>
  </si>
  <si>
    <t>EDUARDO DAMAZO CAMARGO SILVA</t>
  </si>
  <si>
    <t>504741-2</t>
  </si>
  <si>
    <t>MAURICIO PERPETUO PEREIRA MANZANO</t>
  </si>
  <si>
    <t>502611-3</t>
  </si>
  <si>
    <t>ALICE GEORGES ELIAS</t>
  </si>
  <si>
    <t>013664-6</t>
  </si>
  <si>
    <t>CELIO ROBERTO LOPES</t>
  </si>
  <si>
    <t>503979-7</t>
  </si>
  <si>
    <t>RENATO TRABULSI ASHCAR</t>
  </si>
  <si>
    <t>507845-8</t>
  </si>
  <si>
    <t>CARLOS ROBERTO DENANI</t>
  </si>
  <si>
    <t>505831-7</t>
  </si>
  <si>
    <t>THIAGO JACINTO RIBEIRO</t>
  </si>
  <si>
    <t>013698-0</t>
  </si>
  <si>
    <t>VICENTE ALVES CABRAL JUNIOR</t>
  </si>
  <si>
    <t>012891-0</t>
  </si>
  <si>
    <t>FABIO PRADO BACHA</t>
  </si>
  <si>
    <t>011855-9</t>
  </si>
  <si>
    <t>JORASA INCORPORACOES E EMPREEND. LTDA</t>
  </si>
  <si>
    <t>505032-4</t>
  </si>
  <si>
    <t>JOSE CARLOS TORRES</t>
  </si>
  <si>
    <t>504937-7</t>
  </si>
  <si>
    <t>LUIZ ALBERTO NACCARI</t>
  </si>
  <si>
    <t>507043-0</t>
  </si>
  <si>
    <t>WILDEM CLAY SOUSA VIEIRA</t>
  </si>
  <si>
    <t>011543-6</t>
  </si>
  <si>
    <t>ADALBERTO FIORE</t>
  </si>
  <si>
    <t>507847-4</t>
  </si>
  <si>
    <t>CESAR BENIGNO CLAUDINO</t>
  </si>
  <si>
    <t>503783-2</t>
  </si>
  <si>
    <t>JOAO JOSE CASCAES DIAS</t>
  </si>
  <si>
    <t>500378-4</t>
  </si>
  <si>
    <t>ELANIA CAMILO DE SOUSA AMARAL</t>
  </si>
  <si>
    <t>013662-A</t>
  </si>
  <si>
    <t>MARIA C DA SILVEIRA MACHADO CORNETTI</t>
  </si>
  <si>
    <t>012970-4</t>
  </si>
  <si>
    <t>DANILO SILVEIRA RODRIGUES</t>
  </si>
  <si>
    <t>012844-9</t>
  </si>
  <si>
    <t>RUBIA MUNHOZ ARISA</t>
  </si>
  <si>
    <t>009884-1</t>
  </si>
  <si>
    <t>PAULO MARCOS DE OLIVEIRA</t>
  </si>
  <si>
    <t>504275-5</t>
  </si>
  <si>
    <t>ADRIANE FERNANDES NOVO</t>
  </si>
  <si>
    <t>011328-A</t>
  </si>
  <si>
    <t>ADRIANO REIS DE PAULA</t>
  </si>
  <si>
    <t>013699-9</t>
  </si>
  <si>
    <t>PAULA ROBERTA CECCON ORO</t>
  </si>
  <si>
    <t>007790-9</t>
  </si>
  <si>
    <t>ASBOR ADM DE BENS LTDA</t>
  </si>
  <si>
    <t>013143-1</t>
  </si>
  <si>
    <t>LILIAN ZO</t>
  </si>
  <si>
    <t>012510-5</t>
  </si>
  <si>
    <t>ANDRESSA STEFANELLO RIGHI</t>
  </si>
  <si>
    <t>012580-6</t>
  </si>
  <si>
    <t>OSEAS BANDEIRA DA SILVA JUNIOR</t>
  </si>
  <si>
    <t>011703-A</t>
  </si>
  <si>
    <t>CLEONICE BARBOZA CASSEMIRO</t>
  </si>
  <si>
    <t>503172-9</t>
  </si>
  <si>
    <t>DEBORA JACQUELINI PEREIRA</t>
  </si>
  <si>
    <t>Despesas Adm. Diretas + Indiretas</t>
  </si>
  <si>
    <t>Alíquota de IR/CSLL</t>
  </si>
  <si>
    <t>∆</t>
  </si>
  <si>
    <t>Comissão de correspondentes paga para a Apoio</t>
  </si>
  <si>
    <t>GOOGLE</t>
  </si>
  <si>
    <t>Pagamentos retroativos e valor alinhado com o Ugo e Willian dentro do percentual gasto de aquisição.</t>
  </si>
  <si>
    <t>FACEBOOK</t>
  </si>
  <si>
    <t>TOPVIEW BRANDING</t>
  </si>
  <si>
    <t xml:space="preserve">Posicionamneto da marca em canais digitais + aquisição de Leads </t>
  </si>
  <si>
    <t>PROVISÃO PARA PLR</t>
  </si>
  <si>
    <t>BANCO BRADESCO</t>
  </si>
  <si>
    <t>Cartão Corporativo</t>
  </si>
  <si>
    <t>BANCO BARI DE INVESTIMENTOS</t>
  </si>
  <si>
    <t xml:space="preserve">Não tivemos taxas ou custas judiciais </t>
  </si>
  <si>
    <t>Não tivemos depósitos judiciais ou condenações</t>
  </si>
  <si>
    <t xml:space="preserve">Pagamentos de honorários advocatícios abaixo do orçado </t>
  </si>
  <si>
    <t>Menos serviços prestados em relação à média</t>
  </si>
  <si>
    <t>OUTROS REPASSES A ÓRGÃOS PÚBLICOS</t>
  </si>
  <si>
    <t>Repasses abaixo do orçado</t>
  </si>
  <si>
    <t>KPMG AUDITORES INDEPENDENTES</t>
  </si>
  <si>
    <t>Contrato com o fornecedor ainda não renovado, apenas valor provisionado com base no realizado do ano anterior</t>
  </si>
  <si>
    <t>RTM</t>
  </si>
  <si>
    <t>Custo de manutenção de servidores</t>
  </si>
  <si>
    <t>PL</t>
  </si>
  <si>
    <t>Resultado MEP</t>
  </si>
  <si>
    <t>Carteira Contábil Crédito</t>
  </si>
  <si>
    <t>Carteira Cliente Crédito</t>
  </si>
  <si>
    <t>Rateio da Carteira</t>
  </si>
  <si>
    <t>PL Médio</t>
  </si>
  <si>
    <t xml:space="preserve">Consignado </t>
  </si>
  <si>
    <t xml:space="preserve">Imobiliário </t>
  </si>
  <si>
    <t xml:space="preserve">Despesas Administrativas </t>
  </si>
  <si>
    <t>PART. ALIENAÇÃO CONTROLADAS (BARICOR e GESTÃO)</t>
  </si>
  <si>
    <t>Valor líquido</t>
  </si>
  <si>
    <t>Taxas e serviços</t>
  </si>
  <si>
    <t>Correção sobre a venda parcelada</t>
  </si>
  <si>
    <t>ÁGIO BARISEG REF. VENDA BARICOR</t>
  </si>
  <si>
    <t>Carteira de Crédito SD Cliente (média)</t>
  </si>
  <si>
    <t>Taxa Média Carteira</t>
  </si>
  <si>
    <t>Atualização da aba RESULTADO</t>
  </si>
  <si>
    <t>1.1</t>
  </si>
  <si>
    <t xml:space="preserve">Insira uma coluna após a última coluna com dados do mês anterior </t>
  </si>
  <si>
    <t>1.2</t>
  </si>
  <si>
    <t>Cole os dados disponibilizados na planilha do P&amp;L da data-base atual</t>
  </si>
  <si>
    <t>1.3</t>
  </si>
  <si>
    <t>Verifique se os dados estão corretos conforme as linhas da tabela</t>
  </si>
  <si>
    <t>1.4</t>
  </si>
  <si>
    <t>Atualize a fórmula de variação na útlima coluna</t>
  </si>
  <si>
    <t>Atualização da aba P&amp;L Mensal - Anualizado</t>
  </si>
  <si>
    <t>DATA BASE --&gt;</t>
  </si>
  <si>
    <t>2.1</t>
  </si>
  <si>
    <t>Pular uma coluna e inserir a data-base atualizada</t>
  </si>
  <si>
    <t>2.2</t>
  </si>
  <si>
    <t xml:space="preserve">Colar as colunas da aba P&amp;L Mensal, na mesma formatação utilizada na planilha </t>
  </si>
  <si>
    <t>2.3</t>
  </si>
  <si>
    <t>Verificar se os valores correspondem com a linha presente</t>
  </si>
  <si>
    <t>3.1</t>
  </si>
  <si>
    <t>Atualização da aba P&amp;L Acumulado</t>
  </si>
  <si>
    <t>Colar os dados disponibilizados na planilha do P&amp;L</t>
  </si>
  <si>
    <t>Atualização da aba Comparativo 2026 x 2025</t>
  </si>
  <si>
    <t>4.1</t>
  </si>
  <si>
    <t>Colar os dados da aba P&amp;L Acumulado</t>
  </si>
  <si>
    <t>4.2</t>
  </si>
  <si>
    <t>Colar os dados da aba P&amp;L Acumulado referente ao mesmo período do ano passado</t>
  </si>
  <si>
    <t>Atualização do Dashboard Streamlit</t>
  </si>
  <si>
    <t>Encaminhe ao Claude o seguinte prompt</t>
  </si>
  <si>
    <t>Anexe no Claude a planilha BASE_DASHBOARD_PL_2026 e o código atual do stream lit, salvo na pasta "G:\Drives compartilhados\Area - FPA\FPA\29. Checks Contabilidade\2026\Nova pasta\streamlit_app.py"</t>
  </si>
  <si>
    <t>5.2</t>
  </si>
  <si>
    <t>5.3</t>
  </si>
  <si>
    <t>Copie o código enviado pelo Claude e acesse o editor do código no Github e cole o novo código</t>
  </si>
  <si>
    <t>5.4</t>
  </si>
  <si>
    <t>Verifique se o dashboard foi atualizado e se TODOS os valores estão corretos</t>
  </si>
  <si>
    <t>https://pl-dashboard-bariv2-e8vph2fztfoysynznzbmes.streamlit.app/</t>
  </si>
  <si>
    <t>1º</t>
  </si>
  <si>
    <t>2º</t>
  </si>
  <si>
    <t>3º</t>
  </si>
  <si>
    <t>DASHBOARD P&amp;L 2026</t>
  </si>
  <si>
    <t>Resultados</t>
  </si>
  <si>
    <t>Aba</t>
  </si>
  <si>
    <t xml:space="preserve">Principais Resultados </t>
  </si>
  <si>
    <t>Resultado Conglomerado Financeiro</t>
  </si>
  <si>
    <t>Resultado Conglomerado + Coligadas</t>
  </si>
  <si>
    <t>∆ 02/26</t>
  </si>
  <si>
    <t>∆ 03/26</t>
  </si>
  <si>
    <t>∆ 05/26</t>
  </si>
  <si>
    <t>∆ 04/26</t>
  </si>
  <si>
    <t>Resultado Total Acumulado em 2026</t>
  </si>
  <si>
    <t>Composição do Resultado Total Acumulado</t>
  </si>
  <si>
    <t>Resultado Contábil Acumulado x Orçado 2026</t>
  </si>
  <si>
    <t>Restante</t>
  </si>
  <si>
    <t>Total da Meta %</t>
  </si>
  <si>
    <t>P&amp;L Mensal</t>
  </si>
  <si>
    <t>Principais Linhas do P&amp;L Mensal</t>
  </si>
  <si>
    <t>Receitas</t>
  </si>
  <si>
    <t>Margem de Intermediação</t>
  </si>
  <si>
    <t xml:space="preserve">RESULTADO ANTES DO IMPOSTO </t>
  </si>
  <si>
    <t>∆ Total</t>
  </si>
  <si>
    <t>∆ Consignado</t>
  </si>
  <si>
    <t>∆ Imobiliário</t>
  </si>
  <si>
    <t>Realizado x Orçado por linha principal</t>
  </si>
  <si>
    <t xml:space="preserve">Realizado </t>
  </si>
  <si>
    <t>P&amp;L Acumulado</t>
  </si>
  <si>
    <t>Acumulado 2026</t>
  </si>
  <si>
    <t>Acumulado 2025</t>
  </si>
  <si>
    <t>∆ 2026 x 2025</t>
  </si>
  <si>
    <t>Principais Linhas do P&amp;L Acumulado</t>
  </si>
  <si>
    <t>MG Intermediação Líquida Acumulada 2026</t>
  </si>
  <si>
    <t>Margem de Intermediação Acumulada 2026</t>
  </si>
  <si>
    <t>MG Contribuição Direta Acumulada 2026</t>
  </si>
  <si>
    <t>Resultado Antes do Imposto Acumulado 2026</t>
  </si>
  <si>
    <t>Resultado Contábil Acumulado 2026</t>
  </si>
  <si>
    <t>Carteira de Crédito Acumulada 2026</t>
  </si>
  <si>
    <t>PL Médio Acumulado 2026</t>
  </si>
  <si>
    <t>Resultado 2026 x 2025</t>
  </si>
  <si>
    <t>Realizado 2026</t>
  </si>
  <si>
    <t>Resultado 2025</t>
  </si>
  <si>
    <t>Resultado Securitizadora e Bariseg</t>
  </si>
  <si>
    <t>CARTEIRA DE CRÉDITO (MÉDIA DO SEMESTRE)</t>
  </si>
  <si>
    <t>*Considerando part. Controladas e após Maio/23, ajustando o efeito do ágil.</t>
  </si>
  <si>
    <t>Análise de descasemento de indexadores</t>
  </si>
  <si>
    <t>Receita CM de Crédito / Carteira Média</t>
  </si>
  <si>
    <t>Despesa CM de Captação / Carteira média Indexada</t>
  </si>
  <si>
    <t>Análise de descasemento de despesas</t>
  </si>
  <si>
    <t>Carteira de Captação Média</t>
  </si>
  <si>
    <t>Carteira média DI/Pré</t>
  </si>
  <si>
    <t>Carteira média Indexada</t>
  </si>
  <si>
    <t>Atualização mensal do dashboard de P&amp;L (Banco Bari).
Anexei dois arquivos:
- BASE_DASHBOARD_PL_2026.xlsx → a planilha com a nova data base
- streamlit_app.py → o código atual do dashboard
Quero que você atualize o CÓDIGO para a nova data base. NÃO altere a planilha. Antes de editar, investigue a planilha e o dashboard atual e mantenha EXATAMENTE o mesmo formato/layout visual do dashboard (ordem das seções, cards, gráficos, cabeçalhos, cores, textos fixos) — não altere nada na estrutura ou no design. Atualize SOMENTE os valores e as comparações. No final, me devolva APENAS o streamlit_app.py completo e atualizado.
Antes de editar, siga estas regras:
1) Descubra a data base e o nº de meses acumulados do ano lendo a planilha (na aba "Comparativo 2026 x 2025", linha 0: o campo "Até:" dá o último mês, e "Proporção anual" = 12 / nº de meses). Confirme também em "P&amp;L Acumulado".
2) Rótulos do comparativo são VARIÁVEIS conforme o mês. Use o padrão "Acum. NM 26" / "Acum. NM 25", onde N = nº de meses acumulados (maio = 5M, junho = 6M, julho = 7M, e assim por diante). Troque em TODOS os lugares do comparativo (títulos de seção, cards, "vs ...", cabeçalhos de tabela e de gráfico). NÃO altere o dicionário mes_para_trimestre (é outro recurso).
3) Comparativo 2026 x 2025: monte o comparativo cruzando as abas "Comparativo 2026 x 2025" E "P&amp;L Acumulado" (não use apenas uma das duas como fonte). Leia as colunas de cada produto (Consignado/Imobiliário/Total) de forma DINÂMICA em cada bloco. Os blocos de 2026 e de 2025 podem ter número de colunas diferente (ex.: o de 2025 às vezes tem uma coluna extra "BANCO DIGITAL"). Não use offsets fixos de coluna.
4) NÃO deixe nenhum valor numérico chumbado no código. Os valores de carteira, comissão e amortização devem vir da planilha:
- Carteira (Total): casar por "contains carteira".
- Comissão 2025 (Total): casamento EXATO com "comissao" (para NÃO pegar "Receita Comissão CRI", que também contém "comissão").
- Amortização (Total): "contains amortizacao".
5) Aba P&amp;L Mensal: leia TODOS os meses. Detecte cada bloco mensal pela DATA do cabeçalho (que tem os produtos 2 linhas abaixo), e não pelo texto "DATA BASE --&gt;" — só o bloco de janeiro tem esse texto; os demais trazem só a data.
6) As abas Resultados, P&amp;L Mensal, P&amp;L Acumulado e Comparativo 2026 x 2025 leem as datas dinamicamente. Confirme que todas já enxergam o novo mês.
7) Antes de me entregar: valide rodando os carregadores contra a planilha, conferindo que os valores batem (Receitas, Resultado Contábil, Carteira, Comissão, Amortização, comparativo 2026 x 2025 etc.) e que o app executa SEM erros. Reforço: mantenha exatamente o mesmo layout/formato visual do dashboard — a única mudança permitida são os valores e as comparações.
8) Se a estrutura da planilha tiver mudado de um jeito que exija uma decisão minha (ex.: rótulo de um período que não se encaixa no padrão "NM", ou divergência entre as abas "Comparativo 2026 x 2025" e "P&amp;L Acumulado"), me pergunte de forma objetiva antes de finalizar.</t>
  </si>
  <si>
    <t>∆ 06/26</t>
  </si>
  <si>
    <t>RECEITA ANUALIZADA POR COLABORADOR</t>
  </si>
  <si>
    <t>S/ CEBRACO</t>
  </si>
  <si>
    <t>C/ CEBRACO</t>
  </si>
  <si>
    <t>Orçado*</t>
  </si>
  <si>
    <t>Resultado Realizado anualizado</t>
  </si>
  <si>
    <t>PL Realizado Anualizado</t>
  </si>
  <si>
    <t>ROE Anualizado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</si>
</sst>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[$-416]mmm\-yy;@"/>
    <numFmt numFmtId="166" formatCode="_(* #,##0_);_(* \(#,##0\);_(* &quot;-&quot;??_);_(@_)"/>
    <numFmt numFmtId="167" formatCode="0.0%"/>
    <numFmt numFmtId="168" formatCode="[$-416]mmmm\-yy;@"/>
    <numFmt numFmtId="169" formatCode="_([$€-2]* #,##0.00_);_([$€-2]* \(#,##0.00\);_([$€-2]* \-??_)"/>
    <numFmt numFmtId="170" formatCode="_(&quot;R$ &quot;* #,##0.00_);_(&quot;R$ &quot;* \(#,##0.00\);_(&quot;R$ &quot;* \-??_);_(@_)"/>
    <numFmt numFmtId="171" formatCode="_-&quot;R$&quot;* #,##0.00_-;\-&quot;R$&quot;* #,##0.00_-;_-&quot;R$&quot;* &quot;-&quot;??_-;_-@_-"/>
    <numFmt numFmtId="172" formatCode="_-* #,##0_-;\-* #,##0_-;_-* &quot;-&quot;??_-;_-@_-"/>
    <numFmt numFmtId="173" formatCode="#,##0;[Red]\(#,##0\)"/>
    <numFmt numFmtId="174" formatCode="0.0%;[Red]\(0.0%\)"/>
    <numFmt numFmtId="175" formatCode="_-* #,##0.0_-;\-* #,##0.0_-;_-* &quot;-&quot;??_-;_-@_-"/>
    <numFmt numFmtId="176" formatCode="0.00%;[Red]\(0.00%\)"/>
    <numFmt numFmtId="177" formatCode="_([$€-2]* #,##0.00_);_([$€-2]* \(#,##0.00\);_([$€-2]* &quot;-&quot;??_)"/>
    <numFmt numFmtId="178" formatCode="_(* #,##0.00_);_(* \(#,##0.00\);_(* \-??_);_(@_)"/>
    <numFmt numFmtId="179" formatCode="0.00&quot; pp&quot;;[Red]\-0.00&quot; pp&quot;"/>
    <numFmt numFmtId="180" formatCode="0.0&quot; pp&quot;;[Red]\-0.0&quot; pp&quot;"/>
    <numFmt numFmtId="181" formatCode="0.0\ &quot;pp&quot;;[Red]\(0.0\ &quot;pp&quot;\)"/>
    <numFmt numFmtId="182" formatCode="[Black]0.0%;[Red]\(0.0%\);\-"/>
    <numFmt numFmtId="183" formatCode="[Black]#,##0;[Red]\(#,##0\);\-"/>
    <numFmt numFmtId="184" formatCode="mmm\-yy"/>
    <numFmt numFmtId="185" formatCode="_(* #,##0.00_);_*\ \(\-#,##0.00;_(* &quot;-&quot;??_);_(@_)"/>
    <numFmt numFmtId="186" formatCode="0.0%;\-0.0%"/>
    <numFmt numFmtId="187" formatCode="0.0%;\-0.0%;\-"/>
    <numFmt numFmtId="188" formatCode="#,##0;\-#,##0;\-"/>
    <numFmt numFmtId="189" formatCode="0.0\ &quot;pp&quot;;\-0.0\ &quot;pp&quot;"/>
    <numFmt numFmtId="190" formatCode="0.0&quot; pp&quot;;\-0.0&quot; pp&quot;"/>
    <numFmt numFmtId="191" formatCode="m/d/yyyy"/>
    <numFmt numFmtId="192" formatCode="#,##0;[Black]\-#,##0"/>
    <numFmt numFmtId="193" formatCode="[Black]0.0%;\-0.0%;\-"/>
    <numFmt numFmtId="194" formatCode="[Black]#,##0;\-#,##0;\-"/>
    <numFmt numFmtId="195" formatCode="0.00&quot; pp&quot;;\-0.00&quot; pp&quot;"/>
    <numFmt numFmtId="196" formatCode="0.00%;\-0.00%"/>
  </numFmts>
  <fonts count="6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Tahoma"/>
      <family val="2"/>
    </font>
    <font>
      <sz val="9"/>
      <name val="Tahoma"/>
      <family val="2"/>
    </font>
    <font>
      <b/>
      <sz val="1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Tahoma"/>
      <family val="2"/>
    </font>
    <font>
      <b/>
      <sz val="15"/>
      <color indexed="56"/>
      <name val="Calibri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i/>
      <sz val="9"/>
      <name val="Tahoma"/>
      <family val="2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8"/>
      <name val="Tahoma"/>
      <family val="2"/>
    </font>
    <font>
      <i/>
      <sz val="10"/>
      <name val="Nunito"/>
    </font>
    <font>
      <i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Calibri"/>
      <family val="2"/>
    </font>
    <font>
      <i/>
      <sz val="11"/>
      <color rgb="FFFF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Tahoma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Times New Roman"/>
      <family val="1"/>
    </font>
    <font>
      <sz val="11"/>
      <color indexed="8"/>
      <name val="Calibri"/>
      <family val="2"/>
    </font>
    <font>
      <sz val="10"/>
      <color theme="1"/>
      <name val="Verdana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  <scheme val="minor"/>
    </font>
    <font>
      <b/>
      <sz val="9"/>
      <color theme="0"/>
      <name val="Tahoma"/>
      <family val="2"/>
    </font>
    <font>
      <b/>
      <i/>
      <sz val="11"/>
      <name val="Calibri"/>
      <family val="2"/>
      <scheme val="minor"/>
    </font>
    <font>
      <sz val="9"/>
      <color rgb="FFFF0000"/>
      <name val="Tahoma"/>
      <family val="2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8"/>
      <name val="Calibri"/>
      <family val="2"/>
      <scheme val="minor"/>
    </font>
    <font>
      <b/>
      <sz val="9"/>
      <color rgb="FF000000"/>
      <name val="Tahoma"/>
      <family val="2"/>
    </font>
    <font>
      <sz val="11"/>
      <color rgb="FF000000"/>
      <name val="Calibri"/>
      <family val="2"/>
      <scheme val="minor"/>
    </font>
    <font>
      <sz val="9"/>
      <color rgb="FF000000"/>
      <name val="Tahoma"/>
      <family val="2"/>
    </font>
    <font>
      <i/>
      <sz val="11"/>
      <color rgb="FF000000"/>
      <name val="Calibri"/>
      <family val="2"/>
      <scheme val="minor"/>
    </font>
  </fonts>
  <fills count="5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indexed="64"/>
      </patternFill>
    </fill>
  </fills>
  <borders count="5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rgb="FF000000"/>
      </top>
      <bottom/>
      <diagonal/>
    </border>
    <border>
      <left style="medium">
        <color auto="1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auto="1"/>
      </left>
      <right/>
      <top style="medium">
        <color rgb="FF000000"/>
      </top>
      <bottom/>
      <diagonal/>
    </border>
    <border>
      <left/>
      <right style="medium">
        <color auto="1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auto="1"/>
      </left>
      <right style="medium">
        <color rgb="FF000000"/>
      </right>
      <top/>
      <bottom/>
      <diagonal/>
    </border>
  </borders>
  <cellStyleXfs count="4315">
    <xf numFmtId="0" fontId="0" fillId="0" borderId="0"/>
    <xf numFmtId="43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8" applyNumberFormat="0" applyFill="0" applyAlignment="0" applyProtection="0"/>
    <xf numFmtId="0" fontId="9" fillId="0" borderId="9" applyNumberFormat="0" applyFill="0" applyAlignment="0" applyProtection="0"/>
    <xf numFmtId="0" fontId="10" fillId="0" borderId="10" applyNumberFormat="0" applyFill="0" applyAlignment="0" applyProtection="0"/>
    <xf numFmtId="0" fontId="10" fillId="0" borderId="0" applyNumberFormat="0" applyFill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/>
    <xf numFmtId="0" fontId="14" fillId="14" borderId="11" applyNumberFormat="0" applyAlignment="0" applyProtection="0"/>
    <xf numFmtId="0" fontId="15" fillId="15" borderId="12" applyNumberFormat="0" applyAlignment="0" applyProtection="0"/>
    <xf numFmtId="0" fontId="16" fillId="15" borderId="11" applyNumberFormat="0" applyAlignment="0" applyProtection="0"/>
    <xf numFmtId="0" fontId="17" fillId="0" borderId="13" applyNumberFormat="0" applyFill="0" applyAlignment="0" applyProtection="0"/>
    <xf numFmtId="0" fontId="18" fillId="16" borderId="14" applyNumberFormat="0" applyAlignment="0" applyProtection="0"/>
    <xf numFmtId="0" fontId="19" fillId="0" borderId="0" applyNumberFormat="0" applyFill="0" applyBorder="0" applyAlignment="0" applyProtection="0"/>
    <xf numFmtId="0" fontId="1" fillId="17" borderId="15" applyNumberFormat="0" applyFont="0" applyAlignment="0" applyProtection="0"/>
    <xf numFmtId="0" fontId="20" fillId="0" borderId="0" applyNumberFormat="0" applyFill="0" applyBorder="0" applyAlignment="0" applyProtection="0"/>
    <xf numFmtId="0" fontId="2" fillId="0" borderId="16" applyNumberFormat="0" applyFill="0" applyAlignment="0" applyProtection="0"/>
    <xf numFmtId="0" fontId="2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2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165" fontId="1" fillId="0" borderId="0"/>
    <xf numFmtId="165" fontId="1" fillId="0" borderId="0"/>
    <xf numFmtId="0" fontId="1" fillId="0" borderId="0"/>
    <xf numFmtId="165" fontId="1" fillId="0" borderId="0"/>
    <xf numFmtId="43" fontId="23" fillId="0" borderId="0" applyFont="0" applyFill="0" applyBorder="0" applyAlignment="0" applyProtection="0">
      <alignment vertical="top"/>
    </xf>
    <xf numFmtId="0" fontId="22" fillId="0" borderId="0"/>
    <xf numFmtId="0" fontId="25" fillId="0" borderId="0"/>
    <xf numFmtId="9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169" fontId="3" fillId="0" borderId="0" applyFill="0" applyBorder="0" applyAlignment="0" applyProtection="0"/>
    <xf numFmtId="170" fontId="3" fillId="0" borderId="0" applyFill="0" applyBorder="0" applyAlignment="0" applyProtection="0"/>
    <xf numFmtId="0" fontId="27" fillId="0" borderId="17" applyNumberFormat="0" applyFill="0" applyAlignment="0" applyProtection="0"/>
    <xf numFmtId="43" fontId="3" fillId="0" borderId="0" applyFill="0" applyBorder="0" applyAlignment="0" applyProtection="0"/>
    <xf numFmtId="0" fontId="28" fillId="0" borderId="0" applyNumberFormat="0" applyFill="0" applyBorder="0" applyAlignment="0" applyProtection="0"/>
    <xf numFmtId="0" fontId="29" fillId="13" borderId="0" applyNumberFormat="0" applyBorder="0" applyAlignment="0" applyProtection="0"/>
    <xf numFmtId="0" fontId="21" fillId="21" borderId="0" applyNumberFormat="0" applyBorder="0" applyAlignment="0" applyProtection="0"/>
    <xf numFmtId="0" fontId="21" fillId="25" borderId="0" applyNumberFormat="0" applyBorder="0" applyAlignment="0" applyProtection="0"/>
    <xf numFmtId="0" fontId="21" fillId="29" borderId="0" applyNumberFormat="0" applyBorder="0" applyAlignment="0" applyProtection="0"/>
    <xf numFmtId="0" fontId="21" fillId="33" borderId="0" applyNumberFormat="0" applyBorder="0" applyAlignment="0" applyProtection="0"/>
    <xf numFmtId="0" fontId="21" fillId="37" borderId="0" applyNumberFormat="0" applyBorder="0" applyAlignment="0" applyProtection="0"/>
    <xf numFmtId="0" fontId="21" fillId="41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3" fillId="0" borderId="0">
      <alignment vertical="top"/>
    </xf>
    <xf numFmtId="43" fontId="3" fillId="0" borderId="0" applyFill="0" applyBorder="0" applyAlignment="0" applyProtection="0"/>
    <xf numFmtId="0" fontId="23" fillId="0" borderId="0">
      <alignment vertical="top"/>
    </xf>
    <xf numFmtId="44" fontId="30" fillId="0" borderId="0" applyFont="0" applyFill="0" applyBorder="0" applyAlignment="0" applyProtection="0"/>
    <xf numFmtId="0" fontId="23" fillId="0" borderId="0">
      <alignment vertical="top"/>
    </xf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24" fillId="0" borderId="0"/>
    <xf numFmtId="43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/>
    <xf numFmtId="43" fontId="1" fillId="0" borderId="0" applyFont="0" applyFill="0" applyBorder="0" applyAlignment="0" applyProtection="0"/>
    <xf numFmtId="0" fontId="1" fillId="0" borderId="0"/>
    <xf numFmtId="165" fontId="1" fillId="0" borderId="0"/>
    <xf numFmtId="43" fontId="23" fillId="0" borderId="0" applyFont="0" applyFill="0" applyBorder="0" applyAlignment="0" applyProtection="0">
      <alignment vertical="top"/>
    </xf>
    <xf numFmtId="0" fontId="25" fillId="0" borderId="0"/>
    <xf numFmtId="9" fontId="25" fillId="0" borderId="0" applyFont="0" applyFill="0" applyBorder="0" applyAlignment="0" applyProtection="0"/>
    <xf numFmtId="165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/>
    <xf numFmtId="0" fontId="23" fillId="0" borderId="0">
      <alignment vertical="top"/>
    </xf>
    <xf numFmtId="0" fontId="3" fillId="0" borderId="0"/>
    <xf numFmtId="17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3" fillId="0" borderId="0">
      <alignment vertical="top"/>
    </xf>
    <xf numFmtId="0" fontId="23" fillId="0" borderId="0">
      <alignment vertical="top"/>
    </xf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3" fillId="0" borderId="0">
      <alignment vertical="top"/>
    </xf>
    <xf numFmtId="0" fontId="3" fillId="0" borderId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165" fontId="1" fillId="0" borderId="0"/>
    <xf numFmtId="43" fontId="23" fillId="0" borderId="0" applyFont="0" applyFill="0" applyBorder="0" applyAlignment="0" applyProtection="0">
      <alignment vertical="top"/>
    </xf>
    <xf numFmtId="0" fontId="22" fillId="0" borderId="0"/>
    <xf numFmtId="0" fontId="25" fillId="0" borderId="0"/>
    <xf numFmtId="0" fontId="1" fillId="17" borderId="15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169" fontId="3" fillId="0" borderId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3" fillId="0" borderId="0">
      <alignment vertical="top"/>
    </xf>
    <xf numFmtId="43" fontId="3" fillId="0" borderId="0" applyFill="0" applyBorder="0" applyAlignment="0" applyProtection="0"/>
    <xf numFmtId="0" fontId="23" fillId="0" borderId="0">
      <alignment vertical="top"/>
    </xf>
    <xf numFmtId="44" fontId="30" fillId="0" borderId="0" applyFont="0" applyFill="0" applyBorder="0" applyAlignment="0" applyProtection="0"/>
    <xf numFmtId="0" fontId="23" fillId="0" borderId="0">
      <alignment vertical="top"/>
    </xf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24" fillId="0" borderId="0"/>
    <xf numFmtId="43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1" fillId="0" borderId="0"/>
    <xf numFmtId="43" fontId="1" fillId="0" borderId="0" applyFont="0" applyFill="0" applyBorder="0" applyAlignment="0" applyProtection="0"/>
    <xf numFmtId="0" fontId="1" fillId="0" borderId="0"/>
    <xf numFmtId="165" fontId="1" fillId="0" borderId="0"/>
    <xf numFmtId="43" fontId="23" fillId="0" borderId="0" applyFont="0" applyFill="0" applyBorder="0" applyAlignment="0" applyProtection="0">
      <alignment vertical="top"/>
    </xf>
    <xf numFmtId="0" fontId="25" fillId="0" borderId="0"/>
    <xf numFmtId="165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/>
    <xf numFmtId="0" fontId="23" fillId="0" borderId="0">
      <alignment vertical="top"/>
    </xf>
    <xf numFmtId="0" fontId="3" fillId="0" borderId="0"/>
    <xf numFmtId="177" fontId="3" fillId="0" borderId="0" applyFont="0" applyFill="0" applyBorder="0" applyAlignment="0" applyProtection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23" fillId="0" borderId="0">
      <alignment vertical="top"/>
    </xf>
    <xf numFmtId="0" fontId="3" fillId="0" borderId="0"/>
    <xf numFmtId="0" fontId="23" fillId="0" borderId="0">
      <alignment vertical="top"/>
    </xf>
    <xf numFmtId="0" fontId="1" fillId="0" borderId="0"/>
    <xf numFmtId="0" fontId="49" fillId="0" borderId="0"/>
    <xf numFmtId="43" fontId="23" fillId="0" borderId="0" applyFont="0" applyFill="0" applyBorder="0" applyAlignment="0" applyProtection="0">
      <alignment vertical="top"/>
    </xf>
    <xf numFmtId="44" fontId="30" fillId="0" borderId="0" applyFont="0" applyFill="0" applyBorder="0" applyAlignment="0" applyProtection="0"/>
    <xf numFmtId="0" fontId="5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8" fillId="0" borderId="0"/>
    <xf numFmtId="178" fontId="49" fillId="0" borderId="0" applyFill="0" applyBorder="0" applyAlignment="0" applyProtection="0"/>
    <xf numFmtId="0" fontId="49" fillId="0" borderId="0"/>
    <xf numFmtId="0" fontId="50" fillId="0" borderId="0"/>
    <xf numFmtId="0" fontId="3" fillId="0" borderId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7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65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5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3" fillId="0" borderId="0">
      <alignment vertical="top"/>
    </xf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1" fillId="0" borderId="0"/>
    <xf numFmtId="0" fontId="2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48" fillId="0" borderId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5" fontId="1" fillId="0" borderId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3" fillId="0" borderId="0">
      <alignment vertical="top"/>
    </xf>
    <xf numFmtId="0" fontId="1" fillId="0" borderId="0"/>
    <xf numFmtId="0" fontId="1" fillId="0" borderId="0"/>
    <xf numFmtId="0" fontId="1" fillId="0" borderId="0"/>
    <xf numFmtId="0" fontId="3" fillId="0" borderId="0"/>
    <xf numFmtId="0" fontId="51" fillId="0" borderId="0"/>
    <xf numFmtId="44" fontId="23" fillId="0" borderId="0" applyFont="0" applyFill="0" applyBorder="0" applyAlignment="0" applyProtection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23" fillId="0" borderId="0" applyFont="0" applyFill="0" applyBorder="0" applyAlignment="0" applyProtection="0">
      <alignment vertical="top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23" fillId="0" borderId="0" applyFont="0" applyFill="0" applyBorder="0" applyAlignment="0" applyProtection="0">
      <alignment vertical="top"/>
    </xf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ill="0" applyBorder="0" applyAlignment="0" applyProtection="0"/>
    <xf numFmtId="44" fontId="3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12">
    <xf numFmtId="0" fontId="0" fillId="0" borderId="0" xfId="0"/>
    <xf numFmtId="0" fontId="2" fillId="0" borderId="1" xfId="0" applyFont="1" applyBorder="1"/>
    <xf numFmtId="14" fontId="2" fillId="2" borderId="1" xfId="0" applyNumberFormat="1" applyFont="1" applyFill="1" applyBorder="1" applyAlignment="1">
      <alignment horizontal="center"/>
    </xf>
    <xf numFmtId="0" fontId="0" fillId="3" borderId="0" xfId="0" applyFill="1"/>
    <xf numFmtId="43" fontId="0" fillId="0" borderId="0" xfId="0" applyNumberFormat="1"/>
    <xf numFmtId="1" fontId="2" fillId="2" borderId="1" xfId="0" applyNumberFormat="1" applyFont="1" applyFill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0" fillId="6" borderId="1" xfId="0" applyFill="1" applyBorder="1"/>
    <xf numFmtId="0" fontId="0" fillId="5" borderId="1" xfId="0" applyFill="1" applyBorder="1"/>
    <xf numFmtId="0" fontId="0" fillId="4" borderId="1" xfId="0" applyFill="1" applyBorder="1"/>
    <xf numFmtId="14" fontId="2" fillId="0" borderId="0" xfId="0" applyNumberFormat="1" applyFont="1"/>
    <xf numFmtId="14" fontId="2" fillId="0" borderId="0" xfId="0" applyNumberFormat="1" applyFont="1" applyAlignment="1">
      <alignment horizontal="center"/>
    </xf>
    <xf numFmtId="0" fontId="4" fillId="0" borderId="0" xfId="0" applyFont="1"/>
    <xf numFmtId="166" fontId="4" fillId="0" borderId="0" xfId="1" applyNumberFormat="1" applyFont="1" applyFill="1" applyBorder="1"/>
    <xf numFmtId="0" fontId="5" fillId="0" borderId="0" xfId="0" applyFont="1"/>
    <xf numFmtId="166" fontId="0" fillId="0" borderId="0" xfId="1" applyNumberFormat="1" applyFont="1" applyFill="1" applyBorder="1"/>
    <xf numFmtId="166" fontId="4" fillId="0" borderId="0" xfId="1" applyNumberFormat="1" applyFont="1" applyFill="1" applyBorder="1" applyAlignment="1">
      <alignment vertical="top"/>
    </xf>
    <xf numFmtId="166" fontId="5" fillId="0" borderId="0" xfId="1" applyNumberFormat="1" applyFont="1" applyFill="1" applyBorder="1"/>
    <xf numFmtId="166" fontId="4" fillId="0" borderId="0" xfId="1" applyNumberFormat="1" applyFont="1" applyFill="1" applyBorder="1" applyAlignment="1">
      <alignment vertical="center"/>
    </xf>
    <xf numFmtId="166" fontId="2" fillId="0" borderId="0" xfId="1" applyNumberFormat="1" applyFont="1" applyFill="1" applyBorder="1"/>
    <xf numFmtId="0" fontId="5" fillId="8" borderId="0" xfId="0" applyFont="1" applyFill="1"/>
    <xf numFmtId="166" fontId="0" fillId="0" borderId="0" xfId="1" applyNumberFormat="1" applyFont="1" applyBorder="1"/>
    <xf numFmtId="0" fontId="0" fillId="0" borderId="1" xfId="0" applyBorder="1"/>
    <xf numFmtId="165" fontId="4" fillId="10" borderId="0" xfId="2" applyNumberFormat="1" applyFont="1" applyFill="1" applyBorder="1" applyAlignment="1">
      <alignment horizontal="center"/>
    </xf>
    <xf numFmtId="14" fontId="0" fillId="0" borderId="0" xfId="0" applyNumberFormat="1"/>
    <xf numFmtId="0" fontId="6" fillId="0" borderId="0" xfId="0" applyFont="1"/>
    <xf numFmtId="0" fontId="2" fillId="0" borderId="0" xfId="0" applyFont="1"/>
    <xf numFmtId="166" fontId="0" fillId="0" borderId="0" xfId="0" applyNumberFormat="1"/>
    <xf numFmtId="165" fontId="4" fillId="10" borderId="0" xfId="2" applyNumberFormat="1" applyFont="1" applyFill="1" applyBorder="1" applyAlignment="1">
      <alignment horizontal="left"/>
    </xf>
    <xf numFmtId="0" fontId="31" fillId="0" borderId="0" xfId="0" applyFont="1"/>
    <xf numFmtId="166" fontId="2" fillId="0" borderId="0" xfId="1" applyNumberFormat="1" applyFont="1"/>
    <xf numFmtId="0" fontId="32" fillId="8" borderId="0" xfId="0" applyFont="1" applyFill="1"/>
    <xf numFmtId="166" fontId="32" fillId="0" borderId="0" xfId="1" applyNumberFormat="1" applyFont="1"/>
    <xf numFmtId="166" fontId="0" fillId="0" borderId="0" xfId="1" applyNumberFormat="1" applyFont="1"/>
    <xf numFmtId="0" fontId="32" fillId="0" borderId="0" xfId="0" applyFont="1"/>
    <xf numFmtId="0" fontId="31" fillId="8" borderId="0" xfId="0" applyFont="1" applyFill="1" applyAlignment="1">
      <alignment vertical="center"/>
    </xf>
    <xf numFmtId="0" fontId="31" fillId="8" borderId="0" xfId="0" applyFont="1" applyFill="1"/>
    <xf numFmtId="166" fontId="4" fillId="7" borderId="0" xfId="1" applyNumberFormat="1" applyFont="1" applyFill="1" applyBorder="1"/>
    <xf numFmtId="0" fontId="19" fillId="0" borderId="0" xfId="0" applyFont="1"/>
    <xf numFmtId="172" fontId="31" fillId="0" borderId="0" xfId="1" applyNumberFormat="1" applyFont="1"/>
    <xf numFmtId="172" fontId="32" fillId="8" borderId="0" xfId="1" applyNumberFormat="1" applyFont="1" applyFill="1"/>
    <xf numFmtId="172" fontId="32" fillId="0" borderId="0" xfId="1" applyNumberFormat="1" applyFont="1"/>
    <xf numFmtId="172" fontId="31" fillId="8" borderId="0" xfId="1" applyNumberFormat="1" applyFont="1" applyFill="1" applyAlignment="1">
      <alignment vertical="center"/>
    </xf>
    <xf numFmtId="172" fontId="31" fillId="8" borderId="0" xfId="1" applyNumberFormat="1" applyFont="1" applyFill="1"/>
    <xf numFmtId="172" fontId="4" fillId="7" borderId="0" xfId="1" applyNumberFormat="1" applyFont="1" applyFill="1" applyBorder="1"/>
    <xf numFmtId="172" fontId="0" fillId="0" borderId="0" xfId="1" applyNumberFormat="1" applyFont="1"/>
    <xf numFmtId="0" fontId="0" fillId="9" borderId="0" xfId="0" applyFill="1"/>
    <xf numFmtId="0" fontId="2" fillId="9" borderId="0" xfId="0" applyFont="1" applyFill="1"/>
    <xf numFmtId="0" fontId="5" fillId="0" borderId="18" xfId="0" applyFont="1" applyBorder="1"/>
    <xf numFmtId="0" fontId="5" fillId="0" borderId="20" xfId="0" applyFont="1" applyBorder="1"/>
    <xf numFmtId="9" fontId="0" fillId="0" borderId="0" xfId="3" applyFont="1"/>
    <xf numFmtId="164" fontId="4" fillId="0" borderId="1" xfId="2" applyFont="1" applyFill="1" applyBorder="1" applyAlignment="1">
      <alignment horizontal="center"/>
    </xf>
    <xf numFmtId="173" fontId="4" fillId="0" borderId="0" xfId="1" applyNumberFormat="1" applyFont="1" applyFill="1" applyBorder="1"/>
    <xf numFmtId="173" fontId="0" fillId="0" borderId="4" xfId="1" applyNumberFormat="1" applyFont="1" applyFill="1" applyBorder="1"/>
    <xf numFmtId="173" fontId="0" fillId="0" borderId="0" xfId="1" applyNumberFormat="1" applyFont="1" applyFill="1" applyBorder="1"/>
    <xf numFmtId="173" fontId="0" fillId="0" borderId="19" xfId="1" applyNumberFormat="1" applyFont="1" applyFill="1" applyBorder="1"/>
    <xf numFmtId="173" fontId="0" fillId="0" borderId="20" xfId="1" applyNumberFormat="1" applyFont="1" applyFill="1" applyBorder="1"/>
    <xf numFmtId="173" fontId="0" fillId="0" borderId="0" xfId="1" applyNumberFormat="1" applyFont="1" applyBorder="1"/>
    <xf numFmtId="173" fontId="0" fillId="0" borderId="0" xfId="0" applyNumberFormat="1"/>
    <xf numFmtId="173" fontId="0" fillId="0" borderId="1" xfId="0" applyNumberFormat="1" applyBorder="1"/>
    <xf numFmtId="174" fontId="0" fillId="0" borderId="5" xfId="3" applyNumberFormat="1" applyFont="1" applyFill="1" applyBorder="1" applyAlignment="1">
      <alignment horizontal="right"/>
    </xf>
    <xf numFmtId="174" fontId="5" fillId="0" borderId="5" xfId="3" applyNumberFormat="1" applyFont="1" applyFill="1" applyBorder="1" applyAlignment="1">
      <alignment horizontal="right"/>
    </xf>
    <xf numFmtId="174" fontId="0" fillId="0" borderId="21" xfId="3" applyNumberFormat="1" applyFont="1" applyFill="1" applyBorder="1" applyAlignment="1">
      <alignment horizontal="right"/>
    </xf>
    <xf numFmtId="174" fontId="0" fillId="0" borderId="0" xfId="3" applyNumberFormat="1" applyFont="1" applyFill="1" applyBorder="1" applyAlignment="1">
      <alignment horizontal="right"/>
    </xf>
    <xf numFmtId="173" fontId="0" fillId="0" borderId="0" xfId="1" applyNumberFormat="1" applyFont="1"/>
    <xf numFmtId="173" fontId="0" fillId="0" borderId="0" xfId="1" applyNumberFormat="1" applyFont="1" applyFill="1"/>
    <xf numFmtId="173" fontId="0" fillId="3" borderId="0" xfId="1" applyNumberFormat="1" applyFont="1" applyFill="1"/>
    <xf numFmtId="173" fontId="0" fillId="4" borderId="1" xfId="1" applyNumberFormat="1" applyFont="1" applyFill="1" applyBorder="1"/>
    <xf numFmtId="173" fontId="0" fillId="5" borderId="1" xfId="1" applyNumberFormat="1" applyFont="1" applyFill="1" applyBorder="1"/>
    <xf numFmtId="173" fontId="0" fillId="6" borderId="1" xfId="1" applyNumberFormat="1" applyFont="1" applyFill="1" applyBorder="1"/>
    <xf numFmtId="173" fontId="0" fillId="0" borderId="1" xfId="1" applyNumberFormat="1" applyFont="1" applyBorder="1"/>
    <xf numFmtId="174" fontId="0" fillId="0" borderId="4" xfId="3" applyNumberFormat="1" applyFont="1" applyFill="1" applyBorder="1" applyAlignment="1">
      <alignment horizontal="right"/>
    </xf>
    <xf numFmtId="174" fontId="0" fillId="0" borderId="7" xfId="3" applyNumberFormat="1" applyFont="1" applyFill="1" applyBorder="1" applyAlignment="1">
      <alignment horizontal="right"/>
    </xf>
    <xf numFmtId="173" fontId="0" fillId="0" borderId="4" xfId="1" applyNumberFormat="1" applyFont="1" applyFill="1" applyBorder="1" applyAlignment="1"/>
    <xf numFmtId="173" fontId="0" fillId="0" borderId="0" xfId="1" applyNumberFormat="1" applyFont="1" applyFill="1" applyBorder="1" applyAlignment="1"/>
    <xf numFmtId="173" fontId="36" fillId="0" borderId="0" xfId="1" applyNumberFormat="1" applyFont="1" applyFill="1" applyBorder="1"/>
    <xf numFmtId="0" fontId="36" fillId="0" borderId="0" xfId="0" applyFont="1"/>
    <xf numFmtId="174" fontId="0" fillId="0" borderId="18" xfId="3" applyNumberFormat="1" applyFont="1" applyFill="1" applyBorder="1" applyAlignment="1">
      <alignment horizontal="right"/>
    </xf>
    <xf numFmtId="174" fontId="0" fillId="0" borderId="1" xfId="3" applyNumberFormat="1" applyFont="1" applyFill="1" applyBorder="1" applyAlignment="1">
      <alignment horizontal="right"/>
    </xf>
    <xf numFmtId="10" fontId="0" fillId="0" borderId="0" xfId="3" applyNumberFormat="1" applyFont="1"/>
    <xf numFmtId="174" fontId="0" fillId="0" borderId="6" xfId="3" applyNumberFormat="1" applyFont="1" applyFill="1" applyBorder="1" applyAlignment="1">
      <alignment horizontal="right"/>
    </xf>
    <xf numFmtId="174" fontId="0" fillId="0" borderId="20" xfId="3" applyNumberFormat="1" applyFont="1" applyFill="1" applyBorder="1" applyAlignment="1">
      <alignment horizontal="right"/>
    </xf>
    <xf numFmtId="164" fontId="4" fillId="0" borderId="2" xfId="2" applyFont="1" applyFill="1" applyBorder="1" applyAlignment="1">
      <alignment horizontal="center"/>
    </xf>
    <xf numFmtId="0" fontId="35" fillId="0" borderId="0" xfId="0" applyFont="1" applyAlignment="1">
      <alignment horizontal="left" indent="2"/>
    </xf>
    <xf numFmtId="0" fontId="37" fillId="8" borderId="0" xfId="0" applyFont="1" applyFill="1" applyAlignment="1">
      <alignment horizontal="left" indent="2"/>
    </xf>
    <xf numFmtId="43" fontId="0" fillId="0" borderId="0" xfId="1" applyFont="1"/>
    <xf numFmtId="174" fontId="4" fillId="0" borderId="3" xfId="2" applyNumberFormat="1" applyFont="1" applyFill="1" applyBorder="1" applyAlignment="1">
      <alignment horizontal="center"/>
    </xf>
    <xf numFmtId="174" fontId="4" fillId="0" borderId="1" xfId="2" applyNumberFormat="1" applyFont="1" applyFill="1" applyBorder="1" applyAlignment="1">
      <alignment horizontal="center"/>
    </xf>
    <xf numFmtId="0" fontId="35" fillId="0" borderId="0" xfId="0" applyFont="1" applyAlignment="1">
      <alignment horizontal="left" indent="3"/>
    </xf>
    <xf numFmtId="0" fontId="0" fillId="0" borderId="20" xfId="0" applyBorder="1"/>
    <xf numFmtId="174" fontId="0" fillId="0" borderId="3" xfId="3" applyNumberFormat="1" applyFont="1" applyFill="1" applyBorder="1" applyAlignment="1">
      <alignment horizontal="right"/>
    </xf>
    <xf numFmtId="0" fontId="2" fillId="0" borderId="0" xfId="0" applyFont="1" applyAlignment="1">
      <alignment horizontal="left"/>
    </xf>
    <xf numFmtId="174" fontId="4" fillId="0" borderId="3" xfId="3" applyNumberFormat="1" applyFont="1" applyFill="1" applyBorder="1" applyAlignment="1">
      <alignment horizontal="right"/>
    </xf>
    <xf numFmtId="172" fontId="0" fillId="0" borderId="0" xfId="0" applyNumberFormat="1"/>
    <xf numFmtId="0" fontId="0" fillId="0" borderId="22" xfId="0" applyBorder="1"/>
    <xf numFmtId="166" fontId="0" fillId="42" borderId="0" xfId="1" applyNumberFormat="1" applyFont="1" applyFill="1" applyBorder="1"/>
    <xf numFmtId="172" fontId="35" fillId="0" borderId="0" xfId="1" applyNumberFormat="1" applyFont="1" applyAlignment="1">
      <alignment horizontal="left" indent="2"/>
    </xf>
    <xf numFmtId="166" fontId="0" fillId="9" borderId="0" xfId="1" applyNumberFormat="1" applyFont="1" applyFill="1"/>
    <xf numFmtId="9" fontId="0" fillId="0" borderId="0" xfId="0" applyNumberFormat="1"/>
    <xf numFmtId="0" fontId="4" fillId="0" borderId="20" xfId="0" applyFont="1" applyBorder="1"/>
    <xf numFmtId="0" fontId="4" fillId="0" borderId="2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67" fontId="0" fillId="0" borderId="0" xfId="3" applyNumberFormat="1" applyFont="1"/>
    <xf numFmtId="9" fontId="0" fillId="0" borderId="0" xfId="3" applyFont="1" applyFill="1"/>
    <xf numFmtId="172" fontId="0" fillId="0" borderId="0" xfId="1" applyNumberFormat="1" applyFont="1" applyFill="1"/>
    <xf numFmtId="0" fontId="3" fillId="0" borderId="0" xfId="0" applyFont="1"/>
    <xf numFmtId="0" fontId="6" fillId="0" borderId="0" xfId="0" applyFont="1" applyAlignment="1">
      <alignment horizontal="left" indent="1"/>
    </xf>
    <xf numFmtId="43" fontId="0" fillId="0" borderId="0" xfId="1" applyFont="1" applyFill="1"/>
    <xf numFmtId="10" fontId="0" fillId="0" borderId="0" xfId="0" applyNumberFormat="1"/>
    <xf numFmtId="0" fontId="2" fillId="0" borderId="0" xfId="0" applyFont="1" applyAlignment="1">
      <alignment horizontal="center"/>
    </xf>
    <xf numFmtId="0" fontId="38" fillId="0" borderId="0" xfId="0" applyFont="1"/>
    <xf numFmtId="0" fontId="0" fillId="0" borderId="0" xfId="0" applyAlignment="1">
      <alignment horizontal="center"/>
    </xf>
    <xf numFmtId="0" fontId="39" fillId="0" borderId="0" xfId="0" applyFont="1" applyAlignment="1">
      <alignment horizontal="left" indent="2"/>
    </xf>
    <xf numFmtId="0" fontId="0" fillId="0" borderId="18" xfId="0" applyBorder="1"/>
    <xf numFmtId="0" fontId="0" fillId="0" borderId="0" xfId="0" quotePrefix="1"/>
    <xf numFmtId="173" fontId="0" fillId="0" borderId="18" xfId="1" applyNumberFormat="1" applyFont="1" applyFill="1" applyBorder="1"/>
    <xf numFmtId="174" fontId="5" fillId="0" borderId="3" xfId="3" applyNumberFormat="1" applyFont="1" applyFill="1" applyBorder="1" applyAlignment="1">
      <alignment horizontal="right"/>
    </xf>
    <xf numFmtId="174" fontId="5" fillId="0" borderId="21" xfId="3" applyNumberFormat="1" applyFont="1" applyFill="1" applyBorder="1" applyAlignment="1">
      <alignment horizontal="right"/>
    </xf>
    <xf numFmtId="9" fontId="0" fillId="43" borderId="0" xfId="0" applyNumberFormat="1" applyFill="1" applyAlignment="1">
      <alignment horizontal="center"/>
    </xf>
    <xf numFmtId="166" fontId="32" fillId="43" borderId="0" xfId="1" applyNumberFormat="1" applyFont="1" applyFill="1"/>
    <xf numFmtId="0" fontId="5" fillId="0" borderId="22" xfId="0" applyFont="1" applyBorder="1"/>
    <xf numFmtId="0" fontId="40" fillId="0" borderId="0" xfId="0" applyFont="1"/>
    <xf numFmtId="172" fontId="40" fillId="0" borderId="0" xfId="0" applyNumberFormat="1" applyFont="1"/>
    <xf numFmtId="38" fontId="0" fillId="3" borderId="0" xfId="1" applyNumberFormat="1" applyFont="1" applyFill="1"/>
    <xf numFmtId="166" fontId="0" fillId="0" borderId="0" xfId="1" applyNumberFormat="1" applyFont="1" applyFill="1"/>
    <xf numFmtId="166" fontId="2" fillId="0" borderId="0" xfId="1" applyNumberFormat="1" applyFont="1" applyFill="1"/>
    <xf numFmtId="166" fontId="32" fillId="0" borderId="0" xfId="1" applyNumberFormat="1" applyFont="1" applyFill="1"/>
    <xf numFmtId="172" fontId="0" fillId="44" borderId="0" xfId="1" applyNumberFormat="1" applyFont="1" applyFill="1"/>
    <xf numFmtId="164" fontId="4" fillId="0" borderId="20" xfId="2" applyFont="1" applyFill="1" applyBorder="1" applyAlignment="1">
      <alignment horizontal="center"/>
    </xf>
    <xf numFmtId="0" fontId="0" fillId="45" borderId="0" xfId="0" applyFill="1"/>
    <xf numFmtId="0" fontId="0" fillId="0" borderId="0" xfId="1" applyNumberFormat="1" applyFont="1" applyAlignment="1">
      <alignment horizontal="center"/>
    </xf>
    <xf numFmtId="164" fontId="4" fillId="0" borderId="18" xfId="2" applyFont="1" applyFill="1" applyBorder="1" applyAlignment="1">
      <alignment horizontal="center"/>
    </xf>
    <xf numFmtId="1" fontId="4" fillId="0" borderId="1" xfId="2" applyNumberFormat="1" applyFont="1" applyFill="1" applyBorder="1" applyAlignment="1">
      <alignment horizontal="center"/>
    </xf>
    <xf numFmtId="0" fontId="44" fillId="0" borderId="0" xfId="0" applyFont="1" applyAlignment="1">
      <alignment horizontal="center"/>
    </xf>
    <xf numFmtId="0" fontId="4" fillId="0" borderId="18" xfId="0" applyFont="1" applyBorder="1"/>
    <xf numFmtId="0" fontId="35" fillId="0" borderId="0" xfId="0" applyFont="1" applyAlignment="1">
      <alignment horizontal="left" indent="1"/>
    </xf>
    <xf numFmtId="173" fontId="4" fillId="0" borderId="20" xfId="1" applyNumberFormat="1" applyFont="1" applyFill="1" applyBorder="1"/>
    <xf numFmtId="0" fontId="2" fillId="0" borderId="20" xfId="0" applyFont="1" applyBorder="1"/>
    <xf numFmtId="174" fontId="4" fillId="0" borderId="21" xfId="2" applyNumberFormat="1" applyFont="1" applyFill="1" applyBorder="1" applyAlignment="1">
      <alignment horizontal="center"/>
    </xf>
    <xf numFmtId="164" fontId="4" fillId="0" borderId="22" xfId="2" applyFont="1" applyFill="1" applyBorder="1" applyAlignment="1">
      <alignment horizontal="center"/>
    </xf>
    <xf numFmtId="165" fontId="2" fillId="0" borderId="20" xfId="0" applyNumberFormat="1" applyFont="1" applyBorder="1" applyAlignment="1">
      <alignment horizontal="center"/>
    </xf>
    <xf numFmtId="173" fontId="2" fillId="0" borderId="0" xfId="1" applyNumberFormat="1" applyFont="1" applyBorder="1"/>
    <xf numFmtId="173" fontId="2" fillId="0" borderId="0" xfId="1" applyNumberFormat="1" applyFont="1"/>
    <xf numFmtId="0" fontId="31" fillId="0" borderId="20" xfId="0" applyFont="1" applyBorder="1"/>
    <xf numFmtId="173" fontId="2" fillId="0" borderId="20" xfId="0" applyNumberFormat="1" applyFont="1" applyBorder="1"/>
    <xf numFmtId="172" fontId="45" fillId="0" borderId="0" xfId="1" applyNumberFormat="1" applyFont="1" applyBorder="1"/>
    <xf numFmtId="166" fontId="36" fillId="0" borderId="0" xfId="1" applyNumberFormat="1" applyFont="1" applyFill="1" applyBorder="1"/>
    <xf numFmtId="166" fontId="40" fillId="0" borderId="0" xfId="1" applyNumberFormat="1" applyFont="1" applyFill="1" applyBorder="1"/>
    <xf numFmtId="166" fontId="41" fillId="0" borderId="0" xfId="1" applyNumberFormat="1" applyFont="1" applyFill="1" applyBorder="1"/>
    <xf numFmtId="0" fontId="39" fillId="0" borderId="0" xfId="0" applyFont="1"/>
    <xf numFmtId="173" fontId="2" fillId="0" borderId="0" xfId="0" applyNumberFormat="1" applyFont="1"/>
    <xf numFmtId="10" fontId="1" fillId="0" borderId="0" xfId="3" applyNumberFormat="1" applyFont="1" applyBorder="1"/>
    <xf numFmtId="0" fontId="19" fillId="0" borderId="20" xfId="0" applyFont="1" applyBorder="1"/>
    <xf numFmtId="10" fontId="19" fillId="0" borderId="20" xfId="0" applyNumberFormat="1" applyFont="1" applyBorder="1"/>
    <xf numFmtId="173" fontId="36" fillId="0" borderId="0" xfId="1" applyNumberFormat="1" applyFont="1" applyFill="1" applyBorder="1" applyAlignment="1"/>
    <xf numFmtId="0" fontId="2" fillId="0" borderId="22" xfId="0" applyFont="1" applyBorder="1" applyAlignment="1">
      <alignment horizontal="center"/>
    </xf>
    <xf numFmtId="38" fontId="2" fillId="0" borderId="22" xfId="0" applyNumberFormat="1" applyFont="1" applyBorder="1" applyAlignment="1">
      <alignment horizontal="center"/>
    </xf>
    <xf numFmtId="0" fontId="2" fillId="47" borderId="22" xfId="0" applyFont="1" applyFill="1" applyBorder="1"/>
    <xf numFmtId="38" fontId="2" fillId="47" borderId="22" xfId="1" applyNumberFormat="1" applyFont="1" applyFill="1" applyBorder="1" applyAlignment="1">
      <alignment horizontal="right"/>
    </xf>
    <xf numFmtId="38" fontId="37" fillId="0" borderId="22" xfId="1" applyNumberFormat="1" applyFont="1" applyBorder="1" applyAlignment="1">
      <alignment horizontal="right"/>
    </xf>
    <xf numFmtId="0" fontId="2" fillId="47" borderId="22" xfId="0" applyFont="1" applyFill="1" applyBorder="1" applyAlignment="1">
      <alignment wrapText="1"/>
    </xf>
    <xf numFmtId="0" fontId="37" fillId="0" borderId="22" xfId="0" applyFont="1" applyBorder="1" applyAlignment="1">
      <alignment horizontal="left" indent="2"/>
    </xf>
    <xf numFmtId="43" fontId="0" fillId="0" borderId="0" xfId="1" applyFont="1" applyBorder="1" applyAlignment="1">
      <alignment horizontal="center"/>
    </xf>
    <xf numFmtId="38" fontId="0" fillId="0" borderId="0" xfId="0" applyNumberFormat="1"/>
    <xf numFmtId="164" fontId="4" fillId="0" borderId="21" xfId="2" applyFont="1" applyFill="1" applyBorder="1" applyAlignment="1">
      <alignment horizontal="center"/>
    </xf>
    <xf numFmtId="173" fontId="0" fillId="0" borderId="1" xfId="1" applyNumberFormat="1" applyFont="1" applyFill="1" applyBorder="1"/>
    <xf numFmtId="173" fontId="0" fillId="0" borderId="2" xfId="1" applyNumberFormat="1" applyFont="1" applyFill="1" applyBorder="1"/>
    <xf numFmtId="173" fontId="0" fillId="0" borderId="18" xfId="1" applyNumberFormat="1" applyFont="1" applyFill="1" applyBorder="1" applyAlignment="1"/>
    <xf numFmtId="174" fontId="5" fillId="0" borderId="6" xfId="3" applyNumberFormat="1" applyFont="1" applyFill="1" applyBorder="1" applyAlignment="1">
      <alignment horizontal="right"/>
    </xf>
    <xf numFmtId="173" fontId="0" fillId="0" borderId="7" xfId="1" applyNumberFormat="1" applyFont="1" applyFill="1" applyBorder="1" applyAlignment="1"/>
    <xf numFmtId="176" fontId="0" fillId="0" borderId="3" xfId="3" applyNumberFormat="1" applyFont="1" applyFill="1" applyBorder="1" applyAlignment="1">
      <alignment horizontal="right"/>
    </xf>
    <xf numFmtId="165" fontId="2" fillId="0" borderId="0" xfId="0" applyNumberFormat="1" applyFont="1" applyAlignment="1">
      <alignment horizontal="center"/>
    </xf>
    <xf numFmtId="10" fontId="19" fillId="0" borderId="0" xfId="0" applyNumberFormat="1" applyFont="1"/>
    <xf numFmtId="167" fontId="0" fillId="0" borderId="0" xfId="3" applyNumberFormat="1" applyFont="1" applyFill="1"/>
    <xf numFmtId="0" fontId="25" fillId="0" borderId="0" xfId="0" applyFont="1" applyAlignment="1">
      <alignment wrapText="1"/>
    </xf>
    <xf numFmtId="0" fontId="25" fillId="0" borderId="0" xfId="0" applyFont="1" applyAlignment="1">
      <alignment horizontal="center" wrapText="1"/>
    </xf>
    <xf numFmtId="0" fontId="0" fillId="0" borderId="0" xfId="0" applyAlignment="1">
      <alignment horizontal="left" wrapText="1"/>
    </xf>
    <xf numFmtId="172" fontId="32" fillId="0" borderId="0" xfId="1" applyNumberFormat="1" applyFont="1" applyFill="1"/>
    <xf numFmtId="166" fontId="32" fillId="0" borderId="0" xfId="1" applyNumberFormat="1" applyFont="1" applyFill="1" applyBorder="1"/>
    <xf numFmtId="0" fontId="37" fillId="0" borderId="0" xfId="0" applyFont="1" applyAlignment="1">
      <alignment horizontal="left" indent="2"/>
    </xf>
    <xf numFmtId="166" fontId="37" fillId="0" borderId="0" xfId="1" applyNumberFormat="1" applyFont="1" applyFill="1" applyBorder="1"/>
    <xf numFmtId="10" fontId="2" fillId="0" borderId="2" xfId="3" applyNumberFormat="1" applyFont="1" applyFill="1" applyBorder="1"/>
    <xf numFmtId="10" fontId="2" fillId="0" borderId="1" xfId="3" applyNumberFormat="1" applyFont="1" applyFill="1" applyBorder="1"/>
    <xf numFmtId="10" fontId="0" fillId="0" borderId="0" xfId="3" applyNumberFormat="1" applyFont="1" applyFill="1" applyBorder="1"/>
    <xf numFmtId="43" fontId="0" fillId="0" borderId="0" xfId="1" applyFont="1" applyFill="1" applyAlignment="1">
      <alignment horizontal="center"/>
    </xf>
    <xf numFmtId="172" fontId="0" fillId="0" borderId="22" xfId="1" applyNumberFormat="1" applyFont="1" applyFill="1" applyBorder="1" applyAlignment="1">
      <alignment horizontal="left"/>
    </xf>
    <xf numFmtId="172" fontId="36" fillId="0" borderId="22" xfId="1" applyNumberFormat="1" applyFont="1" applyFill="1" applyBorder="1" applyAlignment="1">
      <alignment horizontal="left"/>
    </xf>
    <xf numFmtId="172" fontId="43" fillId="0" borderId="22" xfId="1" applyNumberFormat="1" applyFont="1" applyFill="1" applyBorder="1" applyAlignment="1">
      <alignment horizontal="left"/>
    </xf>
    <xf numFmtId="38" fontId="36" fillId="0" borderId="22" xfId="1" applyNumberFormat="1" applyFont="1" applyFill="1" applyBorder="1" applyAlignment="1">
      <alignment horizontal="right"/>
    </xf>
    <xf numFmtId="172" fontId="0" fillId="0" borderId="0" xfId="3" applyNumberFormat="1" applyFont="1"/>
    <xf numFmtId="0" fontId="0" fillId="43" borderId="0" xfId="0" applyFill="1"/>
    <xf numFmtId="0" fontId="5" fillId="43" borderId="0" xfId="0" applyFont="1" applyFill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right"/>
    </xf>
    <xf numFmtId="174" fontId="0" fillId="0" borderId="0" xfId="0" applyNumberFormat="1" applyAlignment="1">
      <alignment horizontal="right"/>
    </xf>
    <xf numFmtId="168" fontId="2" fillId="0" borderId="0" xfId="0" applyNumberFormat="1" applyFont="1" applyAlignment="1">
      <alignment horizontal="center"/>
    </xf>
    <xf numFmtId="174" fontId="0" fillId="0" borderId="3" xfId="0" applyNumberFormat="1" applyBorder="1" applyAlignment="1">
      <alignment horizontal="right"/>
    </xf>
    <xf numFmtId="174" fontId="0" fillId="0" borderId="1" xfId="0" applyNumberFormat="1" applyBorder="1" applyAlignment="1">
      <alignment horizontal="right"/>
    </xf>
    <xf numFmtId="0" fontId="5" fillId="0" borderId="2" xfId="0" applyFont="1" applyBorder="1"/>
    <xf numFmtId="173" fontId="0" fillId="0" borderId="3" xfId="0" applyNumberFormat="1" applyBorder="1"/>
    <xf numFmtId="0" fontId="0" fillId="0" borderId="2" xfId="0" applyBorder="1"/>
    <xf numFmtId="0" fontId="2" fillId="0" borderId="0" xfId="0" applyFont="1" applyAlignment="1">
      <alignment horizontal="right"/>
    </xf>
    <xf numFmtId="174" fontId="2" fillId="0" borderId="0" xfId="0" applyNumberFormat="1" applyFont="1" applyAlignment="1">
      <alignment horizontal="right"/>
    </xf>
    <xf numFmtId="0" fontId="0" fillId="0" borderId="3" xfId="0" applyBorder="1"/>
    <xf numFmtId="0" fontId="5" fillId="0" borderId="25" xfId="0" applyFont="1" applyBorder="1"/>
    <xf numFmtId="0" fontId="5" fillId="0" borderId="24" xfId="0" applyFont="1" applyBorder="1"/>
    <xf numFmtId="0" fontId="5" fillId="0" borderId="23" xfId="0" applyFont="1" applyBorder="1"/>
    <xf numFmtId="0" fontId="5" fillId="0" borderId="4" xfId="0" applyFont="1" applyBorder="1"/>
    <xf numFmtId="173" fontId="1" fillId="0" borderId="0" xfId="1" applyNumberFormat="1" applyFont="1" applyFill="1" applyBorder="1" applyAlignment="1"/>
    <xf numFmtId="166" fontId="5" fillId="0" borderId="0" xfId="1" applyNumberFormat="1" applyFont="1"/>
    <xf numFmtId="164" fontId="0" fillId="0" borderId="0" xfId="1" applyNumberFormat="1" applyFont="1"/>
    <xf numFmtId="3" fontId="0" fillId="0" borderId="0" xfId="1" applyNumberFormat="1" applyFont="1"/>
    <xf numFmtId="3" fontId="5" fillId="0" borderId="0" xfId="1" applyNumberFormat="1" applyFont="1"/>
    <xf numFmtId="3" fontId="0" fillId="0" borderId="0" xfId="1" applyNumberFormat="1" applyFont="1" applyFill="1" applyBorder="1"/>
    <xf numFmtId="3" fontId="5" fillId="0" borderId="0" xfId="1" applyNumberFormat="1" applyFont="1" applyFill="1" applyBorder="1"/>
    <xf numFmtId="3" fontId="0" fillId="0" borderId="0" xfId="1" applyNumberFormat="1" applyFont="1" applyFill="1"/>
    <xf numFmtId="2" fontId="0" fillId="0" borderId="0" xfId="3" applyNumberFormat="1" applyFont="1" applyFill="1"/>
    <xf numFmtId="166" fontId="0" fillId="0" borderId="0" xfId="3" applyNumberFormat="1" applyFont="1"/>
    <xf numFmtId="174" fontId="1" fillId="0" borderId="5" xfId="3" applyNumberFormat="1" applyFont="1" applyFill="1" applyBorder="1" applyAlignment="1">
      <alignment horizontal="right"/>
    </xf>
    <xf numFmtId="173" fontId="1" fillId="0" borderId="4" xfId="1" applyNumberFormat="1" applyFont="1" applyFill="1" applyBorder="1" applyAlignment="1"/>
    <xf numFmtId="174" fontId="0" fillId="0" borderId="5" xfId="0" applyNumberFormat="1" applyBorder="1" applyAlignment="1">
      <alignment horizontal="right"/>
    </xf>
    <xf numFmtId="10" fontId="0" fillId="0" borderId="4" xfId="3" applyNumberFormat="1" applyFont="1" applyFill="1" applyBorder="1"/>
    <xf numFmtId="0" fontId="0" fillId="0" borderId="4" xfId="0" applyBorder="1"/>
    <xf numFmtId="0" fontId="5" fillId="0" borderId="7" xfId="0" applyFont="1" applyBorder="1"/>
    <xf numFmtId="0" fontId="5" fillId="0" borderId="19" xfId="0" applyFont="1" applyBorder="1"/>
    <xf numFmtId="0" fontId="4" fillId="0" borderId="2" xfId="0" applyFont="1" applyBorder="1" applyAlignment="1">
      <alignment vertical="center"/>
    </xf>
    <xf numFmtId="173" fontId="0" fillId="0" borderId="4" xfId="0" applyNumberFormat="1" applyBorder="1"/>
    <xf numFmtId="173" fontId="0" fillId="0" borderId="5" xfId="1" applyNumberFormat="1" applyFont="1" applyFill="1" applyBorder="1" applyAlignment="1"/>
    <xf numFmtId="173" fontId="1" fillId="0" borderId="5" xfId="1" applyNumberFormat="1" applyFont="1" applyFill="1" applyBorder="1" applyAlignment="1"/>
    <xf numFmtId="0" fontId="0" fillId="0" borderId="5" xfId="0" applyBorder="1"/>
    <xf numFmtId="0" fontId="36" fillId="0" borderId="23" xfId="0" applyFont="1" applyBorder="1" applyAlignment="1">
      <alignment horizontal="left" vertical="center" wrapText="1"/>
    </xf>
    <xf numFmtId="0" fontId="36" fillId="0" borderId="25" xfId="0" applyFont="1" applyBorder="1" applyAlignment="1">
      <alignment vertical="center" wrapText="1"/>
    </xf>
    <xf numFmtId="38" fontId="0" fillId="0" borderId="0" xfId="1" applyNumberFormat="1" applyFont="1" applyBorder="1"/>
    <xf numFmtId="173" fontId="32" fillId="0" borderId="0" xfId="1" applyNumberFormat="1" applyFont="1" applyFill="1"/>
    <xf numFmtId="17" fontId="0" fillId="0" borderId="0" xfId="0" applyNumberFormat="1" applyAlignment="1">
      <alignment horizontal="center"/>
    </xf>
    <xf numFmtId="0" fontId="0" fillId="6" borderId="0" xfId="0" applyFill="1"/>
    <xf numFmtId="174" fontId="35" fillId="0" borderId="3" xfId="3" applyNumberFormat="1" applyFont="1" applyFill="1" applyBorder="1" applyAlignment="1">
      <alignment horizontal="right"/>
    </xf>
    <xf numFmtId="174" fontId="35" fillId="0" borderId="5" xfId="3" applyNumberFormat="1" applyFont="1" applyFill="1" applyBorder="1" applyAlignment="1">
      <alignment horizontal="right"/>
    </xf>
    <xf numFmtId="173" fontId="36" fillId="0" borderId="1" xfId="1" applyNumberFormat="1" applyFont="1" applyFill="1" applyBorder="1"/>
    <xf numFmtId="0" fontId="4" fillId="0" borderId="2" xfId="0" applyFont="1" applyBorder="1"/>
    <xf numFmtId="0" fontId="38" fillId="0" borderId="4" xfId="0" applyFont="1" applyBorder="1"/>
    <xf numFmtId="0" fontId="35" fillId="0" borderId="24" xfId="0" applyFont="1" applyBorder="1" applyAlignment="1">
      <alignment horizontal="left" indent="2"/>
    </xf>
    <xf numFmtId="174" fontId="36" fillId="0" borderId="5" xfId="3" applyNumberFormat="1" applyFont="1" applyFill="1" applyBorder="1" applyAlignment="1">
      <alignment horizontal="right"/>
    </xf>
    <xf numFmtId="0" fontId="35" fillId="0" borderId="24" xfId="0" applyFont="1" applyBorder="1" applyAlignment="1">
      <alignment horizontal="left" indent="3"/>
    </xf>
    <xf numFmtId="173" fontId="36" fillId="0" borderId="4" xfId="1" applyNumberFormat="1" applyFont="1" applyFill="1" applyBorder="1" applyAlignment="1"/>
    <xf numFmtId="0" fontId="35" fillId="0" borderId="23" xfId="0" applyFont="1" applyBorder="1" applyAlignment="1">
      <alignment horizontal="left" indent="2"/>
    </xf>
    <xf numFmtId="173" fontId="1" fillId="0" borderId="7" xfId="1" applyNumberFormat="1" applyFont="1" applyFill="1" applyBorder="1" applyAlignment="1"/>
    <xf numFmtId="173" fontId="1" fillId="0" borderId="18" xfId="1" applyNumberFormat="1" applyFont="1" applyFill="1" applyBorder="1" applyAlignment="1"/>
    <xf numFmtId="172" fontId="0" fillId="0" borderId="2" xfId="1" applyNumberFormat="1" applyFont="1" applyFill="1" applyBorder="1"/>
    <xf numFmtId="0" fontId="4" fillId="0" borderId="7" xfId="0" applyFont="1" applyBorder="1"/>
    <xf numFmtId="10" fontId="2" fillId="0" borderId="7" xfId="3" applyNumberFormat="1" applyFont="1" applyFill="1" applyBorder="1"/>
    <xf numFmtId="10" fontId="2" fillId="0" borderId="18" xfId="3" applyNumberFormat="1" applyFont="1" applyFill="1" applyBorder="1"/>
    <xf numFmtId="0" fontId="4" fillId="0" borderId="19" xfId="0" applyFont="1" applyBorder="1"/>
    <xf numFmtId="10" fontId="2" fillId="0" borderId="19" xfId="3" applyNumberFormat="1" applyFont="1" applyFill="1" applyBorder="1"/>
    <xf numFmtId="10" fontId="2" fillId="0" borderId="20" xfId="3" applyNumberFormat="1" applyFont="1" applyFill="1" applyBorder="1"/>
    <xf numFmtId="0" fontId="38" fillId="0" borderId="2" xfId="0" applyFont="1" applyBorder="1"/>
    <xf numFmtId="172" fontId="0" fillId="0" borderId="1" xfId="1" applyNumberFormat="1" applyFont="1" applyFill="1" applyBorder="1"/>
    <xf numFmtId="173" fontId="0" fillId="0" borderId="2" xfId="0" applyNumberFormat="1" applyBorder="1"/>
    <xf numFmtId="0" fontId="0" fillId="0" borderId="4" xfId="3" applyNumberFormat="1" applyFont="1" applyFill="1" applyBorder="1" applyAlignment="1">
      <alignment horizontal="right"/>
    </xf>
    <xf numFmtId="173" fontId="0" fillId="0" borderId="0" xfId="0" quotePrefix="1" applyNumberFormat="1"/>
    <xf numFmtId="43" fontId="0" fillId="0" borderId="0" xfId="1" applyFont="1" applyAlignment="1">
      <alignment horizontal="right"/>
    </xf>
    <xf numFmtId="0" fontId="35" fillId="0" borderId="25" xfId="0" applyFont="1" applyBorder="1" applyAlignment="1">
      <alignment horizontal="left" indent="2"/>
    </xf>
    <xf numFmtId="166" fontId="5" fillId="0" borderId="0" xfId="1" applyNumberFormat="1" applyFont="1" applyFill="1"/>
    <xf numFmtId="38" fontId="0" fillId="0" borderId="0" xfId="1" applyNumberFormat="1" applyFont="1" applyFill="1"/>
    <xf numFmtId="173" fontId="4" fillId="49" borderId="2" xfId="1" applyNumberFormat="1" applyFont="1" applyFill="1" applyBorder="1" applyAlignment="1">
      <alignment vertical="top"/>
    </xf>
    <xf numFmtId="173" fontId="4" fillId="49" borderId="1" xfId="1" applyNumberFormat="1" applyFont="1" applyFill="1" applyBorder="1" applyAlignment="1">
      <alignment vertical="top"/>
    </xf>
    <xf numFmtId="174" fontId="4" fillId="49" borderId="3" xfId="3" applyNumberFormat="1" applyFont="1" applyFill="1" applyBorder="1" applyAlignment="1">
      <alignment horizontal="right"/>
    </xf>
    <xf numFmtId="0" fontId="4" fillId="49" borderId="22" xfId="0" applyFont="1" applyFill="1" applyBorder="1"/>
    <xf numFmtId="173" fontId="4" fillId="49" borderId="1" xfId="1" applyNumberFormat="1" applyFont="1" applyFill="1" applyBorder="1"/>
    <xf numFmtId="0" fontId="4" fillId="49" borderId="22" xfId="0" applyFont="1" applyFill="1" applyBorder="1" applyAlignment="1">
      <alignment vertical="center"/>
    </xf>
    <xf numFmtId="0" fontId="4" fillId="49" borderId="2" xfId="0" applyFont="1" applyFill="1" applyBorder="1" applyAlignment="1">
      <alignment vertical="center"/>
    </xf>
    <xf numFmtId="0" fontId="31" fillId="3" borderId="0" xfId="0" applyFont="1" applyFill="1"/>
    <xf numFmtId="166" fontId="2" fillId="3" borderId="0" xfId="1" applyNumberFormat="1" applyFont="1" applyFill="1"/>
    <xf numFmtId="173" fontId="2" fillId="3" borderId="0" xfId="1" applyNumberFormat="1" applyFont="1" applyFill="1"/>
    <xf numFmtId="0" fontId="2" fillId="3" borderId="0" xfId="0" applyFont="1" applyFill="1"/>
    <xf numFmtId="173" fontId="2" fillId="3" borderId="0" xfId="0" applyNumberFormat="1" applyFont="1" applyFill="1"/>
    <xf numFmtId="0" fontId="31" fillId="3" borderId="0" xfId="0" applyFont="1" applyFill="1" applyAlignment="1">
      <alignment vertical="center"/>
    </xf>
    <xf numFmtId="166" fontId="0" fillId="3" borderId="0" xfId="1" applyNumberFormat="1" applyFont="1" applyFill="1"/>
    <xf numFmtId="166" fontId="32" fillId="3" borderId="0" xfId="1" applyNumberFormat="1" applyFont="1" applyFill="1"/>
    <xf numFmtId="166" fontId="4" fillId="3" borderId="0" xfId="1" applyNumberFormat="1" applyFont="1" applyFill="1" applyBorder="1"/>
    <xf numFmtId="166" fontId="54" fillId="50" borderId="0" xfId="1" applyNumberFormat="1" applyFont="1" applyFill="1" applyBorder="1"/>
    <xf numFmtId="173" fontId="18" fillId="50" borderId="0" xfId="0" applyNumberFormat="1" applyFont="1" applyFill="1"/>
    <xf numFmtId="0" fontId="21" fillId="50" borderId="0" xfId="0" applyFont="1" applyFill="1"/>
    <xf numFmtId="0" fontId="31" fillId="10" borderId="0" xfId="0" applyFont="1" applyFill="1"/>
    <xf numFmtId="14" fontId="2" fillId="10" borderId="0" xfId="0" applyNumberFormat="1" applyFont="1" applyFill="1"/>
    <xf numFmtId="0" fontId="2" fillId="10" borderId="0" xfId="0" applyFont="1" applyFill="1"/>
    <xf numFmtId="172" fontId="31" fillId="3" borderId="0" xfId="1" applyNumberFormat="1" applyFont="1" applyFill="1"/>
    <xf numFmtId="166" fontId="4" fillId="3" borderId="0" xfId="1" applyNumberFormat="1" applyFont="1" applyFill="1"/>
    <xf numFmtId="3" fontId="4" fillId="3" borderId="0" xfId="1" applyNumberFormat="1" applyFont="1" applyFill="1"/>
    <xf numFmtId="43" fontId="0" fillId="3" borderId="0" xfId="1" applyFont="1" applyFill="1"/>
    <xf numFmtId="166" fontId="4" fillId="3" borderId="0" xfId="1" applyNumberFormat="1" applyFont="1" applyFill="1" applyBorder="1" applyAlignment="1">
      <alignment vertical="top"/>
    </xf>
    <xf numFmtId="166" fontId="4" fillId="3" borderId="0" xfId="1" applyNumberFormat="1" applyFont="1" applyFill="1" applyAlignment="1">
      <alignment vertical="top"/>
    </xf>
    <xf numFmtId="3" fontId="4" fillId="3" borderId="0" xfId="1" applyNumberFormat="1" applyFont="1" applyFill="1" applyAlignment="1">
      <alignment vertical="top"/>
    </xf>
    <xf numFmtId="0" fontId="18" fillId="50" borderId="0" xfId="0" applyFont="1" applyFill="1"/>
    <xf numFmtId="172" fontId="18" fillId="50" borderId="0" xfId="1" applyNumberFormat="1" applyFont="1" applyFill="1"/>
    <xf numFmtId="166" fontId="54" fillId="50" borderId="0" xfId="1" applyNumberFormat="1" applyFont="1" applyFill="1" applyBorder="1" applyAlignment="1">
      <alignment vertical="top"/>
    </xf>
    <xf numFmtId="166" fontId="54" fillId="50" borderId="0" xfId="1" applyNumberFormat="1" applyFont="1" applyFill="1" applyAlignment="1">
      <alignment vertical="top"/>
    </xf>
    <xf numFmtId="3" fontId="54" fillId="50" borderId="0" xfId="1" applyNumberFormat="1" applyFont="1" applyFill="1" applyAlignment="1">
      <alignment vertical="top"/>
    </xf>
    <xf numFmtId="43" fontId="21" fillId="50" borderId="0" xfId="1" applyFont="1" applyFill="1"/>
    <xf numFmtId="14" fontId="2" fillId="10" borderId="0" xfId="1" applyNumberFormat="1" applyFont="1" applyFill="1"/>
    <xf numFmtId="174" fontId="4" fillId="51" borderId="3" xfId="3" applyNumberFormat="1" applyFont="1" applyFill="1" applyBorder="1" applyAlignment="1">
      <alignment horizontal="right"/>
    </xf>
    <xf numFmtId="10" fontId="0" fillId="0" borderId="22" xfId="3" applyNumberFormat="1" applyFont="1" applyBorder="1"/>
    <xf numFmtId="181" fontId="0" fillId="0" borderId="5" xfId="3" applyNumberFormat="1" applyFont="1" applyFill="1" applyBorder="1" applyAlignment="1">
      <alignment horizontal="right"/>
    </xf>
    <xf numFmtId="0" fontId="37" fillId="47" borderId="22" xfId="0" quotePrefix="1" applyFont="1" applyFill="1" applyBorder="1" applyAlignment="1">
      <alignment vertical="center" wrapText="1"/>
    </xf>
    <xf numFmtId="0" fontId="37" fillId="0" borderId="22" xfId="0" quotePrefix="1" applyFont="1" applyBorder="1" applyAlignment="1">
      <alignment vertical="center" wrapText="1"/>
    </xf>
    <xf numFmtId="38" fontId="36" fillId="0" borderId="22" xfId="0" applyNumberFormat="1" applyFont="1" applyBorder="1" applyAlignment="1">
      <alignment wrapText="1"/>
    </xf>
    <xf numFmtId="172" fontId="37" fillId="47" borderId="22" xfId="0" quotePrefix="1" applyNumberFormat="1" applyFont="1" applyFill="1" applyBorder="1" applyAlignment="1">
      <alignment vertical="center" wrapText="1"/>
    </xf>
    <xf numFmtId="174" fontId="5" fillId="5" borderId="5" xfId="3" applyNumberFormat="1" applyFont="1" applyFill="1" applyBorder="1" applyAlignment="1">
      <alignment horizontal="right"/>
    </xf>
    <xf numFmtId="43" fontId="5" fillId="0" borderId="0" xfId="1" applyFont="1" applyFill="1" applyBorder="1"/>
    <xf numFmtId="43" fontId="5" fillId="0" borderId="0" xfId="1" applyFont="1" applyFill="1"/>
    <xf numFmtId="0" fontId="55" fillId="8" borderId="0" xfId="0" applyFont="1" applyFill="1" applyAlignment="1">
      <alignment horizontal="left" indent="2"/>
    </xf>
    <xf numFmtId="172" fontId="2" fillId="0" borderId="0" xfId="0" applyNumberFormat="1" applyFont="1"/>
    <xf numFmtId="166" fontId="31" fillId="0" borderId="0" xfId="1" applyNumberFormat="1" applyFont="1"/>
    <xf numFmtId="173" fontId="31" fillId="0" borderId="0" xfId="1" applyNumberFormat="1" applyFont="1" applyFill="1"/>
    <xf numFmtId="172" fontId="2" fillId="0" borderId="0" xfId="1" applyNumberFormat="1" applyFont="1"/>
    <xf numFmtId="10" fontId="0" fillId="0" borderId="21" xfId="3" applyNumberFormat="1" applyFont="1" applyBorder="1"/>
    <xf numFmtId="10" fontId="0" fillId="0" borderId="23" xfId="3" applyNumberFormat="1" applyFont="1" applyBorder="1"/>
    <xf numFmtId="10" fontId="0" fillId="0" borderId="3" xfId="3" applyNumberFormat="1" applyFont="1" applyBorder="1"/>
    <xf numFmtId="167" fontId="0" fillId="0" borderId="18" xfId="3" applyNumberFormat="1" applyFont="1" applyFill="1" applyBorder="1" applyAlignment="1">
      <alignment horizontal="right"/>
    </xf>
    <xf numFmtId="10" fontId="0" fillId="0" borderId="0" xfId="3" applyNumberFormat="1" applyFont="1" applyBorder="1"/>
    <xf numFmtId="9" fontId="0" fillId="0" borderId="2" xfId="3" applyFont="1" applyFill="1" applyBorder="1"/>
    <xf numFmtId="9" fontId="0" fillId="0" borderId="1" xfId="3" applyFont="1" applyFill="1" applyBorder="1"/>
    <xf numFmtId="175" fontId="1" fillId="0" borderId="0" xfId="1" applyNumberFormat="1" applyFont="1" applyFill="1" applyAlignment="1">
      <alignment horizontal="left"/>
    </xf>
    <xf numFmtId="167" fontId="0" fillId="0" borderId="1" xfId="3" applyNumberFormat="1" applyFont="1" applyFill="1" applyBorder="1"/>
    <xf numFmtId="0" fontId="0" fillId="0" borderId="25" xfId="0" applyBorder="1"/>
    <xf numFmtId="0" fontId="0" fillId="0" borderId="24" xfId="0" applyBorder="1"/>
    <xf numFmtId="0" fontId="0" fillId="0" borderId="23" xfId="0" applyBorder="1"/>
    <xf numFmtId="173" fontId="4" fillId="49" borderId="2" xfId="1" applyNumberFormat="1" applyFont="1" applyFill="1" applyBorder="1" applyAlignment="1"/>
    <xf numFmtId="173" fontId="4" fillId="49" borderId="1" xfId="1" applyNumberFormat="1" applyFont="1" applyFill="1" applyBorder="1" applyAlignment="1"/>
    <xf numFmtId="173" fontId="0" fillId="0" borderId="1" xfId="1" applyNumberFormat="1" applyFont="1" applyFill="1" applyBorder="1" applyAlignment="1"/>
    <xf numFmtId="173" fontId="0" fillId="0" borderId="2" xfId="1" applyNumberFormat="1" applyFont="1" applyFill="1" applyBorder="1" applyAlignment="1"/>
    <xf numFmtId="172" fontId="0" fillId="0" borderId="2" xfId="1" applyNumberFormat="1" applyFont="1" applyFill="1" applyBorder="1" applyAlignment="1"/>
    <xf numFmtId="172" fontId="0" fillId="0" borderId="1" xfId="1" applyNumberFormat="1" applyFont="1" applyFill="1" applyBorder="1" applyAlignment="1"/>
    <xf numFmtId="172" fontId="0" fillId="0" borderId="3" xfId="1" applyNumberFormat="1" applyFont="1" applyFill="1" applyBorder="1" applyAlignment="1"/>
    <xf numFmtId="10" fontId="2" fillId="0" borderId="19" xfId="3" applyNumberFormat="1" applyFont="1" applyFill="1" applyBorder="1" applyAlignment="1"/>
    <xf numFmtId="10" fontId="2" fillId="0" borderId="20" xfId="3" applyNumberFormat="1" applyFont="1" applyFill="1" applyBorder="1" applyAlignment="1"/>
    <xf numFmtId="10" fontId="2" fillId="0" borderId="2" xfId="3" applyNumberFormat="1" applyFont="1" applyFill="1" applyBorder="1" applyAlignment="1"/>
    <xf numFmtId="10" fontId="2" fillId="0" borderId="1" xfId="3" applyNumberFormat="1" applyFont="1" applyFill="1" applyBorder="1" applyAlignment="1"/>
    <xf numFmtId="10" fontId="2" fillId="0" borderId="7" xfId="3" applyNumberFormat="1" applyFont="1" applyFill="1" applyBorder="1" applyAlignment="1"/>
    <xf numFmtId="10" fontId="2" fillId="0" borderId="18" xfId="3" applyNumberFormat="1" applyFont="1" applyFill="1" applyBorder="1" applyAlignment="1"/>
    <xf numFmtId="10" fontId="2" fillId="0" borderId="4" xfId="3" applyNumberFormat="1" applyFont="1" applyFill="1" applyBorder="1" applyAlignment="1"/>
    <xf numFmtId="10" fontId="2" fillId="0" borderId="0" xfId="3" applyNumberFormat="1" applyFont="1" applyFill="1" applyBorder="1" applyAlignment="1"/>
    <xf numFmtId="10" fontId="0" fillId="0" borderId="4" xfId="3" applyNumberFormat="1" applyFont="1" applyFill="1" applyBorder="1" applyAlignment="1"/>
    <xf numFmtId="10" fontId="0" fillId="0" borderId="0" xfId="3" applyNumberFormat="1" applyFont="1" applyFill="1" applyBorder="1" applyAlignment="1"/>
    <xf numFmtId="10" fontId="0" fillId="0" borderId="7" xfId="3" applyNumberFormat="1" applyFont="1" applyFill="1" applyBorder="1" applyAlignment="1"/>
    <xf numFmtId="10" fontId="0" fillId="0" borderId="18" xfId="3" applyNumberFormat="1" applyFont="1" applyFill="1" applyBorder="1" applyAlignment="1"/>
    <xf numFmtId="0" fontId="0" fillId="0" borderId="6" xfId="0" applyBorder="1"/>
    <xf numFmtId="0" fontId="0" fillId="0" borderId="21" xfId="0" applyBorder="1"/>
    <xf numFmtId="182" fontId="4" fillId="49" borderId="3" xfId="3" applyNumberFormat="1" applyFont="1" applyFill="1" applyBorder="1" applyAlignment="1">
      <alignment horizontal="right"/>
    </xf>
    <xf numFmtId="182" fontId="5" fillId="0" borderId="5" xfId="3" applyNumberFormat="1" applyFont="1" applyFill="1" applyBorder="1" applyAlignment="1">
      <alignment horizontal="right"/>
    </xf>
    <xf numFmtId="182" fontId="5" fillId="0" borderId="21" xfId="3" applyNumberFormat="1" applyFont="1" applyFill="1" applyBorder="1" applyAlignment="1">
      <alignment horizontal="right"/>
    </xf>
    <xf numFmtId="182" fontId="1" fillId="0" borderId="5" xfId="3" applyNumberFormat="1" applyFont="1" applyFill="1" applyBorder="1" applyAlignment="1">
      <alignment horizontal="right"/>
    </xf>
    <xf numFmtId="0" fontId="35" fillId="0" borderId="4" xfId="0" applyFont="1" applyBorder="1" applyAlignment="1">
      <alignment horizontal="left" indent="2"/>
    </xf>
    <xf numFmtId="174" fontId="5" fillId="0" borderId="0" xfId="3" applyNumberFormat="1" applyFont="1" applyFill="1" applyBorder="1" applyAlignment="1">
      <alignment horizontal="right"/>
    </xf>
    <xf numFmtId="0" fontId="35" fillId="0" borderId="7" xfId="0" applyFont="1" applyBorder="1" applyAlignment="1">
      <alignment horizontal="left" indent="2"/>
    </xf>
    <xf numFmtId="0" fontId="35" fillId="0" borderId="19" xfId="0" applyFont="1" applyBorder="1" applyAlignment="1">
      <alignment horizontal="left" indent="2"/>
    </xf>
    <xf numFmtId="164" fontId="4" fillId="0" borderId="2" xfId="2" applyFont="1" applyBorder="1" applyAlignment="1">
      <alignment horizontal="center"/>
    </xf>
    <xf numFmtId="164" fontId="4" fillId="0" borderId="1" xfId="2" applyFont="1" applyBorder="1"/>
    <xf numFmtId="164" fontId="4" fillId="0" borderId="1" xfId="2" applyFont="1" applyBorder="1" applyAlignment="1">
      <alignment horizontal="center"/>
    </xf>
    <xf numFmtId="164" fontId="4" fillId="0" borderId="3" xfId="2" applyFont="1" applyBorder="1" applyAlignment="1">
      <alignment horizontal="center"/>
    </xf>
    <xf numFmtId="174" fontId="4" fillId="0" borderId="3" xfId="2" applyNumberFormat="1" applyFont="1" applyBorder="1" applyAlignment="1">
      <alignment horizontal="center"/>
    </xf>
    <xf numFmtId="174" fontId="4" fillId="0" borderId="1" xfId="2" applyNumberFormat="1" applyFont="1" applyBorder="1" applyAlignment="1">
      <alignment horizontal="center"/>
    </xf>
    <xf numFmtId="173" fontId="4" fillId="49" borderId="22" xfId="1" applyNumberFormat="1" applyFont="1" applyFill="1" applyBorder="1" applyAlignment="1">
      <alignment vertical="top"/>
    </xf>
    <xf numFmtId="173" fontId="4" fillId="51" borderId="2" xfId="1" applyNumberFormat="1" applyFont="1" applyFill="1" applyBorder="1" applyAlignment="1">
      <alignment vertical="top"/>
    </xf>
    <xf numFmtId="173" fontId="4" fillId="51" borderId="1" xfId="1" applyNumberFormat="1" applyFont="1" applyFill="1" applyBorder="1" applyAlignment="1">
      <alignment vertical="top"/>
    </xf>
    <xf numFmtId="173" fontId="4" fillId="51" borderId="22" xfId="1" applyNumberFormat="1" applyFont="1" applyFill="1" applyBorder="1" applyAlignment="1">
      <alignment vertical="top"/>
    </xf>
    <xf numFmtId="173" fontId="4" fillId="51" borderId="2" xfId="1" applyNumberFormat="1" applyFont="1" applyFill="1" applyBorder="1"/>
    <xf numFmtId="173" fontId="4" fillId="51" borderId="1" xfId="1" applyNumberFormat="1" applyFont="1" applyFill="1" applyBorder="1"/>
    <xf numFmtId="173" fontId="4" fillId="51" borderId="22" xfId="1" applyNumberFormat="1" applyFont="1" applyFill="1" applyBorder="1"/>
    <xf numFmtId="173" fontId="1" fillId="0" borderId="4" xfId="1" applyNumberFormat="1" applyBorder="1"/>
    <xf numFmtId="173" fontId="1" fillId="0" borderId="0" xfId="1" applyNumberFormat="1"/>
    <xf numFmtId="174" fontId="1" fillId="0" borderId="5" xfId="3" applyNumberFormat="1" applyBorder="1" applyAlignment="1">
      <alignment horizontal="right"/>
    </xf>
    <xf numFmtId="173" fontId="1" fillId="0" borderId="7" xfId="1" applyNumberFormat="1" applyBorder="1"/>
    <xf numFmtId="174" fontId="1" fillId="0" borderId="0" xfId="3" applyNumberFormat="1" applyAlignment="1">
      <alignment horizontal="right"/>
    </xf>
    <xf numFmtId="173" fontId="1" fillId="0" borderId="5" xfId="1" applyNumberFormat="1" applyBorder="1"/>
    <xf numFmtId="173" fontId="1" fillId="49" borderId="4" xfId="1" applyNumberFormat="1" applyFill="1" applyBorder="1"/>
    <xf numFmtId="173" fontId="1" fillId="49" borderId="0" xfId="1" applyNumberFormat="1" applyFill="1"/>
    <xf numFmtId="174" fontId="1" fillId="49" borderId="5" xfId="3" applyNumberFormat="1" applyFill="1" applyBorder="1" applyAlignment="1">
      <alignment horizontal="right"/>
    </xf>
    <xf numFmtId="173" fontId="1" fillId="49" borderId="7" xfId="1" applyNumberFormat="1" applyFill="1" applyBorder="1"/>
    <xf numFmtId="174" fontId="1" fillId="49" borderId="0" xfId="3" applyNumberFormat="1" applyFill="1" applyAlignment="1">
      <alignment horizontal="right"/>
    </xf>
    <xf numFmtId="173" fontId="1" fillId="49" borderId="5" xfId="1" applyNumberFormat="1" applyFill="1" applyBorder="1"/>
    <xf numFmtId="173" fontId="1" fillId="6" borderId="4" xfId="1" applyNumberFormat="1" applyFill="1" applyBorder="1"/>
    <xf numFmtId="173" fontId="1" fillId="6" borderId="0" xfId="1" applyNumberFormat="1" applyFill="1"/>
    <xf numFmtId="174" fontId="1" fillId="6" borderId="5" xfId="3" applyNumberFormat="1" applyFill="1" applyBorder="1" applyAlignment="1">
      <alignment horizontal="right"/>
    </xf>
    <xf numFmtId="173" fontId="1" fillId="4" borderId="4" xfId="1" applyNumberFormat="1" applyFill="1" applyBorder="1"/>
    <xf numFmtId="173" fontId="1" fillId="4" borderId="0" xfId="1" applyNumberFormat="1" applyFill="1"/>
    <xf numFmtId="174" fontId="1" fillId="4" borderId="5" xfId="3" applyNumberFormat="1" applyFill="1" applyBorder="1" applyAlignment="1">
      <alignment horizontal="right"/>
    </xf>
    <xf numFmtId="174" fontId="1" fillId="4" borderId="0" xfId="3" applyNumberFormat="1" applyFill="1" applyAlignment="1">
      <alignment horizontal="right"/>
    </xf>
    <xf numFmtId="173" fontId="1" fillId="4" borderId="5" xfId="1" applyNumberFormat="1" applyFill="1" applyBorder="1"/>
    <xf numFmtId="173" fontId="0" fillId="0" borderId="4" xfId="1" applyNumberFormat="1" applyFont="1" applyBorder="1"/>
    <xf numFmtId="174" fontId="0" fillId="0" borderId="5" xfId="3" applyNumberFormat="1" applyFont="1" applyBorder="1" applyAlignment="1">
      <alignment horizontal="right"/>
    </xf>
    <xf numFmtId="174" fontId="0" fillId="0" borderId="0" xfId="3" applyNumberFormat="1" applyFont="1" applyAlignment="1">
      <alignment horizontal="right"/>
    </xf>
    <xf numFmtId="173" fontId="0" fillId="0" borderId="5" xfId="1" applyNumberFormat="1" applyFont="1" applyBorder="1"/>
    <xf numFmtId="9" fontId="0" fillId="0" borderId="0" xfId="3" applyFont="1" applyAlignment="1">
      <alignment horizontal="right"/>
    </xf>
    <xf numFmtId="173" fontId="4" fillId="49" borderId="2" xfId="1" applyNumberFormat="1" applyFont="1" applyFill="1" applyBorder="1"/>
    <xf numFmtId="183" fontId="4" fillId="49" borderId="22" xfId="1" applyNumberFormat="1" applyFont="1" applyFill="1" applyBorder="1"/>
    <xf numFmtId="173" fontId="0" fillId="0" borderId="7" xfId="1" applyNumberFormat="1" applyFont="1" applyBorder="1"/>
    <xf numFmtId="173" fontId="0" fillId="0" borderId="18" xfId="1" applyNumberFormat="1" applyFont="1" applyBorder="1"/>
    <xf numFmtId="174" fontId="5" fillId="0" borderId="6" xfId="3" applyNumberFormat="1" applyFont="1" applyBorder="1" applyAlignment="1">
      <alignment horizontal="right"/>
    </xf>
    <xf numFmtId="174" fontId="5" fillId="0" borderId="0" xfId="3" applyNumberFormat="1" applyFont="1" applyAlignment="1">
      <alignment horizontal="right"/>
    </xf>
    <xf numFmtId="182" fontId="5" fillId="0" borderId="6" xfId="3" applyNumberFormat="1" applyFont="1" applyBorder="1" applyAlignment="1">
      <alignment horizontal="right"/>
    </xf>
    <xf numFmtId="182" fontId="5" fillId="0" borderId="0" xfId="3" applyNumberFormat="1" applyFont="1" applyAlignment="1">
      <alignment horizontal="right"/>
    </xf>
    <xf numFmtId="183" fontId="0" fillId="0" borderId="5" xfId="1" applyNumberFormat="1" applyFont="1" applyBorder="1"/>
    <xf numFmtId="174" fontId="5" fillId="0" borderId="5" xfId="3" applyNumberFormat="1" applyFont="1" applyBorder="1" applyAlignment="1">
      <alignment horizontal="right"/>
    </xf>
    <xf numFmtId="182" fontId="5" fillId="0" borderId="5" xfId="3" applyNumberFormat="1" applyFont="1" applyBorder="1" applyAlignment="1">
      <alignment horizontal="right"/>
    </xf>
    <xf numFmtId="183" fontId="1" fillId="0" borderId="5" xfId="1" applyNumberFormat="1" applyBorder="1"/>
    <xf numFmtId="173" fontId="1" fillId="5" borderId="4" xfId="1" applyNumberFormat="1" applyFill="1" applyBorder="1"/>
    <xf numFmtId="173" fontId="1" fillId="5" borderId="0" xfId="1" applyNumberFormat="1" applyFill="1"/>
    <xf numFmtId="174" fontId="5" fillId="5" borderId="0" xfId="3" applyNumberFormat="1" applyFont="1" applyFill="1" applyAlignment="1">
      <alignment horizontal="right"/>
    </xf>
    <xf numFmtId="173" fontId="1" fillId="5" borderId="5" xfId="1" applyNumberFormat="1" applyFill="1" applyBorder="1"/>
    <xf numFmtId="173" fontId="4" fillId="49" borderId="22" xfId="1" applyNumberFormat="1" applyFont="1" applyFill="1" applyBorder="1"/>
    <xf numFmtId="174" fontId="5" fillId="0" borderId="3" xfId="3" applyNumberFormat="1" applyFont="1" applyBorder="1" applyAlignment="1">
      <alignment horizontal="right"/>
    </xf>
    <xf numFmtId="173" fontId="0" fillId="0" borderId="2" xfId="1" applyNumberFormat="1" applyFont="1" applyBorder="1"/>
    <xf numFmtId="173" fontId="0" fillId="0" borderId="22" xfId="1" applyNumberFormat="1" applyFont="1" applyBorder="1"/>
    <xf numFmtId="182" fontId="5" fillId="0" borderId="3" xfId="3" applyNumberFormat="1" applyFont="1" applyBorder="1" applyAlignment="1">
      <alignment horizontal="right"/>
    </xf>
    <xf numFmtId="183" fontId="0" fillId="0" borderId="22" xfId="1" applyNumberFormat="1" applyFont="1" applyBorder="1"/>
    <xf numFmtId="173" fontId="1" fillId="0" borderId="18" xfId="1" applyNumberFormat="1" applyBorder="1"/>
    <xf numFmtId="174" fontId="5" fillId="0" borderId="18" xfId="3" applyNumberFormat="1" applyFont="1" applyBorder="1" applyAlignment="1">
      <alignment horizontal="right"/>
    </xf>
    <xf numFmtId="173" fontId="1" fillId="0" borderId="6" xfId="1" applyNumberFormat="1" applyBorder="1"/>
    <xf numFmtId="182" fontId="5" fillId="0" borderId="18" xfId="3" applyNumberFormat="1" applyFont="1" applyBorder="1" applyAlignment="1">
      <alignment horizontal="right"/>
    </xf>
    <xf numFmtId="183" fontId="1" fillId="0" borderId="6" xfId="1" applyNumberFormat="1" applyBorder="1"/>
    <xf numFmtId="166" fontId="1" fillId="0" borderId="19" xfId="1" applyNumberFormat="1" applyBorder="1"/>
    <xf numFmtId="173" fontId="1" fillId="0" borderId="20" xfId="1" applyNumberFormat="1" applyBorder="1"/>
    <xf numFmtId="174" fontId="5" fillId="0" borderId="21" xfId="3" applyNumberFormat="1" applyFont="1" applyBorder="1" applyAlignment="1">
      <alignment horizontal="right"/>
    </xf>
    <xf numFmtId="173" fontId="1" fillId="0" borderId="19" xfId="1" applyNumberFormat="1" applyBorder="1"/>
    <xf numFmtId="174" fontId="5" fillId="0" borderId="20" xfId="3" applyNumberFormat="1" applyFont="1" applyBorder="1" applyAlignment="1">
      <alignment horizontal="right"/>
    </xf>
    <xf numFmtId="182" fontId="5" fillId="0" borderId="21" xfId="3" applyNumberFormat="1" applyFont="1" applyBorder="1" applyAlignment="1">
      <alignment horizontal="right"/>
    </xf>
    <xf numFmtId="182" fontId="5" fillId="0" borderId="20" xfId="3" applyNumberFormat="1" applyFont="1" applyBorder="1" applyAlignment="1">
      <alignment horizontal="right"/>
    </xf>
    <xf numFmtId="182" fontId="1" fillId="0" borderId="5" xfId="3" applyNumberFormat="1" applyBorder="1" applyAlignment="1">
      <alignment horizontal="right"/>
    </xf>
    <xf numFmtId="182" fontId="1" fillId="0" borderId="0" xfId="3" applyNumberFormat="1" applyAlignment="1">
      <alignment horizontal="right"/>
    </xf>
    <xf numFmtId="173" fontId="4" fillId="0" borderId="2" xfId="1" applyNumberFormat="1" applyFont="1" applyBorder="1" applyAlignment="1">
      <alignment vertical="top"/>
    </xf>
    <xf numFmtId="173" fontId="4" fillId="0" borderId="1" xfId="1" applyNumberFormat="1" applyFont="1" applyBorder="1" applyAlignment="1">
      <alignment vertical="top"/>
    </xf>
    <xf numFmtId="174" fontId="4" fillId="0" borderId="3" xfId="3" applyNumberFormat="1" applyFont="1" applyBorder="1" applyAlignment="1">
      <alignment horizontal="right"/>
    </xf>
    <xf numFmtId="173" fontId="4" fillId="0" borderId="22" xfId="1" applyNumberFormat="1" applyFont="1" applyBorder="1" applyAlignment="1">
      <alignment vertical="top"/>
    </xf>
    <xf numFmtId="173" fontId="4" fillId="0" borderId="2" xfId="1" applyNumberFormat="1" applyFont="1" applyBorder="1"/>
    <xf numFmtId="173" fontId="4" fillId="0" borderId="1" xfId="1" applyNumberFormat="1" applyFont="1" applyBorder="1"/>
    <xf numFmtId="173" fontId="4" fillId="0" borderId="22" xfId="1" applyNumberFormat="1" applyFont="1" applyBorder="1"/>
    <xf numFmtId="174" fontId="0" fillId="0" borderId="7" xfId="3" applyNumberFormat="1" applyFont="1" applyBorder="1" applyAlignment="1">
      <alignment horizontal="right"/>
    </xf>
    <xf numFmtId="174" fontId="0" fillId="0" borderId="18" xfId="3" applyNumberFormat="1" applyFont="1" applyBorder="1" applyAlignment="1">
      <alignment horizontal="right"/>
    </xf>
    <xf numFmtId="179" fontId="0" fillId="0" borderId="6" xfId="3" applyNumberFormat="1" applyFont="1" applyBorder="1" applyAlignment="1">
      <alignment horizontal="right"/>
    </xf>
    <xf numFmtId="179" fontId="0" fillId="0" borderId="5" xfId="3" applyNumberFormat="1" applyFont="1" applyBorder="1" applyAlignment="1">
      <alignment horizontal="right"/>
    </xf>
    <xf numFmtId="174" fontId="0" fillId="0" borderId="25" xfId="3" applyNumberFormat="1" applyFont="1" applyBorder="1" applyAlignment="1">
      <alignment horizontal="right"/>
    </xf>
    <xf numFmtId="181" fontId="0" fillId="0" borderId="5" xfId="3" applyNumberFormat="1" applyFont="1" applyBorder="1" applyAlignment="1">
      <alignment horizontal="right"/>
    </xf>
    <xf numFmtId="174" fontId="0" fillId="0" borderId="25" xfId="3" applyNumberFormat="1" applyFont="1" applyBorder="1"/>
    <xf numFmtId="174" fontId="0" fillId="0" borderId="4" xfId="3" applyNumberFormat="1" applyFont="1" applyBorder="1" applyAlignment="1">
      <alignment horizontal="right"/>
    </xf>
    <xf numFmtId="174" fontId="0" fillId="0" borderId="24" xfId="3" applyNumberFormat="1" applyFont="1" applyBorder="1" applyAlignment="1">
      <alignment horizontal="right"/>
    </xf>
    <xf numFmtId="174" fontId="0" fillId="0" borderId="24" xfId="3" applyNumberFormat="1" applyFont="1" applyBorder="1"/>
    <xf numFmtId="174" fontId="0" fillId="0" borderId="3" xfId="3" applyNumberFormat="1" applyFont="1" applyBorder="1" applyAlignment="1">
      <alignment horizontal="right"/>
    </xf>
    <xf numFmtId="174" fontId="0" fillId="0" borderId="1" xfId="3" applyNumberFormat="1" applyFont="1" applyBorder="1" applyAlignment="1">
      <alignment horizontal="right"/>
    </xf>
    <xf numFmtId="173" fontId="0" fillId="0" borderId="3" xfId="1" applyNumberFormat="1" applyFont="1" applyBorder="1"/>
    <xf numFmtId="172" fontId="0" fillId="0" borderId="4" xfId="1" applyNumberFormat="1" applyFont="1" applyBorder="1"/>
    <xf numFmtId="172" fontId="0" fillId="0" borderId="5" xfId="1" applyNumberFormat="1" applyFont="1" applyBorder="1"/>
    <xf numFmtId="10" fontId="2" fillId="0" borderId="2" xfId="3" applyNumberFormat="1" applyFont="1" applyBorder="1"/>
    <xf numFmtId="10" fontId="2" fillId="0" borderId="1" xfId="3" applyNumberFormat="1" applyFont="1" applyBorder="1"/>
    <xf numFmtId="174" fontId="2" fillId="0" borderId="3" xfId="3" applyNumberFormat="1" applyFont="1" applyBorder="1" applyAlignment="1">
      <alignment horizontal="right"/>
    </xf>
    <xf numFmtId="174" fontId="2" fillId="0" borderId="1" xfId="3" applyNumberFormat="1" applyFont="1" applyBorder="1" applyAlignment="1">
      <alignment horizontal="right"/>
    </xf>
    <xf numFmtId="10" fontId="2" fillId="0" borderId="3" xfId="3" applyNumberFormat="1" applyFont="1" applyBorder="1"/>
    <xf numFmtId="180" fontId="0" fillId="0" borderId="3" xfId="3" applyNumberFormat="1" applyFont="1" applyBorder="1" applyAlignment="1">
      <alignment horizontal="right"/>
    </xf>
    <xf numFmtId="10" fontId="0" fillId="0" borderId="4" xfId="3" applyNumberFormat="1" applyFont="1" applyBorder="1"/>
    <xf numFmtId="10" fontId="0" fillId="0" borderId="5" xfId="3" applyNumberFormat="1" applyFont="1" applyBorder="1"/>
    <xf numFmtId="10" fontId="0" fillId="0" borderId="7" xfId="3" applyNumberFormat="1" applyFont="1" applyBorder="1"/>
    <xf numFmtId="10" fontId="0" fillId="0" borderId="18" xfId="3" applyNumberFormat="1" applyFont="1" applyBorder="1"/>
    <xf numFmtId="174" fontId="0" fillId="0" borderId="6" xfId="3" applyNumberFormat="1" applyFont="1" applyBorder="1" applyAlignment="1">
      <alignment horizontal="right"/>
    </xf>
    <xf numFmtId="10" fontId="0" fillId="0" borderId="6" xfId="3" applyNumberFormat="1" applyFont="1" applyBorder="1"/>
    <xf numFmtId="173" fontId="0" fillId="0" borderId="19" xfId="1" applyNumberFormat="1" applyFont="1" applyBorder="1"/>
    <xf numFmtId="173" fontId="0" fillId="0" borderId="20" xfId="1" applyNumberFormat="1" applyFont="1" applyBorder="1"/>
    <xf numFmtId="174" fontId="0" fillId="0" borderId="21" xfId="3" applyNumberFormat="1" applyFont="1" applyBorder="1" applyAlignment="1">
      <alignment horizontal="right"/>
    </xf>
    <xf numFmtId="174" fontId="0" fillId="0" borderId="20" xfId="3" applyNumberFormat="1" applyFont="1" applyBorder="1" applyAlignment="1">
      <alignment horizontal="right"/>
    </xf>
    <xf numFmtId="173" fontId="0" fillId="0" borderId="21" xfId="1" applyNumberFormat="1" applyFont="1" applyBorder="1"/>
    <xf numFmtId="0" fontId="56" fillId="0" borderId="0" xfId="0" applyFont="1"/>
    <xf numFmtId="174" fontId="19" fillId="0" borderId="4" xfId="3" applyNumberFormat="1" applyFont="1" applyBorder="1" applyAlignment="1">
      <alignment horizontal="right"/>
    </xf>
    <xf numFmtId="174" fontId="19" fillId="0" borderId="0" xfId="3" applyNumberFormat="1" applyFont="1" applyAlignment="1">
      <alignment horizontal="right"/>
    </xf>
    <xf numFmtId="9" fontId="19" fillId="0" borderId="0" xfId="3" applyFont="1" applyAlignment="1">
      <alignment horizontal="center"/>
    </xf>
    <xf numFmtId="174" fontId="19" fillId="0" borderId="0" xfId="3" applyNumberFormat="1" applyFont="1" applyAlignment="1">
      <alignment horizontal="center"/>
    </xf>
    <xf numFmtId="167" fontId="0" fillId="0" borderId="3" xfId="3" applyNumberFormat="1" applyFont="1" applyBorder="1"/>
    <xf numFmtId="167" fontId="0" fillId="0" borderId="3" xfId="3" applyNumberFormat="1" applyFont="1" applyBorder="1" applyAlignment="1">
      <alignment horizontal="right"/>
    </xf>
    <xf numFmtId="174" fontId="19" fillId="0" borderId="2" xfId="3" applyNumberFormat="1" applyFont="1" applyBorder="1" applyAlignment="1">
      <alignment horizontal="right"/>
    </xf>
    <xf numFmtId="174" fontId="19" fillId="0" borderId="1" xfId="3" applyNumberFormat="1" applyFont="1" applyBorder="1" applyAlignment="1">
      <alignment horizontal="right"/>
    </xf>
    <xf numFmtId="9" fontId="19" fillId="0" borderId="3" xfId="3" applyFont="1" applyBorder="1" applyAlignment="1">
      <alignment horizontal="center"/>
    </xf>
    <xf numFmtId="174" fontId="19" fillId="0" borderId="3" xfId="3" applyNumberFormat="1" applyFont="1" applyBorder="1" applyAlignment="1">
      <alignment horizontal="center"/>
    </xf>
    <xf numFmtId="9" fontId="19" fillId="0" borderId="22" xfId="3" applyFont="1" applyBorder="1" applyAlignment="1">
      <alignment horizontal="center"/>
    </xf>
    <xf numFmtId="43" fontId="32" fillId="0" borderId="0" xfId="1" applyFont="1" applyAlignment="1">
      <alignment horizontal="left"/>
    </xf>
    <xf numFmtId="175" fontId="0" fillId="0" borderId="0" xfId="1" applyNumberFormat="1" applyFont="1" applyAlignment="1">
      <alignment horizontal="left"/>
    </xf>
    <xf numFmtId="164" fontId="4" fillId="0" borderId="22" xfId="2" applyFont="1" applyBorder="1" applyAlignment="1">
      <alignment horizontal="center"/>
    </xf>
    <xf numFmtId="164" fontId="4" fillId="0" borderId="20" xfId="2" applyFont="1" applyBorder="1" applyAlignment="1">
      <alignment horizontal="center"/>
    </xf>
    <xf numFmtId="174" fontId="4" fillId="0" borderId="21" xfId="2" applyNumberFormat="1" applyFont="1" applyBorder="1" applyAlignment="1">
      <alignment horizontal="center"/>
    </xf>
    <xf numFmtId="0" fontId="4" fillId="0" borderId="22" xfId="0" applyFont="1" applyBorder="1"/>
    <xf numFmtId="173" fontId="36" fillId="0" borderId="0" xfId="1" applyNumberFormat="1" applyFont="1"/>
    <xf numFmtId="174" fontId="36" fillId="0" borderId="5" xfId="3" applyNumberFormat="1" applyFont="1" applyBorder="1" applyAlignment="1">
      <alignment horizontal="right"/>
    </xf>
    <xf numFmtId="173" fontId="36" fillId="0" borderId="4" xfId="1" applyNumberFormat="1" applyFont="1" applyBorder="1"/>
    <xf numFmtId="0" fontId="4" fillId="0" borderId="22" xfId="0" applyFont="1" applyBorder="1" applyAlignment="1">
      <alignment vertical="center"/>
    </xf>
    <xf numFmtId="174" fontId="35" fillId="0" borderId="5" xfId="3" applyNumberFormat="1" applyFont="1" applyBorder="1" applyAlignment="1">
      <alignment horizontal="right"/>
    </xf>
    <xf numFmtId="173" fontId="4" fillId="0" borderId="1" xfId="1" applyNumberFormat="1" applyFont="1" applyBorder="1" applyAlignment="1">
      <alignment vertical="center"/>
    </xf>
    <xf numFmtId="173" fontId="4" fillId="0" borderId="2" xfId="1" applyNumberFormat="1" applyFont="1" applyBorder="1" applyAlignment="1">
      <alignment vertical="center"/>
    </xf>
    <xf numFmtId="0" fontId="35" fillId="0" borderId="22" xfId="0" applyFont="1" applyBorder="1" applyAlignment="1">
      <alignment horizontal="left" indent="2"/>
    </xf>
    <xf numFmtId="173" fontId="36" fillId="0" borderId="1" xfId="1" applyNumberFormat="1" applyFont="1" applyBorder="1"/>
    <xf numFmtId="174" fontId="35" fillId="0" borderId="3" xfId="3" applyNumberFormat="1" applyFont="1" applyBorder="1" applyAlignment="1">
      <alignment horizontal="right"/>
    </xf>
    <xf numFmtId="173" fontId="36" fillId="0" borderId="2" xfId="1" applyNumberFormat="1" applyFont="1" applyBorder="1"/>
    <xf numFmtId="173" fontId="4" fillId="0" borderId="18" xfId="1" applyNumberFormat="1" applyFont="1" applyBorder="1"/>
    <xf numFmtId="174" fontId="4" fillId="0" borderId="6" xfId="3" applyNumberFormat="1" applyFont="1" applyBorder="1" applyAlignment="1">
      <alignment horizontal="right"/>
    </xf>
    <xf numFmtId="173" fontId="4" fillId="0" borderId="7" xfId="1" applyNumberFormat="1" applyFont="1" applyBorder="1"/>
    <xf numFmtId="173" fontId="4" fillId="0" borderId="1" xfId="1" applyNumberFormat="1" applyFont="1" applyBorder="1" applyAlignment="1">
      <alignment horizontal="center"/>
    </xf>
    <xf numFmtId="173" fontId="4" fillId="0" borderId="2" xfId="1" applyNumberFormat="1" applyFont="1" applyBorder="1" applyAlignment="1">
      <alignment horizontal="center"/>
    </xf>
    <xf numFmtId="0" fontId="35" fillId="0" borderId="4" xfId="0" applyFont="1" applyBorder="1"/>
    <xf numFmtId="173" fontId="4" fillId="0" borderId="1" xfId="1" applyNumberFormat="1" applyFont="1" applyBorder="1" applyAlignment="1">
      <alignment horizontal="right"/>
    </xf>
    <xf numFmtId="173" fontId="4" fillId="0" borderId="2" xfId="1" applyNumberFormat="1" applyFont="1" applyBorder="1" applyAlignment="1">
      <alignment horizontal="right"/>
    </xf>
    <xf numFmtId="173" fontId="5" fillId="0" borderId="1" xfId="1" applyNumberFormat="1" applyFont="1" applyBorder="1" applyAlignment="1">
      <alignment horizontal="center"/>
    </xf>
    <xf numFmtId="173" fontId="5" fillId="0" borderId="2" xfId="1" applyNumberFormat="1" applyFont="1" applyBorder="1" applyAlignment="1">
      <alignment horizontal="center"/>
    </xf>
    <xf numFmtId="179" fontId="0" fillId="0" borderId="21" xfId="3" applyNumberFormat="1" applyFont="1" applyBorder="1" applyAlignment="1">
      <alignment horizontal="right"/>
    </xf>
    <xf numFmtId="174" fontId="0" fillId="0" borderId="2" xfId="3" applyNumberFormat="1" applyFont="1" applyBorder="1" applyAlignment="1">
      <alignment horizontal="right"/>
    </xf>
    <xf numFmtId="179" fontId="0" fillId="0" borderId="3" xfId="3" applyNumberFormat="1" applyFont="1" applyBorder="1" applyAlignment="1">
      <alignment horizontal="right"/>
    </xf>
    <xf numFmtId="176" fontId="0" fillId="0" borderId="3" xfId="3" applyNumberFormat="1" applyFont="1" applyBorder="1" applyAlignment="1">
      <alignment horizontal="right"/>
    </xf>
    <xf numFmtId="176" fontId="0" fillId="0" borderId="3" xfId="0" applyNumberFormat="1" applyBorder="1"/>
    <xf numFmtId="10" fontId="2" fillId="0" borderId="22" xfId="3" applyNumberFormat="1" applyFont="1" applyBorder="1"/>
    <xf numFmtId="179" fontId="0" fillId="0" borderId="22" xfId="3" applyNumberFormat="1" applyFont="1" applyBorder="1" applyAlignment="1">
      <alignment horizontal="right"/>
    </xf>
    <xf numFmtId="174" fontId="0" fillId="0" borderId="22" xfId="3" applyNumberFormat="1" applyFont="1" applyBorder="1" applyAlignment="1">
      <alignment horizontal="right"/>
    </xf>
    <xf numFmtId="168" fontId="2" fillId="10" borderId="0" xfId="0" applyNumberFormat="1" applyFont="1" applyFill="1" applyAlignment="1">
      <alignment horizontal="center"/>
    </xf>
    <xf numFmtId="164" fontId="4" fillId="0" borderId="19" xfId="2" applyFont="1" applyFill="1" applyBorder="1" applyAlignment="1">
      <alignment horizontal="center"/>
    </xf>
    <xf numFmtId="173" fontId="4" fillId="0" borderId="18" xfId="1" applyNumberFormat="1" applyFont="1" applyFill="1" applyBorder="1"/>
    <xf numFmtId="174" fontId="4" fillId="0" borderId="6" xfId="3" applyNumberFormat="1" applyFont="1" applyFill="1" applyBorder="1" applyAlignment="1">
      <alignment horizontal="right"/>
    </xf>
    <xf numFmtId="173" fontId="4" fillId="0" borderId="7" xfId="1" applyNumberFormat="1" applyFont="1" applyFill="1" applyBorder="1"/>
    <xf numFmtId="174" fontId="36" fillId="0" borderId="0" xfId="3" applyNumberFormat="1" applyFont="1" applyFill="1" applyBorder="1" applyAlignment="1">
      <alignment horizontal="right"/>
    </xf>
    <xf numFmtId="173" fontId="36" fillId="0" borderId="4" xfId="1" applyNumberFormat="1" applyFont="1" applyFill="1" applyBorder="1"/>
    <xf numFmtId="174" fontId="35" fillId="0" borderId="0" xfId="3" applyNumberFormat="1" applyFont="1" applyFill="1" applyBorder="1" applyAlignment="1">
      <alignment horizontal="right"/>
    </xf>
    <xf numFmtId="173" fontId="4" fillId="0" borderId="1" xfId="1" applyNumberFormat="1" applyFont="1" applyFill="1" applyBorder="1" applyAlignment="1">
      <alignment horizontal="center"/>
    </xf>
    <xf numFmtId="174" fontId="4" fillId="0" borderId="1" xfId="3" applyNumberFormat="1" applyFont="1" applyFill="1" applyBorder="1" applyAlignment="1">
      <alignment horizontal="right"/>
    </xf>
    <xf numFmtId="173" fontId="4" fillId="0" borderId="2" xfId="1" applyNumberFormat="1" applyFont="1" applyFill="1" applyBorder="1" applyAlignment="1">
      <alignment horizontal="center"/>
    </xf>
    <xf numFmtId="173" fontId="4" fillId="0" borderId="1" xfId="1" applyNumberFormat="1" applyFont="1" applyFill="1" applyBorder="1" applyAlignment="1">
      <alignment horizontal="right"/>
    </xf>
    <xf numFmtId="173" fontId="5" fillId="0" borderId="1" xfId="1" applyNumberFormat="1" applyFont="1" applyFill="1" applyBorder="1" applyAlignment="1">
      <alignment horizontal="center"/>
    </xf>
    <xf numFmtId="174" fontId="5" fillId="0" borderId="1" xfId="3" applyNumberFormat="1" applyFont="1" applyFill="1" applyBorder="1" applyAlignment="1">
      <alignment horizontal="right"/>
    </xf>
    <xf numFmtId="173" fontId="5" fillId="0" borderId="2" xfId="1" applyNumberFormat="1" applyFont="1" applyFill="1" applyBorder="1" applyAlignment="1">
      <alignment horizontal="center"/>
    </xf>
    <xf numFmtId="173" fontId="4" fillId="52" borderId="1" xfId="1" applyNumberFormat="1" applyFont="1" applyFill="1" applyBorder="1" applyAlignment="1">
      <alignment horizontal="right"/>
    </xf>
    <xf numFmtId="174" fontId="2" fillId="52" borderId="3" xfId="3" applyNumberFormat="1" applyFont="1" applyFill="1" applyBorder="1" applyAlignment="1">
      <alignment horizontal="right"/>
    </xf>
    <xf numFmtId="173" fontId="4" fillId="52" borderId="2" xfId="1" applyNumberFormat="1" applyFont="1" applyFill="1" applyBorder="1" applyAlignment="1">
      <alignment horizontal="right"/>
    </xf>
    <xf numFmtId="176" fontId="2" fillId="0" borderId="1" xfId="3" applyNumberFormat="1" applyFont="1" applyFill="1" applyBorder="1" applyAlignment="1">
      <alignment horizontal="right"/>
    </xf>
    <xf numFmtId="10" fontId="0" fillId="0" borderId="0" xfId="3" applyNumberFormat="1" applyFont="1" applyAlignment="1">
      <alignment horizontal="right"/>
    </xf>
    <xf numFmtId="10" fontId="0" fillId="4" borderId="0" xfId="3" applyNumberFormat="1" applyFont="1" applyFill="1" applyBorder="1"/>
    <xf numFmtId="164" fontId="4" fillId="0" borderId="3" xfId="2" applyFont="1" applyFill="1" applyBorder="1" applyAlignment="1">
      <alignment horizontal="center"/>
    </xf>
    <xf numFmtId="173" fontId="4" fillId="51" borderId="2" xfId="1" applyNumberFormat="1" applyFont="1" applyFill="1" applyBorder="1" applyAlignment="1"/>
    <xf numFmtId="173" fontId="4" fillId="51" borderId="1" xfId="1" applyNumberFormat="1" applyFont="1" applyFill="1" applyBorder="1" applyAlignment="1"/>
    <xf numFmtId="173" fontId="4" fillId="51" borderId="22" xfId="1" applyNumberFormat="1" applyFont="1" applyFill="1" applyBorder="1" applyAlignment="1"/>
    <xf numFmtId="173" fontId="1" fillId="49" borderId="4" xfId="1" applyNumberFormat="1" applyFont="1" applyFill="1" applyBorder="1" applyAlignment="1"/>
    <xf numFmtId="173" fontId="1" fillId="49" borderId="0" xfId="1" applyNumberFormat="1" applyFont="1" applyFill="1" applyBorder="1" applyAlignment="1"/>
    <xf numFmtId="174" fontId="1" fillId="49" borderId="5" xfId="3" applyNumberFormat="1" applyFont="1" applyFill="1" applyBorder="1" applyAlignment="1">
      <alignment horizontal="right"/>
    </xf>
    <xf numFmtId="173" fontId="1" fillId="49" borderId="7" xfId="1" applyNumberFormat="1" applyFont="1" applyFill="1" applyBorder="1" applyAlignment="1"/>
    <xf numFmtId="174" fontId="1" fillId="49" borderId="0" xfId="3" applyNumberFormat="1" applyFont="1" applyFill="1" applyBorder="1" applyAlignment="1">
      <alignment horizontal="right"/>
    </xf>
    <xf numFmtId="173" fontId="1" fillId="49" borderId="5" xfId="1" applyNumberFormat="1" applyFont="1" applyFill="1" applyBorder="1" applyAlignment="1"/>
    <xf numFmtId="174" fontId="1" fillId="0" borderId="0" xfId="3" applyNumberFormat="1" applyFont="1" applyFill="1" applyBorder="1" applyAlignment="1">
      <alignment horizontal="right"/>
    </xf>
    <xf numFmtId="173" fontId="1" fillId="6" borderId="4" xfId="1" applyNumberFormat="1" applyFont="1" applyFill="1" applyBorder="1" applyAlignment="1"/>
    <xf numFmtId="173" fontId="1" fillId="6" borderId="0" xfId="1" applyNumberFormat="1" applyFont="1" applyFill="1" applyBorder="1" applyAlignment="1"/>
    <xf numFmtId="174" fontId="1" fillId="6" borderId="5" xfId="3" applyNumberFormat="1" applyFont="1" applyFill="1" applyBorder="1" applyAlignment="1">
      <alignment horizontal="right"/>
    </xf>
    <xf numFmtId="174" fontId="1" fillId="6" borderId="0" xfId="3" applyNumberFormat="1" applyFont="1" applyFill="1" applyBorder="1" applyAlignment="1">
      <alignment horizontal="right"/>
    </xf>
    <xf numFmtId="173" fontId="1" fillId="6" borderId="5" xfId="1" applyNumberFormat="1" applyFont="1" applyFill="1" applyBorder="1" applyAlignment="1"/>
    <xf numFmtId="9" fontId="0" fillId="0" borderId="0" xfId="3" applyFont="1" applyFill="1" applyBorder="1" applyAlignment="1">
      <alignment horizontal="right"/>
    </xf>
    <xf numFmtId="183" fontId="4" fillId="49" borderId="22" xfId="1" applyNumberFormat="1" applyFont="1" applyFill="1" applyBorder="1" applyAlignment="1"/>
    <xf numFmtId="182" fontId="5" fillId="0" borderId="6" xfId="3" applyNumberFormat="1" applyFont="1" applyFill="1" applyBorder="1" applyAlignment="1">
      <alignment horizontal="right"/>
    </xf>
    <xf numFmtId="182" fontId="5" fillId="0" borderId="0" xfId="3" applyNumberFormat="1" applyFont="1" applyFill="1" applyBorder="1" applyAlignment="1">
      <alignment horizontal="right"/>
    </xf>
    <xf numFmtId="183" fontId="0" fillId="0" borderId="5" xfId="1" applyNumberFormat="1" applyFont="1" applyFill="1" applyBorder="1" applyAlignment="1"/>
    <xf numFmtId="183" fontId="1" fillId="0" borderId="5" xfId="1" applyNumberFormat="1" applyFont="1" applyFill="1" applyBorder="1" applyAlignment="1"/>
    <xf numFmtId="174" fontId="5" fillId="6" borderId="5" xfId="3" applyNumberFormat="1" applyFont="1" applyFill="1" applyBorder="1" applyAlignment="1">
      <alignment horizontal="right"/>
    </xf>
    <xf numFmtId="174" fontId="5" fillId="6" borderId="0" xfId="3" applyNumberFormat="1" applyFont="1" applyFill="1" applyBorder="1" applyAlignment="1">
      <alignment horizontal="right"/>
    </xf>
    <xf numFmtId="173" fontId="4" fillId="49" borderId="22" xfId="1" applyNumberFormat="1" applyFont="1" applyFill="1" applyBorder="1" applyAlignment="1"/>
    <xf numFmtId="182" fontId="5" fillId="0" borderId="3" xfId="3" applyNumberFormat="1" applyFont="1" applyFill="1" applyBorder="1" applyAlignment="1">
      <alignment horizontal="right"/>
    </xf>
    <xf numFmtId="183" fontId="0" fillId="0" borderId="22" xfId="1" applyNumberFormat="1" applyFont="1" applyFill="1" applyBorder="1" applyAlignment="1"/>
    <xf numFmtId="182" fontId="5" fillId="0" borderId="18" xfId="3" applyNumberFormat="1" applyFont="1" applyFill="1" applyBorder="1" applyAlignment="1">
      <alignment horizontal="right"/>
    </xf>
    <xf numFmtId="183" fontId="1" fillId="0" borderId="6" xfId="1" applyNumberFormat="1" applyFont="1" applyFill="1" applyBorder="1" applyAlignment="1"/>
    <xf numFmtId="173" fontId="1" fillId="0" borderId="19" xfId="1" applyNumberFormat="1" applyFont="1" applyFill="1" applyBorder="1" applyAlignment="1"/>
    <xf numFmtId="173" fontId="1" fillId="0" borderId="20" xfId="1" applyNumberFormat="1" applyFont="1" applyFill="1" applyBorder="1" applyAlignment="1"/>
    <xf numFmtId="182" fontId="5" fillId="0" borderId="20" xfId="3" applyNumberFormat="1" applyFont="1" applyFill="1" applyBorder="1" applyAlignment="1">
      <alignment horizontal="right"/>
    </xf>
    <xf numFmtId="182" fontId="1" fillId="0" borderId="0" xfId="3" applyNumberFormat="1" applyFont="1" applyFill="1" applyBorder="1" applyAlignment="1">
      <alignment horizontal="right"/>
    </xf>
    <xf numFmtId="173" fontId="4" fillId="0" borderId="2" xfId="1" applyNumberFormat="1" applyFont="1" applyFill="1" applyBorder="1" applyAlignment="1"/>
    <xf numFmtId="173" fontId="4" fillId="0" borderId="1" xfId="1" applyNumberFormat="1" applyFont="1" applyFill="1" applyBorder="1" applyAlignment="1"/>
    <xf numFmtId="173" fontId="4" fillId="0" borderId="22" xfId="1" applyNumberFormat="1" applyFont="1" applyFill="1" applyBorder="1" applyAlignment="1"/>
    <xf numFmtId="174" fontId="0" fillId="0" borderId="25" xfId="3" applyNumberFormat="1" applyFont="1" applyFill="1" applyBorder="1" applyAlignment="1"/>
    <xf numFmtId="174" fontId="0" fillId="0" borderId="24" xfId="3" applyNumberFormat="1" applyFont="1" applyFill="1" applyBorder="1" applyAlignment="1"/>
    <xf numFmtId="173" fontId="0" fillId="0" borderId="3" xfId="1" applyNumberFormat="1" applyFont="1" applyFill="1" applyBorder="1"/>
    <xf numFmtId="172" fontId="0" fillId="0" borderId="4" xfId="1" applyNumberFormat="1" applyFont="1" applyFill="1" applyBorder="1"/>
    <xf numFmtId="172" fontId="0" fillId="0" borderId="0" xfId="1" applyNumberFormat="1" applyFont="1" applyFill="1" applyBorder="1"/>
    <xf numFmtId="172" fontId="0" fillId="0" borderId="5" xfId="1" applyNumberFormat="1" applyFont="1" applyFill="1" applyBorder="1"/>
    <xf numFmtId="180" fontId="0" fillId="0" borderId="3" xfId="3" applyNumberFormat="1" applyFont="1" applyFill="1" applyBorder="1" applyAlignment="1">
      <alignment horizontal="right"/>
    </xf>
    <xf numFmtId="10" fontId="2" fillId="0" borderId="3" xfId="3" applyNumberFormat="1" applyFont="1" applyFill="1" applyBorder="1"/>
    <xf numFmtId="10" fontId="0" fillId="0" borderId="5" xfId="3" applyNumberFormat="1" applyFont="1" applyFill="1" applyBorder="1"/>
    <xf numFmtId="10" fontId="0" fillId="0" borderId="7" xfId="3" applyNumberFormat="1" applyFont="1" applyFill="1" applyBorder="1"/>
    <xf numFmtId="10" fontId="0" fillId="0" borderId="18" xfId="3" applyNumberFormat="1" applyFont="1" applyFill="1" applyBorder="1"/>
    <xf numFmtId="10" fontId="0" fillId="0" borderId="6" xfId="3" applyNumberFormat="1" applyFont="1" applyFill="1" applyBorder="1"/>
    <xf numFmtId="173" fontId="0" fillId="0" borderId="21" xfId="1" applyNumberFormat="1" applyFont="1" applyFill="1" applyBorder="1"/>
    <xf numFmtId="174" fontId="19" fillId="0" borderId="2" xfId="3" applyNumberFormat="1" applyFont="1" applyFill="1" applyBorder="1" applyAlignment="1">
      <alignment horizontal="right"/>
    </xf>
    <xf numFmtId="174" fontId="19" fillId="0" borderId="1" xfId="3" applyNumberFormat="1" applyFont="1" applyFill="1" applyBorder="1" applyAlignment="1">
      <alignment horizontal="right"/>
    </xf>
    <xf numFmtId="9" fontId="19" fillId="0" borderId="3" xfId="3" applyFont="1" applyFill="1" applyBorder="1" applyAlignment="1">
      <alignment horizontal="center"/>
    </xf>
    <xf numFmtId="174" fontId="19" fillId="0" borderId="3" xfId="3" applyNumberFormat="1" applyFont="1" applyFill="1" applyBorder="1" applyAlignment="1">
      <alignment horizontal="center"/>
    </xf>
    <xf numFmtId="9" fontId="19" fillId="0" borderId="22" xfId="3" applyFont="1" applyFill="1" applyBorder="1" applyAlignment="1">
      <alignment horizontal="center"/>
    </xf>
    <xf numFmtId="0" fontId="0" fillId="53" borderId="0" xfId="0" applyFill="1"/>
    <xf numFmtId="0" fontId="0" fillId="0" borderId="0" xfId="0" applyAlignment="1">
      <alignment wrapText="1"/>
    </xf>
    <xf numFmtId="0" fontId="25" fillId="0" borderId="0" xfId="0" applyFont="1"/>
    <xf numFmtId="0" fontId="52" fillId="0" borderId="0" xfId="0" applyFont="1" applyAlignment="1">
      <alignment horizontal="right" wrapText="1"/>
    </xf>
    <xf numFmtId="17" fontId="2" fillId="0" borderId="34" xfId="0" applyNumberFormat="1" applyFont="1" applyBorder="1" applyAlignment="1">
      <alignment horizontal="center"/>
    </xf>
    <xf numFmtId="17" fontId="2" fillId="0" borderId="38" xfId="0" applyNumberFormat="1" applyFont="1" applyBorder="1" applyAlignment="1">
      <alignment horizontal="center"/>
    </xf>
    <xf numFmtId="43" fontId="0" fillId="0" borderId="36" xfId="1" applyFont="1" applyBorder="1" applyAlignment="1">
      <alignment horizontal="center"/>
    </xf>
    <xf numFmtId="43" fontId="0" fillId="0" borderId="29" xfId="1" applyFont="1" applyBorder="1" applyAlignment="1">
      <alignment horizontal="center"/>
    </xf>
    <xf numFmtId="10" fontId="0" fillId="0" borderId="30" xfId="3" applyNumberFormat="1" applyFont="1" applyBorder="1" applyAlignment="1">
      <alignment horizontal="center"/>
    </xf>
    <xf numFmtId="43" fontId="0" fillId="0" borderId="37" xfId="1" applyFont="1" applyBorder="1" applyAlignment="1">
      <alignment horizontal="center"/>
    </xf>
    <xf numFmtId="43" fontId="0" fillId="0" borderId="31" xfId="1" applyFont="1" applyBorder="1" applyAlignment="1">
      <alignment horizontal="center"/>
    </xf>
    <xf numFmtId="10" fontId="0" fillId="0" borderId="33" xfId="3" applyNumberFormat="1" applyFont="1" applyBorder="1" applyAlignment="1">
      <alignment horizontal="center"/>
    </xf>
    <xf numFmtId="17" fontId="2" fillId="0" borderId="35" xfId="0" applyNumberFormat="1" applyFont="1" applyBorder="1" applyAlignment="1">
      <alignment horizontal="center"/>
    </xf>
    <xf numFmtId="17" fontId="2" fillId="0" borderId="26" xfId="0" applyNumberFormat="1" applyFont="1" applyBorder="1" applyAlignment="1">
      <alignment horizontal="center"/>
    </xf>
    <xf numFmtId="17" fontId="2" fillId="0" borderId="37" xfId="0" applyNumberFormat="1" applyFont="1" applyBorder="1" applyAlignment="1">
      <alignment horizontal="center"/>
    </xf>
    <xf numFmtId="17" fontId="2" fillId="0" borderId="31" xfId="0" applyNumberFormat="1" applyFont="1" applyBorder="1" applyAlignment="1">
      <alignment horizontal="center"/>
    </xf>
    <xf numFmtId="17" fontId="42" fillId="0" borderId="33" xfId="0" applyNumberFormat="1" applyFont="1" applyBorder="1" applyAlignment="1">
      <alignment horizontal="center"/>
    </xf>
    <xf numFmtId="9" fontId="0" fillId="0" borderId="37" xfId="3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17" fontId="42" fillId="0" borderId="0" xfId="0" applyNumberFormat="1" applyFont="1" applyAlignment="1">
      <alignment horizontal="center"/>
    </xf>
    <xf numFmtId="10" fontId="0" fillId="0" borderId="0" xfId="3" applyNumberFormat="1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10" fontId="0" fillId="54" borderId="42" xfId="0" applyNumberFormat="1" applyFill="1" applyBorder="1" applyAlignment="1">
      <alignment horizontal="center"/>
    </xf>
    <xf numFmtId="10" fontId="0" fillId="54" borderId="0" xfId="0" applyNumberFormat="1" applyFill="1" applyAlignment="1">
      <alignment horizontal="center"/>
    </xf>
    <xf numFmtId="10" fontId="0" fillId="54" borderId="45" xfId="0" applyNumberFormat="1" applyFill="1" applyBorder="1" applyAlignment="1">
      <alignment horizontal="center"/>
    </xf>
    <xf numFmtId="0" fontId="2" fillId="54" borderId="50" xfId="0" applyFont="1" applyFill="1" applyBorder="1" applyAlignment="1">
      <alignment horizontal="center"/>
    </xf>
    <xf numFmtId="10" fontId="0" fillId="54" borderId="28" xfId="0" applyNumberFormat="1" applyFill="1" applyBorder="1" applyAlignment="1">
      <alignment horizontal="center"/>
    </xf>
    <xf numFmtId="10" fontId="0" fillId="54" borderId="30" xfId="0" applyNumberFormat="1" applyFill="1" applyBorder="1" applyAlignment="1">
      <alignment horizontal="center"/>
    </xf>
    <xf numFmtId="10" fontId="0" fillId="54" borderId="33" xfId="0" applyNumberFormat="1" applyFill="1" applyBorder="1" applyAlignment="1">
      <alignment horizontal="center"/>
    </xf>
    <xf numFmtId="0" fontId="2" fillId="54" borderId="51" xfId="0" applyFont="1" applyFill="1" applyBorder="1" applyAlignment="1">
      <alignment horizontal="center"/>
    </xf>
    <xf numFmtId="10" fontId="0" fillId="54" borderId="27" xfId="1" applyNumberFormat="1" applyFont="1" applyFill="1" applyBorder="1" applyAlignment="1">
      <alignment horizontal="center"/>
    </xf>
    <xf numFmtId="10" fontId="0" fillId="54" borderId="0" xfId="1" applyNumberFormat="1" applyFont="1" applyFill="1" applyBorder="1" applyAlignment="1">
      <alignment horizontal="center"/>
    </xf>
    <xf numFmtId="10" fontId="0" fillId="54" borderId="32" xfId="1" applyNumberFormat="1" applyFont="1" applyFill="1" applyBorder="1" applyAlignment="1">
      <alignment horizontal="center"/>
    </xf>
    <xf numFmtId="10" fontId="0" fillId="54" borderId="28" xfId="1" applyNumberFormat="1" applyFont="1" applyFill="1" applyBorder="1" applyAlignment="1">
      <alignment horizontal="center"/>
    </xf>
    <xf numFmtId="10" fontId="0" fillId="54" borderId="30" xfId="1" applyNumberFormat="1" applyFont="1" applyFill="1" applyBorder="1" applyAlignment="1">
      <alignment horizontal="center"/>
    </xf>
    <xf numFmtId="10" fontId="0" fillId="54" borderId="33" xfId="1" applyNumberFormat="1" applyFont="1" applyFill="1" applyBorder="1" applyAlignment="1">
      <alignment horizontal="center"/>
    </xf>
    <xf numFmtId="0" fontId="2" fillId="54" borderId="36" xfId="0" applyFont="1" applyFill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58" fillId="0" borderId="0" xfId="0" applyFont="1" applyAlignment="1">
      <alignment horizontal="center"/>
    </xf>
    <xf numFmtId="10" fontId="57" fillId="55" borderId="28" xfId="1" applyNumberFormat="1" applyFont="1" applyFill="1" applyBorder="1" applyAlignment="1">
      <alignment horizontal="center"/>
    </xf>
    <xf numFmtId="10" fontId="57" fillId="55" borderId="30" xfId="1" applyNumberFormat="1" applyFont="1" applyFill="1" applyBorder="1" applyAlignment="1">
      <alignment horizontal="center"/>
    </xf>
    <xf numFmtId="10" fontId="57" fillId="55" borderId="33" xfId="1" applyNumberFormat="1" applyFont="1" applyFill="1" applyBorder="1" applyAlignment="1">
      <alignment horizontal="center"/>
    </xf>
    <xf numFmtId="10" fontId="57" fillId="55" borderId="35" xfId="1" applyNumberFormat="1" applyFont="1" applyFill="1" applyBorder="1" applyAlignment="1">
      <alignment horizontal="center"/>
    </xf>
    <xf numFmtId="10" fontId="57" fillId="55" borderId="36" xfId="1" applyNumberFormat="1" applyFont="1" applyFill="1" applyBorder="1" applyAlignment="1">
      <alignment horizontal="center"/>
    </xf>
    <xf numFmtId="10" fontId="57" fillId="55" borderId="37" xfId="1" applyNumberFormat="1" applyFont="1" applyFill="1" applyBorder="1" applyAlignment="1">
      <alignment horizontal="center"/>
    </xf>
    <xf numFmtId="9" fontId="0" fillId="0" borderId="0" xfId="3" applyFont="1" applyBorder="1" applyAlignment="1">
      <alignment horizontal="center"/>
    </xf>
    <xf numFmtId="167" fontId="0" fillId="0" borderId="37" xfId="3" applyNumberFormat="1" applyFont="1" applyBorder="1" applyAlignment="1">
      <alignment horizontal="center"/>
    </xf>
    <xf numFmtId="0" fontId="2" fillId="43" borderId="0" xfId="0" applyFont="1" applyFill="1" applyAlignment="1">
      <alignment horizontal="center"/>
    </xf>
    <xf numFmtId="43" fontId="0" fillId="0" borderId="34" xfId="0" applyNumberFormat="1" applyBorder="1" applyAlignment="1">
      <alignment horizontal="center"/>
    </xf>
    <xf numFmtId="43" fontId="2" fillId="0" borderId="39" xfId="0" applyNumberFormat="1" applyFont="1" applyBorder="1" applyAlignment="1">
      <alignment horizontal="center"/>
    </xf>
    <xf numFmtId="43" fontId="0" fillId="0" borderId="35" xfId="1" applyFont="1" applyBorder="1" applyAlignment="1">
      <alignment horizontal="center"/>
    </xf>
    <xf numFmtId="43" fontId="0" fillId="0" borderId="28" xfId="1" applyFont="1" applyBorder="1" applyAlignment="1">
      <alignment horizontal="center"/>
    </xf>
    <xf numFmtId="43" fontId="0" fillId="0" borderId="33" xfId="1" applyFont="1" applyBorder="1" applyAlignment="1">
      <alignment horizontal="center"/>
    </xf>
    <xf numFmtId="43" fontId="0" fillId="0" borderId="35" xfId="0" applyNumberFormat="1" applyBorder="1" applyAlignment="1">
      <alignment horizontal="center"/>
    </xf>
    <xf numFmtId="43" fontId="0" fillId="0" borderId="36" xfId="0" applyNumberFormat="1" applyBorder="1" applyAlignment="1">
      <alignment horizontal="center"/>
    </xf>
    <xf numFmtId="0" fontId="0" fillId="43" borderId="0" xfId="0" applyFill="1" applyAlignment="1">
      <alignment horizontal="center"/>
    </xf>
    <xf numFmtId="43" fontId="0" fillId="0" borderId="26" xfId="1" applyFont="1" applyBorder="1" applyAlignment="1">
      <alignment horizontal="center"/>
    </xf>
    <xf numFmtId="10" fontId="0" fillId="54" borderId="35" xfId="3" applyNumberFormat="1" applyFont="1" applyFill="1" applyBorder="1" applyAlignment="1">
      <alignment horizontal="center"/>
    </xf>
    <xf numFmtId="164" fontId="0" fillId="0" borderId="35" xfId="0" applyNumberFormat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10" fontId="0" fillId="54" borderId="26" xfId="3" applyNumberFormat="1" applyFont="1" applyFill="1" applyBorder="1" applyAlignment="1">
      <alignment horizontal="center"/>
    </xf>
    <xf numFmtId="10" fontId="0" fillId="54" borderId="36" xfId="3" applyNumberFormat="1" applyFont="1" applyFill="1" applyBorder="1" applyAlignment="1">
      <alignment horizontal="center"/>
    </xf>
    <xf numFmtId="164" fontId="0" fillId="0" borderId="36" xfId="0" applyNumberFormat="1" applyBorder="1" applyAlignment="1">
      <alignment horizontal="center"/>
    </xf>
    <xf numFmtId="164" fontId="0" fillId="0" borderId="29" xfId="0" applyNumberFormat="1" applyBorder="1" applyAlignment="1">
      <alignment horizontal="center"/>
    </xf>
    <xf numFmtId="10" fontId="0" fillId="54" borderId="29" xfId="3" applyNumberFormat="1" applyFont="1" applyFill="1" applyBorder="1" applyAlignment="1">
      <alignment horizontal="center"/>
    </xf>
    <xf numFmtId="10" fontId="0" fillId="54" borderId="37" xfId="3" applyNumberFormat="1" applyFont="1" applyFill="1" applyBorder="1" applyAlignment="1">
      <alignment horizontal="center"/>
    </xf>
    <xf numFmtId="164" fontId="0" fillId="0" borderId="37" xfId="0" applyNumberFormat="1" applyBorder="1" applyAlignment="1">
      <alignment horizontal="center"/>
    </xf>
    <xf numFmtId="164" fontId="0" fillId="0" borderId="31" xfId="0" applyNumberFormat="1" applyBorder="1" applyAlignment="1">
      <alignment horizontal="center"/>
    </xf>
    <xf numFmtId="10" fontId="0" fillId="54" borderId="31" xfId="3" applyNumberFormat="1" applyFont="1" applyFill="1" applyBorder="1" applyAlignment="1">
      <alignment horizontal="center"/>
    </xf>
    <xf numFmtId="43" fontId="57" fillId="0" borderId="35" xfId="1" applyFont="1" applyBorder="1" applyAlignment="1">
      <alignment horizontal="center"/>
    </xf>
    <xf numFmtId="43" fontId="57" fillId="0" borderId="36" xfId="1" applyFont="1" applyBorder="1" applyAlignment="1">
      <alignment horizontal="center"/>
    </xf>
    <xf numFmtId="43" fontId="57" fillId="0" borderId="37" xfId="1" applyFont="1" applyBorder="1" applyAlignment="1">
      <alignment horizontal="center"/>
    </xf>
    <xf numFmtId="43" fontId="57" fillId="0" borderId="26" xfId="1" applyFont="1" applyBorder="1" applyAlignment="1">
      <alignment horizontal="center"/>
    </xf>
    <xf numFmtId="10" fontId="57" fillId="55" borderId="35" xfId="3" applyNumberFormat="1" applyFont="1" applyFill="1" applyBorder="1" applyAlignment="1">
      <alignment horizontal="center"/>
    </xf>
    <xf numFmtId="43" fontId="57" fillId="0" borderId="29" xfId="1" applyFont="1" applyBorder="1" applyAlignment="1">
      <alignment horizontal="center"/>
    </xf>
    <xf numFmtId="10" fontId="57" fillId="55" borderId="36" xfId="3" applyNumberFormat="1" applyFont="1" applyFill="1" applyBorder="1" applyAlignment="1">
      <alignment horizontal="center"/>
    </xf>
    <xf numFmtId="43" fontId="57" fillId="0" borderId="31" xfId="1" applyFont="1" applyBorder="1" applyAlignment="1">
      <alignment horizontal="center"/>
    </xf>
    <xf numFmtId="10" fontId="57" fillId="55" borderId="37" xfId="3" applyNumberFormat="1" applyFont="1" applyFill="1" applyBorder="1" applyAlignment="1">
      <alignment horizontal="center"/>
    </xf>
    <xf numFmtId="43" fontId="57" fillId="0" borderId="0" xfId="1" applyFont="1" applyBorder="1" applyAlignment="1">
      <alignment horizontal="center"/>
    </xf>
    <xf numFmtId="4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2" fillId="43" borderId="0" xfId="0" applyFont="1" applyFill="1" applyAlignment="1">
      <alignment horizontal="left"/>
    </xf>
    <xf numFmtId="0" fontId="0" fillId="0" borderId="34" xfId="0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36" xfId="0" applyFont="1" applyBorder="1" applyAlignment="1">
      <alignment horizontal="left"/>
    </xf>
    <xf numFmtId="0" fontId="2" fillId="0" borderId="37" xfId="0" applyFont="1" applyBorder="1" applyAlignment="1">
      <alignment horizontal="left"/>
    </xf>
    <xf numFmtId="0" fontId="2" fillId="0" borderId="26" xfId="0" applyFont="1" applyBorder="1" applyAlignment="1">
      <alignment horizontal="left"/>
    </xf>
    <xf numFmtId="0" fontId="2" fillId="0" borderId="31" xfId="0" applyFont="1" applyBorder="1" applyAlignment="1">
      <alignment horizontal="left"/>
    </xf>
    <xf numFmtId="0" fontId="2" fillId="0" borderId="29" xfId="0" applyFont="1" applyBorder="1" applyAlignment="1">
      <alignment horizontal="left"/>
    </xf>
    <xf numFmtId="0" fontId="0" fillId="43" borderId="0" xfId="0" applyFill="1" applyAlignment="1">
      <alignment horizontal="left"/>
    </xf>
    <xf numFmtId="0" fontId="0" fillId="0" borderId="35" xfId="0" applyBorder="1" applyAlignment="1">
      <alignment horizontal="left"/>
    </xf>
    <xf numFmtId="0" fontId="0" fillId="0" borderId="36" xfId="0" applyBorder="1" applyAlignment="1">
      <alignment horizontal="left"/>
    </xf>
    <xf numFmtId="0" fontId="0" fillId="0" borderId="37" xfId="0" applyBorder="1" applyAlignment="1">
      <alignment horizontal="left"/>
    </xf>
    <xf numFmtId="9" fontId="0" fillId="0" borderId="0" xfId="0" applyNumberFormat="1" applyAlignment="1">
      <alignment horizontal="right"/>
    </xf>
    <xf numFmtId="43" fontId="0" fillId="4" borderId="0" xfId="1" applyFont="1" applyFill="1"/>
    <xf numFmtId="167" fontId="2" fillId="10" borderId="0" xfId="0" applyNumberFormat="1" applyFont="1" applyFill="1" applyAlignment="1">
      <alignment horizontal="center"/>
    </xf>
    <xf numFmtId="173" fontId="32" fillId="0" borderId="0" xfId="1" applyNumberFormat="1" applyFont="1" applyBorder="1"/>
    <xf numFmtId="173" fontId="32" fillId="0" borderId="0" xfId="0" applyNumberFormat="1" applyFont="1"/>
    <xf numFmtId="173" fontId="37" fillId="0" borderId="0" xfId="1" applyNumberFormat="1" applyFont="1" applyBorder="1"/>
    <xf numFmtId="185" fontId="4" fillId="0" borderId="2" xfId="2" applyNumberFormat="1" applyFont="1" applyFill="1" applyBorder="1" applyAlignment="1">
      <alignment horizontal="center"/>
    </xf>
    <xf numFmtId="185" fontId="4" fillId="0" borderId="1" xfId="2" applyNumberFormat="1" applyFont="1" applyFill="1" applyBorder="1" applyAlignment="1">
      <alignment horizontal="center"/>
    </xf>
    <xf numFmtId="185" fontId="4" fillId="0" borderId="3" xfId="2" applyNumberFormat="1" applyFont="1" applyFill="1" applyBorder="1" applyAlignment="1">
      <alignment horizontal="center"/>
    </xf>
    <xf numFmtId="186" fontId="4" fillId="0" borderId="3" xfId="2" applyNumberFormat="1" applyFont="1" applyFill="1" applyBorder="1" applyAlignment="1">
      <alignment horizontal="center"/>
    </xf>
    <xf numFmtId="186" fontId="4" fillId="0" borderId="1" xfId="2" applyNumberFormat="1" applyFont="1" applyFill="1" applyBorder="1" applyAlignment="1">
      <alignment horizontal="center"/>
    </xf>
    <xf numFmtId="37" fontId="4" fillId="51" borderId="2" xfId="1" applyNumberFormat="1" applyFont="1" applyFill="1" applyBorder="1" applyAlignment="1"/>
    <xf numFmtId="37" fontId="4" fillId="51" borderId="1" xfId="1" applyNumberFormat="1" applyFont="1" applyFill="1" applyBorder="1" applyAlignment="1"/>
    <xf numFmtId="186" fontId="60" fillId="51" borderId="3" xfId="3" applyNumberFormat="1" applyFont="1" applyFill="1" applyBorder="1" applyAlignment="1">
      <alignment horizontal="right"/>
    </xf>
    <xf numFmtId="186" fontId="4" fillId="51" borderId="3" xfId="3" applyNumberFormat="1" applyFont="1" applyFill="1" applyBorder="1" applyAlignment="1">
      <alignment horizontal="right"/>
    </xf>
    <xf numFmtId="37" fontId="4" fillId="51" borderId="22" xfId="1" applyNumberFormat="1" applyFont="1" applyFill="1" applyBorder="1" applyAlignment="1"/>
    <xf numFmtId="37" fontId="1" fillId="49" borderId="4" xfId="1" applyNumberFormat="1" applyFont="1" applyFill="1" applyBorder="1" applyAlignment="1"/>
    <xf numFmtId="37" fontId="1" fillId="49" borderId="0" xfId="1" applyNumberFormat="1" applyFont="1" applyFill="1" applyBorder="1" applyAlignment="1"/>
    <xf numFmtId="186" fontId="61" fillId="49" borderId="5" xfId="3" applyNumberFormat="1" applyFont="1" applyFill="1" applyBorder="1" applyAlignment="1">
      <alignment horizontal="right"/>
    </xf>
    <xf numFmtId="37" fontId="1" fillId="49" borderId="7" xfId="1" applyNumberFormat="1" applyFont="1" applyFill="1" applyBorder="1" applyAlignment="1"/>
    <xf numFmtId="186" fontId="1" fillId="49" borderId="5" xfId="3" applyNumberFormat="1" applyFont="1" applyFill="1" applyBorder="1" applyAlignment="1">
      <alignment horizontal="right"/>
    </xf>
    <xf numFmtId="186" fontId="1" fillId="49" borderId="0" xfId="3" applyNumberFormat="1" applyFont="1" applyFill="1" applyBorder="1" applyAlignment="1">
      <alignment horizontal="right"/>
    </xf>
    <xf numFmtId="37" fontId="1" fillId="49" borderId="5" xfId="1" applyNumberFormat="1" applyFont="1" applyFill="1" applyBorder="1" applyAlignment="1"/>
    <xf numFmtId="37" fontId="1" fillId="0" borderId="4" xfId="1" applyNumberFormat="1" applyFont="1" applyFill="1" applyBorder="1" applyAlignment="1"/>
    <xf numFmtId="37" fontId="1" fillId="0" borderId="0" xfId="1" applyNumberFormat="1" applyFont="1" applyFill="1" applyBorder="1" applyAlignment="1"/>
    <xf numFmtId="186" fontId="61" fillId="0" borderId="5" xfId="3" applyNumberFormat="1" applyFont="1" applyFill="1" applyBorder="1" applyAlignment="1">
      <alignment horizontal="right"/>
    </xf>
    <xf numFmtId="186" fontId="1" fillId="0" borderId="5" xfId="3" applyNumberFormat="1" applyFont="1" applyFill="1" applyBorder="1" applyAlignment="1">
      <alignment horizontal="right"/>
    </xf>
    <xf numFmtId="186" fontId="1" fillId="0" borderId="0" xfId="3" applyNumberFormat="1" applyFont="1" applyFill="1" applyBorder="1" applyAlignment="1">
      <alignment horizontal="right"/>
    </xf>
    <xf numFmtId="37" fontId="1" fillId="0" borderId="5" xfId="1" applyNumberFormat="1" applyFont="1" applyFill="1" applyBorder="1" applyAlignment="1"/>
    <xf numFmtId="37" fontId="0" fillId="0" borderId="4" xfId="1" applyNumberFormat="1" applyFont="1" applyFill="1" applyBorder="1" applyAlignment="1"/>
    <xf numFmtId="37" fontId="0" fillId="0" borderId="0" xfId="1" applyNumberFormat="1" applyFont="1" applyFill="1" applyBorder="1" applyAlignment="1"/>
    <xf numFmtId="186" fontId="61" fillId="0" borderId="0" xfId="3" applyNumberFormat="1" applyFont="1" applyFill="1" applyBorder="1" applyAlignment="1">
      <alignment horizontal="right"/>
    </xf>
    <xf numFmtId="37" fontId="61" fillId="0" borderId="5" xfId="1" applyNumberFormat="1" applyFont="1" applyFill="1" applyBorder="1" applyAlignment="1"/>
    <xf numFmtId="186" fontId="0" fillId="0" borderId="5" xfId="3" applyNumberFormat="1" applyFont="1" applyFill="1" applyBorder="1" applyAlignment="1">
      <alignment horizontal="right"/>
    </xf>
    <xf numFmtId="186" fontId="0" fillId="0" borderId="0" xfId="3" applyNumberFormat="1" applyFont="1" applyFill="1" applyBorder="1" applyAlignment="1">
      <alignment horizontal="right"/>
    </xf>
    <xf numFmtId="37" fontId="0" fillId="0" borderId="5" xfId="1" applyNumberFormat="1" applyFont="1" applyFill="1" applyBorder="1" applyAlignment="1"/>
    <xf numFmtId="37" fontId="61" fillId="0" borderId="0" xfId="1" applyNumberFormat="1" applyFont="1" applyFill="1" applyBorder="1" applyAlignment="1"/>
    <xf numFmtId="37" fontId="60" fillId="49" borderId="2" xfId="1" applyNumberFormat="1" applyFont="1" applyFill="1" applyBorder="1" applyAlignment="1"/>
    <xf numFmtId="37" fontId="60" fillId="49" borderId="1" xfId="1" applyNumberFormat="1" applyFont="1" applyFill="1" applyBorder="1" applyAlignment="1"/>
    <xf numFmtId="187" fontId="60" fillId="49" borderId="3" xfId="3" applyNumberFormat="1" applyFont="1" applyFill="1" applyBorder="1" applyAlignment="1">
      <alignment horizontal="right"/>
    </xf>
    <xf numFmtId="188" fontId="60" fillId="49" borderId="22" xfId="1" applyNumberFormat="1" applyFont="1" applyFill="1" applyBorder="1" applyAlignment="1"/>
    <xf numFmtId="37" fontId="61" fillId="0" borderId="7" xfId="1" applyNumberFormat="1" applyFont="1" applyFill="1" applyBorder="1" applyAlignment="1"/>
    <xf numFmtId="37" fontId="61" fillId="0" borderId="18" xfId="1" applyNumberFormat="1" applyFont="1" applyFill="1" applyBorder="1" applyAlignment="1"/>
    <xf numFmtId="187" fontId="62" fillId="0" borderId="6" xfId="3" applyNumberFormat="1" applyFont="1" applyFill="1" applyBorder="1" applyAlignment="1">
      <alignment horizontal="right"/>
    </xf>
    <xf numFmtId="37" fontId="61" fillId="0" borderId="4" xfId="1" applyNumberFormat="1" applyFont="1" applyFill="1" applyBorder="1" applyAlignment="1"/>
    <xf numFmtId="187" fontId="62" fillId="0" borderId="0" xfId="3" applyNumberFormat="1" applyFont="1" applyFill="1" applyBorder="1" applyAlignment="1">
      <alignment horizontal="right"/>
    </xf>
    <xf numFmtId="188" fontId="61" fillId="0" borderId="5" xfId="1" applyNumberFormat="1" applyFont="1" applyFill="1" applyBorder="1" applyAlignment="1"/>
    <xf numFmtId="187" fontId="5" fillId="0" borderId="5" xfId="3" applyNumberFormat="1" applyFont="1" applyFill="1" applyBorder="1" applyAlignment="1">
      <alignment horizontal="right"/>
    </xf>
    <xf numFmtId="187" fontId="62" fillId="0" borderId="5" xfId="3" applyNumberFormat="1" applyFont="1" applyFill="1" applyBorder="1" applyAlignment="1">
      <alignment horizontal="right"/>
    </xf>
    <xf numFmtId="186" fontId="5" fillId="0" borderId="5" xfId="3" applyNumberFormat="1" applyFont="1" applyFill="1" applyBorder="1" applyAlignment="1">
      <alignment horizontal="right"/>
    </xf>
    <xf numFmtId="186" fontId="5" fillId="0" borderId="0" xfId="3" applyNumberFormat="1" applyFont="1" applyFill="1" applyBorder="1" applyAlignment="1">
      <alignment horizontal="right"/>
    </xf>
    <xf numFmtId="187" fontId="5" fillId="0" borderId="0" xfId="3" applyNumberFormat="1" applyFont="1" applyFill="1" applyBorder="1" applyAlignment="1">
      <alignment horizontal="right"/>
    </xf>
    <xf numFmtId="188" fontId="1" fillId="0" borderId="5" xfId="1" applyNumberFormat="1" applyFont="1" applyFill="1" applyBorder="1" applyAlignment="1"/>
    <xf numFmtId="37" fontId="4" fillId="49" borderId="2" xfId="1" applyNumberFormat="1" applyFont="1" applyFill="1" applyBorder="1" applyAlignment="1"/>
    <xf numFmtId="37" fontId="4" fillId="49" borderId="1" xfId="1" applyNumberFormat="1" applyFont="1" applyFill="1" applyBorder="1" applyAlignment="1"/>
    <xf numFmtId="186" fontId="60" fillId="49" borderId="3" xfId="3" applyNumberFormat="1" applyFont="1" applyFill="1" applyBorder="1" applyAlignment="1">
      <alignment horizontal="right"/>
    </xf>
    <xf numFmtId="186" fontId="4" fillId="49" borderId="3" xfId="3" applyNumberFormat="1" applyFont="1" applyFill="1" applyBorder="1" applyAlignment="1">
      <alignment horizontal="right"/>
    </xf>
    <xf numFmtId="37" fontId="4" fillId="49" borderId="22" xfId="1" applyNumberFormat="1" applyFont="1" applyFill="1" applyBorder="1" applyAlignment="1"/>
    <xf numFmtId="37" fontId="61" fillId="0" borderId="1" xfId="1" applyNumberFormat="1" applyFont="1" applyFill="1" applyBorder="1" applyAlignment="1"/>
    <xf numFmtId="187" fontId="62" fillId="0" borderId="3" xfId="3" applyNumberFormat="1" applyFont="1" applyFill="1" applyBorder="1" applyAlignment="1">
      <alignment horizontal="right"/>
    </xf>
    <xf numFmtId="37" fontId="61" fillId="0" borderId="2" xfId="1" applyNumberFormat="1" applyFont="1" applyFill="1" applyBorder="1" applyAlignment="1"/>
    <xf numFmtId="188" fontId="61" fillId="0" borderId="22" xfId="1" applyNumberFormat="1" applyFont="1" applyFill="1" applyBorder="1" applyAlignment="1"/>
    <xf numFmtId="187" fontId="62" fillId="0" borderId="18" xfId="3" applyNumberFormat="1" applyFont="1" applyFill="1" applyBorder="1" applyAlignment="1">
      <alignment horizontal="right"/>
    </xf>
    <xf numFmtId="188" fontId="61" fillId="0" borderId="6" xfId="1" applyNumberFormat="1" applyFont="1" applyFill="1" applyBorder="1" applyAlignment="1"/>
    <xf numFmtId="37" fontId="61" fillId="0" borderId="19" xfId="1" applyNumberFormat="1" applyFont="1" applyFill="1" applyBorder="1" applyAlignment="1"/>
    <xf numFmtId="37" fontId="61" fillId="0" borderId="20" xfId="1" applyNumberFormat="1" applyFont="1" applyFill="1" applyBorder="1" applyAlignment="1"/>
    <xf numFmtId="187" fontId="5" fillId="0" borderId="21" xfId="3" applyNumberFormat="1" applyFont="1" applyFill="1" applyBorder="1" applyAlignment="1">
      <alignment horizontal="right"/>
    </xf>
    <xf numFmtId="187" fontId="5" fillId="0" borderId="20" xfId="3" applyNumberFormat="1" applyFont="1" applyFill="1" applyBorder="1" applyAlignment="1">
      <alignment horizontal="right"/>
    </xf>
    <xf numFmtId="187" fontId="1" fillId="0" borderId="5" xfId="3" applyNumberFormat="1" applyFont="1" applyFill="1" applyBorder="1" applyAlignment="1">
      <alignment horizontal="right"/>
    </xf>
    <xf numFmtId="187" fontId="1" fillId="0" borderId="0" xfId="3" applyNumberFormat="1" applyFont="1" applyFill="1" applyBorder="1" applyAlignment="1">
      <alignment horizontal="right"/>
    </xf>
    <xf numFmtId="187" fontId="61" fillId="0" borderId="5" xfId="3" applyNumberFormat="1" applyFont="1" applyFill="1" applyBorder="1" applyAlignment="1">
      <alignment horizontal="right"/>
    </xf>
    <xf numFmtId="37" fontId="4" fillId="0" borderId="2" xfId="1" applyNumberFormat="1" applyFont="1" applyFill="1" applyBorder="1" applyAlignment="1"/>
    <xf numFmtId="37" fontId="4" fillId="0" borderId="1" xfId="1" applyNumberFormat="1" applyFont="1" applyFill="1" applyBorder="1" applyAlignment="1"/>
    <xf numFmtId="186" fontId="4" fillId="0" borderId="3" xfId="3" applyNumberFormat="1" applyFont="1" applyFill="1" applyBorder="1" applyAlignment="1">
      <alignment horizontal="right"/>
    </xf>
    <xf numFmtId="37" fontId="4" fillId="0" borderId="22" xfId="1" applyNumberFormat="1" applyFont="1" applyFill="1" applyBorder="1" applyAlignment="1"/>
    <xf numFmtId="186" fontId="0" fillId="0" borderId="7" xfId="3" applyNumberFormat="1" applyFont="1" applyFill="1" applyBorder="1" applyAlignment="1">
      <alignment horizontal="right"/>
    </xf>
    <xf numFmtId="186" fontId="0" fillId="0" borderId="18" xfId="3" applyNumberFormat="1" applyFont="1" applyFill="1" applyBorder="1" applyAlignment="1">
      <alignment horizontal="right"/>
    </xf>
    <xf numFmtId="189" fontId="61" fillId="0" borderId="5" xfId="3" applyNumberFormat="1" applyFont="1" applyFill="1" applyBorder="1" applyAlignment="1">
      <alignment horizontal="right"/>
    </xf>
    <xf numFmtId="189" fontId="0" fillId="0" borderId="5" xfId="3" applyNumberFormat="1" applyFont="1" applyFill="1" applyBorder="1" applyAlignment="1">
      <alignment horizontal="right"/>
    </xf>
    <xf numFmtId="186" fontId="0" fillId="0" borderId="25" xfId="3" applyNumberFormat="1" applyFont="1" applyFill="1" applyBorder="1" applyAlignment="1"/>
    <xf numFmtId="186" fontId="0" fillId="0" borderId="4" xfId="3" applyNumberFormat="1" applyFont="1" applyFill="1" applyBorder="1" applyAlignment="1">
      <alignment horizontal="right"/>
    </xf>
    <xf numFmtId="186" fontId="0" fillId="0" borderId="24" xfId="3" applyNumberFormat="1" applyFont="1" applyFill="1" applyBorder="1" applyAlignment="1"/>
    <xf numFmtId="186" fontId="61" fillId="0" borderId="4" xfId="3" applyNumberFormat="1" applyFont="1" applyFill="1" applyBorder="1" applyAlignment="1">
      <alignment horizontal="right"/>
    </xf>
    <xf numFmtId="37" fontId="0" fillId="0" borderId="2" xfId="1" applyNumberFormat="1" applyFont="1" applyFill="1" applyBorder="1"/>
    <xf numFmtId="37" fontId="0" fillId="0" borderId="1" xfId="1" applyNumberFormat="1" applyFont="1" applyFill="1" applyBorder="1"/>
    <xf numFmtId="186" fontId="61" fillId="0" borderId="3" xfId="3" applyNumberFormat="1" applyFont="1" applyFill="1" applyBorder="1" applyAlignment="1">
      <alignment horizontal="right"/>
    </xf>
    <xf numFmtId="186" fontId="0" fillId="0" borderId="3" xfId="3" applyNumberFormat="1" applyFont="1" applyFill="1" applyBorder="1" applyAlignment="1">
      <alignment horizontal="right"/>
    </xf>
    <xf numFmtId="37" fontId="0" fillId="0" borderId="3" xfId="1" applyNumberFormat="1" applyFont="1" applyFill="1" applyBorder="1"/>
    <xf numFmtId="186" fontId="0" fillId="0" borderId="0" xfId="0" applyNumberFormat="1" applyAlignment="1">
      <alignment horizontal="right"/>
    </xf>
    <xf numFmtId="190" fontId="0" fillId="0" borderId="3" xfId="3" applyNumberFormat="1" applyFont="1" applyFill="1" applyBorder="1" applyAlignment="1">
      <alignment horizontal="right"/>
    </xf>
    <xf numFmtId="186" fontId="61" fillId="0" borderId="6" xfId="3" applyNumberFormat="1" applyFont="1" applyFill="1" applyBorder="1" applyAlignment="1">
      <alignment horizontal="right"/>
    </xf>
    <xf numFmtId="186" fontId="0" fillId="0" borderId="6" xfId="3" applyNumberFormat="1" applyFont="1" applyFill="1" applyBorder="1" applyAlignment="1">
      <alignment horizontal="right"/>
    </xf>
    <xf numFmtId="37" fontId="0" fillId="0" borderId="19" xfId="1" applyNumberFormat="1" applyFont="1" applyFill="1" applyBorder="1"/>
    <xf numFmtId="37" fontId="0" fillId="0" borderId="20" xfId="1" applyNumberFormat="1" applyFont="1" applyFill="1" applyBorder="1"/>
    <xf numFmtId="186" fontId="61" fillId="0" borderId="21" xfId="3" applyNumberFormat="1" applyFont="1" applyFill="1" applyBorder="1" applyAlignment="1">
      <alignment horizontal="right"/>
    </xf>
    <xf numFmtId="37" fontId="0" fillId="0" borderId="21" xfId="1" applyNumberFormat="1" applyFont="1" applyFill="1" applyBorder="1"/>
    <xf numFmtId="37" fontId="0" fillId="0" borderId="4" xfId="0" applyNumberFormat="1" applyBorder="1"/>
    <xf numFmtId="186" fontId="0" fillId="0" borderId="5" xfId="0" applyNumberFormat="1" applyBorder="1" applyAlignment="1">
      <alignment horizontal="right"/>
    </xf>
    <xf numFmtId="37" fontId="0" fillId="0" borderId="1" xfId="0" applyNumberFormat="1" applyBorder="1"/>
    <xf numFmtId="186" fontId="0" fillId="0" borderId="3" xfId="0" applyNumberFormat="1" applyBorder="1" applyAlignment="1">
      <alignment horizontal="right"/>
    </xf>
    <xf numFmtId="186" fontId="61" fillId="0" borderId="1" xfId="3" applyNumberFormat="1" applyFont="1" applyFill="1" applyBorder="1" applyAlignment="1">
      <alignment horizontal="right"/>
    </xf>
    <xf numFmtId="37" fontId="0" fillId="0" borderId="3" xfId="0" applyNumberFormat="1" applyBorder="1"/>
    <xf numFmtId="186" fontId="0" fillId="0" borderId="1" xfId="3" applyNumberFormat="1" applyFont="1" applyFill="1" applyBorder="1" applyAlignment="1">
      <alignment horizontal="right"/>
    </xf>
    <xf numFmtId="37" fontId="0" fillId="0" borderId="0" xfId="0" applyNumberFormat="1"/>
    <xf numFmtId="37" fontId="61" fillId="0" borderId="2" xfId="0" applyNumberFormat="1" applyFont="1" applyBorder="1"/>
    <xf numFmtId="37" fontId="61" fillId="0" borderId="1" xfId="0" applyNumberFormat="1" applyFont="1" applyBorder="1"/>
    <xf numFmtId="37" fontId="0" fillId="0" borderId="0" xfId="0" quotePrefix="1" applyNumberFormat="1"/>
    <xf numFmtId="186" fontId="61" fillId="0" borderId="2" xfId="3" applyNumberFormat="1" applyFont="1" applyFill="1" applyBorder="1" applyAlignment="1">
      <alignment horizontal="right"/>
    </xf>
    <xf numFmtId="186" fontId="19" fillId="0" borderId="3" xfId="3" applyNumberFormat="1" applyFont="1" applyFill="1" applyBorder="1" applyAlignment="1">
      <alignment horizontal="center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30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18" fillId="48" borderId="0" xfId="0" applyFont="1" applyFill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185" fontId="4" fillId="0" borderId="2" xfId="2" applyNumberFormat="1" applyFont="1" applyFill="1" applyBorder="1" applyAlignment="1">
      <alignment horizontal="center"/>
    </xf>
    <xf numFmtId="185" fontId="4" fillId="0" borderId="1" xfId="2" applyNumberFormat="1" applyFont="1" applyFill="1" applyBorder="1" applyAlignment="1">
      <alignment horizontal="center"/>
    </xf>
    <xf numFmtId="185" fontId="4" fillId="0" borderId="3" xfId="2" applyNumberFormat="1" applyFont="1" applyFill="1" applyBorder="1" applyAlignment="1">
      <alignment horizontal="center"/>
    </xf>
    <xf numFmtId="168" fontId="2" fillId="49" borderId="0" xfId="0" applyNumberFormat="1" applyFont="1" applyFill="1" applyAlignment="1">
      <alignment horizontal="center" vertical="center"/>
    </xf>
    <xf numFmtId="168" fontId="2" fillId="49" borderId="20" xfId="0" applyNumberFormat="1" applyFont="1" applyFill="1" applyBorder="1" applyAlignment="1">
      <alignment horizontal="center" vertical="center"/>
    </xf>
    <xf numFmtId="164" fontId="4" fillId="0" borderId="2" xfId="2" applyFont="1" applyBorder="1" applyAlignment="1">
      <alignment horizontal="center"/>
    </xf>
    <xf numFmtId="164" fontId="4" fillId="0" borderId="1" xfId="2" applyFont="1" applyBorder="1" applyAlignment="1">
      <alignment horizontal="center"/>
    </xf>
    <xf numFmtId="164" fontId="4" fillId="0" borderId="3" xfId="2" applyFont="1" applyBorder="1" applyAlignment="1">
      <alignment horizontal="center"/>
    </xf>
    <xf numFmtId="0" fontId="4" fillId="49" borderId="18" xfId="0" applyFont="1" applyFill="1" applyBorder="1" applyAlignment="1">
      <alignment horizontal="center" vertical="center"/>
    </xf>
    <xf numFmtId="0" fontId="4" fillId="49" borderId="20" xfId="0" applyFont="1" applyFill="1" applyBorder="1" applyAlignment="1">
      <alignment horizontal="center" vertical="center"/>
    </xf>
    <xf numFmtId="164" fontId="4" fillId="0" borderId="2" xfId="2" applyFont="1" applyFill="1" applyBorder="1" applyAlignment="1">
      <alignment horizontal="center"/>
    </xf>
    <xf numFmtId="164" fontId="4" fillId="0" borderId="1" xfId="2" applyFont="1" applyFill="1" applyBorder="1" applyAlignment="1">
      <alignment horizontal="center"/>
    </xf>
    <xf numFmtId="164" fontId="4" fillId="0" borderId="3" xfId="2" applyFont="1" applyFill="1" applyBorder="1" applyAlignment="1">
      <alignment horizontal="center"/>
    </xf>
    <xf numFmtId="173" fontId="0" fillId="0" borderId="2" xfId="1" applyNumberFormat="1" applyFont="1" applyBorder="1" applyAlignment="1">
      <alignment horizontal="center"/>
    </xf>
    <xf numFmtId="173" fontId="0" fillId="0" borderId="1" xfId="1" applyNumberFormat="1" applyFont="1" applyBorder="1" applyAlignment="1">
      <alignment horizontal="center"/>
    </xf>
    <xf numFmtId="173" fontId="0" fillId="0" borderId="3" xfId="1" applyNumberFormat="1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" fillId="54" borderId="38" xfId="0" applyNumberFormat="1" applyFont="1" applyFill="1" applyBorder="1" applyAlignment="1">
      <alignment horizontal="center"/>
    </xf>
    <xf numFmtId="17" fontId="2" fillId="54" borderId="40" xfId="0" applyNumberFormat="1" applyFont="1" applyFill="1" applyBorder="1" applyAlignment="1">
      <alignment horizontal="center"/>
    </xf>
    <xf numFmtId="17" fontId="2" fillId="54" borderId="39" xfId="0" applyNumberFormat="1" applyFont="1" applyFill="1" applyBorder="1" applyAlignment="1">
      <alignment horizontal="center"/>
    </xf>
    <xf numFmtId="17" fontId="2" fillId="0" borderId="38" xfId="0" applyNumberFormat="1" applyFont="1" applyBorder="1" applyAlignment="1">
      <alignment horizontal="center"/>
    </xf>
    <xf numFmtId="17" fontId="2" fillId="0" borderId="40" xfId="0" applyNumberFormat="1" applyFont="1" applyBorder="1" applyAlignment="1">
      <alignment horizontal="center"/>
    </xf>
    <xf numFmtId="17" fontId="2" fillId="0" borderId="39" xfId="0" applyNumberFormat="1" applyFont="1" applyBorder="1" applyAlignment="1">
      <alignment horizontal="center"/>
    </xf>
    <xf numFmtId="184" fontId="2" fillId="54" borderId="38" xfId="0" applyNumberFormat="1" applyFont="1" applyFill="1" applyBorder="1" applyAlignment="1">
      <alignment horizontal="center"/>
    </xf>
    <xf numFmtId="184" fontId="2" fillId="54" borderId="40" xfId="0" applyNumberFormat="1" applyFont="1" applyFill="1" applyBorder="1" applyAlignment="1">
      <alignment horizontal="center"/>
    </xf>
    <xf numFmtId="184" fontId="2" fillId="54" borderId="39" xfId="0" applyNumberFormat="1" applyFont="1" applyFill="1" applyBorder="1" applyAlignment="1">
      <alignment horizontal="center"/>
    </xf>
    <xf numFmtId="184" fontId="2" fillId="0" borderId="48" xfId="0" applyNumberFormat="1" applyFont="1" applyBorder="1" applyAlignment="1">
      <alignment horizontal="center"/>
    </xf>
    <xf numFmtId="184" fontId="2" fillId="0" borderId="41" xfId="0" applyNumberFormat="1" applyFont="1" applyBorder="1" applyAlignment="1">
      <alignment horizontal="center"/>
    </xf>
    <xf numFmtId="184" fontId="2" fillId="0" borderId="49" xfId="0" applyNumberFormat="1" applyFont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Alignment="1">
      <alignment horizontal="center"/>
    </xf>
    <xf numFmtId="17" fontId="2" fillId="46" borderId="20" xfId="0" applyNumberFormat="1" applyFont="1" applyFill="1" applyBorder="1" applyAlignment="1">
      <alignment horizontal="center"/>
    </xf>
    <xf numFmtId="186" fontId="2" fillId="0" borderId="0" xfId="0" applyNumberFormat="1" applyFont="1" applyAlignment="1">
      <alignment horizontal="right"/>
    </xf>
    <xf numFmtId="164" fontId="32" fillId="0" borderId="0" xfId="1" applyNumberFormat="1" applyFont="1" applyFill="1" applyAlignment="1">
      <alignment horizontal="left"/>
    </xf>
    <xf numFmtId="191" fontId="0" fillId="0" borderId="0" xfId="0" applyNumberFormat="1"/>
    <xf numFmtId="192" fontId="0" fillId="0" borderId="0" xfId="0" applyNumberFormat="1"/>
    <xf numFmtId="186" fontId="4" fillId="0" borderId="21" xfId="2" applyNumberFormat="1" applyFont="1" applyFill="1" applyBorder="1" applyAlignment="1">
      <alignment horizontal="center"/>
    </xf>
    <xf numFmtId="192" fontId="4" fillId="49" borderId="1" xfId="1" applyNumberFormat="1" applyFont="1" applyFill="1" applyBorder="1"/>
    <xf numFmtId="192" fontId="4" fillId="49" borderId="2" xfId="1" applyNumberFormat="1" applyFont="1" applyFill="1" applyBorder="1" applyAlignment="1"/>
    <xf numFmtId="192" fontId="4" fillId="49" borderId="1" xfId="1" applyNumberFormat="1" applyFont="1" applyFill="1" applyBorder="1" applyAlignment="1"/>
    <xf numFmtId="192" fontId="4" fillId="49" borderId="3" xfId="1" applyNumberFormat="1" applyFont="1" applyFill="1" applyBorder="1" applyAlignment="1"/>
    <xf numFmtId="192" fontId="0" fillId="0" borderId="18" xfId="1" applyNumberFormat="1" applyFont="1" applyFill="1" applyBorder="1"/>
    <xf numFmtId="192" fontId="1" fillId="0" borderId="18" xfId="1" applyNumberFormat="1" applyFont="1" applyFill="1" applyBorder="1" applyAlignment="1"/>
    <xf numFmtId="186" fontId="1" fillId="0" borderId="6" xfId="3" applyNumberFormat="1" applyFont="1" applyFill="1" applyBorder="1" applyAlignment="1">
      <alignment horizontal="right"/>
    </xf>
    <xf numFmtId="192" fontId="1" fillId="0" borderId="7" xfId="1" applyNumberFormat="1" applyFont="1" applyFill="1" applyBorder="1" applyAlignment="1"/>
    <xf numFmtId="192" fontId="1" fillId="0" borderId="6" xfId="1" applyNumberFormat="1" applyFont="1" applyFill="1" applyBorder="1" applyAlignment="1"/>
    <xf numFmtId="192" fontId="36" fillId="0" borderId="0" xfId="1" applyNumberFormat="1" applyFont="1" applyFill="1" applyBorder="1"/>
    <xf numFmtId="186" fontId="36" fillId="0" borderId="5" xfId="3" applyNumberFormat="1" applyFont="1" applyFill="1" applyBorder="1" applyAlignment="1">
      <alignment horizontal="right"/>
    </xf>
    <xf numFmtId="192" fontId="1" fillId="0" borderId="0" xfId="1" applyNumberFormat="1" applyFont="1" applyFill="1" applyBorder="1" applyAlignment="1"/>
    <xf numFmtId="192" fontId="1" fillId="0" borderId="4" xfId="1" applyNumberFormat="1" applyFont="1" applyFill="1" applyBorder="1" applyAlignment="1"/>
    <xf numFmtId="192" fontId="1" fillId="0" borderId="5" xfId="1" applyNumberFormat="1" applyFont="1" applyFill="1" applyBorder="1" applyAlignment="1"/>
    <xf numFmtId="192" fontId="0" fillId="0" borderId="0" xfId="1" applyNumberFormat="1" applyFont="1" applyFill="1" applyBorder="1"/>
    <xf numFmtId="192" fontId="61" fillId="0" borderId="5" xfId="1" applyNumberFormat="1" applyFont="1" applyFill="1" applyBorder="1" applyAlignment="1"/>
    <xf numFmtId="192" fontId="0" fillId="0" borderId="0" xfId="1" applyNumberFormat="1" applyFont="1" applyFill="1" applyBorder="1" applyAlignment="1"/>
    <xf numFmtId="192" fontId="0" fillId="0" borderId="4" xfId="1" applyNumberFormat="1" applyFont="1" applyFill="1" applyBorder="1" applyAlignment="1"/>
    <xf numFmtId="192" fontId="0" fillId="0" borderId="5" xfId="1" applyNumberFormat="1" applyFont="1" applyFill="1" applyBorder="1" applyAlignment="1"/>
    <xf numFmtId="192" fontId="61" fillId="0" borderId="4" xfId="1" applyNumberFormat="1" applyFont="1" applyFill="1" applyBorder="1" applyAlignment="1"/>
    <xf numFmtId="192" fontId="61" fillId="0" borderId="0" xfId="1" applyNumberFormat="1" applyFont="1" applyFill="1" applyBorder="1" applyAlignment="1"/>
    <xf numFmtId="192" fontId="4" fillId="49" borderId="1" xfId="1" applyNumberFormat="1" applyFont="1" applyFill="1" applyBorder="1" applyAlignment="1">
      <alignment vertical="top"/>
    </xf>
    <xf numFmtId="192" fontId="60" fillId="49" borderId="1" xfId="1" applyNumberFormat="1" applyFont="1" applyFill="1" applyBorder="1" applyAlignment="1"/>
    <xf numFmtId="193" fontId="4" fillId="49" borderId="3" xfId="3" applyNumberFormat="1" applyFont="1" applyFill="1" applyBorder="1" applyAlignment="1">
      <alignment horizontal="right"/>
    </xf>
    <xf numFmtId="192" fontId="60" fillId="49" borderId="2" xfId="1" applyNumberFormat="1" applyFont="1" applyFill="1" applyBorder="1" applyAlignment="1"/>
    <xf numFmtId="194" fontId="4" fillId="49" borderId="3" xfId="1" applyNumberFormat="1" applyFont="1" applyFill="1" applyBorder="1" applyAlignment="1"/>
    <xf numFmtId="192" fontId="0" fillId="0" borderId="18" xfId="1" applyNumberFormat="1" applyFont="1" applyFill="1" applyBorder="1" applyAlignment="1"/>
    <xf numFmtId="186" fontId="5" fillId="0" borderId="6" xfId="3" applyNumberFormat="1" applyFont="1" applyFill="1" applyBorder="1" applyAlignment="1">
      <alignment horizontal="right"/>
    </xf>
    <xf numFmtId="192" fontId="61" fillId="0" borderId="18" xfId="1" applyNumberFormat="1" applyFont="1" applyFill="1" applyBorder="1" applyAlignment="1"/>
    <xf numFmtId="193" fontId="1" fillId="0" borderId="5" xfId="3" applyNumberFormat="1" applyFont="1" applyFill="1" applyBorder="1" applyAlignment="1">
      <alignment horizontal="right"/>
    </xf>
    <xf numFmtId="192" fontId="61" fillId="0" borderId="7" xfId="1" applyNumberFormat="1" applyFont="1" applyFill="1" applyBorder="1" applyAlignment="1"/>
    <xf numFmtId="194" fontId="0" fillId="0" borderId="25" xfId="1" applyNumberFormat="1" applyFont="1" applyFill="1" applyBorder="1" applyAlignment="1"/>
    <xf numFmtId="192" fontId="36" fillId="0" borderId="0" xfId="1" applyNumberFormat="1" applyFont="1" applyFill="1" applyBorder="1" applyAlignment="1"/>
    <xf numFmtId="186" fontId="35" fillId="0" borderId="5" xfId="3" applyNumberFormat="1" applyFont="1" applyFill="1" applyBorder="1" applyAlignment="1">
      <alignment horizontal="right"/>
    </xf>
    <xf numFmtId="193" fontId="5" fillId="0" borderId="5" xfId="3" applyNumberFormat="1" applyFont="1" applyFill="1" applyBorder="1" applyAlignment="1">
      <alignment horizontal="right"/>
    </xf>
    <xf numFmtId="194" fontId="1" fillId="0" borderId="24" xfId="1" applyNumberFormat="1" applyFont="1" applyFill="1" applyBorder="1" applyAlignment="1"/>
    <xf numFmtId="192" fontId="1" fillId="0" borderId="24" xfId="1" applyNumberFormat="1" applyFont="1" applyFill="1" applyBorder="1" applyAlignment="1"/>
    <xf numFmtId="186" fontId="62" fillId="0" borderId="5" xfId="3" applyNumberFormat="1" applyFont="1" applyFill="1" applyBorder="1" applyAlignment="1">
      <alignment horizontal="right"/>
    </xf>
    <xf numFmtId="192" fontId="61" fillId="0" borderId="24" xfId="1" applyNumberFormat="1" applyFont="1" applyFill="1" applyBorder="1" applyAlignment="1"/>
    <xf numFmtId="192" fontId="0" fillId="0" borderId="20" xfId="1" applyNumberFormat="1" applyFont="1" applyFill="1" applyBorder="1"/>
    <xf numFmtId="186" fontId="5" fillId="0" borderId="21" xfId="3" applyNumberFormat="1" applyFont="1" applyFill="1" applyBorder="1" applyAlignment="1">
      <alignment horizontal="right"/>
    </xf>
    <xf numFmtId="192" fontId="61" fillId="0" borderId="20" xfId="1" applyNumberFormat="1" applyFont="1" applyFill="1" applyBorder="1" applyAlignment="1"/>
    <xf numFmtId="192" fontId="61" fillId="0" borderId="19" xfId="1" applyNumberFormat="1" applyFont="1" applyFill="1" applyBorder="1" applyAlignment="1"/>
    <xf numFmtId="194" fontId="0" fillId="0" borderId="23" xfId="1" applyNumberFormat="1" applyFont="1" applyFill="1" applyBorder="1" applyAlignment="1"/>
    <xf numFmtId="192" fontId="4" fillId="49" borderId="1" xfId="1" applyNumberFormat="1" applyFont="1" applyFill="1" applyBorder="1" applyAlignment="1">
      <alignment vertical="center"/>
    </xf>
    <xf numFmtId="192" fontId="0" fillId="0" borderId="1" xfId="1" applyNumberFormat="1" applyFont="1" applyFill="1" applyBorder="1"/>
    <xf numFmtId="186" fontId="5" fillId="0" borderId="3" xfId="3" applyNumberFormat="1" applyFont="1" applyFill="1" applyBorder="1" applyAlignment="1">
      <alignment horizontal="right"/>
    </xf>
    <xf numFmtId="192" fontId="61" fillId="0" borderId="1" xfId="1" applyNumberFormat="1" applyFont="1" applyFill="1" applyBorder="1" applyAlignment="1"/>
    <xf numFmtId="193" fontId="61" fillId="0" borderId="3" xfId="3" applyNumberFormat="1" applyFont="1" applyFill="1" applyBorder="1" applyAlignment="1">
      <alignment horizontal="right"/>
    </xf>
    <xf numFmtId="192" fontId="61" fillId="0" borderId="2" xfId="1" applyNumberFormat="1" applyFont="1" applyFill="1" applyBorder="1" applyAlignment="1"/>
    <xf numFmtId="193" fontId="1" fillId="0" borderId="3" xfId="3" applyNumberFormat="1" applyFont="1" applyFill="1" applyBorder="1" applyAlignment="1">
      <alignment horizontal="right"/>
    </xf>
    <xf numFmtId="192" fontId="36" fillId="0" borderId="1" xfId="1" applyNumberFormat="1" applyFont="1" applyFill="1" applyBorder="1"/>
    <xf numFmtId="186" fontId="35" fillId="0" borderId="3" xfId="3" applyNumberFormat="1" applyFont="1" applyFill="1" applyBorder="1" applyAlignment="1">
      <alignment horizontal="right"/>
    </xf>
    <xf numFmtId="192" fontId="63" fillId="0" borderId="7" xfId="1" applyNumberFormat="1" applyFont="1" applyFill="1" applyBorder="1" applyAlignment="1"/>
    <xf numFmtId="192" fontId="63" fillId="0" borderId="18" xfId="1" applyNumberFormat="1" applyFont="1" applyFill="1" applyBorder="1" applyAlignment="1"/>
    <xf numFmtId="193" fontId="61" fillId="0" borderId="5" xfId="3" applyNumberFormat="1" applyFont="1" applyFill="1" applyBorder="1" applyAlignment="1">
      <alignment horizontal="right"/>
    </xf>
    <xf numFmtId="192" fontId="36" fillId="0" borderId="20" xfId="1" applyNumberFormat="1" applyFont="1" applyFill="1" applyBorder="1" applyAlignment="1"/>
    <xf numFmtId="193" fontId="35" fillId="0" borderId="5" xfId="3" applyNumberFormat="1" applyFont="1" applyFill="1" applyBorder="1" applyAlignment="1">
      <alignment horizontal="right"/>
    </xf>
    <xf numFmtId="192" fontId="63" fillId="0" borderId="19" xfId="1" applyNumberFormat="1" applyFont="1" applyFill="1" applyBorder="1" applyAlignment="1"/>
    <xf numFmtId="193" fontId="35" fillId="0" borderId="21" xfId="3" applyNumberFormat="1" applyFont="1" applyFill="1" applyBorder="1" applyAlignment="1">
      <alignment horizontal="right"/>
    </xf>
    <xf numFmtId="192" fontId="0" fillId="0" borderId="20" xfId="1" applyNumberFormat="1" applyFont="1" applyFill="1" applyBorder="1" applyAlignment="1"/>
    <xf numFmtId="193" fontId="5" fillId="0" borderId="21" xfId="3" applyNumberFormat="1" applyFont="1" applyFill="1" applyBorder="1" applyAlignment="1">
      <alignment horizontal="right"/>
    </xf>
    <xf numFmtId="194" fontId="61" fillId="0" borderId="24" xfId="1" applyNumberFormat="1" applyFont="1" applyFill="1" applyBorder="1" applyAlignment="1"/>
    <xf numFmtId="186" fontId="2" fillId="49" borderId="3" xfId="3" applyNumberFormat="1" applyFont="1" applyFill="1" applyBorder="1" applyAlignment="1">
      <alignment horizontal="right"/>
    </xf>
    <xf numFmtId="194" fontId="61" fillId="0" borderId="23" xfId="1" applyNumberFormat="1" applyFont="1" applyFill="1" applyBorder="1" applyAlignment="1"/>
    <xf numFmtId="194" fontId="0" fillId="0" borderId="3" xfId="1" applyNumberFormat="1" applyFont="1" applyFill="1" applyBorder="1" applyAlignment="1"/>
    <xf numFmtId="192" fontId="4" fillId="49" borderId="1" xfId="1" applyNumberFormat="1" applyFont="1" applyFill="1" applyBorder="1" applyAlignment="1">
      <alignment horizontal="center"/>
    </xf>
    <xf numFmtId="192" fontId="4" fillId="49" borderId="1" xfId="1" applyNumberFormat="1" applyFont="1" applyFill="1" applyBorder="1" applyAlignment="1">
      <alignment horizontal="right"/>
    </xf>
    <xf numFmtId="192" fontId="4" fillId="49" borderId="2" xfId="1" applyNumberFormat="1" applyFont="1" applyFill="1" applyBorder="1" applyAlignment="1">
      <alignment horizontal="right"/>
    </xf>
    <xf numFmtId="195" fontId="61" fillId="0" borderId="6" xfId="3" applyNumberFormat="1" applyFont="1" applyFill="1" applyBorder="1" applyAlignment="1">
      <alignment horizontal="right"/>
    </xf>
    <xf numFmtId="195" fontId="0" fillId="0" borderId="6" xfId="3" applyNumberFormat="1" applyFont="1" applyFill="1" applyBorder="1" applyAlignment="1">
      <alignment horizontal="right"/>
    </xf>
    <xf numFmtId="195" fontId="61" fillId="0" borderId="5" xfId="3" applyNumberFormat="1" applyFont="1" applyFill="1" applyBorder="1" applyAlignment="1">
      <alignment horizontal="right"/>
    </xf>
    <xf numFmtId="195" fontId="0" fillId="0" borderId="5" xfId="3" applyNumberFormat="1" applyFont="1" applyFill="1" applyBorder="1" applyAlignment="1">
      <alignment horizontal="right"/>
    </xf>
    <xf numFmtId="195" fontId="0" fillId="0" borderId="21" xfId="3" applyNumberFormat="1" applyFont="1" applyFill="1" applyBorder="1" applyAlignment="1">
      <alignment horizontal="right"/>
    </xf>
    <xf numFmtId="186" fontId="0" fillId="0" borderId="20" xfId="3" applyNumberFormat="1" applyFont="1" applyFill="1" applyBorder="1" applyAlignment="1">
      <alignment horizontal="right"/>
    </xf>
    <xf numFmtId="192" fontId="0" fillId="0" borderId="2" xfId="1" applyNumberFormat="1" applyFont="1" applyFill="1" applyBorder="1" applyAlignment="1"/>
    <xf numFmtId="192" fontId="0" fillId="0" borderId="1" xfId="1" applyNumberFormat="1" applyFont="1" applyFill="1" applyBorder="1" applyAlignment="1"/>
    <xf numFmtId="196" fontId="61" fillId="0" borderId="3" xfId="3" applyNumberFormat="1" applyFont="1" applyFill="1" applyBorder="1" applyAlignment="1">
      <alignment horizontal="right"/>
    </xf>
    <xf numFmtId="196" fontId="0" fillId="0" borderId="3" xfId="3" applyNumberFormat="1" applyFont="1" applyFill="1" applyBorder="1" applyAlignment="1">
      <alignment horizontal="right"/>
    </xf>
    <xf numFmtId="192" fontId="0" fillId="0" borderId="3" xfId="1" applyNumberFormat="1" applyFont="1" applyFill="1" applyBorder="1" applyAlignment="1"/>
    <xf numFmtId="186" fontId="0" fillId="0" borderId="1" xfId="0" applyNumberFormat="1" applyBorder="1" applyAlignment="1">
      <alignment horizontal="right"/>
    </xf>
    <xf numFmtId="192" fontId="61" fillId="0" borderId="3" xfId="1" applyNumberFormat="1" applyFont="1" applyFill="1" applyBorder="1" applyAlignment="1"/>
    <xf numFmtId="186" fontId="2" fillId="0" borderId="21" xfId="3" applyNumberFormat="1" applyFont="1" applyFill="1" applyBorder="1" applyAlignment="1">
      <alignment horizontal="right"/>
    </xf>
    <xf numFmtId="186" fontId="2" fillId="0" borderId="3" xfId="3" applyNumberFormat="1" applyFont="1" applyFill="1" applyBorder="1" applyAlignment="1">
      <alignment horizontal="right"/>
    </xf>
    <xf numFmtId="186" fontId="2" fillId="0" borderId="6" xfId="3" applyNumberFormat="1" applyFont="1" applyFill="1" applyBorder="1" applyAlignment="1">
      <alignment horizontal="right"/>
    </xf>
    <xf numFmtId="186" fontId="2" fillId="0" borderId="5" xfId="3" applyNumberFormat="1" applyFont="1" applyFill="1" applyBorder="1" applyAlignment="1">
      <alignment horizontal="right"/>
    </xf>
    <xf numFmtId="192" fontId="0" fillId="0" borderId="19" xfId="1" applyNumberFormat="1" applyFont="1" applyFill="1" applyBorder="1"/>
    <xf numFmtId="192" fontId="0" fillId="0" borderId="19" xfId="1" applyNumberFormat="1" applyFont="1" applyFill="1" applyBorder="1" applyAlignment="1"/>
    <xf numFmtId="186" fontId="0" fillId="0" borderId="21" xfId="3" applyNumberFormat="1" applyFont="1" applyFill="1" applyBorder="1" applyAlignment="1">
      <alignment horizontal="right"/>
    </xf>
    <xf numFmtId="192" fontId="0" fillId="0" borderId="2" xfId="0" applyNumberFormat="1" applyBorder="1"/>
    <xf numFmtId="192" fontId="0" fillId="0" borderId="2" xfId="1" applyNumberFormat="1" applyFont="1" applyFill="1" applyBorder="1"/>
    <xf numFmtId="192" fontId="0" fillId="0" borderId="1" xfId="0" applyNumberFormat="1" applyBorder="1"/>
    <xf numFmtId="189" fontId="0" fillId="0" borderId="18" xfId="3" applyNumberFormat="1" applyFont="1" applyFill="1" applyBorder="1" applyAlignment="1">
      <alignment horizontal="right"/>
    </xf>
    <xf numFmtId="189" fontId="61" fillId="0" borderId="6" xfId="3" applyNumberFormat="1" applyFont="1" applyFill="1" applyBorder="1" applyAlignment="1">
      <alignment horizontal="right"/>
    </xf>
    <xf numFmtId="189" fontId="0" fillId="0" borderId="6" xfId="3" applyNumberFormat="1" applyFont="1" applyFill="1" applyBorder="1" applyAlignment="1">
      <alignment horizontal="right"/>
    </xf>
    <xf numFmtId="189" fontId="0" fillId="0" borderId="0" xfId="3" applyNumberFormat="1" applyFont="1" applyFill="1" applyBorder="1" applyAlignment="1">
      <alignment horizontal="right"/>
    </xf>
    <xf numFmtId="189" fontId="0" fillId="0" borderId="20" xfId="3" applyNumberFormat="1" applyFont="1" applyFill="1" applyBorder="1" applyAlignment="1">
      <alignment horizontal="right"/>
    </xf>
    <xf numFmtId="189" fontId="0" fillId="0" borderId="21" xfId="3" applyNumberFormat="1" applyFont="1" applyFill="1" applyBorder="1" applyAlignment="1">
      <alignment horizontal="right"/>
    </xf>
    <xf numFmtId="192" fontId="4" fillId="49" borderId="2" xfId="1" applyNumberFormat="1" applyFont="1" applyFill="1" applyBorder="1" applyAlignment="1">
      <alignment vertical="top"/>
    </xf>
    <xf numFmtId="192" fontId="2" fillId="49" borderId="1" xfId="0" applyNumberFormat="1" applyFont="1" applyFill="1" applyBorder="1"/>
    <xf numFmtId="192" fontId="4" fillId="49" borderId="3" xfId="1" applyNumberFormat="1" applyFont="1" applyFill="1" applyBorder="1" applyAlignment="1">
      <alignment horizontal="right"/>
    </xf>
    <xf numFmtId="192" fontId="0" fillId="0" borderId="20" xfId="0" applyNumberFormat="1" applyBorder="1"/>
    <xf numFmtId="0" fontId="4" fillId="3" borderId="22" xfId="0" applyFont="1" applyFill="1" applyBorder="1" applyAlignment="1">
      <alignment vertical="center"/>
    </xf>
    <xf numFmtId="192" fontId="4" fillId="3" borderId="1" xfId="1" applyNumberFormat="1" applyFont="1" applyFill="1" applyBorder="1" applyAlignment="1">
      <alignment vertical="top"/>
    </xf>
    <xf numFmtId="186" fontId="4" fillId="3" borderId="1" xfId="3" applyNumberFormat="1" applyFont="1" applyFill="1" applyBorder="1" applyAlignment="1">
      <alignment horizontal="right"/>
    </xf>
    <xf numFmtId="192" fontId="4" fillId="3" borderId="1" xfId="1" applyNumberFormat="1" applyFont="1" applyFill="1" applyBorder="1" applyAlignment="1"/>
    <xf numFmtId="192" fontId="2" fillId="3" borderId="1" xfId="0" applyNumberFormat="1" applyFont="1" applyFill="1" applyBorder="1"/>
    <xf numFmtId="186" fontId="2" fillId="3" borderId="1" xfId="3" applyNumberFormat="1" applyFont="1" applyFill="1" applyBorder="1" applyAlignment="1">
      <alignment horizontal="right"/>
    </xf>
    <xf numFmtId="192" fontId="4" fillId="3" borderId="1" xfId="1" applyNumberFormat="1" applyFont="1" applyFill="1" applyBorder="1" applyAlignment="1">
      <alignment horizontal="right"/>
    </xf>
    <xf numFmtId="192" fontId="2" fillId="0" borderId="22" xfId="0" applyNumberFormat="1" applyFont="1" applyBorder="1" applyAlignment="1">
      <alignment horizontal="center"/>
    </xf>
    <xf numFmtId="10" fontId="2" fillId="0" borderId="22" xfId="3" applyNumberFormat="1" applyFont="1" applyBorder="1" applyAlignment="1">
      <alignment horizontal="center"/>
    </xf>
    <xf numFmtId="186" fontId="0" fillId="0" borderId="22" xfId="0" applyNumberFormat="1" applyBorder="1" applyAlignment="1">
      <alignment horizontal="center"/>
    </xf>
    <xf numFmtId="192" fontId="61" fillId="0" borderId="22" xfId="0" applyNumberFormat="1" applyFont="1" applyBorder="1"/>
    <xf numFmtId="186" fontId="62" fillId="0" borderId="22" xfId="3" applyNumberFormat="1" applyFont="1" applyFill="1" applyBorder="1" applyAlignment="1">
      <alignment horizontal="right"/>
    </xf>
    <xf numFmtId="173" fontId="4" fillId="0" borderId="1" xfId="1" applyNumberFormat="1" applyFont="1" applyFill="1" applyBorder="1"/>
    <xf numFmtId="173" fontId="4" fillId="0" borderId="2" xfId="1" applyNumberFormat="1" applyFont="1" applyFill="1" applyBorder="1"/>
    <xf numFmtId="173" fontId="4" fillId="0" borderId="3" xfId="1" applyNumberFormat="1" applyFont="1" applyFill="1" applyBorder="1"/>
    <xf numFmtId="173" fontId="0" fillId="0" borderId="7" xfId="1" applyNumberFormat="1" applyFont="1" applyFill="1" applyBorder="1"/>
    <xf numFmtId="173" fontId="0" fillId="0" borderId="6" xfId="1" applyNumberFormat="1" applyFont="1" applyFill="1" applyBorder="1"/>
    <xf numFmtId="173" fontId="36" fillId="0" borderId="5" xfId="1" applyNumberFormat="1" applyFont="1" applyFill="1" applyBorder="1"/>
    <xf numFmtId="173" fontId="36" fillId="0" borderId="0" xfId="0" applyNumberFormat="1" applyFont="1"/>
    <xf numFmtId="173" fontId="0" fillId="0" borderId="5" xfId="1" applyNumberFormat="1" applyFont="1" applyFill="1" applyBorder="1"/>
    <xf numFmtId="173" fontId="4" fillId="0" borderId="1" xfId="1" applyNumberFormat="1" applyFont="1" applyFill="1" applyBorder="1" applyAlignment="1">
      <alignment vertical="top"/>
    </xf>
    <xf numFmtId="173" fontId="4" fillId="0" borderId="2" xfId="1" applyNumberFormat="1" applyFont="1" applyFill="1" applyBorder="1" applyAlignment="1">
      <alignment vertical="top"/>
    </xf>
    <xf numFmtId="173" fontId="4" fillId="0" borderId="3" xfId="1" applyNumberFormat="1" applyFont="1" applyFill="1" applyBorder="1" applyAlignment="1">
      <alignment vertical="top"/>
    </xf>
    <xf numFmtId="174" fontId="5" fillId="0" borderId="18" xfId="3" applyNumberFormat="1" applyFont="1" applyFill="1" applyBorder="1" applyAlignment="1">
      <alignment horizontal="right"/>
    </xf>
    <xf numFmtId="173" fontId="0" fillId="0" borderId="6" xfId="1" applyNumberFormat="1" applyFont="1" applyFill="1" applyBorder="1" applyAlignment="1"/>
    <xf numFmtId="173" fontId="36" fillId="0" borderId="5" xfId="1" applyNumberFormat="1" applyFont="1" applyFill="1" applyBorder="1" applyAlignment="1"/>
    <xf numFmtId="174" fontId="5" fillId="0" borderId="20" xfId="3" applyNumberFormat="1" applyFont="1" applyFill="1" applyBorder="1" applyAlignment="1">
      <alignment horizontal="right"/>
    </xf>
    <xf numFmtId="173" fontId="4" fillId="0" borderId="1" xfId="1" applyNumberFormat="1" applyFont="1" applyFill="1" applyBorder="1" applyAlignment="1">
      <alignment vertical="center"/>
    </xf>
    <xf numFmtId="173" fontId="4" fillId="0" borderId="2" xfId="1" applyNumberFormat="1" applyFont="1" applyFill="1" applyBorder="1" applyAlignment="1">
      <alignment vertical="center"/>
    </xf>
    <xf numFmtId="173" fontId="4" fillId="0" borderId="3" xfId="1" applyNumberFormat="1" applyFont="1" applyFill="1" applyBorder="1" applyAlignment="1">
      <alignment vertical="center"/>
    </xf>
    <xf numFmtId="174" fontId="35" fillId="0" borderId="1" xfId="3" applyNumberFormat="1" applyFont="1" applyFill="1" applyBorder="1" applyAlignment="1">
      <alignment horizontal="right"/>
    </xf>
    <xf numFmtId="173" fontId="36" fillId="0" borderId="2" xfId="1" applyNumberFormat="1" applyFont="1" applyFill="1" applyBorder="1"/>
    <xf numFmtId="174" fontId="4" fillId="0" borderId="18" xfId="3" applyNumberFormat="1" applyFont="1" applyFill="1" applyBorder="1" applyAlignment="1">
      <alignment horizontal="right"/>
    </xf>
    <xf numFmtId="173" fontId="4" fillId="0" borderId="6" xfId="1" applyNumberFormat="1" applyFont="1" applyFill="1" applyBorder="1"/>
    <xf numFmtId="173" fontId="4" fillId="0" borderId="3" xfId="1" applyNumberFormat="1" applyFont="1" applyFill="1" applyBorder="1" applyAlignment="1">
      <alignment horizontal="right"/>
    </xf>
    <xf numFmtId="0" fontId="5" fillId="8" borderId="4" xfId="0" applyFont="1" applyFill="1" applyBorder="1"/>
    <xf numFmtId="0" fontId="4" fillId="52" borderId="22" xfId="0" applyFont="1" applyFill="1" applyBorder="1"/>
    <xf numFmtId="173" fontId="4" fillId="52" borderId="3" xfId="1" applyNumberFormat="1" applyFont="1" applyFill="1" applyBorder="1" applyAlignment="1">
      <alignment horizontal="right"/>
    </xf>
    <xf numFmtId="176" fontId="0" fillId="0" borderId="18" xfId="3" applyNumberFormat="1" applyFont="1" applyFill="1" applyBorder="1" applyAlignment="1">
      <alignment horizontal="right"/>
    </xf>
    <xf numFmtId="176" fontId="0" fillId="0" borderId="6" xfId="3" applyNumberFormat="1" applyFont="1" applyFill="1" applyBorder="1" applyAlignment="1">
      <alignment horizontal="right"/>
    </xf>
    <xf numFmtId="176" fontId="0" fillId="0" borderId="0" xfId="3" applyNumberFormat="1" applyFont="1" applyFill="1" applyBorder="1" applyAlignment="1">
      <alignment horizontal="right"/>
    </xf>
    <xf numFmtId="176" fontId="0" fillId="0" borderId="5" xfId="3" applyNumberFormat="1" applyFont="1" applyFill="1" applyBorder="1" applyAlignment="1">
      <alignment horizontal="right"/>
    </xf>
    <xf numFmtId="176" fontId="0" fillId="0" borderId="21" xfId="3" applyNumberFormat="1" applyFont="1" applyFill="1" applyBorder="1" applyAlignment="1">
      <alignment horizontal="right"/>
    </xf>
    <xf numFmtId="0" fontId="5" fillId="52" borderId="22" xfId="0" applyFont="1" applyFill="1" applyBorder="1"/>
    <xf numFmtId="174" fontId="0" fillId="52" borderId="1" xfId="3" applyNumberFormat="1" applyFont="1" applyFill="1" applyBorder="1" applyAlignment="1">
      <alignment horizontal="right"/>
    </xf>
    <xf numFmtId="174" fontId="0" fillId="52" borderId="2" xfId="3" applyNumberFormat="1" applyFont="1" applyFill="1" applyBorder="1" applyAlignment="1">
      <alignment horizontal="right"/>
    </xf>
    <xf numFmtId="176" fontId="0" fillId="52" borderId="1" xfId="3" applyNumberFormat="1" applyFont="1" applyFill="1" applyBorder="1" applyAlignment="1">
      <alignment horizontal="right"/>
    </xf>
    <xf numFmtId="176" fontId="0" fillId="52" borderId="3" xfId="3" applyNumberFormat="1" applyFont="1" applyFill="1" applyBorder="1" applyAlignment="1">
      <alignment horizontal="right"/>
    </xf>
    <xf numFmtId="174" fontId="0" fillId="52" borderId="3" xfId="3" applyNumberFormat="1" applyFont="1" applyFill="1" applyBorder="1" applyAlignment="1">
      <alignment horizontal="right"/>
    </xf>
    <xf numFmtId="176" fontId="0" fillId="0" borderId="1" xfId="3" applyNumberFormat="1" applyFont="1" applyFill="1" applyBorder="1" applyAlignment="1">
      <alignment horizontal="right"/>
    </xf>
    <xf numFmtId="176" fontId="0" fillId="0" borderId="1" xfId="0" applyNumberFormat="1" applyBorder="1"/>
    <xf numFmtId="176" fontId="2" fillId="0" borderId="3" xfId="3" applyNumberFormat="1" applyFont="1" applyFill="1" applyBorder="1" applyAlignment="1">
      <alignment horizontal="right"/>
    </xf>
    <xf numFmtId="0" fontId="5" fillId="0" borderId="1" xfId="0" applyFont="1" applyBorder="1"/>
    <xf numFmtId="0" fontId="2" fillId="10" borderId="0" xfId="0" applyFont="1" applyFill="1" applyAlignment="1">
      <alignment horizontal="left"/>
    </xf>
    <xf numFmtId="166" fontId="2" fillId="10" borderId="0" xfId="0" applyNumberFormat="1" applyFont="1" applyFill="1" applyAlignment="1">
      <alignment horizontal="center"/>
    </xf>
    <xf numFmtId="174" fontId="32" fillId="0" borderId="0" xfId="3" applyNumberFormat="1" applyFont="1" applyFill="1" applyBorder="1" applyAlignment="1">
      <alignment horizontal="right"/>
    </xf>
    <xf numFmtId="174" fontId="37" fillId="0" borderId="0" xfId="3" applyNumberFormat="1" applyFont="1" applyFill="1" applyBorder="1" applyAlignment="1">
      <alignment horizontal="right"/>
    </xf>
  </cellXfs>
  <cellStyles count="4315">
    <cellStyle name="20% - Ênfase1" xfId="22" builtinId="30" customBuiltin="1"/>
    <cellStyle name="20% - Ênfase2" xfId="26" builtinId="34" customBuiltin="1"/>
    <cellStyle name="20% - Ênfase3" xfId="30" builtinId="38" customBuiltin="1"/>
    <cellStyle name="20% - Ênfase4" xfId="34" builtinId="42" customBuiltin="1"/>
    <cellStyle name="20% - Ênfase5" xfId="38" builtinId="46" customBuiltin="1"/>
    <cellStyle name="20% - Ênfase6" xfId="42" builtinId="50" customBuiltin="1"/>
    <cellStyle name="40% - Ênfase1" xfId="23" builtinId="31" customBuiltin="1"/>
    <cellStyle name="40% - Ênfase2" xfId="27" builtinId="35" customBuiltin="1"/>
    <cellStyle name="40% - Ênfase3" xfId="31" builtinId="39" customBuiltin="1"/>
    <cellStyle name="40% - Ênfase4" xfId="35" builtinId="43" customBuiltin="1"/>
    <cellStyle name="40% - Ênfase5" xfId="39" builtinId="47" customBuiltin="1"/>
    <cellStyle name="40% - Ênfase6" xfId="43" builtinId="51" customBuiltin="1"/>
    <cellStyle name="60% - Ênfase1" xfId="24" builtinId="32" customBuiltin="1"/>
    <cellStyle name="60% - Ênfase1 2" xfId="76" xr:uid="{C2165428-AEB8-45B1-843E-67E5E8607CA7}"/>
    <cellStyle name="60% - Ênfase2" xfId="28" builtinId="36" customBuiltin="1"/>
    <cellStyle name="60% - Ênfase2 2" xfId="77" xr:uid="{55CC71C0-2A80-4AB2-B2D7-DAFBD4A42ED2}"/>
    <cellStyle name="60% - Ênfase3" xfId="32" builtinId="40" customBuiltin="1"/>
    <cellStyle name="60% - Ênfase3 2" xfId="78" xr:uid="{E1287BCD-A845-47FC-9DA6-754633B7995D}"/>
    <cellStyle name="60% - Ênfase4" xfId="36" builtinId="44" customBuiltin="1"/>
    <cellStyle name="60% - Ênfase4 2" xfId="79" xr:uid="{C2F38E6F-857D-43F1-8B51-5EA134818F49}"/>
    <cellStyle name="60% - Ênfase5" xfId="40" builtinId="48" customBuiltin="1"/>
    <cellStyle name="60% - Ênfase5 2" xfId="80" xr:uid="{502C9C6D-F806-4B25-9CD3-5B8023244F09}"/>
    <cellStyle name="60% - Ênfase6" xfId="44" builtinId="52" customBuiltin="1"/>
    <cellStyle name="60% - Ênfase6 2" xfId="81" xr:uid="{6FAAF79F-89B5-4997-993F-7C94635C6387}"/>
    <cellStyle name="Bom" xfId="9" builtinId="26" customBuiltin="1"/>
    <cellStyle name="Cálculo" xfId="14" builtinId="22" customBuiltin="1"/>
    <cellStyle name="Célula de Verificação" xfId="16" builtinId="23" customBuiltin="1"/>
    <cellStyle name="Célula Vinculada" xfId="15" builtinId="24" customBuiltin="1"/>
    <cellStyle name="Ênfase1" xfId="21" builtinId="29" customBuiltin="1"/>
    <cellStyle name="Ênfase2" xfId="25" builtinId="33" customBuiltin="1"/>
    <cellStyle name="Ênfase3" xfId="29" builtinId="37" customBuiltin="1"/>
    <cellStyle name="Ênfase4" xfId="33" builtinId="41" customBuiltin="1"/>
    <cellStyle name="Ênfase5" xfId="37" builtinId="45" customBuiltin="1"/>
    <cellStyle name="Ênfase6" xfId="41" builtinId="49" customBuiltin="1"/>
    <cellStyle name="Entrada" xfId="12" builtinId="20" customBuiltin="1"/>
    <cellStyle name="Euro" xfId="70" xr:uid="{BA3F04BB-FB9B-4DD8-A5EB-75EC3237A29D}"/>
    <cellStyle name="Euro 2" xfId="249" xr:uid="{FF03DC19-75D3-4A43-B9EA-7D693D803015}"/>
    <cellStyle name="Euro 3" xfId="625" xr:uid="{7FB171D0-3E18-41E1-BD07-CBD2C2F9C471}"/>
    <cellStyle name="Euro 4" xfId="145" xr:uid="{4220A25C-A63A-44B9-8A3B-87EC147D2C16}"/>
    <cellStyle name="Hiperlink 2" xfId="1026" xr:uid="{B28AA0C7-2A1D-4B29-BFD0-71AF033FF647}"/>
    <cellStyle name="Moeda 2" xfId="71" xr:uid="{2256409B-8174-4DA2-8ECE-7C30A16A4108}"/>
    <cellStyle name="Moeda 2 2" xfId="85" xr:uid="{6E334BE9-B6BC-427A-A22A-DCA403A8033B}"/>
    <cellStyle name="Moeda 2 2 10" xfId="2290" xr:uid="{76A83B47-B9B4-472E-9264-5383433108D8}"/>
    <cellStyle name="Moeda 2 2 2" xfId="112" xr:uid="{032725E7-6444-4059-8D2C-7473E3B3F5A5}"/>
    <cellStyle name="Moeda 2 2 2 2" xfId="549" xr:uid="{21F07207-97C2-4273-BD13-16FC85954131}"/>
    <cellStyle name="Moeda 2 2 2 2 2" xfId="994" xr:uid="{0B5F8686-236F-44AC-8476-4F2E77D6AD5E}"/>
    <cellStyle name="Moeda 2 2 2 2 2 2" xfId="1823" xr:uid="{EC02CB63-6B58-40D0-B426-0044F19A3138}"/>
    <cellStyle name="Moeda 2 2 2 2 2 2 2" xfId="2215" xr:uid="{443E452F-6596-4083-AD65-3FC855C95EBD}"/>
    <cellStyle name="Moeda 2 2 2 2 2 2 2 2" xfId="4281" xr:uid="{8AEA925B-BB3A-4D60-8EA6-99C0A11C3ABD}"/>
    <cellStyle name="Moeda 2 2 2 2 2 2 3" xfId="3934" xr:uid="{81262520-5A2C-44F3-9E2A-F5E9F69B9905}"/>
    <cellStyle name="Moeda 2 2 2 2 2 3" xfId="2001" xr:uid="{1B77A063-0027-497A-8F25-7DA6A5C63716}"/>
    <cellStyle name="Moeda 2 2 2 2 2 3 2" xfId="4095" xr:uid="{3596E8F0-E343-4B6A-9FEF-91167D2A971C}"/>
    <cellStyle name="Moeda 2 2 2 2 2 4" xfId="3117" xr:uid="{ABBD3B91-4293-44AA-B099-9F969EB911E5}"/>
    <cellStyle name="Moeda 2 2 2 2 3" xfId="1396" xr:uid="{EDAC5D03-287C-436A-8F5F-6AFD086BD923}"/>
    <cellStyle name="Moeda 2 2 2 2 3 2" xfId="2135" xr:uid="{385223B8-DB90-485A-B0BC-1F0C699D7624}"/>
    <cellStyle name="Moeda 2 2 2 2 3 2 2" xfId="4201" xr:uid="{F8C196AF-D61D-4304-BE3D-E3D8A4963ED6}"/>
    <cellStyle name="Moeda 2 2 2 2 3 3" xfId="3507" xr:uid="{1A381AD6-A38C-4C48-A38C-C1B52B7924D0}"/>
    <cellStyle name="Moeda 2 2 2 2 4" xfId="1916" xr:uid="{50C7120D-161D-4682-9ABD-CD74A3CBF4FD}"/>
    <cellStyle name="Moeda 2 2 2 2 4 2" xfId="4015" xr:uid="{5D64D3C5-E9AF-4F62-A7FC-BE84251A6D58}"/>
    <cellStyle name="Moeda 2 2 2 2 5" xfId="2690" xr:uid="{A557E377-8B7A-4FF0-B187-EB4F873FAA8A}"/>
    <cellStyle name="Moeda 2 2 2 3" xfId="802" xr:uid="{4B049188-04B9-4239-B610-060D8669366E}"/>
    <cellStyle name="Moeda 2 2 2 3 2" xfId="1631" xr:uid="{F159807A-DE32-4FEF-B4DA-60CF2EA5E3BA}"/>
    <cellStyle name="Moeda 2 2 2 3 2 2" xfId="2173" xr:uid="{2E3699C0-AA7B-49AD-81DE-38463C7BE4F2}"/>
    <cellStyle name="Moeda 2 2 2 3 2 2 2" xfId="4239" xr:uid="{694F9650-A2C7-4ACD-98BA-469ECD7F314B}"/>
    <cellStyle name="Moeda 2 2 2 3 2 3" xfId="3742" xr:uid="{10BE39CF-5EF4-43C7-AAAB-727038B40D67}"/>
    <cellStyle name="Moeda 2 2 2 3 3" xfId="1959" xr:uid="{4CE7A921-56CB-434D-B250-52C08AF28BA3}"/>
    <cellStyle name="Moeda 2 2 2 3 3 2" xfId="4053" xr:uid="{C89B1FEF-D387-4628-BAC4-C9E9D06AA80E}"/>
    <cellStyle name="Moeda 2 2 2 3 4" xfId="2925" xr:uid="{AF97A953-6765-4223-AB49-5837065EE3DD}"/>
    <cellStyle name="Moeda 2 2 2 4" xfId="594" xr:uid="{CD84B8FA-165A-4395-B3AC-44409B6C8371}"/>
    <cellStyle name="Moeda 2 2 2 4 2" xfId="1441" xr:uid="{34718915-5320-4229-891E-5FCDB5CDE543}"/>
    <cellStyle name="Moeda 2 2 2 4 2 2" xfId="2238" xr:uid="{89EA8D86-A07E-4A75-B1E1-76A4D75C599A}"/>
    <cellStyle name="Moeda 2 2 2 4 2 2 2" xfId="4304" xr:uid="{41D8EC44-A2CF-46B6-A467-B7B27BE058F1}"/>
    <cellStyle name="Moeda 2 2 2 4 2 3" xfId="3552" xr:uid="{DEEC69BC-784E-4E1B-9DD1-56D440065E17}"/>
    <cellStyle name="Moeda 2 2 2 4 3" xfId="2031" xr:uid="{6442AD6C-139D-4D00-9242-0A13EC3E3C93}"/>
    <cellStyle name="Moeda 2 2 2 4 3 2" xfId="4118" xr:uid="{8BB90A1E-11B3-4A35-B38B-364841ED92D3}"/>
    <cellStyle name="Moeda 2 2 2 4 4" xfId="2735" xr:uid="{3B64C90A-6B6E-4936-A1F0-C25EFE248594}"/>
    <cellStyle name="Moeda 2 2 2 5" xfId="357" xr:uid="{D457128C-DDBE-468F-93C6-06F8E5554D11}"/>
    <cellStyle name="Moeda 2 2 2 5 2" xfId="2093" xr:uid="{40A45C01-8981-49F6-A386-1D61AE13A504}"/>
    <cellStyle name="Moeda 2 2 2 5 2 2" xfId="4159" xr:uid="{4D0889EB-D081-4FCF-A79F-8451BA52FE3D}"/>
    <cellStyle name="Moeda 2 2 2 5 3" xfId="2498" xr:uid="{9B0E1907-F9C9-427F-9AE5-05515736FECF}"/>
    <cellStyle name="Moeda 2 2 2 6" xfId="1024" xr:uid="{9928D739-F21B-4AED-9F1F-4A2AF8C7C5F2}"/>
    <cellStyle name="Moeda 2 2 2 6 2" xfId="3136" xr:uid="{922F42EC-A6A1-4C88-B90B-2A0BD6E63E36}"/>
    <cellStyle name="Moeda 2 2 2 7" xfId="1204" xr:uid="{4BD2C4C3-BAA9-4E0A-8AA2-3D6666CDF460}"/>
    <cellStyle name="Moeda 2 2 2 7 2" xfId="3315" xr:uid="{D272E635-279C-4901-8288-C6361FD9FA92}"/>
    <cellStyle name="Moeda 2 2 2 8" xfId="1863" xr:uid="{DD9C33B1-AB22-4355-BF8C-E3F5B7246C4F}"/>
    <cellStyle name="Moeda 2 2 2 8 2" xfId="3973" xr:uid="{AA59697B-5731-44C4-A34A-D28E59787743}"/>
    <cellStyle name="Moeda 2 2 2 9" xfId="2309" xr:uid="{B1276237-06BE-4A2A-8717-2E5585D4BCAB}"/>
    <cellStyle name="Moeda 2 2 3" xfId="453" xr:uid="{EEEF499E-D342-41FA-B7C7-ACEAEE873F82}"/>
    <cellStyle name="Moeda 2 2 3 2" xfId="898" xr:uid="{B83F13A1-4676-4F8C-831F-F68B9EA820B5}"/>
    <cellStyle name="Moeda 2 2 3 2 2" xfId="1727" xr:uid="{6DF22602-58A2-4566-9B09-6B5ABE96993B}"/>
    <cellStyle name="Moeda 2 2 3 2 2 2" xfId="2196" xr:uid="{4136DB4E-7B63-41E8-9422-FB39ECA22857}"/>
    <cellStyle name="Moeda 2 2 3 2 2 2 2" xfId="4262" xr:uid="{CC99CB4A-395B-41A1-9009-2236C31E22ED}"/>
    <cellStyle name="Moeda 2 2 3 2 2 3" xfId="3838" xr:uid="{041CFDA4-0979-451C-99DB-89CB812B7699}"/>
    <cellStyle name="Moeda 2 2 3 2 3" xfId="1982" xr:uid="{C50BF160-29D1-4E3D-AE2D-120813293270}"/>
    <cellStyle name="Moeda 2 2 3 2 3 2" xfId="4076" xr:uid="{F4185C7D-FF35-4E7A-B864-505131CBB758}"/>
    <cellStyle name="Moeda 2 2 3 2 4" xfId="3021" xr:uid="{B696C400-2E5E-412E-AD80-DA51BE0A8273}"/>
    <cellStyle name="Moeda 2 2 3 3" xfId="1300" xr:uid="{7196A392-B63B-43A0-A094-9CDB7071CC84}"/>
    <cellStyle name="Moeda 2 2 3 3 2" xfId="2116" xr:uid="{1EB9B74F-579F-4B96-A2D4-D7DB438864C1}"/>
    <cellStyle name="Moeda 2 2 3 3 2 2" xfId="4182" xr:uid="{FF1947E1-4EE6-4F0D-9E5F-16EFE446B8DA}"/>
    <cellStyle name="Moeda 2 2 3 3 3" xfId="3411" xr:uid="{CC39D603-A55D-4B05-964D-8CC20E2C1144}"/>
    <cellStyle name="Moeda 2 2 3 4" xfId="1895" xr:uid="{5C2CF4F3-C273-4C83-A5F0-FD8ECEBEA9CC}"/>
    <cellStyle name="Moeda 2 2 3 4 2" xfId="3996" xr:uid="{EF8EBDCA-D476-4D71-A5E6-18C610DB44CA}"/>
    <cellStyle name="Moeda 2 2 3 5" xfId="2594" xr:uid="{B55304D1-6A9B-4024-ADA3-B72D3E9F1D27}"/>
    <cellStyle name="Moeda 2 2 4" xfId="706" xr:uid="{B08B1F2B-F00B-4A22-AC13-4F0A31EE5337}"/>
    <cellStyle name="Moeda 2 2 4 2" xfId="1535" xr:uid="{D6CB3A10-0F6A-4108-A63C-189971969237}"/>
    <cellStyle name="Moeda 2 2 4 2 2" xfId="2154" xr:uid="{A253FF61-B848-4E4A-A755-432A71348778}"/>
    <cellStyle name="Moeda 2 2 4 2 2 2" xfId="4220" xr:uid="{5EB217FE-2AEF-42E7-AAEC-D0532D1E9917}"/>
    <cellStyle name="Moeda 2 2 4 2 3" xfId="3646" xr:uid="{909AC03D-F716-4824-9282-2181F2D4ECE6}"/>
    <cellStyle name="Moeda 2 2 4 3" xfId="1940" xr:uid="{BB7474C7-EC92-4350-A1E0-71E2DCD7AB0B}"/>
    <cellStyle name="Moeda 2 2 4 3 2" xfId="4034" xr:uid="{DADBA8DD-55DF-4C50-97C1-3EB3D1E3B6DE}"/>
    <cellStyle name="Moeda 2 2 4 4" xfId="2829" xr:uid="{C06DBBEB-55E5-4DF4-8AEA-AB57850CDE61}"/>
    <cellStyle name="Moeda 2 2 5" xfId="575" xr:uid="{A3F70733-10CD-4C27-917A-D3CF2429A483}"/>
    <cellStyle name="Moeda 2 2 5 2" xfId="1422" xr:uid="{544D3631-8969-47F6-B340-EA555C8B0AB5}"/>
    <cellStyle name="Moeda 2 2 5 2 2" xfId="2231" xr:uid="{361C0AAD-03E8-475F-8522-183A691FC08F}"/>
    <cellStyle name="Moeda 2 2 5 2 2 2" xfId="4297" xr:uid="{F51852BA-EAE1-45A6-BE8F-D2C50CF3BA53}"/>
    <cellStyle name="Moeda 2 2 5 2 3" xfId="3533" xr:uid="{4096A55C-1799-4D89-ABED-33E0AA3A9EFA}"/>
    <cellStyle name="Moeda 2 2 5 3" xfId="2022" xr:uid="{436DE771-9B26-40A5-9479-736A64B6038E}"/>
    <cellStyle name="Moeda 2 2 5 3 2" xfId="4111" xr:uid="{26BE117D-7956-4359-85B2-DDE95100D3F5}"/>
    <cellStyle name="Moeda 2 2 5 4" xfId="2716" xr:uid="{5E41ED5B-80DD-43C0-8992-31952576899A}"/>
    <cellStyle name="Moeda 2 2 6" xfId="251" xr:uid="{26BC9872-1A8D-437E-8C67-A260442AE3E2}"/>
    <cellStyle name="Moeda 2 2 6 2" xfId="2074" xr:uid="{0FE59DB0-3FFD-4C69-A376-BE9BC0982733}"/>
    <cellStyle name="Moeda 2 2 6 2 2" xfId="4140" xr:uid="{7E1A250E-F04C-4AC1-9988-C8772F76B966}"/>
    <cellStyle name="Moeda 2 2 6 3" xfId="2403" xr:uid="{C417C182-FC36-4598-B609-F7989BB7C83C}"/>
    <cellStyle name="Moeda 2 2 7" xfId="1015" xr:uid="{62C853B2-C5A9-48C7-9643-8E64EF9FA405}"/>
    <cellStyle name="Moeda 2 2 7 2" xfId="3133" xr:uid="{C7913658-8D8B-457A-B049-ECF4BE04891F}"/>
    <cellStyle name="Moeda 2 2 8" xfId="1108" xr:uid="{0EDBA23A-29FF-4FF5-8949-8DA7806F7B96}"/>
    <cellStyle name="Moeda 2 2 8 2" xfId="3219" xr:uid="{18CB7E39-0526-45BF-83F9-201CC9B98A2A}"/>
    <cellStyle name="Moeda 2 2 9" xfId="1844" xr:uid="{FB33C6E2-FDFB-4FE3-8EF3-91C498EC64EB}"/>
    <cellStyle name="Moeda 2 2 9 2" xfId="3954" xr:uid="{D9DC4B40-7651-4530-B199-9687E7BAE56F}"/>
    <cellStyle name="Moeda 2 3" xfId="91" xr:uid="{797049AA-E342-43F9-BADF-A5BCF8E68B6B}"/>
    <cellStyle name="Moeda 2 3 2" xfId="116" xr:uid="{ED4CA3FD-0FB2-4380-BE31-9B9090D52D67}"/>
    <cellStyle name="Moeda 2 3 2 2" xfId="553" xr:uid="{0A5B9398-CDD0-4555-AB26-38D7BF9FF53B}"/>
    <cellStyle name="Moeda 2 3 2 2 2" xfId="998" xr:uid="{C420CA0A-CD29-4485-AD35-444525C6EDA9}"/>
    <cellStyle name="Moeda 2 3 2 2 2 2" xfId="1827" xr:uid="{99C6E365-FD6A-4A31-922D-129C7A07C119}"/>
    <cellStyle name="Moeda 2 3 2 2 2 2 2" xfId="2219" xr:uid="{3FB660AB-40CE-4B9F-AD78-6AE80489652D}"/>
    <cellStyle name="Moeda 2 3 2 2 2 2 2 2" xfId="4285" xr:uid="{32770C22-5858-4F05-AE95-87297DE4BC46}"/>
    <cellStyle name="Moeda 2 3 2 2 2 2 3" xfId="3938" xr:uid="{F677D8F3-5279-4C0D-A7D0-F84DC20B3CDA}"/>
    <cellStyle name="Moeda 2 3 2 2 2 3" xfId="2005" xr:uid="{F497DE5E-0697-4386-9A3B-7A3558F504B9}"/>
    <cellStyle name="Moeda 2 3 2 2 2 3 2" xfId="4099" xr:uid="{21698D35-2FFF-4B0F-8BB0-EDCDF34AC410}"/>
    <cellStyle name="Moeda 2 3 2 2 2 4" xfId="3121" xr:uid="{B4EEDBD3-D06B-499F-ACBB-531C37A8B0F4}"/>
    <cellStyle name="Moeda 2 3 2 2 3" xfId="1400" xr:uid="{8C9816DF-556C-4035-A2C8-345EA3891DB0}"/>
    <cellStyle name="Moeda 2 3 2 2 3 2" xfId="2139" xr:uid="{B2EC3B6D-9560-4AE0-94CF-35F0C0180D00}"/>
    <cellStyle name="Moeda 2 3 2 2 3 2 2" xfId="4205" xr:uid="{293C35CF-02DC-4121-8FDE-5FA2D7FF7B2D}"/>
    <cellStyle name="Moeda 2 3 2 2 3 3" xfId="3511" xr:uid="{D5AF3265-02DC-4348-B42C-CA9901E270E5}"/>
    <cellStyle name="Moeda 2 3 2 2 4" xfId="1920" xr:uid="{A9B5EAE1-E1AC-4DC2-8431-7BDD407D2C38}"/>
    <cellStyle name="Moeda 2 3 2 2 4 2" xfId="4019" xr:uid="{8F3747FB-6BC6-4735-9A00-6726A5F3E676}"/>
    <cellStyle name="Moeda 2 3 2 2 5" xfId="2694" xr:uid="{D6B60E23-A669-4DDF-9DA1-9DB8EA3C8684}"/>
    <cellStyle name="Moeda 2 3 2 3" xfId="806" xr:uid="{D41A1487-CC66-4291-8304-3408DCF2A0BA}"/>
    <cellStyle name="Moeda 2 3 2 3 2" xfId="1635" xr:uid="{B996944E-27DE-44C5-9F7C-FDD4216A6FAB}"/>
    <cellStyle name="Moeda 2 3 2 3 2 2" xfId="2177" xr:uid="{92569914-057B-479F-8DB8-E0EECA624460}"/>
    <cellStyle name="Moeda 2 3 2 3 2 2 2" xfId="4243" xr:uid="{4F8182DD-F934-4D2C-8A9A-22DD01CC87EC}"/>
    <cellStyle name="Moeda 2 3 2 3 2 3" xfId="3746" xr:uid="{BF2C94D5-B686-40E1-B25F-F847F42D8E3C}"/>
    <cellStyle name="Moeda 2 3 2 3 3" xfId="1963" xr:uid="{698BB252-0238-435D-A619-D69425FFF8B8}"/>
    <cellStyle name="Moeda 2 3 2 3 3 2" xfId="4057" xr:uid="{B96CC7E1-747C-43D5-91FB-62F27198B551}"/>
    <cellStyle name="Moeda 2 3 2 3 4" xfId="2929" xr:uid="{64710228-BC74-46D8-933D-7E27403B2B95}"/>
    <cellStyle name="Moeda 2 3 2 4" xfId="598" xr:uid="{3AF16671-DF3A-4BCD-9BAA-6BE0F3402C1D}"/>
    <cellStyle name="Moeda 2 3 2 4 2" xfId="1445" xr:uid="{CF48588D-5406-4888-8E94-0FD1A6E3C972}"/>
    <cellStyle name="Moeda 2 3 2 4 2 2" xfId="2242" xr:uid="{D9F64FFC-1FEF-424C-904C-F9A7199B1D9D}"/>
    <cellStyle name="Moeda 2 3 2 4 2 2 2" xfId="4308" xr:uid="{6C0D2807-7902-4369-9D16-AF5300B992A2}"/>
    <cellStyle name="Moeda 2 3 2 4 2 3" xfId="3556" xr:uid="{B27284A8-2EAA-4228-96EA-A35710DC13F5}"/>
    <cellStyle name="Moeda 2 3 2 4 3" xfId="2035" xr:uid="{ED8AC6F7-A646-490C-A732-8082D72AD926}"/>
    <cellStyle name="Moeda 2 3 2 4 3 2" xfId="4122" xr:uid="{3E8D2967-2FC8-4B09-9D66-F7939C12A6B6}"/>
    <cellStyle name="Moeda 2 3 2 4 4" xfId="2739" xr:uid="{A110823F-111C-4E66-B317-327B7BEF9401}"/>
    <cellStyle name="Moeda 2 3 2 5" xfId="361" xr:uid="{0DA02999-CA69-4B64-896E-16B77F458569}"/>
    <cellStyle name="Moeda 2 3 2 5 2" xfId="2097" xr:uid="{FAC0FFB9-E547-4E0F-982D-A26735D76F90}"/>
    <cellStyle name="Moeda 2 3 2 5 2 2" xfId="4163" xr:uid="{1A2B7CD5-BB3C-4A17-A9A6-76F18D5E2E2B}"/>
    <cellStyle name="Moeda 2 3 2 5 3" xfId="2502" xr:uid="{E9F94F81-5D3A-4CCF-BAE4-CE95FC2DB56D}"/>
    <cellStyle name="Moeda 2 3 2 6" xfId="1208" xr:uid="{FDF162EE-A119-4AAB-BB48-4C6FC6A1D9DB}"/>
    <cellStyle name="Moeda 2 3 2 6 2" xfId="3319" xr:uid="{C246869D-BB3A-4A24-A1AD-197D3CAA8517}"/>
    <cellStyle name="Moeda 2 3 2 7" xfId="1867" xr:uid="{9C7752A1-C0FE-41DA-A895-760CD1AA08D8}"/>
    <cellStyle name="Moeda 2 3 2 7 2" xfId="3977" xr:uid="{6E4C7E8B-1EE6-4804-9925-64283366A747}"/>
    <cellStyle name="Moeda 2 3 2 8" xfId="2313" xr:uid="{80FB5CE5-82C7-4337-B229-21EC7AB464B0}"/>
    <cellStyle name="Moeda 2 3 3" xfId="457" xr:uid="{9BFC557A-77E6-436B-9050-93E3B7F336CB}"/>
    <cellStyle name="Moeda 2 3 3 2" xfId="902" xr:uid="{6184B2B0-3276-4D5B-9F03-1A2292EC7BD4}"/>
    <cellStyle name="Moeda 2 3 3 2 2" xfId="1731" xr:uid="{58ECCD32-4DB8-42C8-92BC-BA683E476CD6}"/>
    <cellStyle name="Moeda 2 3 3 2 2 2" xfId="2200" xr:uid="{481FABB4-7F07-4757-8333-8D7DD8316B9E}"/>
    <cellStyle name="Moeda 2 3 3 2 2 2 2" xfId="4266" xr:uid="{751CA218-1381-4C83-9543-5B883E5E3722}"/>
    <cellStyle name="Moeda 2 3 3 2 2 3" xfId="3842" xr:uid="{714D4D4F-6A4E-46E3-8FD6-05F2FCFB3D0C}"/>
    <cellStyle name="Moeda 2 3 3 2 3" xfId="1986" xr:uid="{C8403602-7D5D-4B2D-8C74-E106A8FDEEEF}"/>
    <cellStyle name="Moeda 2 3 3 2 3 2" xfId="4080" xr:uid="{0DCBB7BA-E37D-432D-91E9-E4A87555879D}"/>
    <cellStyle name="Moeda 2 3 3 2 4" xfId="3025" xr:uid="{5D4F2EC6-7FDB-4865-927D-6EC17B000D3F}"/>
    <cellStyle name="Moeda 2 3 3 3" xfId="1304" xr:uid="{0F8DAB2B-9380-4A17-9FEE-5C55E6FBE439}"/>
    <cellStyle name="Moeda 2 3 3 3 2" xfId="2120" xr:uid="{0AAA31D1-6300-4023-8032-D2C81D236C5E}"/>
    <cellStyle name="Moeda 2 3 3 3 2 2" xfId="4186" xr:uid="{C986953C-4915-4BB8-9D89-33A6CD95DA39}"/>
    <cellStyle name="Moeda 2 3 3 3 3" xfId="3415" xr:uid="{6BEFC15C-9D7B-45D6-9780-DE9A3B8D93A0}"/>
    <cellStyle name="Moeda 2 3 3 4" xfId="1899" xr:uid="{56534444-AC6E-4178-8F53-99539DABDB2A}"/>
    <cellStyle name="Moeda 2 3 3 4 2" xfId="4000" xr:uid="{5F91E3BE-EFFA-4E6C-B867-EAFE5DC2CD8A}"/>
    <cellStyle name="Moeda 2 3 3 5" xfId="2598" xr:uid="{A1EC3FBE-BFB6-4076-A5A1-23337D8C7E04}"/>
    <cellStyle name="Moeda 2 3 4" xfId="710" xr:uid="{394FD1B3-F94A-4E03-B128-69B5AD3C91B2}"/>
    <cellStyle name="Moeda 2 3 4 2" xfId="1539" xr:uid="{551EDD34-9AE9-4E82-AEDC-74CBB1A5407C}"/>
    <cellStyle name="Moeda 2 3 4 2 2" xfId="2158" xr:uid="{E772C4E1-0D65-48EA-AE04-39830875C990}"/>
    <cellStyle name="Moeda 2 3 4 2 2 2" xfId="4224" xr:uid="{630942E0-EBCC-4539-B11D-32E9BCBEFF8A}"/>
    <cellStyle name="Moeda 2 3 4 2 3" xfId="3650" xr:uid="{E8F9133F-CDE8-435E-BFB8-9E299AEB895B}"/>
    <cellStyle name="Moeda 2 3 4 3" xfId="1944" xr:uid="{54E84530-6D37-41D4-8FFE-6B0702CF84CC}"/>
    <cellStyle name="Moeda 2 3 4 3 2" xfId="4038" xr:uid="{A070662F-A02F-47BE-BFC7-F9DF44CA5A8A}"/>
    <cellStyle name="Moeda 2 3 4 4" xfId="2833" xr:uid="{6FEAF02C-CF0F-4983-A8D4-34411A3DCF22}"/>
    <cellStyle name="Moeda 2 3 5" xfId="579" xr:uid="{2A3EDB97-5476-45A4-B79B-0355DEBFE163}"/>
    <cellStyle name="Moeda 2 3 5 2" xfId="1426" xr:uid="{A4E5C2A2-1001-4429-AAD7-01A254CFA8DE}"/>
    <cellStyle name="Moeda 2 3 5 2 2" xfId="2235" xr:uid="{F80B740B-F634-4770-B760-C48E9DC1C30D}"/>
    <cellStyle name="Moeda 2 3 5 2 2 2" xfId="4301" xr:uid="{427F7D3B-D6AD-446D-9ACA-DF92124C4CD4}"/>
    <cellStyle name="Moeda 2 3 5 2 3" xfId="3537" xr:uid="{C8A6BFA9-D395-489F-94A0-7900BC975279}"/>
    <cellStyle name="Moeda 2 3 5 3" xfId="2027" xr:uid="{11F5F134-180E-45DE-892D-F76DF24E7E7F}"/>
    <cellStyle name="Moeda 2 3 5 3 2" xfId="4115" xr:uid="{4BCB1E27-C79F-42B7-A55B-C5B0570BDEE1}"/>
    <cellStyle name="Moeda 2 3 5 4" xfId="2720" xr:uid="{B81D5336-7D73-451B-94CD-BB1B81D18BF1}"/>
    <cellStyle name="Moeda 2 3 6" xfId="257" xr:uid="{E09DBB11-7F70-4169-9F31-CEDBDA6D91AB}"/>
    <cellStyle name="Moeda 2 3 6 2" xfId="2078" xr:uid="{7AE2EF4D-20B9-4C61-95E8-599898609115}"/>
    <cellStyle name="Moeda 2 3 6 2 2" xfId="4144" xr:uid="{56F39993-3DAE-441E-AAA4-98B2F6BE8456}"/>
    <cellStyle name="Moeda 2 3 6 3" xfId="2407" xr:uid="{62E01578-505D-4898-A307-60D08C9E0BE7}"/>
    <cellStyle name="Moeda 2 3 7" xfId="1112" xr:uid="{60FFE81E-08FA-40C5-83D6-29EA34689CFD}"/>
    <cellStyle name="Moeda 2 3 7 2" xfId="3223" xr:uid="{50627E80-2E83-43AA-A1B3-F8B4BE959719}"/>
    <cellStyle name="Moeda 2 3 8" xfId="1848" xr:uid="{C6AF6B87-5C28-4ADF-B9CC-195E4A2DF6DE}"/>
    <cellStyle name="Moeda 2 3 8 2" xfId="3958" xr:uid="{213E14DD-00DF-4F4F-9A6E-285C48C17D6D}"/>
    <cellStyle name="Moeda 2 3 9" xfId="2294" xr:uid="{C4935673-CCA4-4A2A-BF0B-5CF15F375EE9}"/>
    <cellStyle name="Moeda 3" xfId="84" xr:uid="{3CFA6DEE-E2CD-4BCE-99D8-A659CD857E02}"/>
    <cellStyle name="Moeda 3 2" xfId="1017" xr:uid="{6EC9EF11-170C-47C7-A2D0-9C0F675A4204}"/>
    <cellStyle name="Moeda 3 2 2" xfId="1025" xr:uid="{9D35CC57-250B-4E9F-9C1B-9BB767E88394}"/>
    <cellStyle name="Moeda 3 2 2 2" xfId="3137" xr:uid="{727B0C7D-0BFF-409F-9566-0F557217C40F}"/>
    <cellStyle name="Moeda 3 2 3" xfId="3134" xr:uid="{91C24718-3598-43E1-AD17-EF2ACA58A772}"/>
    <cellStyle name="Moeda 3 3" xfId="1018" xr:uid="{825DD883-F61A-4D16-837E-B0E6BFD5BC67}"/>
    <cellStyle name="Moeda 3 3 2" xfId="3135" xr:uid="{30BEF2FE-52F1-4FA8-ADA5-610890EC041C}"/>
    <cellStyle name="Moeda 4" xfId="93" xr:uid="{E4ADDC68-EA5A-4000-A47F-56533964E304}"/>
    <cellStyle name="Moeda 4 2" xfId="117" xr:uid="{CD2BF572-E1A2-4D3F-B8EE-3EC8A8C85EC8}"/>
    <cellStyle name="Moeda 4 2 2" xfId="554" xr:uid="{1153DED2-B6CC-4A02-A007-E65AEF36CE4E}"/>
    <cellStyle name="Moeda 4 2 2 2" xfId="999" xr:uid="{599C8473-4914-4854-867B-D70EB2902E28}"/>
    <cellStyle name="Moeda 4 2 2 2 2" xfId="1828" xr:uid="{EAD05053-59FF-4CE5-893B-E12BC5B0D02A}"/>
    <cellStyle name="Moeda 4 2 2 2 2 2" xfId="2220" xr:uid="{1A0D31C3-762C-4E93-A925-3A425D12EF41}"/>
    <cellStyle name="Moeda 4 2 2 2 2 2 2" xfId="4286" xr:uid="{A315BAB7-7A22-4E4B-B5A3-5AE7961C5D22}"/>
    <cellStyle name="Moeda 4 2 2 2 2 3" xfId="3939" xr:uid="{74DBEAA5-2073-4C78-903B-3080DADBB491}"/>
    <cellStyle name="Moeda 4 2 2 2 3" xfId="2006" xr:uid="{03F345C2-ED25-44E3-AAD1-E62474775236}"/>
    <cellStyle name="Moeda 4 2 2 2 3 2" xfId="4100" xr:uid="{B8873E9B-E694-49D2-A070-5CAD8B0BD3CF}"/>
    <cellStyle name="Moeda 4 2 2 2 4" xfId="3122" xr:uid="{CAEECB0A-9A04-4AAA-A297-7FCB2D4792FD}"/>
    <cellStyle name="Moeda 4 2 2 3" xfId="1401" xr:uid="{76E39A0E-2D03-403A-AD9A-F734E85B1C30}"/>
    <cellStyle name="Moeda 4 2 2 3 2" xfId="2140" xr:uid="{DE523E4D-C727-4A08-A9F6-4209718B9925}"/>
    <cellStyle name="Moeda 4 2 2 3 2 2" xfId="4206" xr:uid="{041178EA-8792-4D34-B37B-F89BBE7372D0}"/>
    <cellStyle name="Moeda 4 2 2 3 3" xfId="3512" xr:uid="{489C6C3E-4546-4495-83F9-15246894951D}"/>
    <cellStyle name="Moeda 4 2 2 4" xfId="1921" xr:uid="{DA62BC9C-8B00-4B28-BD7F-5B338D4AFFC5}"/>
    <cellStyle name="Moeda 4 2 2 4 2" xfId="4020" xr:uid="{DB303C84-1FAC-41E3-BDCC-7834C243DFE3}"/>
    <cellStyle name="Moeda 4 2 2 5" xfId="2695" xr:uid="{C330AC35-9300-483F-8DC5-C92C3324DA9B}"/>
    <cellStyle name="Moeda 4 2 3" xfId="807" xr:uid="{053F54AB-7F1A-4F76-AB64-D79407DBCA7B}"/>
    <cellStyle name="Moeda 4 2 3 2" xfId="1636" xr:uid="{A1CCAC48-5DF4-4EE4-91E5-42AD7F19DEC8}"/>
    <cellStyle name="Moeda 4 2 3 2 2" xfId="2178" xr:uid="{526C84A6-D30A-4D25-B528-7FE196A0CDCA}"/>
    <cellStyle name="Moeda 4 2 3 2 2 2" xfId="4244" xr:uid="{6AD8EE60-91EB-4643-B633-39D28429B8EB}"/>
    <cellStyle name="Moeda 4 2 3 2 3" xfId="3747" xr:uid="{A3B6562D-E40B-4A6D-ABCF-23646AAC0046}"/>
    <cellStyle name="Moeda 4 2 3 3" xfId="1964" xr:uid="{FD97636D-0546-4418-A488-2094D90E57E7}"/>
    <cellStyle name="Moeda 4 2 3 3 2" xfId="4058" xr:uid="{F73539BA-63CE-4082-987E-78321413F62E}"/>
    <cellStyle name="Moeda 4 2 3 4" xfId="2930" xr:uid="{2D603FF5-7B7F-4A61-92B2-822E90FAC1F4}"/>
    <cellStyle name="Moeda 4 2 4" xfId="599" xr:uid="{09E9F85F-5957-429D-9821-C7DC2DC2148A}"/>
    <cellStyle name="Moeda 4 2 4 2" xfId="1446" xr:uid="{F547EB9E-5751-4EEA-B270-FC7375FD79A9}"/>
    <cellStyle name="Moeda 4 2 4 2 2" xfId="2243" xr:uid="{70C77CEE-8AFB-4FCF-840F-5AB237F0622F}"/>
    <cellStyle name="Moeda 4 2 4 2 2 2" xfId="4309" xr:uid="{BA3C8D79-E49A-44B0-ACA9-89D2D25A4562}"/>
    <cellStyle name="Moeda 4 2 4 2 3" xfId="3557" xr:uid="{21C41085-2529-4325-B80B-A3F5BAE108C5}"/>
    <cellStyle name="Moeda 4 2 4 3" xfId="2036" xr:uid="{DB92470F-25C2-4F7E-8957-98674EB44790}"/>
    <cellStyle name="Moeda 4 2 4 3 2" xfId="4123" xr:uid="{59FF7B71-F1B6-4FC4-AE6E-175200073AB8}"/>
    <cellStyle name="Moeda 4 2 4 4" xfId="2740" xr:uid="{48B7C70A-56A3-45F2-B53C-534698D70AB2}"/>
    <cellStyle name="Moeda 4 2 5" xfId="362" xr:uid="{B6EB1790-2248-4E19-9F0F-DD6DD1AC2299}"/>
    <cellStyle name="Moeda 4 2 5 2" xfId="2098" xr:uid="{A3213CA8-FA90-4D48-B374-E05806C4A95C}"/>
    <cellStyle name="Moeda 4 2 5 2 2" xfId="4164" xr:uid="{0589EA0D-2CD8-4184-90F3-7C9F5B266BA4}"/>
    <cellStyle name="Moeda 4 2 5 3" xfId="2503" xr:uid="{9A7AD8D6-80C2-4495-8BEB-0422BA78C4E3}"/>
    <cellStyle name="Moeda 4 2 6" xfId="1209" xr:uid="{838B791D-B296-4959-8DCD-5CEE57C6E3B2}"/>
    <cellStyle name="Moeda 4 2 6 2" xfId="3320" xr:uid="{91555BF1-CB3D-43EF-BC66-BC82C15768B8}"/>
    <cellStyle name="Moeda 4 2 7" xfId="1868" xr:uid="{3AC9B07C-5F85-4034-91F1-CA5FC4C70CBE}"/>
    <cellStyle name="Moeda 4 2 7 2" xfId="3978" xr:uid="{7F29B7D3-6DC8-43E8-AD57-B59910E4F6E7}"/>
    <cellStyle name="Moeda 4 2 8" xfId="2314" xr:uid="{CF2A26A2-0AD4-47F4-9BB7-2731116FC311}"/>
    <cellStyle name="Moeda 4 3" xfId="458" xr:uid="{6C051CAC-01D4-4DC9-BAC3-44A9F07E7097}"/>
    <cellStyle name="Moeda 4 3 2" xfId="903" xr:uid="{15A4EBBC-592D-4B23-8F58-1049B080DF11}"/>
    <cellStyle name="Moeda 4 3 2 2" xfId="1732" xr:uid="{C2544A23-FB6E-41EC-9DBE-B53ED479BA82}"/>
    <cellStyle name="Moeda 4 3 2 2 2" xfId="2201" xr:uid="{561DCFCB-3D98-4A00-9231-DD61C8583A84}"/>
    <cellStyle name="Moeda 4 3 2 2 2 2" xfId="4267" xr:uid="{CD9CAE2A-D76B-4B5D-BCF5-F59A86192A58}"/>
    <cellStyle name="Moeda 4 3 2 2 3" xfId="3843" xr:uid="{3128DC8E-0F49-4587-AFCB-297CE5C1792B}"/>
    <cellStyle name="Moeda 4 3 2 3" xfId="1987" xr:uid="{C9F73720-DAEF-4BD4-A42C-B409BD537D52}"/>
    <cellStyle name="Moeda 4 3 2 3 2" xfId="4081" xr:uid="{B15ADB33-D69F-4470-BD9C-0FC1D5E45B3F}"/>
    <cellStyle name="Moeda 4 3 2 4" xfId="3026" xr:uid="{43E28F4F-5B11-4F7C-AB17-75C16132D2E5}"/>
    <cellStyle name="Moeda 4 3 3" xfId="1305" xr:uid="{EF559FFE-BC1B-487D-9F6E-66895A732840}"/>
    <cellStyle name="Moeda 4 3 3 2" xfId="2121" xr:uid="{38DF0528-F42A-432F-B438-3E4B1A1E7274}"/>
    <cellStyle name="Moeda 4 3 3 2 2" xfId="4187" xr:uid="{78F247A8-FC29-40D9-BADC-9C220A725640}"/>
    <cellStyle name="Moeda 4 3 3 3" xfId="3416" xr:uid="{6ED20C5B-D0E2-4F2A-9CEF-8B62ACD2C1A7}"/>
    <cellStyle name="Moeda 4 3 4" xfId="1900" xr:uid="{3B447286-5A67-4B12-837E-AD5A7E660B56}"/>
    <cellStyle name="Moeda 4 3 4 2" xfId="4001" xr:uid="{3322319A-7C15-48B8-820C-73E343452676}"/>
    <cellStyle name="Moeda 4 3 5" xfId="2599" xr:uid="{E0B35A74-D1A3-4A97-8353-111343C2CAFD}"/>
    <cellStyle name="Moeda 4 4" xfId="711" xr:uid="{41A85E14-2414-4F3C-AEB6-C778F24E9D7A}"/>
    <cellStyle name="Moeda 4 4 2" xfId="1540" xr:uid="{25768929-F1AE-47CB-8239-F1717B49BB85}"/>
    <cellStyle name="Moeda 4 4 2 2" xfId="2159" xr:uid="{E5AB3EE6-7C40-49DE-B313-BC405707088D}"/>
    <cellStyle name="Moeda 4 4 2 2 2" xfId="4225" xr:uid="{D21F3E94-C279-4B11-9CED-92D925308D5F}"/>
    <cellStyle name="Moeda 4 4 2 3" xfId="3651" xr:uid="{BC86EB2B-2AD4-4031-8BD9-3BCF708D546E}"/>
    <cellStyle name="Moeda 4 4 3" xfId="1945" xr:uid="{3A9BBAC7-E736-4B43-BCC4-12643224768A}"/>
    <cellStyle name="Moeda 4 4 3 2" xfId="4039" xr:uid="{9948DE02-2E02-4505-8777-46F4B4AD1A29}"/>
    <cellStyle name="Moeda 4 4 4" xfId="2834" xr:uid="{7E4C16F9-B1CB-4FC8-B7D3-AB2EC483C013}"/>
    <cellStyle name="Moeda 4 5" xfId="580" xr:uid="{2B0AEAD3-9A6D-4E45-9732-5532F635CF9E}"/>
    <cellStyle name="Moeda 4 5 2" xfId="1427" xr:uid="{2A2C590A-81C5-4F9F-9D39-EAEEAD6FB6D7}"/>
    <cellStyle name="Moeda 4 5 2 2" xfId="2236" xr:uid="{4F37BC5D-66B2-4F42-9857-641183EC3418}"/>
    <cellStyle name="Moeda 4 5 2 2 2" xfId="4302" xr:uid="{BE31A904-BB68-4408-812C-F0AA82E52D1F}"/>
    <cellStyle name="Moeda 4 5 2 3" xfId="3538" xr:uid="{C6C1E775-F9C6-439E-8993-44BEFE535AC2}"/>
    <cellStyle name="Moeda 4 5 3" xfId="2029" xr:uid="{613B632B-93C5-4560-9B87-B2A711447399}"/>
    <cellStyle name="Moeda 4 5 3 2" xfId="4116" xr:uid="{2065132C-FF04-4077-BA45-F3C679775964}"/>
    <cellStyle name="Moeda 4 5 4" xfId="2721" xr:uid="{4DCCED19-7A8C-4B58-BE07-EED02B8FC53E}"/>
    <cellStyle name="Moeda 4 6" xfId="259" xr:uid="{39ECEDCA-F022-4A3B-9454-38DC1EFC4D17}"/>
    <cellStyle name="Moeda 4 6 2" xfId="2079" xr:uid="{801B9E70-CEEA-4438-93DF-794A9FBE8E10}"/>
    <cellStyle name="Moeda 4 6 2 2" xfId="4145" xr:uid="{BD9F35BC-F659-44F5-90DD-80B5DD800E07}"/>
    <cellStyle name="Moeda 4 6 3" xfId="2408" xr:uid="{F4B1D3EC-32A5-4F63-8223-4A4BF84D164A}"/>
    <cellStyle name="Moeda 4 7" xfId="1113" xr:uid="{43E7619F-D68B-43F4-ABAF-8CDCECA349C3}"/>
    <cellStyle name="Moeda 4 7 2" xfId="3224" xr:uid="{286FCF9F-51E8-401C-B116-B815D821E0A9}"/>
    <cellStyle name="Moeda 4 8" xfId="1849" xr:uid="{2049B7A9-B861-47A4-848C-42C9941EAA18}"/>
    <cellStyle name="Moeda 4 8 2" xfId="3959" xr:uid="{A9CEA828-E696-47E9-B2B9-DDCFC866FD24}"/>
    <cellStyle name="Moeda 4 9" xfId="2295" xr:uid="{4D9F7BBD-A488-4CBF-BD52-18CC9064279F}"/>
    <cellStyle name="Moeda 5" xfId="99" xr:uid="{F0714D99-3F3D-4DC7-B928-AE4052E49758}"/>
    <cellStyle name="Moeda 5 2" xfId="120" xr:uid="{15C2B79D-D9EA-4BF8-ABFD-33B3BFA7EAAD}"/>
    <cellStyle name="Moeda 5 2 2" xfId="557" xr:uid="{3745AF27-32C5-4012-97C9-C4AF6889F65D}"/>
    <cellStyle name="Moeda 5 2 2 2" xfId="1002" xr:uid="{83A9C95A-C5FD-46DA-A9F7-DD010568B6A2}"/>
    <cellStyle name="Moeda 5 2 2 2 2" xfId="1831" xr:uid="{F427F849-D084-4A0F-9F7D-FC9FDA5CCF82}"/>
    <cellStyle name="Moeda 5 2 2 2 2 2" xfId="2223" xr:uid="{006F07E3-ABDE-4CEE-A330-A31FDE0E739E}"/>
    <cellStyle name="Moeda 5 2 2 2 2 2 2" xfId="4289" xr:uid="{E6D76778-81D7-4BDB-B615-9EFBF9A35ED3}"/>
    <cellStyle name="Moeda 5 2 2 2 2 3" xfId="3942" xr:uid="{8F317B2B-8886-4D37-BC56-99198BBE8B3A}"/>
    <cellStyle name="Moeda 5 2 2 2 3" xfId="2009" xr:uid="{9D1D0C70-4835-47D1-9025-75A6C77A8BA1}"/>
    <cellStyle name="Moeda 5 2 2 2 3 2" xfId="4103" xr:uid="{7E82D77A-C451-4819-B82F-D691E4919A98}"/>
    <cellStyle name="Moeda 5 2 2 2 4" xfId="3125" xr:uid="{627B2705-4879-49C1-86D9-FD0C990ADF34}"/>
    <cellStyle name="Moeda 5 2 2 3" xfId="1404" xr:uid="{6B8A6903-E253-4E77-BF0B-8296893EDFCB}"/>
    <cellStyle name="Moeda 5 2 2 3 2" xfId="2143" xr:uid="{61DEE4D4-E55A-4E73-850F-A5896DC8E288}"/>
    <cellStyle name="Moeda 5 2 2 3 2 2" xfId="4209" xr:uid="{FADA0A0D-E233-4443-82F1-46443FBBCF12}"/>
    <cellStyle name="Moeda 5 2 2 3 3" xfId="3515" xr:uid="{9B81116E-D0C0-49B8-83D7-F798A0FF4753}"/>
    <cellStyle name="Moeda 5 2 2 4" xfId="1924" xr:uid="{12156793-CD05-4D6E-9205-5E3126402E1F}"/>
    <cellStyle name="Moeda 5 2 2 4 2" xfId="4023" xr:uid="{239B2F76-AEDE-4559-B59C-48C3344FFEC8}"/>
    <cellStyle name="Moeda 5 2 2 5" xfId="2698" xr:uid="{67AF719B-69A9-4BB9-A225-801DB9318806}"/>
    <cellStyle name="Moeda 5 2 3" xfId="810" xr:uid="{CE984A4F-8090-4288-99D9-7310F11DDB7F}"/>
    <cellStyle name="Moeda 5 2 3 2" xfId="1639" xr:uid="{CDE3C661-2BD0-4701-889A-AF449E8DB1E7}"/>
    <cellStyle name="Moeda 5 2 3 2 2" xfId="2181" xr:uid="{08668839-1FB4-4D8F-A9F1-CECC2EC1A7D1}"/>
    <cellStyle name="Moeda 5 2 3 2 2 2" xfId="4247" xr:uid="{734DEBAF-44BB-42E8-B359-AE37EFC4EFF7}"/>
    <cellStyle name="Moeda 5 2 3 2 3" xfId="3750" xr:uid="{F0929024-7CA0-4769-BF5E-AD3AB0EA8EDF}"/>
    <cellStyle name="Moeda 5 2 3 3" xfId="1967" xr:uid="{12884D98-0B5D-4135-AD60-4EEEE82B2F42}"/>
    <cellStyle name="Moeda 5 2 3 3 2" xfId="4061" xr:uid="{B744CC50-FDEC-457C-9605-D5903A499C46}"/>
    <cellStyle name="Moeda 5 2 3 4" xfId="2933" xr:uid="{A28A00B7-FF82-43D6-8AC4-8A1CD1AEA036}"/>
    <cellStyle name="Moeda 5 2 4" xfId="602" xr:uid="{702E6705-60B4-44C7-89CF-AF7F56D73B53}"/>
    <cellStyle name="Moeda 5 2 4 2" xfId="1449" xr:uid="{1A67D137-7A50-4A4F-AA15-DDEF70176289}"/>
    <cellStyle name="Moeda 5 2 4 2 2" xfId="3560" xr:uid="{686872BD-B427-4976-82DF-B10798345B96}"/>
    <cellStyle name="Moeda 5 2 4 3" xfId="2101" xr:uid="{548795FA-75E0-4415-9CF0-F185634CB636}"/>
    <cellStyle name="Moeda 5 2 4 3 2" xfId="4167" xr:uid="{39B599EA-F3E8-49DE-9CB6-ED9DEB173FAA}"/>
    <cellStyle name="Moeda 5 2 4 4" xfId="2743" xr:uid="{EF4042BC-6D1C-45DF-AC98-4F769EB386CE}"/>
    <cellStyle name="Moeda 5 2 5" xfId="365" xr:uid="{4993795E-1731-41FE-BCCE-656DD6F16512}"/>
    <cellStyle name="Moeda 5 2 5 2" xfId="2506" xr:uid="{24126756-E859-4D0B-836D-B341791F9564}"/>
    <cellStyle name="Moeda 5 2 6" xfId="1212" xr:uid="{CF33B7B5-E592-44FD-98FE-76DDB67BB81D}"/>
    <cellStyle name="Moeda 5 2 6 2" xfId="3323" xr:uid="{92C47B0A-4BEA-4E44-90C8-C43E1C5F11F4}"/>
    <cellStyle name="Moeda 5 2 7" xfId="1871" xr:uid="{E84C54F2-15D6-46F3-BB64-94789E1BEE46}"/>
    <cellStyle name="Moeda 5 2 7 2" xfId="3981" xr:uid="{E0E7E0AB-C12E-4EFF-A05F-65A67AB61D6C}"/>
    <cellStyle name="Moeda 5 2 8" xfId="2317" xr:uid="{52CBE276-AB29-4A26-BCF2-E807A3F84A68}"/>
    <cellStyle name="Moeda 5 3" xfId="461" xr:uid="{A974649D-FD67-47EE-B33D-A92DEEAC7D7F}"/>
    <cellStyle name="Moeda 5 3 2" xfId="906" xr:uid="{FDF501C8-A644-4033-8341-372D70079070}"/>
    <cellStyle name="Moeda 5 3 2 2" xfId="1735" xr:uid="{AE976C13-8417-4D39-B6B6-CE4BD593B3EE}"/>
    <cellStyle name="Moeda 5 3 2 2 2" xfId="2204" xr:uid="{3636AB94-DF31-423C-838A-90D9173AC35E}"/>
    <cellStyle name="Moeda 5 3 2 2 2 2" xfId="4270" xr:uid="{C29F22D8-0D57-40D5-8A7A-26EC22BC6F6C}"/>
    <cellStyle name="Moeda 5 3 2 2 3" xfId="3846" xr:uid="{137E4C27-A9AF-474E-B8DD-08C54ACA118C}"/>
    <cellStyle name="Moeda 5 3 2 3" xfId="1990" xr:uid="{DCA70E2D-7110-43D8-959F-B6ABCEF42F07}"/>
    <cellStyle name="Moeda 5 3 2 3 2" xfId="4084" xr:uid="{E6E31835-C425-4976-9D26-E086214A1E5C}"/>
    <cellStyle name="Moeda 5 3 2 4" xfId="3029" xr:uid="{5AFAD7A4-1ACC-43C3-8FCE-BAE57C4A1E98}"/>
    <cellStyle name="Moeda 5 3 3" xfId="1308" xr:uid="{521479F8-BF3F-45BC-9D59-1714316F75FD}"/>
    <cellStyle name="Moeda 5 3 3 2" xfId="2124" xr:uid="{CB5F2A1F-F7E7-44F9-9A85-D52DB31B326F}"/>
    <cellStyle name="Moeda 5 3 3 2 2" xfId="4190" xr:uid="{91759EB2-B207-4535-AB47-95F0EA9EE1AB}"/>
    <cellStyle name="Moeda 5 3 3 3" xfId="3419" xr:uid="{0237B712-69E3-4CFC-9B0B-C774335B5BBD}"/>
    <cellStyle name="Moeda 5 3 4" xfId="1905" xr:uid="{4D7A4A22-0204-4FAD-A1AF-A74192C50F80}"/>
    <cellStyle name="Moeda 5 3 4 2" xfId="4004" xr:uid="{22B9CEE8-F16B-427F-9132-76B50E68B44F}"/>
    <cellStyle name="Moeda 5 3 5" xfId="2602" xr:uid="{B4678293-3A7D-4AD1-8F4B-2FC2F04FA4B9}"/>
    <cellStyle name="Moeda 5 4" xfId="714" xr:uid="{2D7A3C4C-CD55-441A-9DF1-168CE1FACBC4}"/>
    <cellStyle name="Moeda 5 4 2" xfId="1543" xr:uid="{14127D7F-F0EA-4DD1-AEA4-CF81B3539204}"/>
    <cellStyle name="Moeda 5 4 2 2" xfId="2162" xr:uid="{3C7E72CF-45FF-4A32-9550-FFC119FDE402}"/>
    <cellStyle name="Moeda 5 4 2 2 2" xfId="4228" xr:uid="{24FB3154-7B0F-4BF9-BD5E-CF4389DD7DA0}"/>
    <cellStyle name="Moeda 5 4 2 3" xfId="3654" xr:uid="{F47D08FB-8FF7-44AE-8172-7E6CF8CB00C8}"/>
    <cellStyle name="Moeda 5 4 3" xfId="1948" xr:uid="{94BBED3A-E26A-42B6-A224-6CBF078EFD22}"/>
    <cellStyle name="Moeda 5 4 3 2" xfId="4042" xr:uid="{1D8543CC-750B-4066-855A-9512A08BF1E2}"/>
    <cellStyle name="Moeda 5 4 4" xfId="2837" xr:uid="{D92421F8-C7BB-43D9-B6E7-10D3C3D00E64}"/>
    <cellStyle name="Moeda 5 5" xfId="583" xr:uid="{BEA89692-4040-4CF5-8772-9DB50E6EF73C}"/>
    <cellStyle name="Moeda 5 5 2" xfId="1430" xr:uid="{9E5CDE07-9DCB-40B0-A235-EE913E0B74B6}"/>
    <cellStyle name="Moeda 5 5 2 2" xfId="3541" xr:uid="{B7552895-7DC8-43E1-91AB-B171F72F5F94}"/>
    <cellStyle name="Moeda 5 5 3" xfId="2082" xr:uid="{BE9051FD-9725-49B3-92E2-17FFB22E18B7}"/>
    <cellStyle name="Moeda 5 5 3 2" xfId="4148" xr:uid="{2D196C5E-3DCC-43A6-9ECD-90DDE9DE50D2}"/>
    <cellStyle name="Moeda 5 5 4" xfId="2724" xr:uid="{7579690B-A723-415B-92D2-F276AC42F1E1}"/>
    <cellStyle name="Moeda 5 6" xfId="264" xr:uid="{41589B82-A6B2-4D45-8D47-AB49F2CBA0CF}"/>
    <cellStyle name="Moeda 5 6 2" xfId="2411" xr:uid="{BEC1F2F3-6B85-46F5-B7D2-52D9B830A989}"/>
    <cellStyle name="Moeda 5 7" xfId="1116" xr:uid="{AB92FEF9-B05F-4CA5-84DF-BF9C3D97B189}"/>
    <cellStyle name="Moeda 5 7 2" xfId="3227" xr:uid="{189B65B8-868D-4DEF-88C6-CE73EEAE140F}"/>
    <cellStyle name="Moeda 5 8" xfId="1852" xr:uid="{A60BC20F-0004-4824-BE7F-7CADDAE3C745}"/>
    <cellStyle name="Moeda 5 8 2" xfId="3962" xr:uid="{02E951C6-C716-4749-A7D9-2CE5FDB7CE08}"/>
    <cellStyle name="Moeda 5 9" xfId="2298" xr:uid="{236F4347-D282-44D2-A212-BD3E482658D3}"/>
    <cellStyle name="Moeda 6" xfId="228" xr:uid="{D957494C-276B-4E9F-B9C0-E0822C8E176B}"/>
    <cellStyle name="Moeda 6 2" xfId="346" xr:uid="{22DC6AA7-E66F-49D7-AD1B-B8C3EA2ADEAD}"/>
    <cellStyle name="Moeda 6 2 2" xfId="538" xr:uid="{56A04964-35F8-4C1C-9457-76560D519B97}"/>
    <cellStyle name="Moeda 6 2 2 2" xfId="983" xr:uid="{D730CD25-D387-49B5-A0E1-D62D1D6D0EF4}"/>
    <cellStyle name="Moeda 6 2 2 2 2" xfId="1812" xr:uid="{3E97B7C8-E792-488C-A2A1-85E2FFFB3D59}"/>
    <cellStyle name="Moeda 6 2 2 2 2 2" xfId="3923" xr:uid="{441932C1-1AA9-4A23-AFFA-ECA535AF8E76}"/>
    <cellStyle name="Moeda 6 2 2 2 3" xfId="3106" xr:uid="{7E445498-C993-4599-87FC-CC53BC5C7F25}"/>
    <cellStyle name="Moeda 6 2 2 3" xfId="1385" xr:uid="{168E148B-DECC-4DFA-95B0-FF4263310DDB}"/>
    <cellStyle name="Moeda 6 2 2 3 2" xfId="3496" xr:uid="{0015B96F-201C-452A-8CA2-3F98FB5F8E38}"/>
    <cellStyle name="Moeda 6 2 2 4" xfId="2679" xr:uid="{0E70C844-F8B2-4626-B4F3-C7DC893ADCCD}"/>
    <cellStyle name="Moeda 6 2 3" xfId="791" xr:uid="{AA7FF892-2911-4A81-9976-21F100497F63}"/>
    <cellStyle name="Moeda 6 2 3 2" xfId="1620" xr:uid="{7BEF5DEC-B3DD-43A3-8A30-08DEE5717ADE}"/>
    <cellStyle name="Moeda 6 2 3 2 2" xfId="3731" xr:uid="{DC970044-7DEC-4411-B63A-3CA4929E0A2C}"/>
    <cellStyle name="Moeda 6 2 3 3" xfId="2914" xr:uid="{37EB1DB5-3981-435F-AE2B-1611FC481372}"/>
    <cellStyle name="Moeda 6 2 4" xfId="1193" xr:uid="{43C54E6C-F216-4030-977D-0108CC00A810}"/>
    <cellStyle name="Moeda 6 2 4 2" xfId="3304" xr:uid="{2D5C84F9-B62A-4F48-9624-9AD1723DC247}"/>
    <cellStyle name="Moeda 6 2 5" xfId="2487" xr:uid="{3FC27A68-53BD-4200-B079-1B24929D0CC8}"/>
    <cellStyle name="Moeda 6 3" xfId="442" xr:uid="{43149FDA-64D5-42D9-93C6-FEF93CB20553}"/>
    <cellStyle name="Moeda 6 3 2" xfId="887" xr:uid="{FB14B9F1-6B07-49E5-847D-79FB9574F0E4}"/>
    <cellStyle name="Moeda 6 3 2 2" xfId="1716" xr:uid="{05A7729A-4BBF-424B-96D7-C868382E8B13}"/>
    <cellStyle name="Moeda 6 3 2 2 2" xfId="3827" xr:uid="{46DC1292-CDBC-41AC-B9D4-17746DC7FCF8}"/>
    <cellStyle name="Moeda 6 3 2 3" xfId="3010" xr:uid="{2F89F856-C3B7-4008-AC20-CE92AFCBC1C2}"/>
    <cellStyle name="Moeda 6 3 3" xfId="1289" xr:uid="{A4781EAD-868F-4A53-A5B4-A568A96D90F8}"/>
    <cellStyle name="Moeda 6 3 3 2" xfId="3400" xr:uid="{01A3028E-6113-423D-8642-073510CB4771}"/>
    <cellStyle name="Moeda 6 3 4" xfId="2583" xr:uid="{4F4D1724-EF2D-4871-8B56-19E7A955393E}"/>
    <cellStyle name="Moeda 6 4" xfId="695" xr:uid="{C092670F-4C29-4669-A16A-31326051979E}"/>
    <cellStyle name="Moeda 6 4 2" xfId="1524" xr:uid="{3E3D134E-A296-4A1A-A908-81B58DF5CA2F}"/>
    <cellStyle name="Moeda 6 4 2 2" xfId="3635" xr:uid="{86C3EE55-7398-4D7D-93BA-01E3645FA42E}"/>
    <cellStyle name="Moeda 6 4 3" xfId="2818" xr:uid="{2888C6F6-E686-4EA1-9254-36CD17EDC182}"/>
    <cellStyle name="Moeda 6 5" xfId="1097" xr:uid="{CC10665B-C89F-4A58-8723-859D8F25EF81}"/>
    <cellStyle name="Moeda 6 5 2" xfId="3208" xr:uid="{D509D283-0586-4FD3-9566-E944119371A1}"/>
    <cellStyle name="Moeda 6 6" xfId="2060" xr:uid="{3FC4F7AD-36EC-42DC-918D-1ED3A5A710B9}"/>
    <cellStyle name="Moeda 6 6 2" xfId="4128" xr:uid="{EE228FC3-490B-43AA-83F6-5528D6F90443}"/>
    <cellStyle name="Moeda 6 7" xfId="2392" xr:uid="{C979F1D2-5081-4C05-8440-E54EE2445D2D}"/>
    <cellStyle name="Moeda 7" xfId="2254" xr:uid="{9CED8BCA-CE08-4AEF-8AEE-D04C3E76E097}"/>
    <cellStyle name="Neutro" xfId="11" builtinId="28" customBuiltin="1"/>
    <cellStyle name="Neutro 2" xfId="75" xr:uid="{6B9C0C13-0EBC-4B40-8964-DDC9C85B7DD3}"/>
    <cellStyle name="Normal" xfId="0" builtinId="0"/>
    <cellStyle name="Normal 10" xfId="62" xr:uid="{DEDC1980-6DE7-471B-84FD-909C6997B9CA}"/>
    <cellStyle name="Normal 10 2" xfId="242" xr:uid="{6C08D4F9-D724-441C-B456-6E4230E7113D}"/>
    <cellStyle name="Normal 10 3" xfId="622" xr:uid="{32D8E2BB-A63A-4CDC-BA9D-4D33BD9646F8}"/>
    <cellStyle name="Normal 10 4" xfId="142" xr:uid="{3CFC6AC3-8F0D-4F95-897F-752057F1D5EE}"/>
    <cellStyle name="Normal 11" xfId="65" xr:uid="{6F4F3C70-B463-4733-88DF-5C82F72F9CE4}"/>
    <cellStyle name="Normal 11 2" xfId="189" xr:uid="{FF04121B-6061-43A8-839E-4E43740DFF74}"/>
    <cellStyle name="Normal 11 3" xfId="245" xr:uid="{75FEA19D-938C-409C-92A6-F82C8DA42450}"/>
    <cellStyle name="Normal 11 4" xfId="623" xr:uid="{D69A9491-FEE2-4C9E-8B80-F7F02A79E4F8}"/>
    <cellStyle name="Normal 11 5" xfId="143" xr:uid="{2D1DA7B6-DAFE-4A82-A78C-E8A9F6A0BDD3}"/>
    <cellStyle name="Normal 12" xfId="64" xr:uid="{B7776F91-137A-4C84-9527-5D6887FD9567}"/>
    <cellStyle name="Normal 12 2" xfId="244" xr:uid="{8BFB2E1C-7228-4678-A8D8-AB1E8894F236}"/>
    <cellStyle name="Normal 13" xfId="96" xr:uid="{4E1EE57E-627A-41F5-8E37-B0738AE91679}"/>
    <cellStyle name="Normal 13 2" xfId="262" xr:uid="{C42D4EB5-0B7D-4025-9A6D-01B8C42B59BA}"/>
    <cellStyle name="Normal 14" xfId="97" xr:uid="{89A9C78A-D84F-40C2-B63F-79BD2B41AA41}"/>
    <cellStyle name="Normal 14 2" xfId="190" xr:uid="{2A41042A-7246-4462-AFE0-CDBF616ED28D}"/>
    <cellStyle name="Normal 14 3" xfId="263" xr:uid="{30820A4D-77DC-407A-8143-A95676A6DA3C}"/>
    <cellStyle name="Normal 14 4" xfId="624" xr:uid="{DCE9EE98-788D-4232-A4C6-045E9279E843}"/>
    <cellStyle name="Normal 14 5" xfId="144" xr:uid="{E7B48F91-4B91-4102-A76B-172CF3939E5B}"/>
    <cellStyle name="Normal 15" xfId="98" xr:uid="{06FA1D59-7C5F-478D-ADDF-CAD41FD1E5DF}"/>
    <cellStyle name="Normal 16" xfId="123" xr:uid="{703FE48C-04F5-4352-B853-0652CAEEF937}"/>
    <cellStyle name="Normal 16 2" xfId="693" xr:uid="{B03149E7-9D87-4D05-B996-AEAA12B22EDC}"/>
    <cellStyle name="Normal 16 3" xfId="605" xr:uid="{EE5289E4-6FE4-4607-B45D-2A730192D53A}"/>
    <cellStyle name="Normal 16 4" xfId="224" xr:uid="{6013A4E8-6E48-4894-9564-45CF3ADD64AF}"/>
    <cellStyle name="Normal 17" xfId="125" xr:uid="{78BD5F90-09C8-46AE-A037-8D9A1014B0DF}"/>
    <cellStyle name="Normal 17 2" xfId="337" xr:uid="{DEE4841A-1490-4568-838E-E16EB6900643}"/>
    <cellStyle name="Normal 17 3" xfId="685" xr:uid="{8DB32426-1D18-4098-B5E8-6436FE6386ED}"/>
    <cellStyle name="Normal 17 4" xfId="607" xr:uid="{85ED5D3A-BA08-448B-A001-1B55B77B637C}"/>
    <cellStyle name="Normal 17 5" xfId="216" xr:uid="{6AF4EFF5-1799-4D58-873C-B526BAAAB0CF}"/>
    <cellStyle name="Normal 18" xfId="45" xr:uid="{4C2DF7E9-E658-43BF-AF85-30E8295B29DB}"/>
    <cellStyle name="Normal 18 2" xfId="1876" xr:uid="{ECFDA896-2D6F-4812-9FCF-0A76D585984D}"/>
    <cellStyle name="Normal 19" xfId="46" xr:uid="{E59C0416-3F3E-44CA-976F-A2616C001175}"/>
    <cellStyle name="Normal 19 2" xfId="1877" xr:uid="{908B12B8-2398-45EB-A7FF-1B5ED64674E1}"/>
    <cellStyle name="Normal 2" xfId="47" xr:uid="{80D0111D-EBBF-46F0-85B2-BBBD12FFB0DC}"/>
    <cellStyle name="Normal 2 2" xfId="50" xr:uid="{5ADBE2B1-9CFA-48E7-B119-4502191EB3EF}"/>
    <cellStyle name="Normal 2 2 2" xfId="92" xr:uid="{1954CB47-63CB-4114-A241-B50C80122D0D}"/>
    <cellStyle name="Normal 2 2 2 2" xfId="258" xr:uid="{E1F21B4C-F682-4FC7-B992-1A5367583984}"/>
    <cellStyle name="Normal 2 2 2 3" xfId="626" xr:uid="{D143D090-B65F-4832-A27C-ECE9FA47A139}"/>
    <cellStyle name="Normal 2 2 2 4" xfId="146" xr:uid="{490050D7-618E-490C-83F8-B62B8EB407F8}"/>
    <cellStyle name="Normal 2 2 3" xfId="231" xr:uid="{F9A07176-9639-497E-96D1-65D59FA99FBF}"/>
    <cellStyle name="Normal 2 2 4" xfId="1012" xr:uid="{A47F0F7E-8BCD-488A-88D5-3FE42CB646F9}"/>
    <cellStyle name="Normal 2 3" xfId="69" xr:uid="{6F32D598-B071-4981-80C3-C12FBAE80650}"/>
    <cellStyle name="Normal 2 3 2" xfId="147" xr:uid="{1438EF9F-775D-4D52-B205-4AEC761A7493}"/>
    <cellStyle name="Normal 2 3 3" xfId="614" xr:uid="{68818D2D-F706-4B7E-BA25-96609614A2C6}"/>
    <cellStyle name="Normal 2 3 4" xfId="133" xr:uid="{D1A8BB1D-A395-4203-AEED-E8EA9848A10B}"/>
    <cellStyle name="Normal 2 4" xfId="148" xr:uid="{148297DB-B5FA-4785-9CFF-0874C6C719A5}"/>
    <cellStyle name="Normal 2 5" xfId="227" xr:uid="{37C5784B-41D6-4CE7-A705-30086DC80527}"/>
    <cellStyle name="Normal 2 6" xfId="1016" xr:uid="{328E7240-D407-47C7-B507-A47B9C3381CE}"/>
    <cellStyle name="Normal 20" xfId="1009" xr:uid="{7CC2C264-F1B7-4888-A2F6-37E63F8F6F26}"/>
    <cellStyle name="Normal 20 2" xfId="1878" xr:uid="{90E874BD-A97F-472F-8F31-A32BD94BEC76}"/>
    <cellStyle name="Normal 21" xfId="1010" xr:uid="{BC575508-9335-4A86-8923-78494FC66DBA}"/>
    <cellStyle name="Normal 21 2" xfId="1879" xr:uid="{EF2C3C27-751C-4604-B09F-0B656E73D1F5}"/>
    <cellStyle name="Normal 22" xfId="1011" xr:uid="{C29B8CED-A73F-4695-A555-32E03F6152ED}"/>
    <cellStyle name="Normal 22 2" xfId="1880" xr:uid="{8D200DD2-F9EC-485A-8C09-A26B2F97872F}"/>
    <cellStyle name="Normal 23" xfId="1883" xr:uid="{E1DE22B1-1C05-486A-8317-1B0AC14FF002}"/>
    <cellStyle name="Normal 24" xfId="1881" xr:uid="{BA613C15-57DD-4A83-87D2-7E9CEBEF8E7C}"/>
    <cellStyle name="Normal 25" xfId="1928" xr:uid="{0495D0D9-691A-46CA-ACF2-1E37C4075CF2}"/>
    <cellStyle name="Normal 26" xfId="1929" xr:uid="{B92DA180-7960-41BA-8D2E-1F60B1445498}"/>
    <cellStyle name="Normal 27" xfId="1904" xr:uid="{A1E947A8-0D76-4E11-8C8C-AC4D97CA6370}"/>
    <cellStyle name="Normal 28" xfId="1882" xr:uid="{FB0C2DC2-54DC-4C48-AAC5-06B3FF1FBCD8}"/>
    <cellStyle name="Normal 29" xfId="1930" xr:uid="{313E1F02-128D-45D4-8D3C-7DB0555E2E3A}"/>
    <cellStyle name="Normal 3" xfId="48" xr:uid="{52A0E2FF-9EFF-49FC-A22E-9E0509968D5E}"/>
    <cellStyle name="Normal 3 2" xfId="88" xr:uid="{3F4CD8DC-397B-42A7-A837-25FE9DFF4577}"/>
    <cellStyle name="Normal 3 2 2" xfId="160" xr:uid="{86D43051-8F8E-41DE-90E4-5F0EBBF46321}"/>
    <cellStyle name="Normal 3 2 2 2" xfId="254" xr:uid="{9B587102-9F5E-47C2-A2BE-E6B7986E2A57}"/>
    <cellStyle name="Normal 3 2 3" xfId="615" xr:uid="{A2D166AA-B8C4-4C3D-9163-6CB40A246870}"/>
    <cellStyle name="Normal 3 2 4" xfId="134" xr:uid="{999922A7-A961-4C79-A862-B3C89D4C161B}"/>
    <cellStyle name="Normal 3 2 5" xfId="1013" xr:uid="{E09DD9E8-FBFB-4D8A-AA9D-9354A756ECB4}"/>
    <cellStyle name="Normal 3 3" xfId="229" xr:uid="{225BFA32-074C-4CDB-8ADF-8090EF7FF0A4}"/>
    <cellStyle name="Normal 3 3 2" xfId="2025" xr:uid="{644F38E7-5A80-4AD1-85B5-D7E158B3088D}"/>
    <cellStyle name="Normal 3 4" xfId="270" xr:uid="{1FF0CCA1-3BC8-4800-BD72-D2967B7AE711}"/>
    <cellStyle name="Normal 3 4 2" xfId="2015" xr:uid="{8BEF95A0-CA78-4741-83C6-E15A2C219F72}"/>
    <cellStyle name="Normal 3 5" xfId="608" xr:uid="{E1C567F4-CB76-4DBE-AFB2-82AB55285855}"/>
    <cellStyle name="Normal 3 6" xfId="126" xr:uid="{2E3BAA3F-B74D-403A-8397-27827C5D053A}"/>
    <cellStyle name="Normal 3 7" xfId="1019" xr:uid="{FBF7EE94-5739-4E40-95C5-570D90A501D7}"/>
    <cellStyle name="Normal 3 8" xfId="1022" xr:uid="{87E2018C-4357-48E8-808C-F460DD8FB954}"/>
    <cellStyle name="Normal 3_LANÇ. SECURITIZADORA.04.14 2 2" xfId="1021" xr:uid="{17964A6B-8DBC-435B-80BF-4D6002B821FA}"/>
    <cellStyle name="Normal 30" xfId="1903" xr:uid="{4ADED810-A9FB-4BFE-BCDA-A389B06A03FE}"/>
    <cellStyle name="Normal 31" xfId="1894" xr:uid="{AA7FB463-7BB7-40BB-B99E-4B9FE7CE798F}"/>
    <cellStyle name="Normal 32" xfId="1931" xr:uid="{83BC1481-3601-4D1B-BF18-22D3503116AB}"/>
    <cellStyle name="Normal 33" xfId="1933" xr:uid="{C26F553E-C0DE-47AD-A586-07B8923E5F0C}"/>
    <cellStyle name="Normal 34" xfId="2013" xr:uid="{AA4729D1-8E1F-44F9-A72A-27DB681E20B3}"/>
    <cellStyle name="Normal 35" xfId="2017" xr:uid="{42C57E84-F291-47B0-A256-A3BEEE745F76}"/>
    <cellStyle name="Normal 36" xfId="2043" xr:uid="{8F0190AA-F5D5-4FBD-AF63-C5DD8FF693A3}"/>
    <cellStyle name="Normal 37" xfId="2016" xr:uid="{8919EAB1-9678-40B6-856B-388C42472329}"/>
    <cellStyle name="Normal 38" xfId="2028" xr:uid="{1397F905-5175-4623-A5E6-5FCB2C0C268B}"/>
    <cellStyle name="Normal 39" xfId="2018" xr:uid="{BB51CC00-05FC-4353-AA66-5AA250911059}"/>
    <cellStyle name="Normal 4" xfId="51" xr:uid="{5217AB41-57E2-4A06-A544-3717EBF97EAE}"/>
    <cellStyle name="Normal 4 2" xfId="90" xr:uid="{ACC7AF20-5320-4237-BA09-AA430718E127}"/>
    <cellStyle name="Normal 4 2 2" xfId="162" xr:uid="{394FC095-B9B1-4D6C-9349-D70B291E1C52}"/>
    <cellStyle name="Normal 4 2 2 2" xfId="256" xr:uid="{EA146AC7-6044-41D2-A6CE-94F264462CFF}"/>
    <cellStyle name="Normal 4 2 3" xfId="617" xr:uid="{481082F6-AD7D-459D-816A-48C1845BBA19}"/>
    <cellStyle name="Normal 4 2 4" xfId="136" xr:uid="{6DC801CF-6345-43E8-95A8-ECC4B10C2C94}"/>
    <cellStyle name="Normal 4 3" xfId="100" xr:uid="{9797A33F-EFEA-46DD-9183-FE51439D4CDF}"/>
    <cellStyle name="Normal 4 3 2" xfId="265" xr:uid="{4EF0058D-3B10-4760-A7AA-46F30C9B5A29}"/>
    <cellStyle name="Normal 4 3 3" xfId="627" xr:uid="{BCBD4DE2-07B3-4A4C-88C2-EA0B622F587A}"/>
    <cellStyle name="Normal 4 3 4" xfId="149" xr:uid="{4857211F-7510-4881-A792-4A29C5FA5ED5}"/>
    <cellStyle name="Normal 4 4" xfId="181" xr:uid="{81464BF4-D259-42CA-B537-84075208C5FA}"/>
    <cellStyle name="Normal 4 4 2" xfId="232" xr:uid="{7FED9862-2DF9-4C69-8DA1-B31FE292158B}"/>
    <cellStyle name="Normal 4 5" xfId="1023" xr:uid="{53C2884A-17F6-46B2-BDF6-F5AD98A5EA16}"/>
    <cellStyle name="Normal 40" xfId="2042" xr:uid="{9EDE2329-6FA8-4ECD-9A06-D4857B9B0346}"/>
    <cellStyle name="Normal 40 2" xfId="2248" xr:uid="{2703011D-976B-4AAC-8D7E-14CDF509F28B}"/>
    <cellStyle name="Normal 41" xfId="2044" xr:uid="{735D54D3-2BA7-47BD-B778-DD41BF3AA8F5}"/>
    <cellStyle name="Normal 42" xfId="2052" xr:uid="{E2F54C38-6298-46AD-9188-F20F8F0A7001}"/>
    <cellStyle name="Normal 43" xfId="2046" xr:uid="{8C50DC25-B28E-49C4-9426-990CC405FEB6}"/>
    <cellStyle name="Normal 44" xfId="2049" xr:uid="{D4DCB69C-B80E-4E05-BB8C-07F755B18D7B}"/>
    <cellStyle name="Normal 45" xfId="2045" xr:uid="{EF424747-F377-4F26-BB49-28CDBCBBC097}"/>
    <cellStyle name="Normal 46" xfId="2053" xr:uid="{F230F320-C68B-4171-97DB-78615202E3E3}"/>
    <cellStyle name="Normal 47" xfId="2050" xr:uid="{08E245E0-FB50-4E0B-97B6-A7E9ED921172}"/>
    <cellStyle name="Normal 48" xfId="2047" xr:uid="{B547E80E-ADA3-46D1-9FF7-10805A6A245B}"/>
    <cellStyle name="Normal 49" xfId="2054" xr:uid="{7B7B9EA4-F85F-4B6D-BC23-6F323698D996}"/>
    <cellStyle name="Normal 5" xfId="53" xr:uid="{076A41FA-FB3F-44EA-8C50-88D3FF2DB096}"/>
    <cellStyle name="Normal 5 2" xfId="234" xr:uid="{7C5F684A-3666-4754-A016-ACFA5C6BA153}"/>
    <cellStyle name="Normal 5 2 2" xfId="2041" xr:uid="{1998D7F4-26FF-46BE-B989-5E44CC6FB861}"/>
    <cellStyle name="Normal 5 3" xfId="2255" xr:uid="{66BAC641-F7BD-4E82-A8CA-19D1BD61BEC8}"/>
    <cellStyle name="Normal 50" xfId="2048" xr:uid="{5A157169-D3E0-4818-A176-6B457DB34532}"/>
    <cellStyle name="Normal 51" xfId="2051" xr:uid="{4600BEEE-713E-4E90-90CC-B470FB7A8024}"/>
    <cellStyle name="Normal 52" xfId="2055" xr:uid="{8822522C-A038-4798-AAF9-5C68FCDA2626}"/>
    <cellStyle name="Normal 53" xfId="2056" xr:uid="{1D6388CD-0429-48A4-8E11-1B65F61D0566}"/>
    <cellStyle name="Normal 54" xfId="2057" xr:uid="{B613825B-D96B-49A0-A37C-8D669B419579}"/>
    <cellStyle name="Normal 55" xfId="2058" xr:uid="{1653DFD1-F086-41B3-B322-ADF48EB8AE2C}"/>
    <cellStyle name="Normal 56" xfId="2063" xr:uid="{CFB0217B-A068-42DE-B6F9-664AAFED86EC}"/>
    <cellStyle name="Normal 57" xfId="2059" xr:uid="{CE82060B-B95B-4045-B3B9-567B22B9C7B8}"/>
    <cellStyle name="Normal 58" xfId="2062" xr:uid="{52740F40-B128-4AE0-83D0-D3BF1DD13F4F}"/>
    <cellStyle name="Normal 59" xfId="2251" xr:uid="{489F1566-AD6B-4EF1-85C3-F3B70EC9F3A1}"/>
    <cellStyle name="Normal 6" xfId="55" xr:uid="{4819851E-0708-48AA-A63A-24F986B291ED}"/>
    <cellStyle name="Normal 6 2" xfId="236" xr:uid="{82C21E1F-B6F7-4C8D-9E59-9F94A7881021}"/>
    <cellStyle name="Normal 6 3" xfId="2256" xr:uid="{FE001E0E-01E2-41CA-AEF1-43B1280FFA09}"/>
    <cellStyle name="Normal 60" xfId="82" xr:uid="{C67D8786-05AF-4AF9-8EB8-17ADCAA45519}"/>
    <cellStyle name="Normal 61" xfId="2250" xr:uid="{F6834D0C-630F-4806-B9F3-78A184D7CB1F}"/>
    <cellStyle name="Normal 62" xfId="2249" xr:uid="{96618532-777C-4591-8AD7-3D35CBC0D925}"/>
    <cellStyle name="Normal 63" xfId="2252" xr:uid="{F00A2317-5D09-4538-9F05-A6DA7653236B}"/>
    <cellStyle name="Normal 64" xfId="2253" xr:uid="{887D0B40-7502-4132-A218-3F9866400822}"/>
    <cellStyle name="Normal 65" xfId="1838" xr:uid="{E9A17D8F-9E1C-4DF6-B9D0-8D9D495CAD9B}"/>
    <cellStyle name="Normal 7" xfId="56" xr:uid="{5BA9DDEC-1DB7-4E83-9AE1-749699D7B969}"/>
    <cellStyle name="Normal 7 2" xfId="155" xr:uid="{76EBB694-011D-4767-B65A-352D05CBE12A}"/>
    <cellStyle name="Normal 7 2 2" xfId="237" xr:uid="{C7FE9C85-8356-4C4C-A56F-760818A7DB9B}"/>
    <cellStyle name="Normal 7 3" xfId="2257" xr:uid="{8FBC36CC-16EA-4AC5-B08A-EB418A308FCA}"/>
    <cellStyle name="Normal 8" xfId="59" xr:uid="{AF425DF8-CC7A-4AEC-A7F5-F5C6A498A2E4}"/>
    <cellStyle name="Normal 8 2" xfId="173" xr:uid="{CE0027A6-BC2C-4796-A6D2-D408D5B3D1A1}"/>
    <cellStyle name="Normal 8 3" xfId="272" xr:uid="{A6411420-611A-443B-8B2E-3951D82625DA}"/>
    <cellStyle name="Normal 8 4" xfId="612" xr:uid="{46D8118C-5E13-4D24-A2D7-B22F70893EC0}"/>
    <cellStyle name="Normal 8 5" xfId="131" xr:uid="{79960B93-D77D-4A28-BC78-C5B17F626A94}"/>
    <cellStyle name="Normal 8 6" xfId="2258" xr:uid="{60463B5D-F637-4E34-8815-78E4745C2861}"/>
    <cellStyle name="Normal 9" xfId="60" xr:uid="{49B0B5FB-8F19-490E-B3C1-F080E835629A}"/>
    <cellStyle name="Normal 9 2" xfId="180" xr:uid="{CD7249A1-AA83-4483-A346-E62948780CF6}"/>
    <cellStyle name="Normal 9 2 2" xfId="240" xr:uid="{C6431388-D633-418F-8CD1-86B1BE95DBE1}"/>
    <cellStyle name="Normal 9 3" xfId="618" xr:uid="{D3BF76F6-CCEC-430F-B0E7-EBEDA1F0781C}"/>
    <cellStyle name="Normal 9 4" xfId="138" xr:uid="{D47DD5ED-4A62-4305-B240-5D3F63E65B48}"/>
    <cellStyle name="Normal 9 5" xfId="2259" xr:uid="{7231571B-2A51-4B83-8428-9370D73EFC0A}"/>
    <cellStyle name="Nota" xfId="18" builtinId="10" customBuiltin="1"/>
    <cellStyle name="Nota 2" xfId="233" xr:uid="{9EC025DB-6BE5-4F71-AFD2-41D9BEB5408C}"/>
    <cellStyle name="Porcentagem" xfId="3" builtinId="5"/>
    <cellStyle name="Porcentagem 2" xfId="52" xr:uid="{4760F993-61A7-40E3-93B4-F89F397C9EFA}"/>
    <cellStyle name="Porcentagem 2 2" xfId="102" xr:uid="{60526F68-4E45-4954-B625-876FD0087271}"/>
    <cellStyle name="Porcentagem 2 2 2" xfId="267" xr:uid="{15854B55-49DF-49D0-9C6B-01581C40FBB4}"/>
    <cellStyle name="Porcentagem 2 2 3" xfId="610" xr:uid="{EAA30E9C-7B47-4314-B8EB-7174D4849846}"/>
    <cellStyle name="Porcentagem 2 2 4" xfId="128" xr:uid="{56F23BBA-4593-43CE-9502-E38231D3869B}"/>
    <cellStyle name="Porcentagem 2 3" xfId="137" xr:uid="{FDAC17AA-7923-40F6-ADE0-E54B209B508F}"/>
    <cellStyle name="Porcentagem 2 4" xfId="157" xr:uid="{118B802F-194F-4B86-94CF-D9DBFEE4D17A}"/>
    <cellStyle name="Porcentagem 2 5" xfId="609" xr:uid="{508350FA-4BF3-434B-83A7-EAE2C7A1ACDF}"/>
    <cellStyle name="Porcentagem 2 6" xfId="127" xr:uid="{F980F0B1-82EB-40D2-9528-87A175886CC7}"/>
    <cellStyle name="Porcentagem 3" xfId="226" xr:uid="{255A0B8E-F300-4480-865C-916B34009619}"/>
    <cellStyle name="Porcentagem 3 2" xfId="2261" xr:uid="{BDC47C49-49F8-4D51-9794-7034DD947D8C}"/>
    <cellStyle name="Porcentagem 4" xfId="2262" xr:uid="{18A67AF1-95AD-4440-B72E-FBADB97EBA06}"/>
    <cellStyle name="Porcentagem 5" xfId="2263" xr:uid="{C6E56E03-CD0A-4D75-A7BD-FBE8BF13BE7B}"/>
    <cellStyle name="Porcentagem 6" xfId="2264" xr:uid="{6ED27F9A-D5BF-4942-A5A5-4C21B6D6539B}"/>
    <cellStyle name="Porcentagem 7" xfId="83" xr:uid="{4771B702-D2F7-42C3-BE82-A371D06EEE6F}"/>
    <cellStyle name="Porcentagem 7 2" xfId="2265" xr:uid="{17C27F8B-3502-444A-9D1F-F3BE5C4F4682}"/>
    <cellStyle name="Porcentagem 8" xfId="2260" xr:uid="{3CC6E12F-3224-4281-9024-4B7ADF139939}"/>
    <cellStyle name="Ruim" xfId="10" builtinId="27" customBuiltin="1"/>
    <cellStyle name="Saída" xfId="13" builtinId="21" customBuiltin="1"/>
    <cellStyle name="Separador de milhares 10" xfId="169" xr:uid="{409AD59F-96B6-4C77-944F-04583B613D54}"/>
    <cellStyle name="Separador de milhares 10 2" xfId="206" xr:uid="{70C230E3-3794-4F0D-9D8E-D3037FC92733}"/>
    <cellStyle name="Separador de milhares 10 2 2" xfId="327" xr:uid="{CF33DDD0-BDDE-4E38-B794-D02FC1D379ED}"/>
    <cellStyle name="Separador de milhares 10 2 2 2" xfId="520" xr:uid="{2266F0C9-3F5D-408B-9C31-47C59396BE8C}"/>
    <cellStyle name="Separador de milhares 10 2 2 2 2" xfId="965" xr:uid="{E0FCEA42-C345-4FD4-B56A-378CB50CFF87}"/>
    <cellStyle name="Separador de milhares 10 2 2 2 2 2" xfId="1794" xr:uid="{34F44171-787D-4351-BF44-D0B0BF3B93B7}"/>
    <cellStyle name="Separador de milhares 10 2 2 2 2 2 2" xfId="3905" xr:uid="{72114839-08B3-4CA5-B53E-62C022DF8137}"/>
    <cellStyle name="Separador de milhares 10 2 2 2 2 3" xfId="3088" xr:uid="{23456962-6385-4109-957F-80FDB9A8CC56}"/>
    <cellStyle name="Separador de milhares 10 2 2 2 3" xfId="1367" xr:uid="{02C9D424-7F1C-4348-B464-86094AFCCB11}"/>
    <cellStyle name="Separador de milhares 10 2 2 2 3 2" xfId="3478" xr:uid="{E6251441-A4E2-412A-8810-435A2BCF5FCF}"/>
    <cellStyle name="Separador de milhares 10 2 2 2 4" xfId="2661" xr:uid="{B72F45B1-61CA-4D68-8CD9-FD73FD563D67}"/>
    <cellStyle name="Separador de milhares 10 2 2 3" xfId="773" xr:uid="{439F3667-9CFA-4AD3-864C-D8A1E05714F5}"/>
    <cellStyle name="Separador de milhares 10 2 2 3 2" xfId="1602" xr:uid="{7CBB735A-CEB0-4DD2-BE10-CE272CF8F702}"/>
    <cellStyle name="Separador de milhares 10 2 2 3 2 2" xfId="3713" xr:uid="{4CBC6DC0-413A-406D-8F30-D96F9F41290D}"/>
    <cellStyle name="Separador de milhares 10 2 2 3 3" xfId="2896" xr:uid="{89FD215C-4459-4CB0-9A32-6139454F4517}"/>
    <cellStyle name="Separador de milhares 10 2 2 4" xfId="1175" xr:uid="{F209B126-5B50-496A-A21D-FF38B656EA00}"/>
    <cellStyle name="Separador de milhares 10 2 2 4 2" xfId="3286" xr:uid="{15BB4C07-E13C-477C-9B9C-485F4B72D101}"/>
    <cellStyle name="Separador de milhares 10 2 2 5" xfId="2469" xr:uid="{860C8B83-AD15-4287-AE62-7B6C8B2F9305}"/>
    <cellStyle name="Separador de milhares 10 2 3" xfId="424" xr:uid="{FFAA4CDA-6C08-4EFB-B1EB-3251DCE37617}"/>
    <cellStyle name="Separador de milhares 10 2 3 2" xfId="869" xr:uid="{398716E7-4873-41C2-8D07-645110719D97}"/>
    <cellStyle name="Separador de milhares 10 2 3 2 2" xfId="1698" xr:uid="{FFB65DEB-CE43-4209-B6FE-12144543D17F}"/>
    <cellStyle name="Separador de milhares 10 2 3 2 2 2" xfId="3809" xr:uid="{4BE5F912-3CDA-4617-83E3-DB2074B6EE9F}"/>
    <cellStyle name="Separador de milhares 10 2 3 2 3" xfId="2992" xr:uid="{7B8BB34D-78EF-44EA-B938-D07C6CA2C8F8}"/>
    <cellStyle name="Separador de milhares 10 2 3 3" xfId="1271" xr:uid="{ACCDCEAE-1F55-4CD6-A128-18A1B17C4251}"/>
    <cellStyle name="Separador de milhares 10 2 3 3 2" xfId="3382" xr:uid="{5E561184-52AA-4D53-BC13-43F0F053A788}"/>
    <cellStyle name="Separador de milhares 10 2 3 4" xfId="2565" xr:uid="{24CD74F9-9DB0-436A-8256-B5E6A31E90E5}"/>
    <cellStyle name="Separador de milhares 10 2 4" xfId="675" xr:uid="{6C363057-9B0C-4DDE-A686-DFD5668405DE}"/>
    <cellStyle name="Separador de milhares 10 2 4 2" xfId="1506" xr:uid="{512DBE2D-9038-464B-959D-6AA8523A3942}"/>
    <cellStyle name="Separador de milhares 10 2 4 2 2" xfId="3617" xr:uid="{2D70BC01-AF0F-4DCB-AF8F-3FACDA3E41C6}"/>
    <cellStyle name="Separador de milhares 10 2 4 3" xfId="2800" xr:uid="{B27759D8-8CB8-48A9-8F98-85A8F341A05F}"/>
    <cellStyle name="Separador de milhares 10 2 5" xfId="1079" xr:uid="{E100EECF-2987-4439-8ED1-622E7245C48C}"/>
    <cellStyle name="Separador de milhares 10 2 5 2" xfId="3190" xr:uid="{D551BAA3-C9A0-4ACE-AB48-A2805A37C7D7}"/>
    <cellStyle name="Separador de milhares 10 2 6" xfId="2374" xr:uid="{9137014D-BB0E-4CCC-BB72-B9727845254B}"/>
    <cellStyle name="Separador de milhares 10 3" xfId="295" xr:uid="{968D4076-14B8-4E01-A5CE-D25A7782AE63}"/>
    <cellStyle name="Separador de milhares 10 3 2" xfId="488" xr:uid="{5FE1507A-D266-4556-B290-19078D965F7D}"/>
    <cellStyle name="Separador de milhares 10 3 2 2" xfId="933" xr:uid="{DC650A2D-FD4C-4905-99E9-070AF736C285}"/>
    <cellStyle name="Separador de milhares 10 3 2 2 2" xfId="1762" xr:uid="{B5E79953-7086-4B19-846C-F99B3C388EFC}"/>
    <cellStyle name="Separador de milhares 10 3 2 2 2 2" xfId="3873" xr:uid="{C0723900-4305-4A1E-B4B3-5EFE8C98AF4B}"/>
    <cellStyle name="Separador de milhares 10 3 2 2 3" xfId="3056" xr:uid="{8292F663-7B11-4A96-878E-0DEA218B7594}"/>
    <cellStyle name="Separador de milhares 10 3 2 3" xfId="1335" xr:uid="{0B3E591C-A5DA-43AA-90FA-43A6132FBC84}"/>
    <cellStyle name="Separador de milhares 10 3 2 3 2" xfId="3446" xr:uid="{90EBBC76-F096-42F3-98FF-C047EEC17FAF}"/>
    <cellStyle name="Separador de milhares 10 3 2 4" xfId="2629" xr:uid="{2F43725C-F904-4642-9F42-83E2DA2FA363}"/>
    <cellStyle name="Separador de milhares 10 3 3" xfId="741" xr:uid="{3BE8569C-E1D9-4C94-930B-2D61AAAA2073}"/>
    <cellStyle name="Separador de milhares 10 3 3 2" xfId="1570" xr:uid="{986DEFF9-81DE-4846-8D62-0AF59D00A5F0}"/>
    <cellStyle name="Separador de milhares 10 3 3 2 2" xfId="3681" xr:uid="{E0CD971C-F58E-4984-BBF5-B5BFA0522F7F}"/>
    <cellStyle name="Separador de milhares 10 3 3 3" xfId="2864" xr:uid="{BC6FA32D-1A7C-443F-AE2C-1BE01EED2933}"/>
    <cellStyle name="Separador de milhares 10 3 4" xfId="1143" xr:uid="{7318ECDE-98B2-45A9-AABF-E2A27433B3CF}"/>
    <cellStyle name="Separador de milhares 10 3 4 2" xfId="3254" xr:uid="{55DB6026-1EA2-4341-A4FC-3F7174E90667}"/>
    <cellStyle name="Separador de milhares 10 3 5" xfId="2437" xr:uid="{89BA9AFD-8DCE-4732-BE0F-6D16B3D65DF5}"/>
    <cellStyle name="Separador de milhares 10 4" xfId="392" xr:uid="{A956BDE6-5D89-4B2A-991C-C1D71CFC7D25}"/>
    <cellStyle name="Separador de milhares 10 4 2" xfId="837" xr:uid="{62D0D0F5-2AF2-4399-A1E4-E8BA45E3FFEF}"/>
    <cellStyle name="Separador de milhares 10 4 2 2" xfId="1666" xr:uid="{200AA989-816B-47E3-8CDD-8E2E7A966005}"/>
    <cellStyle name="Separador de milhares 10 4 2 2 2" xfId="3777" xr:uid="{C8C99E23-6F55-466C-9753-7CA862F54353}"/>
    <cellStyle name="Separador de milhares 10 4 2 3" xfId="2960" xr:uid="{6B2D71A9-7AF8-422B-ACCE-ECCBAE7E8573}"/>
    <cellStyle name="Separador de milhares 10 4 3" xfId="1239" xr:uid="{8163D3AA-9EFF-46E9-A0DF-A4AD3A02BC95}"/>
    <cellStyle name="Separador de milhares 10 4 3 2" xfId="3350" xr:uid="{A7023E10-B96B-497C-BA40-968F74160A3F}"/>
    <cellStyle name="Separador de milhares 10 4 4" xfId="2533" xr:uid="{48857432-AE15-4052-A0FF-0E4E8B5F4C1B}"/>
    <cellStyle name="Separador de milhares 10 5" xfId="643" xr:uid="{EA8C4218-585B-4934-9D30-9BF5F98B3FAB}"/>
    <cellStyle name="Separador de milhares 10 5 2" xfId="1474" xr:uid="{DAC6F758-61FE-47F7-8A62-A218410859F3}"/>
    <cellStyle name="Separador de milhares 10 5 2 2" xfId="3585" xr:uid="{9E1D4C49-5970-47A4-92F0-9E8B94066651}"/>
    <cellStyle name="Separador de milhares 10 5 3" xfId="2768" xr:uid="{5596D41B-599C-409E-9DDD-CDD2242A0676}"/>
    <cellStyle name="Separador de milhares 10 6" xfId="1047" xr:uid="{67EF65CF-1D43-48EA-A8F6-0F4C2018E5A6}"/>
    <cellStyle name="Separador de milhares 10 6 2" xfId="3158" xr:uid="{8E865478-9F54-4E8B-93A5-9149D7B446CE}"/>
    <cellStyle name="Separador de milhares 10 7" xfId="2342" xr:uid="{37B838F4-833F-4C14-9222-D28383F60E99}"/>
    <cellStyle name="Separador de milhares 11" xfId="170" xr:uid="{E5DB6D79-19AB-49D4-8EE8-D6F1198A3E0D}"/>
    <cellStyle name="Separador de milhares 11 2" xfId="207" xr:uid="{9BCB3463-F19A-4435-AE23-0E6D9AC4F2A4}"/>
    <cellStyle name="Separador de milhares 11 2 2" xfId="328" xr:uid="{34F71FC4-EEE9-4435-95FB-07C011617165}"/>
    <cellStyle name="Separador de milhares 11 2 2 2" xfId="521" xr:uid="{B92B1C64-3E60-490B-AE8C-C3C9AF073D8E}"/>
    <cellStyle name="Separador de milhares 11 2 2 2 2" xfId="966" xr:uid="{084B4EF4-1A96-4DD7-94BC-CB832B6725D8}"/>
    <cellStyle name="Separador de milhares 11 2 2 2 2 2" xfId="1795" xr:uid="{CA2A0EEB-F340-4DDD-B7CE-3F9108D88DE9}"/>
    <cellStyle name="Separador de milhares 11 2 2 2 2 2 2" xfId="3906" xr:uid="{25CECC47-9B5F-4AC1-B34E-F7FCBC0489E9}"/>
    <cellStyle name="Separador de milhares 11 2 2 2 2 3" xfId="3089" xr:uid="{1595EB63-B0AA-4884-86B8-3C50961F01F2}"/>
    <cellStyle name="Separador de milhares 11 2 2 2 3" xfId="1368" xr:uid="{9683D11C-09BD-44FA-A406-7397537E7D49}"/>
    <cellStyle name="Separador de milhares 11 2 2 2 3 2" xfId="3479" xr:uid="{B2BB31E0-56BF-47F7-A8B8-763B85A08070}"/>
    <cellStyle name="Separador de milhares 11 2 2 2 4" xfId="2662" xr:uid="{3F724875-574B-4407-A9BA-E16BCB18ED78}"/>
    <cellStyle name="Separador de milhares 11 2 2 3" xfId="774" xr:uid="{721923F9-2888-43C5-99E6-3D6ECCE97806}"/>
    <cellStyle name="Separador de milhares 11 2 2 3 2" xfId="1603" xr:uid="{50CE87A5-5388-4C13-B4B7-B02DC399C92D}"/>
    <cellStyle name="Separador de milhares 11 2 2 3 2 2" xfId="3714" xr:uid="{305B1ECA-C18E-4065-974B-1040B0FAB794}"/>
    <cellStyle name="Separador de milhares 11 2 2 3 3" xfId="2897" xr:uid="{857C6E61-A05A-4BCE-896C-93B3AFEF73E7}"/>
    <cellStyle name="Separador de milhares 11 2 2 4" xfId="1176" xr:uid="{87BBE4DF-29A6-49A0-AFA9-8D7084822EDB}"/>
    <cellStyle name="Separador de milhares 11 2 2 4 2" xfId="3287" xr:uid="{5E5EB9E8-8FBE-424A-8205-0EB5346FD8E1}"/>
    <cellStyle name="Separador de milhares 11 2 2 5" xfId="2470" xr:uid="{3C224E8B-71AA-472F-A4FB-D97B4F737254}"/>
    <cellStyle name="Separador de milhares 11 2 3" xfId="425" xr:uid="{C6EDD364-5188-4BFA-AF8C-A9A4BC95D8B5}"/>
    <cellStyle name="Separador de milhares 11 2 3 2" xfId="870" xr:uid="{C66E6EE6-EC79-4539-BB6A-E2D456E5675D}"/>
    <cellStyle name="Separador de milhares 11 2 3 2 2" xfId="1699" xr:uid="{DB42322E-E481-4AB2-AB1B-10863E5A5798}"/>
    <cellStyle name="Separador de milhares 11 2 3 2 2 2" xfId="3810" xr:uid="{CD44AB27-15B5-4086-A891-A425E9E53E91}"/>
    <cellStyle name="Separador de milhares 11 2 3 2 3" xfId="2993" xr:uid="{ED32EB2E-F43E-4E87-96C1-95F6F9B26F29}"/>
    <cellStyle name="Separador de milhares 11 2 3 3" xfId="1272" xr:uid="{8D7544A6-1C50-4082-9F52-35FA652F949F}"/>
    <cellStyle name="Separador de milhares 11 2 3 3 2" xfId="3383" xr:uid="{2911839C-EA27-4098-821D-4654A06B5BCD}"/>
    <cellStyle name="Separador de milhares 11 2 3 4" xfId="2566" xr:uid="{F61E4014-C20C-482E-B6CC-8EC1ED1DBB0F}"/>
    <cellStyle name="Separador de milhares 11 2 4" xfId="676" xr:uid="{33CE893C-7542-4418-8D32-6CCCD140AAC1}"/>
    <cellStyle name="Separador de milhares 11 2 4 2" xfId="1507" xr:uid="{EAAE18D1-33EC-41C4-AD7F-AB4E4F358D0A}"/>
    <cellStyle name="Separador de milhares 11 2 4 2 2" xfId="3618" xr:uid="{F08A59D1-2A72-4752-AF09-D596EDC64D5F}"/>
    <cellStyle name="Separador de milhares 11 2 4 3" xfId="2801" xr:uid="{38B8E4E5-A5E5-45ED-9610-9947A65C9BBC}"/>
    <cellStyle name="Separador de milhares 11 2 5" xfId="1080" xr:uid="{A628536D-727B-4A5F-92DF-F0A1E155B4C8}"/>
    <cellStyle name="Separador de milhares 11 2 5 2" xfId="3191" xr:uid="{7DAF76EF-00DA-4867-8BAC-299AD647C2D4}"/>
    <cellStyle name="Separador de milhares 11 2 6" xfId="2375" xr:uid="{221F3FEC-A333-4C8C-A34C-F2E4ABFB7A50}"/>
    <cellStyle name="Separador de milhares 11 3" xfId="296" xr:uid="{3CCD27E5-0A59-46EE-A6AC-8549628491C1}"/>
    <cellStyle name="Separador de milhares 11 3 2" xfId="489" xr:uid="{E1A52EC6-521F-49E7-83F4-DEBD66A7D65A}"/>
    <cellStyle name="Separador de milhares 11 3 2 2" xfId="934" xr:uid="{6402C508-4329-4C0F-8238-A3184884B8B9}"/>
    <cellStyle name="Separador de milhares 11 3 2 2 2" xfId="1763" xr:uid="{060BA671-05D3-449D-97FA-21B60F1E7DBD}"/>
    <cellStyle name="Separador de milhares 11 3 2 2 2 2" xfId="3874" xr:uid="{E1C091B0-AE01-4C2A-99BE-C99233E0DD0A}"/>
    <cellStyle name="Separador de milhares 11 3 2 2 3" xfId="3057" xr:uid="{A0954E96-3499-4850-8C27-6ED963C633A0}"/>
    <cellStyle name="Separador de milhares 11 3 2 3" xfId="1336" xr:uid="{874A5003-7FB1-4586-9B9C-5BB13DED9B1D}"/>
    <cellStyle name="Separador de milhares 11 3 2 3 2" xfId="3447" xr:uid="{7F7801F0-881A-4BB9-A924-BE7ECF2A02B1}"/>
    <cellStyle name="Separador de milhares 11 3 2 4" xfId="2630" xr:uid="{1F400883-F425-4CFB-936D-95030F47A90C}"/>
    <cellStyle name="Separador de milhares 11 3 3" xfId="742" xr:uid="{0B8BCAEC-CFF8-4A6A-8350-2C99741C691F}"/>
    <cellStyle name="Separador de milhares 11 3 3 2" xfId="1571" xr:uid="{CA4D7DDB-DA16-4579-A900-2A4B5490324B}"/>
    <cellStyle name="Separador de milhares 11 3 3 2 2" xfId="3682" xr:uid="{8EFCC0F8-388F-48B3-A86C-16B377AFFB01}"/>
    <cellStyle name="Separador de milhares 11 3 3 3" xfId="2865" xr:uid="{F39D879F-03F9-4E57-A7AC-6EC5FF77B0BE}"/>
    <cellStyle name="Separador de milhares 11 3 4" xfId="1144" xr:uid="{6BE838D5-3041-4DD0-974A-5DA097BEEA07}"/>
    <cellStyle name="Separador de milhares 11 3 4 2" xfId="3255" xr:uid="{3DD6DEB8-58D3-4E0E-AD29-61D13E49A513}"/>
    <cellStyle name="Separador de milhares 11 3 5" xfId="2438" xr:uid="{5AE488BA-0FE3-4599-BB6F-CDD723D436F9}"/>
    <cellStyle name="Separador de milhares 11 4" xfId="393" xr:uid="{C15B364E-9A29-4A17-AED0-2D17A81870E3}"/>
    <cellStyle name="Separador de milhares 11 4 2" xfId="838" xr:uid="{2BE7ADA1-5A7E-482A-AAA6-C8E78EE288AD}"/>
    <cellStyle name="Separador de milhares 11 4 2 2" xfId="1667" xr:uid="{FF5F92B2-82DC-4989-A17E-2AB33A553CA7}"/>
    <cellStyle name="Separador de milhares 11 4 2 2 2" xfId="3778" xr:uid="{77D9B37D-45B5-4716-8A35-511E98B12D4C}"/>
    <cellStyle name="Separador de milhares 11 4 2 3" xfId="2961" xr:uid="{09CF37A7-01C9-46C4-8836-93B7D7DC29F0}"/>
    <cellStyle name="Separador de milhares 11 4 3" xfId="1240" xr:uid="{B5662BED-7A82-42AF-AC3E-4B56DCBA56B0}"/>
    <cellStyle name="Separador de milhares 11 4 3 2" xfId="3351" xr:uid="{19A549E6-C76F-4D05-9DE2-609198340DE4}"/>
    <cellStyle name="Separador de milhares 11 4 4" xfId="2534" xr:uid="{4E04C6A8-DE48-4FE8-B878-FAFA697071F9}"/>
    <cellStyle name="Separador de milhares 11 5" xfId="644" xr:uid="{C8F0A9E4-C5DF-4DE6-97E8-546557AC03D7}"/>
    <cellStyle name="Separador de milhares 11 5 2" xfId="1475" xr:uid="{077425A2-6F39-4D2E-8F18-FC30FA914E93}"/>
    <cellStyle name="Separador de milhares 11 5 2 2" xfId="3586" xr:uid="{C7866643-8E84-4D42-AB8F-213100694591}"/>
    <cellStyle name="Separador de milhares 11 5 3" xfId="2769" xr:uid="{7B09C0B9-3A2B-418A-9CC3-361B10F905C9}"/>
    <cellStyle name="Separador de milhares 11 6" xfId="1048" xr:uid="{768C8C81-D634-4F02-BD80-491833370FB7}"/>
    <cellStyle name="Separador de milhares 11 6 2" xfId="3159" xr:uid="{1B05AAB3-838C-462D-B94A-94980B8DD881}"/>
    <cellStyle name="Separador de milhares 11 7" xfId="2343" xr:uid="{D7503C1C-1AB1-458B-802E-0988BD13FE89}"/>
    <cellStyle name="Separador de milhares 12" xfId="171" xr:uid="{FAD025ED-0F80-40D3-9120-F9933CEC4C40}"/>
    <cellStyle name="Separador de milhares 12 2" xfId="208" xr:uid="{63D7B993-E144-44AC-8EEF-0BF9F74DA6C6}"/>
    <cellStyle name="Separador de milhares 12 2 2" xfId="329" xr:uid="{33B0D61B-DBED-4810-AE7F-4FF4406933A8}"/>
    <cellStyle name="Separador de milhares 12 2 2 2" xfId="522" xr:uid="{C9A0D006-6D24-41E0-9435-82CB628FDE69}"/>
    <cellStyle name="Separador de milhares 12 2 2 2 2" xfId="967" xr:uid="{98F6BCBF-18A9-4470-BFEC-E9731B61556A}"/>
    <cellStyle name="Separador de milhares 12 2 2 2 2 2" xfId="1796" xr:uid="{F3895318-ED4B-4D77-831F-E385420EA837}"/>
    <cellStyle name="Separador de milhares 12 2 2 2 2 2 2" xfId="3907" xr:uid="{47B8DD65-9F77-42DB-8748-238F7B38D3DA}"/>
    <cellStyle name="Separador de milhares 12 2 2 2 2 3" xfId="3090" xr:uid="{2F16D17E-7C38-4A39-8098-F8CADCFFC641}"/>
    <cellStyle name="Separador de milhares 12 2 2 2 3" xfId="1369" xr:uid="{49D6A649-C779-43F9-94EB-F19D5C90FB63}"/>
    <cellStyle name="Separador de milhares 12 2 2 2 3 2" xfId="3480" xr:uid="{CF0C8395-8BEF-4760-9E4B-EB837C3B200A}"/>
    <cellStyle name="Separador de milhares 12 2 2 2 4" xfId="2663" xr:uid="{63123BF0-5527-4C6D-A3A3-98259AAB0A2C}"/>
    <cellStyle name="Separador de milhares 12 2 2 3" xfId="775" xr:uid="{6CAEAD86-4D0C-4313-AA27-F79204E30DEF}"/>
    <cellStyle name="Separador de milhares 12 2 2 3 2" xfId="1604" xr:uid="{C2BDB176-BDE0-4747-9420-3A97365DCBF2}"/>
    <cellStyle name="Separador de milhares 12 2 2 3 2 2" xfId="3715" xr:uid="{62B86AD0-E30F-4BB3-B72B-09A3374FBBE7}"/>
    <cellStyle name="Separador de milhares 12 2 2 3 3" xfId="2898" xr:uid="{ECED2E70-5496-408C-BB54-59B28CB2A9C4}"/>
    <cellStyle name="Separador de milhares 12 2 2 4" xfId="1177" xr:uid="{C380452C-37F8-444D-AEE0-E9F19D00DD63}"/>
    <cellStyle name="Separador de milhares 12 2 2 4 2" xfId="3288" xr:uid="{0E8771F7-42D9-4CCB-B211-C68C8C2CA202}"/>
    <cellStyle name="Separador de milhares 12 2 2 5" xfId="2471" xr:uid="{8AFCC226-1F50-4126-BEA6-D9F146501ECE}"/>
    <cellStyle name="Separador de milhares 12 2 3" xfId="426" xr:uid="{EF6EBE54-2CC6-4B7C-A1A0-A92CC8674C03}"/>
    <cellStyle name="Separador de milhares 12 2 3 2" xfId="871" xr:uid="{73EB3BFB-F04A-4EC3-BF2E-612F1ABDF08C}"/>
    <cellStyle name="Separador de milhares 12 2 3 2 2" xfId="1700" xr:uid="{88343F65-1E0C-4CC6-82E3-72F52F8D8419}"/>
    <cellStyle name="Separador de milhares 12 2 3 2 2 2" xfId="3811" xr:uid="{0EC1A26B-6A7B-4684-885B-CA202A812829}"/>
    <cellStyle name="Separador de milhares 12 2 3 2 3" xfId="2994" xr:uid="{3353257F-CB3B-49DC-AE9D-212343E546FD}"/>
    <cellStyle name="Separador de milhares 12 2 3 3" xfId="1273" xr:uid="{FD0B42BD-8C76-47CF-B83D-82D2CFEDD19D}"/>
    <cellStyle name="Separador de milhares 12 2 3 3 2" xfId="3384" xr:uid="{69DDAD07-C8E5-4538-B729-6AD23E985007}"/>
    <cellStyle name="Separador de milhares 12 2 3 4" xfId="2567" xr:uid="{6224F50C-EE1D-4D4C-85B4-C24DFDDF276C}"/>
    <cellStyle name="Separador de milhares 12 2 4" xfId="677" xr:uid="{3F2AFA21-417E-4E00-8597-5993CD4D0CD4}"/>
    <cellStyle name="Separador de milhares 12 2 4 2" xfId="1508" xr:uid="{FD6E3CE1-D00E-4789-8F8C-E9101015DE34}"/>
    <cellStyle name="Separador de milhares 12 2 4 2 2" xfId="3619" xr:uid="{9DB95092-1AED-45C8-835B-3945B1CE3E34}"/>
    <cellStyle name="Separador de milhares 12 2 4 3" xfId="2802" xr:uid="{B2A277C6-335D-474F-BD31-B3BF0BB609FC}"/>
    <cellStyle name="Separador de milhares 12 2 5" xfId="1081" xr:uid="{44420027-421B-4087-A657-8E3D0FE10058}"/>
    <cellStyle name="Separador de milhares 12 2 5 2" xfId="3192" xr:uid="{70FA1C4E-9B65-4354-8D30-DC2C2A8B4E42}"/>
    <cellStyle name="Separador de milhares 12 2 6" xfId="2376" xr:uid="{0B3FF3E0-A234-4B94-8F62-BA4E6866285A}"/>
    <cellStyle name="Separador de milhares 12 3" xfId="297" xr:uid="{98E023D5-8626-4CB9-9799-307C14E1CA5C}"/>
    <cellStyle name="Separador de milhares 12 3 2" xfId="490" xr:uid="{C171A94E-8E02-41D9-91A1-1C31CE0DACED}"/>
    <cellStyle name="Separador de milhares 12 3 2 2" xfId="935" xr:uid="{0883262F-5027-4D56-8446-C9BEE9E87046}"/>
    <cellStyle name="Separador de milhares 12 3 2 2 2" xfId="1764" xr:uid="{603594C0-1021-4983-A8AE-F367D15328B8}"/>
    <cellStyle name="Separador de milhares 12 3 2 2 2 2" xfId="3875" xr:uid="{395F5A99-954B-4E02-A362-F99CD2801B98}"/>
    <cellStyle name="Separador de milhares 12 3 2 2 3" xfId="3058" xr:uid="{8EE03818-63A0-4BEA-829F-4BFA06C97711}"/>
    <cellStyle name="Separador de milhares 12 3 2 3" xfId="1337" xr:uid="{C32DEEEB-1D92-46E3-916A-F00CF63C4A65}"/>
    <cellStyle name="Separador de milhares 12 3 2 3 2" xfId="3448" xr:uid="{A5DB926C-CC2A-47DD-BCDE-B9241CD01372}"/>
    <cellStyle name="Separador de milhares 12 3 2 4" xfId="2631" xr:uid="{787C3F61-016E-4DE1-9903-378707A3066C}"/>
    <cellStyle name="Separador de milhares 12 3 3" xfId="743" xr:uid="{A4D42864-A7F5-4E1C-A633-43FC79C5952A}"/>
    <cellStyle name="Separador de milhares 12 3 3 2" xfId="1572" xr:uid="{550E7B88-8FC2-41A7-BAB0-8986B79BF142}"/>
    <cellStyle name="Separador de milhares 12 3 3 2 2" xfId="3683" xr:uid="{B95716C7-525A-46A1-BA6A-BE84F2372882}"/>
    <cellStyle name="Separador de milhares 12 3 3 3" xfId="2866" xr:uid="{2A5683FA-451D-4267-AA97-2DA87B17EDEF}"/>
    <cellStyle name="Separador de milhares 12 3 4" xfId="1145" xr:uid="{4E3F9A72-9364-4DD9-A17A-D706C5EE5EDB}"/>
    <cellStyle name="Separador de milhares 12 3 4 2" xfId="3256" xr:uid="{9897E19D-81D5-48E9-A4B8-9E1E5634DBBC}"/>
    <cellStyle name="Separador de milhares 12 3 5" xfId="2439" xr:uid="{BF84AFB8-8FAB-4288-A2D0-1A38BB99740A}"/>
    <cellStyle name="Separador de milhares 12 4" xfId="394" xr:uid="{6D42CD00-BD91-40BA-A8D2-61AF7064FAE8}"/>
    <cellStyle name="Separador de milhares 12 4 2" xfId="839" xr:uid="{36C615F5-B082-46CB-B464-4E35A23C05CC}"/>
    <cellStyle name="Separador de milhares 12 4 2 2" xfId="1668" xr:uid="{505031A2-A8DA-417D-A9EA-4F0C1991D4C0}"/>
    <cellStyle name="Separador de milhares 12 4 2 2 2" xfId="3779" xr:uid="{979E0512-735D-47EB-BD44-1EA532A4F89A}"/>
    <cellStyle name="Separador de milhares 12 4 2 3" xfId="2962" xr:uid="{B1F3F59D-FC90-4E6B-BC22-9CE9962F7CE6}"/>
    <cellStyle name="Separador de milhares 12 4 3" xfId="1241" xr:uid="{910E9704-85A0-4439-9609-E215FBB62EB5}"/>
    <cellStyle name="Separador de milhares 12 4 3 2" xfId="3352" xr:uid="{F6071CBF-9D73-419B-831F-0B1EFF7405CC}"/>
    <cellStyle name="Separador de milhares 12 4 4" xfId="2535" xr:uid="{95C8CCBB-A32E-4DE4-8652-CFCE0CBF1049}"/>
    <cellStyle name="Separador de milhares 12 5" xfId="645" xr:uid="{44BA74D6-FED9-45EC-9C8E-580BF7801CB5}"/>
    <cellStyle name="Separador de milhares 12 5 2" xfId="1476" xr:uid="{52717327-4F62-49C3-B1E7-D455D4298C6D}"/>
    <cellStyle name="Separador de milhares 12 5 2 2" xfId="3587" xr:uid="{0CE7CC4F-8DB9-4048-A496-E5BF9BB0B9AC}"/>
    <cellStyle name="Separador de milhares 12 5 3" xfId="2770" xr:uid="{805F5275-BDCD-4BC4-8674-EBA652297EEC}"/>
    <cellStyle name="Separador de milhares 12 6" xfId="1049" xr:uid="{0F6CB7F8-F65F-48BD-9D28-41FE6AF0388E}"/>
    <cellStyle name="Separador de milhares 12 6 2" xfId="3160" xr:uid="{F166829F-AFC3-4094-A281-4439A8C268AC}"/>
    <cellStyle name="Separador de milhares 12 7" xfId="2344" xr:uid="{C3AF5D1E-3372-486D-9981-BFED3C16E2FC}"/>
    <cellStyle name="Separador de milhares 2" xfId="151" xr:uid="{729A0215-3482-4CB1-9C85-57800DD1385F}"/>
    <cellStyle name="Separador de milhares 2 10" xfId="159" xr:uid="{6A39F83C-0133-4E64-AFD0-74FE9C7AB58A}"/>
    <cellStyle name="Separador de milhares 2 10 2" xfId="198" xr:uid="{0EE1DF4E-88BB-4B03-97D1-C991EDF41544}"/>
    <cellStyle name="Separador de milhares 2 10 2 2" xfId="319" xr:uid="{83D743FD-5682-411C-921D-748D37C3E6A2}"/>
    <cellStyle name="Separador de milhares 2 10 2 2 2" xfId="512" xr:uid="{89943CC8-8F46-4470-B7E4-1C05FA6139A2}"/>
    <cellStyle name="Separador de milhares 2 10 2 2 2 2" xfId="957" xr:uid="{BB8ED5AF-34F3-46EC-A3A3-26C73D9D1AB8}"/>
    <cellStyle name="Separador de milhares 2 10 2 2 2 2 2" xfId="1786" xr:uid="{1644C7B3-7190-4D6A-B895-16183ADB0C54}"/>
    <cellStyle name="Separador de milhares 2 10 2 2 2 2 2 2" xfId="3897" xr:uid="{1D124DF7-B707-4861-BE24-009989F59D73}"/>
    <cellStyle name="Separador de milhares 2 10 2 2 2 2 3" xfId="3080" xr:uid="{1FE88B70-AAE9-4870-BEEF-BCF22050FDD2}"/>
    <cellStyle name="Separador de milhares 2 10 2 2 2 3" xfId="1359" xr:uid="{2712537A-275E-428B-8530-07BAAD17A748}"/>
    <cellStyle name="Separador de milhares 2 10 2 2 2 3 2" xfId="3470" xr:uid="{52DD9640-ED50-4AFB-8E15-6D027C1E071E}"/>
    <cellStyle name="Separador de milhares 2 10 2 2 2 4" xfId="2653" xr:uid="{CAD3BC6E-8A34-4ABE-9A19-33872B914630}"/>
    <cellStyle name="Separador de milhares 2 10 2 2 3" xfId="765" xr:uid="{707B8807-0836-4F59-A1E1-846BA7D2CBA5}"/>
    <cellStyle name="Separador de milhares 2 10 2 2 3 2" xfId="1594" xr:uid="{CA6E5E8C-391B-46D1-89D2-03FC0C00E8D3}"/>
    <cellStyle name="Separador de milhares 2 10 2 2 3 2 2" xfId="3705" xr:uid="{94EA37DE-6283-46C1-8E2D-AC93FA49E63B}"/>
    <cellStyle name="Separador de milhares 2 10 2 2 3 3" xfId="2888" xr:uid="{BF572D01-C7EE-4AE4-AA21-A1D79640D500}"/>
    <cellStyle name="Separador de milhares 2 10 2 2 4" xfId="1167" xr:uid="{918A81F7-3658-49D7-BAC3-F00C6FB638EA}"/>
    <cellStyle name="Separador de milhares 2 10 2 2 4 2" xfId="3278" xr:uid="{53F6501C-1EB4-4FE1-8B5E-BE9AC4CE8FC7}"/>
    <cellStyle name="Separador de milhares 2 10 2 2 5" xfId="2461" xr:uid="{93F8EF9E-8257-49A9-AC99-CC9B05D74895}"/>
    <cellStyle name="Separador de milhares 2 10 2 3" xfId="416" xr:uid="{20A50364-A677-49D9-AA48-1EB7DED1FF6E}"/>
    <cellStyle name="Separador de milhares 2 10 2 3 2" xfId="861" xr:uid="{5209B24E-D6E9-4422-AC7B-FB3E94FCC188}"/>
    <cellStyle name="Separador de milhares 2 10 2 3 2 2" xfId="1690" xr:uid="{C93BA8B7-0D78-4F99-8DD9-DC21DD98506E}"/>
    <cellStyle name="Separador de milhares 2 10 2 3 2 2 2" xfId="3801" xr:uid="{032E0F42-A8EB-4FAD-82F7-095C454CA7EF}"/>
    <cellStyle name="Separador de milhares 2 10 2 3 2 3" xfId="2984" xr:uid="{8FFE21B2-DF5C-4CCD-ABBA-300B5A88E77E}"/>
    <cellStyle name="Separador de milhares 2 10 2 3 3" xfId="1263" xr:uid="{57BA174E-E2B8-47ED-BB5A-B4CE46281A50}"/>
    <cellStyle name="Separador de milhares 2 10 2 3 3 2" xfId="3374" xr:uid="{20B51D2C-7993-4829-89DE-467B5CEE9DBC}"/>
    <cellStyle name="Separador de milhares 2 10 2 3 4" xfId="2557" xr:uid="{D45AC11D-A140-41E7-8BB2-9789B9A2CD4E}"/>
    <cellStyle name="Separador de milhares 2 10 2 4" xfId="667" xr:uid="{26134EED-D13D-41C4-9DD8-DFFAA982DD73}"/>
    <cellStyle name="Separador de milhares 2 10 2 4 2" xfId="1498" xr:uid="{07473042-EDE3-4D33-AA02-CE8DCAE5E483}"/>
    <cellStyle name="Separador de milhares 2 10 2 4 2 2" xfId="3609" xr:uid="{C9023C77-286D-47D5-86EF-EE9A4BF5A14E}"/>
    <cellStyle name="Separador de milhares 2 10 2 4 3" xfId="2792" xr:uid="{BE9EA4DF-CB7A-4C13-9385-7DAA17456522}"/>
    <cellStyle name="Separador de milhares 2 10 2 5" xfId="1071" xr:uid="{3EE1F02C-950E-492F-BDB3-AFE681512C09}"/>
    <cellStyle name="Separador de milhares 2 10 2 5 2" xfId="3182" xr:uid="{CEF1D7DB-2686-4158-85A4-8EFE715ECA47}"/>
    <cellStyle name="Separador de milhares 2 10 2 6" xfId="2366" xr:uid="{012E8E7C-28F8-4543-BC48-AAC9F378B833}"/>
    <cellStyle name="Separador de milhares 2 10 3" xfId="287" xr:uid="{887586C2-0E67-4E02-8854-4B64385C61D4}"/>
    <cellStyle name="Separador de milhares 2 10 3 2" xfId="480" xr:uid="{C898E302-6BA7-4444-BEDD-C55CDF05810D}"/>
    <cellStyle name="Separador de milhares 2 10 3 2 2" xfId="925" xr:uid="{425842D1-813A-45A6-BBBF-0570DFAC3A11}"/>
    <cellStyle name="Separador de milhares 2 10 3 2 2 2" xfId="1754" xr:uid="{9904E8CB-E71B-47C1-87A6-2E20DDF49295}"/>
    <cellStyle name="Separador de milhares 2 10 3 2 2 2 2" xfId="3865" xr:uid="{D3A9AF13-42AD-4E75-AB38-F4A6DF94CE26}"/>
    <cellStyle name="Separador de milhares 2 10 3 2 2 3" xfId="3048" xr:uid="{5EA7B5B4-DE6A-4952-A6A5-E68F38454794}"/>
    <cellStyle name="Separador de milhares 2 10 3 2 3" xfId="1327" xr:uid="{C24F14FE-A776-4C0F-94B9-ABB3E41D3C71}"/>
    <cellStyle name="Separador de milhares 2 10 3 2 3 2" xfId="3438" xr:uid="{B5B6A522-1B8F-4584-B7AA-CB8146830BF2}"/>
    <cellStyle name="Separador de milhares 2 10 3 2 4" xfId="2621" xr:uid="{01AEBE8E-904A-4BE7-AAED-A562D0A8D573}"/>
    <cellStyle name="Separador de milhares 2 10 3 3" xfId="733" xr:uid="{01B4C783-60A2-4955-871B-92D704D6B438}"/>
    <cellStyle name="Separador de milhares 2 10 3 3 2" xfId="1562" xr:uid="{BE79C7A4-B430-4F51-B56E-BAE6E55BA03F}"/>
    <cellStyle name="Separador de milhares 2 10 3 3 2 2" xfId="3673" xr:uid="{43AF0BB2-2974-4889-A9E8-2DF5085AD775}"/>
    <cellStyle name="Separador de milhares 2 10 3 3 3" xfId="2856" xr:uid="{47A3189E-AFDC-42C7-90D0-D34462989EB3}"/>
    <cellStyle name="Separador de milhares 2 10 3 4" xfId="1135" xr:uid="{1FEC876B-4CCE-4377-A0BD-FEA3603E9251}"/>
    <cellStyle name="Separador de milhares 2 10 3 4 2" xfId="3246" xr:uid="{A268148D-0B4C-40A3-8ADC-1093C4010BB2}"/>
    <cellStyle name="Separador de milhares 2 10 3 5" xfId="2429" xr:uid="{9A93D1A4-28CE-4C12-BE64-B3228092FFCA}"/>
    <cellStyle name="Separador de milhares 2 10 4" xfId="384" xr:uid="{297C7F54-D229-47C5-AE89-37EAF06BEAC2}"/>
    <cellStyle name="Separador de milhares 2 10 4 2" xfId="829" xr:uid="{67FF2A1D-E431-4993-B31F-06B493292DE3}"/>
    <cellStyle name="Separador de milhares 2 10 4 2 2" xfId="1658" xr:uid="{E585BCAE-A6EE-41BF-AA75-F2E43D1A2E1C}"/>
    <cellStyle name="Separador de milhares 2 10 4 2 2 2" xfId="3769" xr:uid="{E352542C-9A31-4E9E-A372-E3B10CE5E49A}"/>
    <cellStyle name="Separador de milhares 2 10 4 2 3" xfId="2952" xr:uid="{D69BE686-9F7A-4618-847F-16C1F733FC31}"/>
    <cellStyle name="Separador de milhares 2 10 4 3" xfId="1231" xr:uid="{1F1D105E-193C-4174-AECC-76FF7302BA1A}"/>
    <cellStyle name="Separador de milhares 2 10 4 3 2" xfId="3342" xr:uid="{D0EB888F-C5AC-4F03-AE72-04E7983440A5}"/>
    <cellStyle name="Separador de milhares 2 10 4 4" xfId="2525" xr:uid="{8CFCF098-42D0-4DC3-917D-4A7C2783BB56}"/>
    <cellStyle name="Separador de milhares 2 10 5" xfId="635" xr:uid="{B29251F7-D10F-41E6-9A33-4872E754EA36}"/>
    <cellStyle name="Separador de milhares 2 10 5 2" xfId="1466" xr:uid="{A036EF96-A77E-44BD-A795-67A86D277399}"/>
    <cellStyle name="Separador de milhares 2 10 5 2 2" xfId="3577" xr:uid="{3B3E79D7-3956-42E4-8CDA-46CE55291A75}"/>
    <cellStyle name="Separador de milhares 2 10 5 3" xfId="2760" xr:uid="{CDDAC8D1-0A6A-4913-9B82-A238C4BF80CF}"/>
    <cellStyle name="Separador de milhares 2 10 6" xfId="1039" xr:uid="{6EC7760B-609D-4CE7-9254-73824C3CDC27}"/>
    <cellStyle name="Separador de milhares 2 10 6 2" xfId="3150" xr:uid="{6B855BBC-0032-40CF-B113-178DD48E0540}"/>
    <cellStyle name="Separador de milhares 2 10 7" xfId="2334" xr:uid="{A81D6353-65E4-4834-8B24-4C1536F3689C}"/>
    <cellStyle name="Separador de milhares 2 11" xfId="192" xr:uid="{E98F0AF3-63F9-40DF-BF94-A84B226A0B91}"/>
    <cellStyle name="Separador de milhares 2 11 2" xfId="273" xr:uid="{4657AB51-13BF-4D90-A4F0-0C854FE11601}"/>
    <cellStyle name="Separador de milhares 2 11 2 2" xfId="370" xr:uid="{1FCF048F-6780-405D-9FCD-B7FD791B7C0B}"/>
    <cellStyle name="Separador de milhares 2 11 2 2 2" xfId="562" xr:uid="{E469240B-1E52-4CB5-A34B-8E5FED3FE9D1}"/>
    <cellStyle name="Separador de milhares 2 11 2 2 2 2" xfId="1007" xr:uid="{CF099E72-6AC7-4A31-828D-7ACE984192E8}"/>
    <cellStyle name="Separador de milhares 2 11 2 2 2 2 2" xfId="1836" xr:uid="{5032B085-BDC6-4387-8198-7062F738EC2D}"/>
    <cellStyle name="Separador de milhares 2 11 2 2 2 2 2 2" xfId="3947" xr:uid="{6C4EB01D-3953-446F-B3F4-9D5F15FA38F3}"/>
    <cellStyle name="Separador de milhares 2 11 2 2 2 2 3" xfId="3130" xr:uid="{0324AEF4-E5D2-4332-A433-A699FFC3E0F8}"/>
    <cellStyle name="Separador de milhares 2 11 2 2 2 3" xfId="1409" xr:uid="{CB4778C8-E203-4132-9F57-B1ED2C04FD81}"/>
    <cellStyle name="Separador de milhares 2 11 2 2 2 3 2" xfId="3520" xr:uid="{532A6B93-3824-4B4E-AADA-F9A49142F73C}"/>
    <cellStyle name="Separador de milhares 2 11 2 2 2 4" xfId="2703" xr:uid="{F5BC8FDE-C605-4378-A73E-B3EFF9DBA616}"/>
    <cellStyle name="Separador de milhares 2 11 2 2 3" xfId="815" xr:uid="{21CB2C2F-6B0F-4D6A-89B1-F4CC0C7DF4C6}"/>
    <cellStyle name="Separador de milhares 2 11 2 2 3 2" xfId="1644" xr:uid="{BC0C4F3E-ADAD-4E5A-A7BA-B1DEFC02078C}"/>
    <cellStyle name="Separador de milhares 2 11 2 2 3 2 2" xfId="3755" xr:uid="{0FAF85C6-5510-48B9-B34C-64B13BFA1908}"/>
    <cellStyle name="Separador de milhares 2 11 2 2 3 3" xfId="2938" xr:uid="{8306F1AD-989F-47CA-A4FA-CEB6450EC29B}"/>
    <cellStyle name="Separador de milhares 2 11 2 2 4" xfId="1217" xr:uid="{A1009CD0-196B-46C4-B9CE-1066C23AF558}"/>
    <cellStyle name="Separador de milhares 2 11 2 2 4 2" xfId="3328" xr:uid="{627A993E-231D-4945-A4A7-3ABC21D75B58}"/>
    <cellStyle name="Separador de milhares 2 11 2 2 5" xfId="2511" xr:uid="{37C782BC-09C2-4EDB-AC29-D96E18F57F9B}"/>
    <cellStyle name="Separador de milhares 2 11 2 3" xfId="466" xr:uid="{E80575AC-754B-46AD-A699-EC33682E6EA4}"/>
    <cellStyle name="Separador de milhares 2 11 2 3 2" xfId="911" xr:uid="{6418CFE6-00DE-4F60-83E5-047C4E71D637}"/>
    <cellStyle name="Separador de milhares 2 11 2 3 2 2" xfId="1740" xr:uid="{7C5DC5E1-EC0C-4F7E-A4E2-B4D95D364182}"/>
    <cellStyle name="Separador de milhares 2 11 2 3 2 2 2" xfId="3851" xr:uid="{03102438-01D2-4DA7-9723-D1DFC80E382A}"/>
    <cellStyle name="Separador de milhares 2 11 2 3 2 3" xfId="3034" xr:uid="{7BFBE508-C4E3-4742-B318-1A0929A48BF9}"/>
    <cellStyle name="Separador de milhares 2 11 2 3 3" xfId="1313" xr:uid="{6DFF42A7-1068-4C35-800A-7912B69FEF2D}"/>
    <cellStyle name="Separador de milhares 2 11 2 3 3 2" xfId="3424" xr:uid="{9AF1D382-0A6A-49D0-A8D9-5DD0EBB6EF4C}"/>
    <cellStyle name="Separador de milhares 2 11 2 3 4" xfId="2607" xr:uid="{114AD01B-751F-43C0-B821-5F9B085B73C5}"/>
    <cellStyle name="Separador de milhares 2 11 2 4" xfId="719" xr:uid="{E2248604-9C2E-4CB8-AFBC-D56DA8C39E36}"/>
    <cellStyle name="Separador de milhares 2 11 2 4 2" xfId="1548" xr:uid="{5FF76E0A-B426-49E1-8AA9-F8FB39A6787F}"/>
    <cellStyle name="Separador de milhares 2 11 2 4 2 2" xfId="3659" xr:uid="{DE4AC504-2075-492D-B284-5FF07A93E4E2}"/>
    <cellStyle name="Separador de milhares 2 11 2 4 3" xfId="2842" xr:uid="{F66713D3-D0B9-4D48-B978-2D3555FC67A4}"/>
    <cellStyle name="Separador de milhares 2 11 2 5" xfId="1121" xr:uid="{D2209ADB-4CDB-4F72-95B9-8F8A3F4E3897}"/>
    <cellStyle name="Separador de milhares 2 11 2 5 2" xfId="3232" xr:uid="{515AE33E-5489-429B-8AEC-A195EFDA59B8}"/>
    <cellStyle name="Separador de milhares 2 11 2 6" xfId="2415" xr:uid="{74E62808-4A66-4B2D-8995-BDEF5F7B91AB}"/>
    <cellStyle name="Separador de milhares 2 11 3" xfId="313" xr:uid="{4B4904BB-DDE1-4D93-8DF8-94348FB61095}"/>
    <cellStyle name="Separador de milhares 2 11 3 2" xfId="506" xr:uid="{29EAC67C-6239-4710-8403-98A1DCEEF579}"/>
    <cellStyle name="Separador de milhares 2 11 3 2 2" xfId="951" xr:uid="{B6B1E6F5-FF2F-47AB-AC73-D7523EA2028E}"/>
    <cellStyle name="Separador de milhares 2 11 3 2 2 2" xfId="1780" xr:uid="{DF930370-B236-431F-B301-18D5F3D35550}"/>
    <cellStyle name="Separador de milhares 2 11 3 2 2 2 2" xfId="3891" xr:uid="{CC654BBC-6DBB-4CF0-9EE1-D626198E36FB}"/>
    <cellStyle name="Separador de milhares 2 11 3 2 2 3" xfId="3074" xr:uid="{B85FC219-C7F2-424B-9E40-0CCF4FECA765}"/>
    <cellStyle name="Separador de milhares 2 11 3 2 3" xfId="1353" xr:uid="{A4C721D8-4463-4212-9290-9D79466680DB}"/>
    <cellStyle name="Separador de milhares 2 11 3 2 3 2" xfId="3464" xr:uid="{19681547-BAA0-45D0-91A1-F4E048A02804}"/>
    <cellStyle name="Separador de milhares 2 11 3 2 4" xfId="2647" xr:uid="{B6D587D3-3CB5-41D5-954A-121997B23D0F}"/>
    <cellStyle name="Separador de milhares 2 11 3 3" xfId="759" xr:uid="{165A8B70-9270-453F-A382-462F63F82147}"/>
    <cellStyle name="Separador de milhares 2 11 3 3 2" xfId="1588" xr:uid="{2B6C4A1B-865F-4155-AB03-B842E2453C0A}"/>
    <cellStyle name="Separador de milhares 2 11 3 3 2 2" xfId="3699" xr:uid="{FBA073B1-34FC-423E-B037-5B0D8CB478FF}"/>
    <cellStyle name="Separador de milhares 2 11 3 3 3" xfId="2882" xr:uid="{7BAE8B76-9673-494D-84CE-7B1BEAC4FF6F}"/>
    <cellStyle name="Separador de milhares 2 11 3 4" xfId="1161" xr:uid="{4459A673-A875-491A-8DB0-E68200A3821A}"/>
    <cellStyle name="Separador de milhares 2 11 3 4 2" xfId="3272" xr:uid="{AE47B0F3-E413-484D-887C-B1C87BCAF987}"/>
    <cellStyle name="Separador de milhares 2 11 3 5" xfId="2455" xr:uid="{CA7C4757-8CFD-4E1C-A655-EABA4E9A3595}"/>
    <cellStyle name="Separador de milhares 2 11 4" xfId="410" xr:uid="{573EB847-6339-498C-83F3-325ED362D3B2}"/>
    <cellStyle name="Separador de milhares 2 11 4 2" xfId="855" xr:uid="{A9852826-BAD9-4E39-B0E0-7CC9C99BCDDE}"/>
    <cellStyle name="Separador de milhares 2 11 4 2 2" xfId="1684" xr:uid="{D1591734-6384-4768-828D-BA091B514A38}"/>
    <cellStyle name="Separador de milhares 2 11 4 2 2 2" xfId="3795" xr:uid="{6F93866D-9C18-4861-9F8E-A73DC8E90D9A}"/>
    <cellStyle name="Separador de milhares 2 11 4 2 3" xfId="2978" xr:uid="{675ACEB9-F538-42C3-A3F3-A94B0A7C9142}"/>
    <cellStyle name="Separador de milhares 2 11 4 3" xfId="1257" xr:uid="{4C05A600-0B52-45D9-8022-E8524C9D2721}"/>
    <cellStyle name="Separador de milhares 2 11 4 3 2" xfId="3368" xr:uid="{737149C8-58BF-486A-9EDC-1814663DE273}"/>
    <cellStyle name="Separador de milhares 2 11 4 4" xfId="2551" xr:uid="{6665CD3E-A0E1-4BA7-9E08-AF1011570536}"/>
    <cellStyle name="Separador de milhares 2 11 5" xfId="661" xr:uid="{84804FF0-0ED0-4C90-B899-E1C8757AED8F}"/>
    <cellStyle name="Separador de milhares 2 11 5 2" xfId="1492" xr:uid="{64028B7B-61C6-463D-ACE1-811594829A0A}"/>
    <cellStyle name="Separador de milhares 2 11 5 2 2" xfId="3603" xr:uid="{6A4DD2BD-0114-4ADA-ADED-8F1B578D3765}"/>
    <cellStyle name="Separador de milhares 2 11 5 3" xfId="2786" xr:uid="{B6DC0FCA-1FFD-4076-85FC-A7B729D92B5F}"/>
    <cellStyle name="Separador de milhares 2 11 6" xfId="1065" xr:uid="{E9068A06-01F1-4EE5-9863-36E6B8BB0510}"/>
    <cellStyle name="Separador de milhares 2 11 6 2" xfId="3176" xr:uid="{B6588B03-C6E0-43B5-BE91-B6F705F116C6}"/>
    <cellStyle name="Separador de milhares 2 11 7" xfId="2360" xr:uid="{8DEB7BD6-A131-4981-BC5C-B6D80AE2E42D}"/>
    <cellStyle name="Separador de milhares 2 12" xfId="281" xr:uid="{1B0ABEAD-AC74-4FC1-8FD4-9BE46E4773BE}"/>
    <cellStyle name="Separador de milhares 2 12 2" xfId="474" xr:uid="{26428B1F-4375-4073-8C10-84EE1AD93016}"/>
    <cellStyle name="Separador de milhares 2 12 2 2" xfId="919" xr:uid="{57158391-DFB8-4AB4-8FAA-26B4C690FB6A}"/>
    <cellStyle name="Separador de milhares 2 12 2 2 2" xfId="1748" xr:uid="{3BD97882-77A3-40A2-A08E-BB7A40D5A72A}"/>
    <cellStyle name="Separador de milhares 2 12 2 2 2 2" xfId="3859" xr:uid="{03CA9EC6-14D3-4FD1-8839-D26B586E015F}"/>
    <cellStyle name="Separador de milhares 2 12 2 2 3" xfId="3042" xr:uid="{2D4270BA-77F5-4968-A113-F23AA1ADDDCB}"/>
    <cellStyle name="Separador de milhares 2 12 2 3" xfId="1321" xr:uid="{845F39B5-9563-4671-BF48-6DAAC2482A64}"/>
    <cellStyle name="Separador de milhares 2 12 2 3 2" xfId="3432" xr:uid="{72DC1620-5E34-44CF-84DD-2AB75E32D75F}"/>
    <cellStyle name="Separador de milhares 2 12 2 4" xfId="2615" xr:uid="{7EBB4B60-57CE-463B-AAB5-E1ED24457CAC}"/>
    <cellStyle name="Separador de milhares 2 12 3" xfId="727" xr:uid="{C997F3FD-AB9D-451C-A1D5-1901AC231B3E}"/>
    <cellStyle name="Separador de milhares 2 12 3 2" xfId="1556" xr:uid="{6E600669-FF6A-4050-87C2-51E4371D3D90}"/>
    <cellStyle name="Separador de milhares 2 12 3 2 2" xfId="3667" xr:uid="{8DE9A9A7-AD25-4177-B949-D0DE699AD0EB}"/>
    <cellStyle name="Separador de milhares 2 12 3 3" xfId="2850" xr:uid="{E78E034F-5DF1-4516-926D-ED42D488201E}"/>
    <cellStyle name="Separador de milhares 2 12 4" xfId="1129" xr:uid="{545961B7-C777-4095-86A3-5963BB20FD75}"/>
    <cellStyle name="Separador de milhares 2 12 4 2" xfId="3240" xr:uid="{D59EF7A6-EBF8-48D8-9A38-015EF60D0432}"/>
    <cellStyle name="Separador de milhares 2 12 5" xfId="2423" xr:uid="{577EF910-61EC-4F92-9579-54EE2B6091E5}"/>
    <cellStyle name="Separador de milhares 2 13" xfId="378" xr:uid="{5B479022-13F9-4763-9422-1F51EBEF89C3}"/>
    <cellStyle name="Separador de milhares 2 13 2" xfId="823" xr:uid="{1DC0C282-BA68-4DED-B770-74A81C527BC2}"/>
    <cellStyle name="Separador de milhares 2 13 2 2" xfId="1652" xr:uid="{4CE7971F-8254-443C-9070-3F4F4FEFF4EF}"/>
    <cellStyle name="Separador de milhares 2 13 2 2 2" xfId="3763" xr:uid="{F46B2B31-46B9-4188-A861-8C6933426CBC}"/>
    <cellStyle name="Separador de milhares 2 13 2 3" xfId="2946" xr:uid="{3D10F244-4E40-48B6-B6AC-BDF2E89000C5}"/>
    <cellStyle name="Separador de milhares 2 13 3" xfId="1225" xr:uid="{55050AE4-F0D1-4C5E-BCE3-CE00E7AA50F8}"/>
    <cellStyle name="Separador de milhares 2 13 3 2" xfId="3336" xr:uid="{110A083C-5FAA-4CAC-B358-19E9ECE420E0}"/>
    <cellStyle name="Separador de milhares 2 13 4" xfId="2519" xr:uid="{B7EBC42A-C8E0-462E-8E65-B7C1F7D48364}"/>
    <cellStyle name="Separador de milhares 2 14" xfId="629" xr:uid="{A1D76276-15BE-48CF-95EF-956D234E307D}"/>
    <cellStyle name="Separador de milhares 2 14 2" xfId="1460" xr:uid="{BEC24DE6-F948-4C51-9CB2-F80841E721EB}"/>
    <cellStyle name="Separador de milhares 2 14 2 2" xfId="3571" xr:uid="{75A3238C-8900-4E47-84BE-7639DF860093}"/>
    <cellStyle name="Separador de milhares 2 14 3" xfId="2754" xr:uid="{46E4F3AB-A00B-4239-AC62-3DD0BBB2BE78}"/>
    <cellStyle name="Separador de milhares 2 15" xfId="1033" xr:uid="{38DAD389-87B7-4E07-8DEE-C81F790DB4AD}"/>
    <cellStyle name="Separador de milhares 2 15 2" xfId="3144" xr:uid="{7806E1EF-1917-4675-819C-D5197159441B}"/>
    <cellStyle name="Separador de milhares 2 16" xfId="2266" xr:uid="{80A6ED16-97CA-43F8-BB12-1FDAB190CA32}"/>
    <cellStyle name="Separador de milhares 2 17" xfId="2329" xr:uid="{B787FF8B-0D4F-48AA-B075-37222D6AC212}"/>
    <cellStyle name="Separador de milhares 2 2" xfId="158" xr:uid="{280E30DB-6CF6-4D9B-8C23-4A51B3F34924}"/>
    <cellStyle name="Separador de milhares 2 2 2" xfId="154" xr:uid="{27086572-F8E7-49CC-93C3-A3AECAEC699E}"/>
    <cellStyle name="Separador de milhares 2 2 2 2" xfId="195" xr:uid="{647BB367-EDF3-4E86-A4D1-DE87A8047498}"/>
    <cellStyle name="Separador de milhares 2 2 2 2 2" xfId="316" xr:uid="{C65BA79B-71DC-41BE-8EEA-E6A9DDCED542}"/>
    <cellStyle name="Separador de milhares 2 2 2 2 2 2" xfId="509" xr:uid="{BE679DE4-6B76-42DD-9F50-0A8AFCE6F786}"/>
    <cellStyle name="Separador de milhares 2 2 2 2 2 2 2" xfId="954" xr:uid="{14B13270-B16E-409C-8443-7C96DB005D9D}"/>
    <cellStyle name="Separador de milhares 2 2 2 2 2 2 2 2" xfId="1783" xr:uid="{AAC2924B-CF37-45FD-9608-106C56C9A678}"/>
    <cellStyle name="Separador de milhares 2 2 2 2 2 2 2 2 2" xfId="3894" xr:uid="{7A8E2F07-1DA3-41BD-9D24-A462E71F999F}"/>
    <cellStyle name="Separador de milhares 2 2 2 2 2 2 2 3" xfId="3077" xr:uid="{763A1AFA-89A9-4E3E-BDDF-6C16FBF58887}"/>
    <cellStyle name="Separador de milhares 2 2 2 2 2 2 3" xfId="1356" xr:uid="{407F6896-87AB-448F-A552-585E90851A23}"/>
    <cellStyle name="Separador de milhares 2 2 2 2 2 2 3 2" xfId="3467" xr:uid="{7770471F-EBB1-4CD5-829A-81D22B9B1A15}"/>
    <cellStyle name="Separador de milhares 2 2 2 2 2 2 4" xfId="2650" xr:uid="{F1E68455-6AC9-4DFE-9BF5-93F3B0D5AD6E}"/>
    <cellStyle name="Separador de milhares 2 2 2 2 2 3" xfId="762" xr:uid="{FCD2EC0A-5F44-4FDB-836B-37EFCB81E84E}"/>
    <cellStyle name="Separador de milhares 2 2 2 2 2 3 2" xfId="1591" xr:uid="{B414E36E-A34D-4984-BF69-2DAB9A687AF4}"/>
    <cellStyle name="Separador de milhares 2 2 2 2 2 3 2 2" xfId="3702" xr:uid="{9B45018A-7D34-4479-B6E5-C0BDFDD807D3}"/>
    <cellStyle name="Separador de milhares 2 2 2 2 2 3 3" xfId="2885" xr:uid="{EBF3D401-3447-49DD-9B7E-311E4BBA97D4}"/>
    <cellStyle name="Separador de milhares 2 2 2 2 2 4" xfId="1164" xr:uid="{5BAD9449-3774-47A6-A543-893739DE3B3B}"/>
    <cellStyle name="Separador de milhares 2 2 2 2 2 4 2" xfId="3275" xr:uid="{D4E566B6-7B1D-4A3C-AAD3-097C5C7A332B}"/>
    <cellStyle name="Separador de milhares 2 2 2 2 2 5" xfId="2458" xr:uid="{2A43C3FF-3E5B-45BD-B8BC-65589FBEFD36}"/>
    <cellStyle name="Separador de milhares 2 2 2 2 3" xfId="413" xr:uid="{A0C9980D-3BF3-4279-A1E7-5C676B9B54DF}"/>
    <cellStyle name="Separador de milhares 2 2 2 2 3 2" xfId="858" xr:uid="{BD342B01-D153-49D9-962B-296E195AFE26}"/>
    <cellStyle name="Separador de milhares 2 2 2 2 3 2 2" xfId="1687" xr:uid="{CE5E4DA6-ABE5-4A12-9216-748399D059E4}"/>
    <cellStyle name="Separador de milhares 2 2 2 2 3 2 2 2" xfId="3798" xr:uid="{0F75B341-7CC5-4498-A46E-66056608AF7A}"/>
    <cellStyle name="Separador de milhares 2 2 2 2 3 2 3" xfId="2981" xr:uid="{98B3A9AD-F066-4A52-B13A-E1265F1E6B31}"/>
    <cellStyle name="Separador de milhares 2 2 2 2 3 3" xfId="1260" xr:uid="{29A91BB4-84F4-49D0-B9EB-D0D78427231B}"/>
    <cellStyle name="Separador de milhares 2 2 2 2 3 3 2" xfId="3371" xr:uid="{E04E0C67-9EE8-4F5A-B916-86E6CB4B1676}"/>
    <cellStyle name="Separador de milhares 2 2 2 2 3 4" xfId="2554" xr:uid="{D076FAE7-CB18-42FA-8892-BF2A513CBD0E}"/>
    <cellStyle name="Separador de milhares 2 2 2 2 4" xfId="664" xr:uid="{18A858FD-926D-4872-BA5D-49C4E6991EC8}"/>
    <cellStyle name="Separador de milhares 2 2 2 2 4 2" xfId="1495" xr:uid="{6C7FE02A-E93F-42B2-A554-9C441E09D8AD}"/>
    <cellStyle name="Separador de milhares 2 2 2 2 4 2 2" xfId="3606" xr:uid="{527636D1-D0DC-415E-9048-FECDE246B379}"/>
    <cellStyle name="Separador de milhares 2 2 2 2 4 3" xfId="2789" xr:uid="{133F5109-1133-4441-B2E3-91CC3CA72AC3}"/>
    <cellStyle name="Separador de milhares 2 2 2 2 5" xfId="1068" xr:uid="{42439CD2-91FE-478F-A5A9-EFF6A43BE2BF}"/>
    <cellStyle name="Separador de milhares 2 2 2 2 5 2" xfId="3179" xr:uid="{D03CB7EA-417E-4291-91B7-5D4ABC2F0923}"/>
    <cellStyle name="Separador de milhares 2 2 2 2 6" xfId="2363" xr:uid="{A7F48918-7567-4C71-8D3D-17E2259F2D8A}"/>
    <cellStyle name="Separador de milhares 2 2 2 3" xfId="284" xr:uid="{49EA43E3-C3AA-450A-88F1-A20A24D2E663}"/>
    <cellStyle name="Separador de milhares 2 2 2 3 2" xfId="477" xr:uid="{37CF4A10-F537-47A7-A9B3-D994F3339A89}"/>
    <cellStyle name="Separador de milhares 2 2 2 3 2 2" xfId="922" xr:uid="{ED5D4A6D-3831-4F09-8E65-F0ABD5CB2CB0}"/>
    <cellStyle name="Separador de milhares 2 2 2 3 2 2 2" xfId="1751" xr:uid="{852CE31B-EB45-4060-87FB-71A5E2880259}"/>
    <cellStyle name="Separador de milhares 2 2 2 3 2 2 2 2" xfId="3862" xr:uid="{312D14B7-E48F-42D5-8B83-B9B7280721A4}"/>
    <cellStyle name="Separador de milhares 2 2 2 3 2 2 3" xfId="3045" xr:uid="{1CCE4707-6F67-4792-B6AE-EBA9FBC729FC}"/>
    <cellStyle name="Separador de milhares 2 2 2 3 2 3" xfId="1324" xr:uid="{BB8BBD86-602B-4350-85B0-763EB77D8203}"/>
    <cellStyle name="Separador de milhares 2 2 2 3 2 3 2" xfId="3435" xr:uid="{A133D0AE-C28C-4D9C-AE2B-A5E9B402B14A}"/>
    <cellStyle name="Separador de milhares 2 2 2 3 2 4" xfId="2618" xr:uid="{66417D03-43CE-4B90-AD3C-49AF080EB4C1}"/>
    <cellStyle name="Separador de milhares 2 2 2 3 3" xfId="730" xr:uid="{C7D62BF7-A71A-4BDA-894C-B19E226CED74}"/>
    <cellStyle name="Separador de milhares 2 2 2 3 3 2" xfId="1559" xr:uid="{F219ADC6-8D09-47DF-B943-EABD13509E0A}"/>
    <cellStyle name="Separador de milhares 2 2 2 3 3 2 2" xfId="3670" xr:uid="{5AD0C87A-0ED5-4BCF-A528-38130AD75C91}"/>
    <cellStyle name="Separador de milhares 2 2 2 3 3 3" xfId="2853" xr:uid="{556F3FE1-2164-4E23-9CEE-1B55E92150B1}"/>
    <cellStyle name="Separador de milhares 2 2 2 3 4" xfId="1132" xr:uid="{8C599EF3-67EF-4446-9BC1-9E8E51904D7D}"/>
    <cellStyle name="Separador de milhares 2 2 2 3 4 2" xfId="3243" xr:uid="{6F876419-70E4-4648-8F87-71AC135B1C79}"/>
    <cellStyle name="Separador de milhares 2 2 2 3 5" xfId="2426" xr:uid="{74A3A0D3-F483-43DB-A14A-AB63B5200E5D}"/>
    <cellStyle name="Separador de milhares 2 2 2 4" xfId="381" xr:uid="{FD888924-9550-4A40-80C4-15D44F402E35}"/>
    <cellStyle name="Separador de milhares 2 2 2 4 2" xfId="826" xr:uid="{F9C37903-5387-4302-BB1D-F87AB90298C0}"/>
    <cellStyle name="Separador de milhares 2 2 2 4 2 2" xfId="1655" xr:uid="{E5681D8C-6217-430B-A18C-195257F5C8B7}"/>
    <cellStyle name="Separador de milhares 2 2 2 4 2 2 2" xfId="3766" xr:uid="{C417BC32-F59D-48D2-AAA8-900BD6478481}"/>
    <cellStyle name="Separador de milhares 2 2 2 4 2 3" xfId="2949" xr:uid="{2FBAB1B3-0237-4C3D-ACB5-3D683C10B944}"/>
    <cellStyle name="Separador de milhares 2 2 2 4 3" xfId="1228" xr:uid="{51C02A6F-7078-4001-A46B-AF8E876F1F59}"/>
    <cellStyle name="Separador de milhares 2 2 2 4 3 2" xfId="3339" xr:uid="{27F1AAA1-3EFD-4936-ABCD-AF1FA6CD4141}"/>
    <cellStyle name="Separador de milhares 2 2 2 4 4" xfId="2522" xr:uid="{3E98AC32-BD1C-4EAD-8D07-DA03AF6A85FC}"/>
    <cellStyle name="Separador de milhares 2 2 2 5" xfId="632" xr:uid="{CE7118A6-1361-44F6-9B1E-A096D16048E0}"/>
    <cellStyle name="Separador de milhares 2 2 2 5 2" xfId="1463" xr:uid="{5A82AA01-8F9F-4BE8-A4E5-58AFAA1C2AC9}"/>
    <cellStyle name="Separador de milhares 2 2 2 5 2 2" xfId="3574" xr:uid="{31C391AF-0F76-4589-ACD0-23F1B07B5AF2}"/>
    <cellStyle name="Separador de milhares 2 2 2 5 3" xfId="2757" xr:uid="{56146704-A4F9-4DFC-81AE-CCC4D5F279BA}"/>
    <cellStyle name="Separador de milhares 2 2 2 6" xfId="1036" xr:uid="{ED04F240-E918-4DF1-A261-9E737F912CA7}"/>
    <cellStyle name="Separador de milhares 2 2 2 6 2" xfId="3147" xr:uid="{411AE572-97D3-49E7-BC73-CBD882FEF240}"/>
    <cellStyle name="Separador de milhares 2 2 2 7" xfId="2332" xr:uid="{81DCE549-D8D4-4DDB-A25F-2D27AB584DBA}"/>
    <cellStyle name="Separador de milhares 2 2 3" xfId="197" xr:uid="{3F4685C6-2AF5-4D93-9C8A-31920E2F936A}"/>
    <cellStyle name="Separador de milhares 2 2 3 2" xfId="318" xr:uid="{A1FDCE1B-6161-4FF3-AA7B-B2E2A57FA8A9}"/>
    <cellStyle name="Separador de milhares 2 2 3 2 2" xfId="511" xr:uid="{33E07792-64DF-4904-9B7F-DC1F627EDE15}"/>
    <cellStyle name="Separador de milhares 2 2 3 2 2 2" xfId="956" xr:uid="{EAFB757F-225D-48BA-9C0E-E7BFE948A145}"/>
    <cellStyle name="Separador de milhares 2 2 3 2 2 2 2" xfId="1785" xr:uid="{C3856F64-D204-4D31-B363-C41DBE5C7A8E}"/>
    <cellStyle name="Separador de milhares 2 2 3 2 2 2 2 2" xfId="3896" xr:uid="{C458E1C0-840F-46D1-8CE1-70ADE8F2764D}"/>
    <cellStyle name="Separador de milhares 2 2 3 2 2 2 3" xfId="3079" xr:uid="{1C703C3E-9CE6-4D04-B362-2C1A3F3253A3}"/>
    <cellStyle name="Separador de milhares 2 2 3 2 2 3" xfId="1358" xr:uid="{9B92D0A2-8921-4629-9F2A-8DE72BBA6FD0}"/>
    <cellStyle name="Separador de milhares 2 2 3 2 2 3 2" xfId="3469" xr:uid="{6614ED85-8ED4-4DD5-B43D-0BA6BDD451F3}"/>
    <cellStyle name="Separador de milhares 2 2 3 2 2 4" xfId="2652" xr:uid="{47583E1B-415F-4E4D-9EEA-541DB7A29CF8}"/>
    <cellStyle name="Separador de milhares 2 2 3 2 3" xfId="764" xr:uid="{C1C3CF8B-A635-40D2-9F63-F8F637B4C35E}"/>
    <cellStyle name="Separador de milhares 2 2 3 2 3 2" xfId="1593" xr:uid="{C8A306E9-220F-46F8-9C81-65ABA7B1CD2A}"/>
    <cellStyle name="Separador de milhares 2 2 3 2 3 2 2" xfId="3704" xr:uid="{752ABFED-E6E9-4FD1-9A55-AAEE5A978963}"/>
    <cellStyle name="Separador de milhares 2 2 3 2 3 3" xfId="2887" xr:uid="{04A0C29D-A507-4CEE-AEAB-934185B0ABEA}"/>
    <cellStyle name="Separador de milhares 2 2 3 2 4" xfId="1166" xr:uid="{0BE2A696-93C8-4134-9EEC-DEF21F1E0B5D}"/>
    <cellStyle name="Separador de milhares 2 2 3 2 4 2" xfId="3277" xr:uid="{029458B2-523A-475D-9033-99AF930F5FF3}"/>
    <cellStyle name="Separador de milhares 2 2 3 2 5" xfId="2460" xr:uid="{80324D42-C2D9-4B9F-B1D9-42E7BB9E755B}"/>
    <cellStyle name="Separador de milhares 2 2 3 3" xfId="415" xr:uid="{189FD4E5-E6CC-4E73-8BA2-135EE0B6DBD6}"/>
    <cellStyle name="Separador de milhares 2 2 3 3 2" xfId="860" xr:uid="{19F0598E-DA2F-402E-AE39-BD3F5A5A9A1F}"/>
    <cellStyle name="Separador de milhares 2 2 3 3 2 2" xfId="1689" xr:uid="{6ADA683A-0363-4253-83E2-BADF9D538920}"/>
    <cellStyle name="Separador de milhares 2 2 3 3 2 2 2" xfId="3800" xr:uid="{EB984976-94B3-4319-96AC-8D579AEEBC7D}"/>
    <cellStyle name="Separador de milhares 2 2 3 3 2 3" xfId="2983" xr:uid="{E2BD1BF6-095F-4FAD-ACC8-F429DAAD4750}"/>
    <cellStyle name="Separador de milhares 2 2 3 3 3" xfId="1262" xr:uid="{862003B6-3C8F-496D-87CD-577B931AE384}"/>
    <cellStyle name="Separador de milhares 2 2 3 3 3 2" xfId="3373" xr:uid="{8386EE44-3979-4108-9AC3-8595B7C85232}"/>
    <cellStyle name="Separador de milhares 2 2 3 3 4" xfId="2556" xr:uid="{52924738-CC7A-49C5-89A8-9C26DCFE2122}"/>
    <cellStyle name="Separador de milhares 2 2 3 4" xfId="666" xr:uid="{74EAE88B-F72C-46BE-9B35-F5CC1363597A}"/>
    <cellStyle name="Separador de milhares 2 2 3 4 2" xfId="1497" xr:uid="{C74FC5D1-19BA-4709-8B14-C23CD0B06C2B}"/>
    <cellStyle name="Separador de milhares 2 2 3 4 2 2" xfId="3608" xr:uid="{5DEA5903-5EBD-4718-B3F8-CB22B724A795}"/>
    <cellStyle name="Separador de milhares 2 2 3 4 3" xfId="2791" xr:uid="{D00C667C-8C7B-42AF-BA9E-E82F3F3D5231}"/>
    <cellStyle name="Separador de milhares 2 2 3 5" xfId="1070" xr:uid="{8055AD8E-2D3E-4698-B10D-81BD4C70EC38}"/>
    <cellStyle name="Separador de milhares 2 2 3 5 2" xfId="3181" xr:uid="{B20441A4-EEA4-45E3-A24B-F47237EE4AEA}"/>
    <cellStyle name="Separador de milhares 2 2 3 6" xfId="2365" xr:uid="{C5B899C2-D2B5-4CAB-AC46-075BD6EFDF9C}"/>
    <cellStyle name="Separador de milhares 2 2 4" xfId="286" xr:uid="{13DB04C5-E56C-487B-8E1F-3A16C0997F89}"/>
    <cellStyle name="Separador de milhares 2 2 4 2" xfId="479" xr:uid="{CB38EB40-141B-4A31-AC0F-34BEA7EC8D52}"/>
    <cellStyle name="Separador de milhares 2 2 4 2 2" xfId="924" xr:uid="{748591B0-D535-4733-AA3B-D3BF9BEA39CC}"/>
    <cellStyle name="Separador de milhares 2 2 4 2 2 2" xfId="1753" xr:uid="{8C44550D-2261-4CDB-97E7-EE8096BAB17E}"/>
    <cellStyle name="Separador de milhares 2 2 4 2 2 2 2" xfId="3864" xr:uid="{0BD7DA18-6623-4182-A04C-0E136D8F4A79}"/>
    <cellStyle name="Separador de milhares 2 2 4 2 2 3" xfId="3047" xr:uid="{19254541-715B-4F5F-9EE7-522DB5689ECE}"/>
    <cellStyle name="Separador de milhares 2 2 4 2 3" xfId="1326" xr:uid="{2FBA3EDF-3067-49C0-82D9-804364AA96BF}"/>
    <cellStyle name="Separador de milhares 2 2 4 2 3 2" xfId="3437" xr:uid="{71F1FA89-EFD9-4C1B-8B8D-8E12A3076F96}"/>
    <cellStyle name="Separador de milhares 2 2 4 2 4" xfId="2620" xr:uid="{F95550DB-FEDD-47DD-A740-72804692ADF1}"/>
    <cellStyle name="Separador de milhares 2 2 4 3" xfId="732" xr:uid="{8C60D5B9-397F-40A8-9701-6F2979168C52}"/>
    <cellStyle name="Separador de milhares 2 2 4 3 2" xfId="1561" xr:uid="{23D8D0C5-64DE-4E96-831A-95007BD1D0B7}"/>
    <cellStyle name="Separador de milhares 2 2 4 3 2 2" xfId="3672" xr:uid="{110B47DE-A10C-4B2E-B7FF-79245BF62FEF}"/>
    <cellStyle name="Separador de milhares 2 2 4 3 3" xfId="2855" xr:uid="{636D6B7C-B1AF-41E6-9A17-172671E9E61F}"/>
    <cellStyle name="Separador de milhares 2 2 4 4" xfId="1134" xr:uid="{41228B37-8D2F-4723-84FC-708301395DB8}"/>
    <cellStyle name="Separador de milhares 2 2 4 4 2" xfId="3245" xr:uid="{7A80FD48-4B45-4761-9B7D-9482B8022E26}"/>
    <cellStyle name="Separador de milhares 2 2 4 5" xfId="2428" xr:uid="{5F1BE6AE-F12A-4D25-9887-938AD1154F4F}"/>
    <cellStyle name="Separador de milhares 2 2 5" xfId="383" xr:uid="{8ABDCFF3-AB60-4915-BA7F-6498F1262D84}"/>
    <cellStyle name="Separador de milhares 2 2 5 2" xfId="828" xr:uid="{0BD238D7-36EA-403F-AC37-B997EAFA0BBA}"/>
    <cellStyle name="Separador de milhares 2 2 5 2 2" xfId="1657" xr:uid="{38FEA924-B126-4FE4-A80F-1532396AB990}"/>
    <cellStyle name="Separador de milhares 2 2 5 2 2 2" xfId="3768" xr:uid="{9416B0D9-6445-4EA8-A87F-4227E9D01A64}"/>
    <cellStyle name="Separador de milhares 2 2 5 2 3" xfId="2951" xr:uid="{59CCF087-4353-4A46-996A-69AEDD0E8D9E}"/>
    <cellStyle name="Separador de milhares 2 2 5 3" xfId="1230" xr:uid="{2D5A6FAC-38BA-4CCA-AF1D-491AFD3C6227}"/>
    <cellStyle name="Separador de milhares 2 2 5 3 2" xfId="3341" xr:uid="{ED22DF59-0829-494E-ADAE-510EDFAB523B}"/>
    <cellStyle name="Separador de milhares 2 2 5 4" xfId="2524" xr:uid="{D04494D2-1259-41F5-A45F-A5C31E9A2DCF}"/>
    <cellStyle name="Separador de milhares 2 2 6" xfId="634" xr:uid="{213DFAF6-5C6F-4655-8CE8-67C694B96BF1}"/>
    <cellStyle name="Separador de milhares 2 2 6 2" xfId="1465" xr:uid="{5B7AE181-7A50-4981-A535-DE0601F8EBBF}"/>
    <cellStyle name="Separador de milhares 2 2 6 2 2" xfId="3576" xr:uid="{843A16CD-E730-4B61-BC75-A4E369CF0CDA}"/>
    <cellStyle name="Separador de milhares 2 2 6 3" xfId="2759" xr:uid="{EDAB049F-DE0B-4DBC-AC91-469192A0D5F8}"/>
    <cellStyle name="Separador de milhares 2 2 7" xfId="1038" xr:uid="{C5567F82-3379-42B9-8820-A533CD99EC1B}"/>
    <cellStyle name="Separador de milhares 2 2 7 2" xfId="3149" xr:uid="{73E4CFC4-9754-4DEF-AF3A-F4CCC2CEEA06}"/>
    <cellStyle name="Separador de milhares 2 2 8" xfId="2267" xr:uid="{9AD29427-9DA8-4E96-BB4E-1B4520100746}"/>
    <cellStyle name="Separador de milhares 2 3" xfId="172" xr:uid="{91732AF1-E750-43BE-ADD7-0A85C968B128}"/>
    <cellStyle name="Separador de milhares 2 3 2" xfId="209" xr:uid="{8135BD37-3C37-487A-9FC5-51F4AA290E7C}"/>
    <cellStyle name="Separador de milhares 2 3 2 2" xfId="330" xr:uid="{EAC2D184-0F70-4995-9E2F-63DC72422F6E}"/>
    <cellStyle name="Separador de milhares 2 3 2 2 2" xfId="523" xr:uid="{4286EDA8-9203-4108-97D9-437DE8AF2732}"/>
    <cellStyle name="Separador de milhares 2 3 2 2 2 2" xfId="968" xr:uid="{9796D1A2-7D97-4831-90A1-670C84B8F6A3}"/>
    <cellStyle name="Separador de milhares 2 3 2 2 2 2 2" xfId="1797" xr:uid="{B8530E16-6E4C-4AF1-9543-3BD0200B5E05}"/>
    <cellStyle name="Separador de milhares 2 3 2 2 2 2 2 2" xfId="3908" xr:uid="{37732226-9AFE-4C98-9136-C1413684F229}"/>
    <cellStyle name="Separador de milhares 2 3 2 2 2 2 3" xfId="3091" xr:uid="{9ACAA2BC-1C3D-44EE-B52A-622C70CF8509}"/>
    <cellStyle name="Separador de milhares 2 3 2 2 2 3" xfId="1370" xr:uid="{CFDBA2C1-C8B5-46ED-BDFA-EDC3044240C8}"/>
    <cellStyle name="Separador de milhares 2 3 2 2 2 3 2" xfId="3481" xr:uid="{8C960FD6-C39C-4769-B3EA-18DDF9F23F7D}"/>
    <cellStyle name="Separador de milhares 2 3 2 2 2 4" xfId="2664" xr:uid="{9F2C29E0-28AE-4D43-8677-999AFA42DA01}"/>
    <cellStyle name="Separador de milhares 2 3 2 2 3" xfId="776" xr:uid="{7221B19A-7ECF-45CC-8D4B-B792DE239D94}"/>
    <cellStyle name="Separador de milhares 2 3 2 2 3 2" xfId="1605" xr:uid="{F44C89AC-AF5E-4627-B41E-6F6C1FEA6728}"/>
    <cellStyle name="Separador de milhares 2 3 2 2 3 2 2" xfId="3716" xr:uid="{3CFBF05E-ADF6-4B2F-948E-186B46E27AB1}"/>
    <cellStyle name="Separador de milhares 2 3 2 2 3 3" xfId="2899" xr:uid="{1ADF2906-2152-4D62-B314-4F44D2353495}"/>
    <cellStyle name="Separador de milhares 2 3 2 2 4" xfId="1178" xr:uid="{0CEB6864-6AA0-43B9-BA5C-A6A0D8214EE3}"/>
    <cellStyle name="Separador de milhares 2 3 2 2 4 2" xfId="3289" xr:uid="{B0690833-9402-4DE7-8E48-659834927A9A}"/>
    <cellStyle name="Separador de milhares 2 3 2 2 5" xfId="2472" xr:uid="{186CDECF-9662-43FA-BCE7-99896268D38C}"/>
    <cellStyle name="Separador de milhares 2 3 2 3" xfId="427" xr:uid="{A765902E-64D3-44DD-A4CA-050012A7A071}"/>
    <cellStyle name="Separador de milhares 2 3 2 3 2" xfId="872" xr:uid="{4211EF57-274E-48BE-BD1E-C2F45CE9520D}"/>
    <cellStyle name="Separador de milhares 2 3 2 3 2 2" xfId="1701" xr:uid="{464CBBEB-6107-4FA0-894D-722D3D834C18}"/>
    <cellStyle name="Separador de milhares 2 3 2 3 2 2 2" xfId="3812" xr:uid="{B697390C-A5CD-43FF-AF1D-E036F91FA29F}"/>
    <cellStyle name="Separador de milhares 2 3 2 3 2 3" xfId="2995" xr:uid="{398391CA-79DC-419E-B099-337924E7B012}"/>
    <cellStyle name="Separador de milhares 2 3 2 3 3" xfId="1274" xr:uid="{1D3E2E4F-03F7-4537-9C60-0FB586E7FA1A}"/>
    <cellStyle name="Separador de milhares 2 3 2 3 3 2" xfId="3385" xr:uid="{34A5C050-7D48-4293-8307-F7EB6A211216}"/>
    <cellStyle name="Separador de milhares 2 3 2 3 4" xfId="2568" xr:uid="{D1CA278B-4A26-47EF-954B-DE5014AB8359}"/>
    <cellStyle name="Separador de milhares 2 3 2 4" xfId="678" xr:uid="{C2553D61-CF9B-4E83-AFE3-DF6BB8D7115D}"/>
    <cellStyle name="Separador de milhares 2 3 2 4 2" xfId="1509" xr:uid="{309583E5-1007-490C-B785-CF8089A6B5B0}"/>
    <cellStyle name="Separador de milhares 2 3 2 4 2 2" xfId="3620" xr:uid="{BE1C2793-B06B-4718-AA98-5D900228F385}"/>
    <cellStyle name="Separador de milhares 2 3 2 4 3" xfId="2803" xr:uid="{0793A53F-E723-42B5-B544-658924F05CCC}"/>
    <cellStyle name="Separador de milhares 2 3 2 5" xfId="1082" xr:uid="{146594CF-58BF-42CB-8463-2FBB8ADC37E6}"/>
    <cellStyle name="Separador de milhares 2 3 2 5 2" xfId="3193" xr:uid="{10D8FEFC-A160-46C9-8906-3590E39C3FEC}"/>
    <cellStyle name="Separador de milhares 2 3 2 6" xfId="2377" xr:uid="{1CA67720-79DF-47B0-B184-FCEB0F79A503}"/>
    <cellStyle name="Separador de milhares 2 3 3" xfId="217" xr:uid="{0CC2669D-E0C5-47F7-B1F2-B4F1A375A7B5}"/>
    <cellStyle name="Separador de milhares 2 3 3 2" xfId="338" xr:uid="{7DD0F710-64B3-4980-874F-29C6DA557F3E}"/>
    <cellStyle name="Separador de milhares 2 3 3 2 2" xfId="530" xr:uid="{25B17F54-843D-4946-AB52-F56EFEB8256F}"/>
    <cellStyle name="Separador de milhares 2 3 3 2 2 2" xfId="975" xr:uid="{CAA6932E-2526-4F65-BA6E-A4CC8E6C3D8C}"/>
    <cellStyle name="Separador de milhares 2 3 3 2 2 2 2" xfId="1804" xr:uid="{3D7F790D-8F25-4CCA-B173-3B93B286FAE3}"/>
    <cellStyle name="Separador de milhares 2 3 3 2 2 2 2 2" xfId="3915" xr:uid="{DAD8E485-1278-4338-956A-37B944A53E90}"/>
    <cellStyle name="Separador de milhares 2 3 3 2 2 2 3" xfId="3098" xr:uid="{467A49E1-D5B9-4541-A9DA-EC0329474A37}"/>
    <cellStyle name="Separador de milhares 2 3 3 2 2 3" xfId="1377" xr:uid="{E2F991B3-5EE7-4866-95AA-6A114A938BF3}"/>
    <cellStyle name="Separador de milhares 2 3 3 2 2 3 2" xfId="3488" xr:uid="{A1F237DB-C8B9-4F6B-9207-E1453417C62D}"/>
    <cellStyle name="Separador de milhares 2 3 3 2 2 4" xfId="2671" xr:uid="{B0EDAB3C-0973-4183-BAA8-FEEEA265E9F0}"/>
    <cellStyle name="Separador de milhares 2 3 3 2 3" xfId="783" xr:uid="{4808146A-ADAD-493B-8B00-9D77F1E17B02}"/>
    <cellStyle name="Separador de milhares 2 3 3 2 3 2" xfId="1612" xr:uid="{3FF5707C-AD12-4BC5-A3A4-244EECCE1669}"/>
    <cellStyle name="Separador de milhares 2 3 3 2 3 2 2" xfId="3723" xr:uid="{F8A0E12D-9308-430A-8A10-1D0BCCEA5CDB}"/>
    <cellStyle name="Separador de milhares 2 3 3 2 3 3" xfId="2906" xr:uid="{A04D8521-72F8-4ABE-8985-249E1131703A}"/>
    <cellStyle name="Separador de milhares 2 3 3 2 4" xfId="1185" xr:uid="{03D50C27-600D-4DD2-955C-8881439BD0EE}"/>
    <cellStyle name="Separador de milhares 2 3 3 2 4 2" xfId="3296" xr:uid="{645D3CAF-E6FD-4468-9A56-73A8DF138839}"/>
    <cellStyle name="Separador de milhares 2 3 3 2 5" xfId="2479" xr:uid="{66D83FD9-61C3-40BB-9527-7C16346DC1F1}"/>
    <cellStyle name="Separador de milhares 2 3 3 3" xfId="434" xr:uid="{5ACD987A-BFB7-4C46-BDA7-636D83DA2E96}"/>
    <cellStyle name="Separador de milhares 2 3 3 3 2" xfId="879" xr:uid="{3F5ABB4B-4D84-403A-80A6-A2DF148E3684}"/>
    <cellStyle name="Separador de milhares 2 3 3 3 2 2" xfId="1708" xr:uid="{2A121DAB-1A1C-49A0-BC33-EDEE5B4B0B11}"/>
    <cellStyle name="Separador de milhares 2 3 3 3 2 2 2" xfId="3819" xr:uid="{3A6AC1E5-75D5-43C9-BEC5-11E3C1E3A8C4}"/>
    <cellStyle name="Separador de milhares 2 3 3 3 2 3" xfId="3002" xr:uid="{10E6CCC2-D311-4F28-8755-02307B70AC67}"/>
    <cellStyle name="Separador de milhares 2 3 3 3 3" xfId="1281" xr:uid="{549A140F-0E0B-47A1-8E7B-FF778F44B36A}"/>
    <cellStyle name="Separador de milhares 2 3 3 3 3 2" xfId="3392" xr:uid="{6D4EB02C-3274-4764-8B08-39B89B7AF964}"/>
    <cellStyle name="Separador de milhares 2 3 3 3 4" xfId="2575" xr:uid="{E404248E-5BF4-4771-A13B-B009BD07D3C1}"/>
    <cellStyle name="Separador de milhares 2 3 3 4" xfId="686" xr:uid="{88731CE1-B384-4ABB-A214-5842F0E1046C}"/>
    <cellStyle name="Separador de milhares 2 3 3 4 2" xfId="1516" xr:uid="{C1F03170-7292-44EF-B98D-6B64B12D2AF5}"/>
    <cellStyle name="Separador de milhares 2 3 3 4 2 2" xfId="3627" xr:uid="{D22F5EB6-9A36-4240-91C3-85422D33E4AC}"/>
    <cellStyle name="Separador de milhares 2 3 3 4 3" xfId="2810" xr:uid="{5D703B79-951B-49D2-998B-19BE208ACB1E}"/>
    <cellStyle name="Separador de milhares 2 3 3 5" xfId="1089" xr:uid="{E809C4D9-6118-4D7E-96F8-8AAF3D288A0E}"/>
    <cellStyle name="Separador de milhares 2 3 3 5 2" xfId="3200" xr:uid="{5B18DEF0-76DE-48D9-A984-F45836BE01C6}"/>
    <cellStyle name="Separador de milhares 2 3 3 6" xfId="2384" xr:uid="{1565592C-B839-4ABB-B859-855C0D51DBC9}"/>
    <cellStyle name="Separador de milhares 2 3 4" xfId="298" xr:uid="{71ACF21B-9862-4E25-97D4-F37182EB781A}"/>
    <cellStyle name="Separador de milhares 2 3 4 2" xfId="491" xr:uid="{84CB0A88-1E87-447B-B6A9-5F217FC073AD}"/>
    <cellStyle name="Separador de milhares 2 3 4 2 2" xfId="936" xr:uid="{877FC5F2-F8D8-4D08-BB09-07E853A79760}"/>
    <cellStyle name="Separador de milhares 2 3 4 2 2 2" xfId="1765" xr:uid="{9C5A1011-B281-4E59-BBF2-FD95D5FAC9AF}"/>
    <cellStyle name="Separador de milhares 2 3 4 2 2 2 2" xfId="3876" xr:uid="{07109BA2-4463-4C8E-B878-EFF3B98A6360}"/>
    <cellStyle name="Separador de milhares 2 3 4 2 2 3" xfId="3059" xr:uid="{8A1A6212-E858-4A24-AEFC-8C556BDDCCAD}"/>
    <cellStyle name="Separador de milhares 2 3 4 2 3" xfId="1338" xr:uid="{C2A6A1B4-54B7-4EC8-B79B-5474830B5B57}"/>
    <cellStyle name="Separador de milhares 2 3 4 2 3 2" xfId="3449" xr:uid="{AC697109-B191-462A-90E3-5427FD82CDF2}"/>
    <cellStyle name="Separador de milhares 2 3 4 2 4" xfId="2632" xr:uid="{94ED97FC-355C-406C-913A-9FB94D98FEDB}"/>
    <cellStyle name="Separador de milhares 2 3 4 3" xfId="744" xr:uid="{C95A4970-BE2A-49DB-94EA-CB4B97C3D9EE}"/>
    <cellStyle name="Separador de milhares 2 3 4 3 2" xfId="1573" xr:uid="{E26F5ACB-2E63-4489-B5FF-4C4003FA6AC6}"/>
    <cellStyle name="Separador de milhares 2 3 4 3 2 2" xfId="3684" xr:uid="{1758C15B-F3A6-42F3-A5A5-08EA1E87756D}"/>
    <cellStyle name="Separador de milhares 2 3 4 3 3" xfId="2867" xr:uid="{2B823ADE-C393-49C3-B00D-49DF2E116FEC}"/>
    <cellStyle name="Separador de milhares 2 3 4 4" xfId="1146" xr:uid="{9AED8514-D8D7-4D74-A8D8-55B6EBA1DFBF}"/>
    <cellStyle name="Separador de milhares 2 3 4 4 2" xfId="3257" xr:uid="{379AE27F-25E0-4C2B-B408-E90530789989}"/>
    <cellStyle name="Separador de milhares 2 3 4 5" xfId="2440" xr:uid="{F120950B-C884-46BB-B0D8-99CAE400B767}"/>
    <cellStyle name="Separador de milhares 2 3 5" xfId="395" xr:uid="{32F01D1B-4BA0-4CFB-8F89-73E43E89B3D9}"/>
    <cellStyle name="Separador de milhares 2 3 5 2" xfId="840" xr:uid="{412B4130-B1D9-4D04-9FE6-02DAFE0A1598}"/>
    <cellStyle name="Separador de milhares 2 3 5 2 2" xfId="1669" xr:uid="{6EA108E7-64AA-468C-8685-FEFC1D9D5E23}"/>
    <cellStyle name="Separador de milhares 2 3 5 2 2 2" xfId="3780" xr:uid="{6457E71A-C7D3-40CC-8CCF-60D8ABAD5070}"/>
    <cellStyle name="Separador de milhares 2 3 5 2 3" xfId="2963" xr:uid="{ACC4C903-B940-4A05-A509-D7C4918E3E61}"/>
    <cellStyle name="Separador de milhares 2 3 5 3" xfId="1242" xr:uid="{CB73AB1A-B55B-4752-AADC-A93D502AE960}"/>
    <cellStyle name="Separador de milhares 2 3 5 3 2" xfId="3353" xr:uid="{5B25E032-9DD0-4232-A9D1-8BCFD9883431}"/>
    <cellStyle name="Separador de milhares 2 3 5 4" xfId="2536" xr:uid="{EE3D31FE-4444-419E-A420-864A2C8F0FA3}"/>
    <cellStyle name="Separador de milhares 2 3 6" xfId="646" xr:uid="{62CB9A68-661C-4E25-AE68-275C3061FD77}"/>
    <cellStyle name="Separador de milhares 2 3 6 2" xfId="1477" xr:uid="{9CFE90FB-A876-43C5-93B8-325CE5726F2C}"/>
    <cellStyle name="Separador de milhares 2 3 6 2 2" xfId="3588" xr:uid="{65AB0268-296D-4475-B9CC-A737A7B6F285}"/>
    <cellStyle name="Separador de milhares 2 3 6 3" xfId="2771" xr:uid="{87516049-22F9-4FDA-98FF-4DA8705B1ED2}"/>
    <cellStyle name="Separador de milhares 2 3 7" xfId="1050" xr:uid="{15766721-A712-4ADE-A95E-3E01C6DA60F7}"/>
    <cellStyle name="Separador de milhares 2 3 7 2" xfId="3161" xr:uid="{7E53B76E-EE82-4469-B5C9-5B19DF194C1C}"/>
    <cellStyle name="Separador de milhares 2 3 8" xfId="2345" xr:uid="{D845DD35-30E6-44B4-A017-9D3DDC145E24}"/>
    <cellStyle name="Separador de milhares 2 4" xfId="174" xr:uid="{028E9507-EED5-4BD5-AEC2-FC55A146E0AA}"/>
    <cellStyle name="Separador de milhares 2 4 2" xfId="210" xr:uid="{52E6F32A-98C4-4CBF-9F8F-A78CC8EAE048}"/>
    <cellStyle name="Separador de milhares 2 4 2 2" xfId="331" xr:uid="{5D72CFBC-5002-4ED1-87D9-88744592C921}"/>
    <cellStyle name="Separador de milhares 2 4 2 2 2" xfId="524" xr:uid="{C3FE738A-1EA9-41C8-887A-FA789E8C9F30}"/>
    <cellStyle name="Separador de milhares 2 4 2 2 2 2" xfId="969" xr:uid="{61BE5EAD-D736-4875-85EC-A23FA30D88E3}"/>
    <cellStyle name="Separador de milhares 2 4 2 2 2 2 2" xfId="1798" xr:uid="{F6A0FEFE-FEF2-4C87-A2E4-F62CEA886FAD}"/>
    <cellStyle name="Separador de milhares 2 4 2 2 2 2 2 2" xfId="3909" xr:uid="{DB5EFCCD-6D37-4E4C-BC05-34A5E2109EFC}"/>
    <cellStyle name="Separador de milhares 2 4 2 2 2 2 3" xfId="3092" xr:uid="{565CBB77-9E35-4EB6-BBCA-17D2C14EF0F5}"/>
    <cellStyle name="Separador de milhares 2 4 2 2 2 3" xfId="1371" xr:uid="{79FF96D6-5742-435D-973A-45F0E5799564}"/>
    <cellStyle name="Separador de milhares 2 4 2 2 2 3 2" xfId="3482" xr:uid="{FEDEB1D4-FD64-4EE0-B777-F06E1F849F47}"/>
    <cellStyle name="Separador de milhares 2 4 2 2 2 4" xfId="2665" xr:uid="{C921F138-6E3A-457E-BB58-479462A6A037}"/>
    <cellStyle name="Separador de milhares 2 4 2 2 3" xfId="777" xr:uid="{D6FADB09-3022-436E-9751-2F8BB392B2D7}"/>
    <cellStyle name="Separador de milhares 2 4 2 2 3 2" xfId="1606" xr:uid="{39EBDD4D-1CD9-44DA-9722-4544D6035809}"/>
    <cellStyle name="Separador de milhares 2 4 2 2 3 2 2" xfId="3717" xr:uid="{1D4E73F7-AF40-4D72-A6FE-BC280BAC029B}"/>
    <cellStyle name="Separador de milhares 2 4 2 2 3 3" xfId="2900" xr:uid="{2B0AFA59-3DCD-4D5D-8C6C-997DB1EAD619}"/>
    <cellStyle name="Separador de milhares 2 4 2 2 4" xfId="1179" xr:uid="{B74FB967-C469-435D-B132-7F53F15B0E2A}"/>
    <cellStyle name="Separador de milhares 2 4 2 2 4 2" xfId="3290" xr:uid="{A2975342-A4AB-4311-8BC1-9C43F1CF51DE}"/>
    <cellStyle name="Separador de milhares 2 4 2 2 5" xfId="2473" xr:uid="{7B200D4F-9E43-4E8F-BA02-B1244EB28127}"/>
    <cellStyle name="Separador de milhares 2 4 2 3" xfId="428" xr:uid="{880BA333-DD68-415E-A4FA-BE43C6CE6581}"/>
    <cellStyle name="Separador de milhares 2 4 2 3 2" xfId="873" xr:uid="{38B9FBDA-FCE2-47FD-99C3-062FCBAACFF1}"/>
    <cellStyle name="Separador de milhares 2 4 2 3 2 2" xfId="1702" xr:uid="{93EF02E9-1CD2-44F5-896E-56F5A8001D29}"/>
    <cellStyle name="Separador de milhares 2 4 2 3 2 2 2" xfId="3813" xr:uid="{0BD094EF-000C-4E64-8F9C-9C724808CCD7}"/>
    <cellStyle name="Separador de milhares 2 4 2 3 2 3" xfId="2996" xr:uid="{46564E81-294B-4528-AF74-665D3F0B9C5D}"/>
    <cellStyle name="Separador de milhares 2 4 2 3 3" xfId="1275" xr:uid="{F331DA36-850E-46F1-B705-ED6D90AE03AC}"/>
    <cellStyle name="Separador de milhares 2 4 2 3 3 2" xfId="3386" xr:uid="{0B7D4CEC-A909-4919-9747-A13C7020D13E}"/>
    <cellStyle name="Separador de milhares 2 4 2 3 4" xfId="2569" xr:uid="{FC91E474-52C7-4C02-B5D2-359C1D69E07B}"/>
    <cellStyle name="Separador de milhares 2 4 2 4" xfId="679" xr:uid="{7270BECD-A868-4679-A570-3F85A52FC04C}"/>
    <cellStyle name="Separador de milhares 2 4 2 4 2" xfId="1510" xr:uid="{B1751ECD-D6DA-4A4E-B527-40C71EA2E1A9}"/>
    <cellStyle name="Separador de milhares 2 4 2 4 2 2" xfId="3621" xr:uid="{BF26F2CE-E7DF-42B6-8378-8DF3AB76FB94}"/>
    <cellStyle name="Separador de milhares 2 4 2 4 3" xfId="2804" xr:uid="{CEC35E5E-A236-4A41-A2BC-7A81C9297103}"/>
    <cellStyle name="Separador de milhares 2 4 2 5" xfId="1083" xr:uid="{36F31704-9964-4D1A-9438-8EFE61B8A9A6}"/>
    <cellStyle name="Separador de milhares 2 4 2 5 2" xfId="3194" xr:uid="{DF9BE5DD-BDB3-462D-B3A8-E54834B1E1DE}"/>
    <cellStyle name="Separador de milhares 2 4 2 6" xfId="2378" xr:uid="{44D1BD7B-D787-45B0-978C-A3665BF4D137}"/>
    <cellStyle name="Separador de milhares 2 4 3" xfId="218" xr:uid="{2D8BF059-C113-4495-974E-4FDABD37AC13}"/>
    <cellStyle name="Separador de milhares 2 4 3 2" xfId="339" xr:uid="{17A82473-64F3-4BA3-8CBF-08CD8D134292}"/>
    <cellStyle name="Separador de milhares 2 4 3 2 2" xfId="531" xr:uid="{339AF381-27B6-4079-AE97-2941D586878F}"/>
    <cellStyle name="Separador de milhares 2 4 3 2 2 2" xfId="976" xr:uid="{EA42C1B9-CAA9-42E7-B0F1-D838363DDDFC}"/>
    <cellStyle name="Separador de milhares 2 4 3 2 2 2 2" xfId="1805" xr:uid="{6084DF0F-690F-43A5-A598-2B41D5795FDA}"/>
    <cellStyle name="Separador de milhares 2 4 3 2 2 2 2 2" xfId="3916" xr:uid="{4A967452-9329-4BD2-9630-1C2AF8952833}"/>
    <cellStyle name="Separador de milhares 2 4 3 2 2 2 3" xfId="3099" xr:uid="{DC650233-1D8B-48AF-B7B6-D929A4712F04}"/>
    <cellStyle name="Separador de milhares 2 4 3 2 2 3" xfId="1378" xr:uid="{F95A63DF-2D49-445B-ACB9-6D0FE88B9565}"/>
    <cellStyle name="Separador de milhares 2 4 3 2 2 3 2" xfId="3489" xr:uid="{AEAE6B26-DF04-40EB-B5EA-DFDC9D0DC0CA}"/>
    <cellStyle name="Separador de milhares 2 4 3 2 2 4" xfId="2672" xr:uid="{11636E1C-7421-4723-A211-DA8A564C0E61}"/>
    <cellStyle name="Separador de milhares 2 4 3 2 3" xfId="784" xr:uid="{DA1D428E-AE29-43A3-ACEC-1672F8585DCF}"/>
    <cellStyle name="Separador de milhares 2 4 3 2 3 2" xfId="1613" xr:uid="{7D21A88F-3C89-400F-B4E0-CEEC6FB179E4}"/>
    <cellStyle name="Separador de milhares 2 4 3 2 3 2 2" xfId="3724" xr:uid="{834B7ED5-5117-42E1-86BE-6384A2B78CBD}"/>
    <cellStyle name="Separador de milhares 2 4 3 2 3 3" xfId="2907" xr:uid="{A8013C52-E787-454C-ABB3-D91B4C50079B}"/>
    <cellStyle name="Separador de milhares 2 4 3 2 4" xfId="1186" xr:uid="{024D6DFB-5A5A-4327-8AC8-B7BC6CC4E330}"/>
    <cellStyle name="Separador de milhares 2 4 3 2 4 2" xfId="3297" xr:uid="{DC0F255D-7F74-4864-9979-F8D71583A255}"/>
    <cellStyle name="Separador de milhares 2 4 3 2 5" xfId="2480" xr:uid="{07DF8A1C-D9A6-4971-9F82-82BAFE18FC60}"/>
    <cellStyle name="Separador de milhares 2 4 3 3" xfId="435" xr:uid="{56D76B4D-C086-430C-8A40-0C16CC738B73}"/>
    <cellStyle name="Separador de milhares 2 4 3 3 2" xfId="880" xr:uid="{5DF222E3-298D-4DF1-B626-7A99DF9A64F9}"/>
    <cellStyle name="Separador de milhares 2 4 3 3 2 2" xfId="1709" xr:uid="{9D88941C-43EC-4A04-B8E0-5D868C334905}"/>
    <cellStyle name="Separador de milhares 2 4 3 3 2 2 2" xfId="3820" xr:uid="{CF1FF369-5CC1-4C7B-98BB-6A3256B052A9}"/>
    <cellStyle name="Separador de milhares 2 4 3 3 2 3" xfId="3003" xr:uid="{DDA9E7AE-40A6-4DF5-819E-CF543C1CC23D}"/>
    <cellStyle name="Separador de milhares 2 4 3 3 3" xfId="1282" xr:uid="{92951024-21D8-414D-9FA1-FF12F7C92F93}"/>
    <cellStyle name="Separador de milhares 2 4 3 3 3 2" xfId="3393" xr:uid="{43D3FE73-BB8F-4C49-A411-99ADD49966E2}"/>
    <cellStyle name="Separador de milhares 2 4 3 3 4" xfId="2576" xr:uid="{2995347E-279A-418E-8E86-A804314FD138}"/>
    <cellStyle name="Separador de milhares 2 4 3 4" xfId="687" xr:uid="{B91C88E7-6798-45BF-A537-027264AF6CD2}"/>
    <cellStyle name="Separador de milhares 2 4 3 4 2" xfId="1517" xr:uid="{EA4932BE-3626-40E5-8A8E-78ECC21FA56D}"/>
    <cellStyle name="Separador de milhares 2 4 3 4 2 2" xfId="3628" xr:uid="{CE7E0321-ACB2-47D5-BB4C-DFDF5DD22429}"/>
    <cellStyle name="Separador de milhares 2 4 3 4 3" xfId="2811" xr:uid="{5000467F-586B-47F0-93A3-93B34BED7E63}"/>
    <cellStyle name="Separador de milhares 2 4 3 5" xfId="1090" xr:uid="{01EB0952-20D4-414E-892A-B61C43C057FB}"/>
    <cellStyle name="Separador de milhares 2 4 3 5 2" xfId="3201" xr:uid="{B25B6F98-DBDF-4631-ACEB-3B2258D97702}"/>
    <cellStyle name="Separador de milhares 2 4 3 6" xfId="2385" xr:uid="{2518A002-0B7B-4946-93F1-C0A51104EE50}"/>
    <cellStyle name="Separador de milhares 2 4 4" xfId="299" xr:uid="{4FFF0EE5-622A-4FF9-8368-A790B91277F7}"/>
    <cellStyle name="Separador de milhares 2 4 4 2" xfId="492" xr:uid="{4B89B3DD-EF24-48B8-B5AF-1BAACF76C8FD}"/>
    <cellStyle name="Separador de milhares 2 4 4 2 2" xfId="937" xr:uid="{46DA4346-4838-4453-ADBE-7383BE0C5138}"/>
    <cellStyle name="Separador de milhares 2 4 4 2 2 2" xfId="1766" xr:uid="{023E530D-1087-463A-964B-D6CD36417516}"/>
    <cellStyle name="Separador de milhares 2 4 4 2 2 2 2" xfId="3877" xr:uid="{82DA5349-E6D1-4949-9D25-661DFB8FEC99}"/>
    <cellStyle name="Separador de milhares 2 4 4 2 2 3" xfId="3060" xr:uid="{FBCB30E5-7CED-405D-935C-2A6B276F5FDC}"/>
    <cellStyle name="Separador de milhares 2 4 4 2 3" xfId="1339" xr:uid="{74A00173-7F87-4814-9881-5A591CEFB5D2}"/>
    <cellStyle name="Separador de milhares 2 4 4 2 3 2" xfId="3450" xr:uid="{204C019D-7BCD-49B4-AC95-E3D606E22362}"/>
    <cellStyle name="Separador de milhares 2 4 4 2 4" xfId="2633" xr:uid="{35244B8C-4B13-418C-9CC0-8EEE216F9E86}"/>
    <cellStyle name="Separador de milhares 2 4 4 3" xfId="745" xr:uid="{61454B53-5C52-442C-964C-36DA7D048F5F}"/>
    <cellStyle name="Separador de milhares 2 4 4 3 2" xfId="1574" xr:uid="{9E934FFF-B291-4BD0-8D6D-12A5337BF7FE}"/>
    <cellStyle name="Separador de milhares 2 4 4 3 2 2" xfId="3685" xr:uid="{3D4F96FB-883A-4707-AA51-030D91C065B2}"/>
    <cellStyle name="Separador de milhares 2 4 4 3 3" xfId="2868" xr:uid="{18FC66E3-E7EB-48A5-A245-A228AF5100D9}"/>
    <cellStyle name="Separador de milhares 2 4 4 4" xfId="1147" xr:uid="{7A8FDBA0-2467-4C1C-8604-BD90E724EFB8}"/>
    <cellStyle name="Separador de milhares 2 4 4 4 2" xfId="3258" xr:uid="{91BBFCCB-E38E-4821-BF1E-79B3FFED3D0E}"/>
    <cellStyle name="Separador de milhares 2 4 4 5" xfId="2441" xr:uid="{693AE2FE-B111-45CD-AF79-51F214829C21}"/>
    <cellStyle name="Separador de milhares 2 4 5" xfId="396" xr:uid="{E9FB90FA-45B2-47BF-A2F4-0AF1BE6A388A}"/>
    <cellStyle name="Separador de milhares 2 4 5 2" xfId="841" xr:uid="{4DF21242-B4E8-4A96-8B78-56DC7382E839}"/>
    <cellStyle name="Separador de milhares 2 4 5 2 2" xfId="1670" xr:uid="{1E8DCC93-0E9D-44F2-820B-361D8C926CDA}"/>
    <cellStyle name="Separador de milhares 2 4 5 2 2 2" xfId="3781" xr:uid="{63300B42-9D9A-466E-BDB2-58283EF9ED27}"/>
    <cellStyle name="Separador de milhares 2 4 5 2 3" xfId="2964" xr:uid="{C0191505-78DD-4F9E-8BD7-BC77A8AAF20C}"/>
    <cellStyle name="Separador de milhares 2 4 5 3" xfId="1243" xr:uid="{51EB2D6F-BCEA-435F-969F-70AE2E2D5A20}"/>
    <cellStyle name="Separador de milhares 2 4 5 3 2" xfId="3354" xr:uid="{D48E966B-E4F3-49A9-A580-644F77C5A66D}"/>
    <cellStyle name="Separador de milhares 2 4 5 4" xfId="2537" xr:uid="{0E3527EF-EA7B-43D0-A013-55E67CF899D1}"/>
    <cellStyle name="Separador de milhares 2 4 6" xfId="647" xr:uid="{08DD58D6-548E-4909-8936-DEB69063131C}"/>
    <cellStyle name="Separador de milhares 2 4 6 2" xfId="1478" xr:uid="{F8C5D6EC-6984-4269-9E65-1233F9FC1511}"/>
    <cellStyle name="Separador de milhares 2 4 6 2 2" xfId="3589" xr:uid="{BD0AB871-069B-48AD-A2A5-E1DD25714324}"/>
    <cellStyle name="Separador de milhares 2 4 6 3" xfId="2772" xr:uid="{76FC89D4-483A-40F5-8E6F-F1F951D5F031}"/>
    <cellStyle name="Separador de milhares 2 4 7" xfId="1051" xr:uid="{CF7B8014-A59E-4553-86C6-67E6EBE6F2EB}"/>
    <cellStyle name="Separador de milhares 2 4 7 2" xfId="3162" xr:uid="{378AC0CC-4562-42D0-A04F-73B91F98ABF7}"/>
    <cellStyle name="Separador de milhares 2 4 8" xfId="2346" xr:uid="{516CF783-250A-487C-AC85-E2E151B18E30}"/>
    <cellStyle name="Separador de milhares 2 5" xfId="175" xr:uid="{E5BF853A-0353-447E-B88E-08B168877CBA}"/>
    <cellStyle name="Separador de milhares 2 5 2" xfId="211" xr:uid="{1C80E715-9332-4A26-9144-75A7F7E915D5}"/>
    <cellStyle name="Separador de milhares 2 5 2 2" xfId="332" xr:uid="{6428CDE2-24A0-4015-97D1-8FEE07391F1E}"/>
    <cellStyle name="Separador de milhares 2 5 2 2 2" xfId="525" xr:uid="{DC7146FF-1133-40B5-B8FA-4B5982698A25}"/>
    <cellStyle name="Separador de milhares 2 5 2 2 2 2" xfId="970" xr:uid="{93EB628E-ECF3-4B1E-B380-E64A9E66123A}"/>
    <cellStyle name="Separador de milhares 2 5 2 2 2 2 2" xfId="1799" xr:uid="{B5AAE133-1420-4D17-85E9-ED857E778DF7}"/>
    <cellStyle name="Separador de milhares 2 5 2 2 2 2 2 2" xfId="3910" xr:uid="{307DC862-E98B-473B-92BC-82812A17F94E}"/>
    <cellStyle name="Separador de milhares 2 5 2 2 2 2 3" xfId="3093" xr:uid="{0141C420-9162-4634-BD29-B8408F4E0F4C}"/>
    <cellStyle name="Separador de milhares 2 5 2 2 2 3" xfId="1372" xr:uid="{C8392F01-707E-456A-99A3-E58291A59673}"/>
    <cellStyle name="Separador de milhares 2 5 2 2 2 3 2" xfId="3483" xr:uid="{8EAA6962-2D11-4E3B-8208-3C1D3BF52B4A}"/>
    <cellStyle name="Separador de milhares 2 5 2 2 2 4" xfId="2666" xr:uid="{28AA0D0B-21FA-4E69-8371-EE05883F87BB}"/>
    <cellStyle name="Separador de milhares 2 5 2 2 3" xfId="778" xr:uid="{0EA6B67F-0B0D-4460-A9F1-04DABBF1CA35}"/>
    <cellStyle name="Separador de milhares 2 5 2 2 3 2" xfId="1607" xr:uid="{9A4B3389-B2CB-4BE4-8D78-E4184EF1B3C2}"/>
    <cellStyle name="Separador de milhares 2 5 2 2 3 2 2" xfId="3718" xr:uid="{47287D32-EA45-4C08-8ED6-789524AD2F8F}"/>
    <cellStyle name="Separador de milhares 2 5 2 2 3 3" xfId="2901" xr:uid="{C0E0F610-7D63-4293-9502-CF9D760996B5}"/>
    <cellStyle name="Separador de milhares 2 5 2 2 4" xfId="1180" xr:uid="{27E066E1-D4E9-48D4-ACDD-9546BA446A4E}"/>
    <cellStyle name="Separador de milhares 2 5 2 2 4 2" xfId="3291" xr:uid="{F52BC4F0-219D-4F0A-9623-076BAFF237F4}"/>
    <cellStyle name="Separador de milhares 2 5 2 2 5" xfId="2474" xr:uid="{B1903787-202A-4421-ACEC-500D366E1F76}"/>
    <cellStyle name="Separador de milhares 2 5 2 3" xfId="429" xr:uid="{0D82193C-5759-4399-AADF-472CB5A7A30C}"/>
    <cellStyle name="Separador de milhares 2 5 2 3 2" xfId="874" xr:uid="{E8F07B42-43F8-46FA-90C8-4DF12B0CDFE8}"/>
    <cellStyle name="Separador de milhares 2 5 2 3 2 2" xfId="1703" xr:uid="{5ED23DF3-3F93-4CCC-8B42-6ADE546B6C29}"/>
    <cellStyle name="Separador de milhares 2 5 2 3 2 2 2" xfId="3814" xr:uid="{29267619-32E9-4163-B92D-164CF971F6CD}"/>
    <cellStyle name="Separador de milhares 2 5 2 3 2 3" xfId="2997" xr:uid="{612B6D56-77CB-4D68-9C55-B13A61714F47}"/>
    <cellStyle name="Separador de milhares 2 5 2 3 3" xfId="1276" xr:uid="{61C0562A-3A1A-4926-98D8-0F8EEA657098}"/>
    <cellStyle name="Separador de milhares 2 5 2 3 3 2" xfId="3387" xr:uid="{86303DAC-0842-4C36-B1FC-1C7BB577D62B}"/>
    <cellStyle name="Separador de milhares 2 5 2 3 4" xfId="2570" xr:uid="{C95C2F39-8ABA-43C8-9A31-57CD03DF4ED6}"/>
    <cellStyle name="Separador de milhares 2 5 2 4" xfId="680" xr:uid="{0D365B14-8E39-4A71-9D18-A0941F8EDE49}"/>
    <cellStyle name="Separador de milhares 2 5 2 4 2" xfId="1511" xr:uid="{6406F8EE-0849-4FD9-96A7-56E00D4B36E0}"/>
    <cellStyle name="Separador de milhares 2 5 2 4 2 2" xfId="3622" xr:uid="{7A3572F1-8FD6-43BC-8402-8B22831E28BD}"/>
    <cellStyle name="Separador de milhares 2 5 2 4 3" xfId="2805" xr:uid="{614842AD-944B-49C5-86ED-97B38BE93A80}"/>
    <cellStyle name="Separador de milhares 2 5 2 5" xfId="1084" xr:uid="{F8080F17-E43A-44B1-9BB8-80266754D4EC}"/>
    <cellStyle name="Separador de milhares 2 5 2 5 2" xfId="3195" xr:uid="{C03AAFCB-F78C-4EA9-83E7-1EFB2912DAB0}"/>
    <cellStyle name="Separador de milhares 2 5 2 6" xfId="2379" xr:uid="{A7D2D3C8-43AD-4854-8376-93E6D83D27C2}"/>
    <cellStyle name="Separador de milhares 2 5 3" xfId="219" xr:uid="{20923CC9-9F43-4AC0-B469-4C9DDB686E08}"/>
    <cellStyle name="Separador de milhares 2 5 3 2" xfId="340" xr:uid="{8872E225-D069-4620-AAD3-4202E315EE1E}"/>
    <cellStyle name="Separador de milhares 2 5 3 2 2" xfId="532" xr:uid="{A0259CCC-0ED7-4B22-8107-3266AFFFA156}"/>
    <cellStyle name="Separador de milhares 2 5 3 2 2 2" xfId="977" xr:uid="{5C834418-1E5C-4E5F-9B77-6A145241E93C}"/>
    <cellStyle name="Separador de milhares 2 5 3 2 2 2 2" xfId="1806" xr:uid="{16954074-3237-4367-8658-C818B7741649}"/>
    <cellStyle name="Separador de milhares 2 5 3 2 2 2 2 2" xfId="3917" xr:uid="{78F0F48F-47D5-4859-AE4F-CFB112FCBD43}"/>
    <cellStyle name="Separador de milhares 2 5 3 2 2 2 3" xfId="3100" xr:uid="{EB5762F3-7A11-472F-A858-425A522A2A39}"/>
    <cellStyle name="Separador de milhares 2 5 3 2 2 3" xfId="1379" xr:uid="{3BE8FE77-8A1F-43D7-9BDA-83FCAFEA54E9}"/>
    <cellStyle name="Separador de milhares 2 5 3 2 2 3 2" xfId="3490" xr:uid="{0A462791-752C-4DB6-9F65-B20AD945F64C}"/>
    <cellStyle name="Separador de milhares 2 5 3 2 2 4" xfId="2673" xr:uid="{F2DA9619-4D56-4E5D-8E5F-A893F994130F}"/>
    <cellStyle name="Separador de milhares 2 5 3 2 3" xfId="785" xr:uid="{7C9D03F0-C0C3-4A67-A496-24BE5F5D3994}"/>
    <cellStyle name="Separador de milhares 2 5 3 2 3 2" xfId="1614" xr:uid="{78763FA1-77E3-418C-811E-CEBEC4F311DC}"/>
    <cellStyle name="Separador de milhares 2 5 3 2 3 2 2" xfId="3725" xr:uid="{CF1AD80B-35D1-4101-ABE8-5A66F9AE1C04}"/>
    <cellStyle name="Separador de milhares 2 5 3 2 3 3" xfId="2908" xr:uid="{3C9C5F14-76EF-40C9-9172-71EF515622C1}"/>
    <cellStyle name="Separador de milhares 2 5 3 2 4" xfId="1187" xr:uid="{DAE4EAC5-BA46-4CC5-B4B6-DD7BDA33C8E3}"/>
    <cellStyle name="Separador de milhares 2 5 3 2 4 2" xfId="3298" xr:uid="{84C573CE-ED2A-4CA5-A778-5C8C30CF8D84}"/>
    <cellStyle name="Separador de milhares 2 5 3 2 5" xfId="2481" xr:uid="{2FDE4D91-C942-481E-A48B-E250EE72044B}"/>
    <cellStyle name="Separador de milhares 2 5 3 3" xfId="436" xr:uid="{77082076-BD17-4843-904E-FDA015CB5C2D}"/>
    <cellStyle name="Separador de milhares 2 5 3 3 2" xfId="881" xr:uid="{89E816AE-446B-487F-8754-C8C673B9D749}"/>
    <cellStyle name="Separador de milhares 2 5 3 3 2 2" xfId="1710" xr:uid="{199B29DC-BA94-496F-963B-67A4D9D00877}"/>
    <cellStyle name="Separador de milhares 2 5 3 3 2 2 2" xfId="3821" xr:uid="{FF415F61-3D53-4737-8692-4439A8BEE841}"/>
    <cellStyle name="Separador de milhares 2 5 3 3 2 3" xfId="3004" xr:uid="{11EE4D1D-754F-4AB0-BCDB-DE6C1F258803}"/>
    <cellStyle name="Separador de milhares 2 5 3 3 3" xfId="1283" xr:uid="{E2EC3205-965D-4196-8AA5-5D8AE5ABDEBA}"/>
    <cellStyle name="Separador de milhares 2 5 3 3 3 2" xfId="3394" xr:uid="{25E6CFB2-1D76-4A4B-ACBF-DD781CA207B2}"/>
    <cellStyle name="Separador de milhares 2 5 3 3 4" xfId="2577" xr:uid="{04E75A4D-FFCC-4ACE-A966-280362D401BB}"/>
    <cellStyle name="Separador de milhares 2 5 3 4" xfId="688" xr:uid="{D3920A74-2EB9-4E41-95FF-0964C0740552}"/>
    <cellStyle name="Separador de milhares 2 5 3 4 2" xfId="1518" xr:uid="{20F35D20-D38A-4F97-851A-9FBEE9F2D872}"/>
    <cellStyle name="Separador de milhares 2 5 3 4 2 2" xfId="3629" xr:uid="{4A93E446-0715-4FFF-A452-9695EA0AD0DE}"/>
    <cellStyle name="Separador de milhares 2 5 3 4 3" xfId="2812" xr:uid="{9244251E-D250-46D6-949C-EF26F7839846}"/>
    <cellStyle name="Separador de milhares 2 5 3 5" xfId="1091" xr:uid="{AD3128D9-FD5D-4320-8323-ABB40E05A0F7}"/>
    <cellStyle name="Separador de milhares 2 5 3 5 2" xfId="3202" xr:uid="{079FD637-494E-4DEA-B880-CED378BB9DDC}"/>
    <cellStyle name="Separador de milhares 2 5 3 6" xfId="2386" xr:uid="{A2EA73A4-2D85-4A17-AAFF-D748AC0E40AE}"/>
    <cellStyle name="Separador de milhares 2 5 4" xfId="300" xr:uid="{E980F5CB-D38E-473D-824D-E9722ECB14F9}"/>
    <cellStyle name="Separador de milhares 2 5 4 2" xfId="493" xr:uid="{4DDEED75-D0FB-47F8-94A9-552F5B1CCDB4}"/>
    <cellStyle name="Separador de milhares 2 5 4 2 2" xfId="938" xr:uid="{04302959-CEEF-44B2-97DD-DAE73198DD77}"/>
    <cellStyle name="Separador de milhares 2 5 4 2 2 2" xfId="1767" xr:uid="{959A6837-2E28-4E4E-B213-DF35C8ABAE8B}"/>
    <cellStyle name="Separador de milhares 2 5 4 2 2 2 2" xfId="3878" xr:uid="{498718D3-9D94-49AA-B3CC-C7C50A9135C9}"/>
    <cellStyle name="Separador de milhares 2 5 4 2 2 3" xfId="3061" xr:uid="{12D1BD1C-99D7-4306-BD20-608BD3B66B9A}"/>
    <cellStyle name="Separador de milhares 2 5 4 2 3" xfId="1340" xr:uid="{353E4E33-2AE5-4BAB-A407-05E97CA6645E}"/>
    <cellStyle name="Separador de milhares 2 5 4 2 3 2" xfId="3451" xr:uid="{7A88A9C1-AC27-43B6-AB93-980B99652177}"/>
    <cellStyle name="Separador de milhares 2 5 4 2 4" xfId="2634" xr:uid="{B3A064B1-08F0-484E-A7CA-1E5C78CEA570}"/>
    <cellStyle name="Separador de milhares 2 5 4 3" xfId="746" xr:uid="{9CC29539-CD29-403F-AA0C-60FEC7D16964}"/>
    <cellStyle name="Separador de milhares 2 5 4 3 2" xfId="1575" xr:uid="{BB6B9FCF-9242-4A14-8992-B00B1EAE18A8}"/>
    <cellStyle name="Separador de milhares 2 5 4 3 2 2" xfId="3686" xr:uid="{B3D3E815-1788-4B7D-B073-C7D674D6A9EF}"/>
    <cellStyle name="Separador de milhares 2 5 4 3 3" xfId="2869" xr:uid="{36CADBDA-629E-4CFA-9A6D-D46D5EF43B7B}"/>
    <cellStyle name="Separador de milhares 2 5 4 4" xfId="1148" xr:uid="{374982ED-6C07-4473-BE1C-15B93634A2BB}"/>
    <cellStyle name="Separador de milhares 2 5 4 4 2" xfId="3259" xr:uid="{D5DF2713-CE51-4413-A512-E3CCDDB58E92}"/>
    <cellStyle name="Separador de milhares 2 5 4 5" xfId="2442" xr:uid="{5CB836F3-920B-4197-9D20-796F5A12F5C7}"/>
    <cellStyle name="Separador de milhares 2 5 5" xfId="397" xr:uid="{65D8CC3B-982A-456E-B9E8-44FA0394931C}"/>
    <cellStyle name="Separador de milhares 2 5 5 2" xfId="842" xr:uid="{80D3B314-92CF-4A93-8699-DF4137438D14}"/>
    <cellStyle name="Separador de milhares 2 5 5 2 2" xfId="1671" xr:uid="{50CD4008-64E8-4345-8CF9-0D2CBB0F0EBD}"/>
    <cellStyle name="Separador de milhares 2 5 5 2 2 2" xfId="3782" xr:uid="{6EFD4371-4F3F-4531-9A22-CC37B37B1902}"/>
    <cellStyle name="Separador de milhares 2 5 5 2 3" xfId="2965" xr:uid="{AFBE1775-ADB5-4368-911D-EB03946ACDA2}"/>
    <cellStyle name="Separador de milhares 2 5 5 3" xfId="1244" xr:uid="{33122EF8-DD0C-45ED-9C6C-F538F56B6C71}"/>
    <cellStyle name="Separador de milhares 2 5 5 3 2" xfId="3355" xr:uid="{F4CB567E-0EF6-469B-95B7-1DE7C26612CE}"/>
    <cellStyle name="Separador de milhares 2 5 5 4" xfId="2538" xr:uid="{BDFCEAA3-D750-411C-8342-B13E8C1AFE91}"/>
    <cellStyle name="Separador de milhares 2 5 6" xfId="648" xr:uid="{8B91F94B-685F-4CDF-BAE9-1D05CB7EC95C}"/>
    <cellStyle name="Separador de milhares 2 5 6 2" xfId="1479" xr:uid="{1C662809-CCA0-45C7-B8FC-BF0C7B389547}"/>
    <cellStyle name="Separador de milhares 2 5 6 2 2" xfId="3590" xr:uid="{93C78104-2869-4ABC-9988-16651873104B}"/>
    <cellStyle name="Separador de milhares 2 5 6 3" xfId="2773" xr:uid="{149C436E-DB87-48CE-986B-A72FB6DE52A5}"/>
    <cellStyle name="Separador de milhares 2 5 7" xfId="1052" xr:uid="{AE1CF9E9-2514-4DE9-8508-51BBF4DD0110}"/>
    <cellStyle name="Separador de milhares 2 5 7 2" xfId="3163" xr:uid="{1606E5C6-491B-47AC-A084-9936CDFCC45F}"/>
    <cellStyle name="Separador de milhares 2 5 8" xfId="2347" xr:uid="{554EDA6E-F47E-42EE-BD5B-67147FB8B167}"/>
    <cellStyle name="Separador de milhares 2 6" xfId="176" xr:uid="{70905AFC-5226-4563-90D9-92BB2B42D9E9}"/>
    <cellStyle name="Separador de milhares 2 6 2" xfId="212" xr:uid="{CE622A66-ED5D-4601-BFD2-5C84B38A9097}"/>
    <cellStyle name="Separador de milhares 2 6 2 2" xfId="333" xr:uid="{83153ADA-3112-4DA5-890F-FA7D233F7437}"/>
    <cellStyle name="Separador de milhares 2 6 2 2 2" xfId="526" xr:uid="{35DDE17F-0565-45C7-9A88-327E64BCA3C2}"/>
    <cellStyle name="Separador de milhares 2 6 2 2 2 2" xfId="971" xr:uid="{1073E8A6-A496-442D-978F-BC8F36AA4D32}"/>
    <cellStyle name="Separador de milhares 2 6 2 2 2 2 2" xfId="1800" xr:uid="{E9F948F0-16CA-44D5-ABE6-784AA3515837}"/>
    <cellStyle name="Separador de milhares 2 6 2 2 2 2 2 2" xfId="3911" xr:uid="{B3087957-9EEB-491D-8A3C-3A85CB1CCDEE}"/>
    <cellStyle name="Separador de milhares 2 6 2 2 2 2 3" xfId="3094" xr:uid="{BDFA6AF1-65DE-4A09-9635-1BFCFAD7EDF3}"/>
    <cellStyle name="Separador de milhares 2 6 2 2 2 3" xfId="1373" xr:uid="{3CD82E2E-242E-4057-A0F1-DEAD2ADD623D}"/>
    <cellStyle name="Separador de milhares 2 6 2 2 2 3 2" xfId="3484" xr:uid="{12FA371F-484B-4811-8E79-FE75E646FC1A}"/>
    <cellStyle name="Separador de milhares 2 6 2 2 2 4" xfId="2667" xr:uid="{30E37504-820C-4F47-AED4-586A7BD06B8D}"/>
    <cellStyle name="Separador de milhares 2 6 2 2 3" xfId="779" xr:uid="{4CA2B330-4653-43FB-A98C-C67471177D93}"/>
    <cellStyle name="Separador de milhares 2 6 2 2 3 2" xfId="1608" xr:uid="{32C0B57D-8BD6-433A-9574-4B988BFC865B}"/>
    <cellStyle name="Separador de milhares 2 6 2 2 3 2 2" xfId="3719" xr:uid="{F996DCC4-47DA-41CC-8152-6E15AE639280}"/>
    <cellStyle name="Separador de milhares 2 6 2 2 3 3" xfId="2902" xr:uid="{63E41F69-6972-4480-A412-7034C6887A30}"/>
    <cellStyle name="Separador de milhares 2 6 2 2 4" xfId="1181" xr:uid="{CDECF5D0-09A8-4FB3-A703-E6E830AEFC00}"/>
    <cellStyle name="Separador de milhares 2 6 2 2 4 2" xfId="3292" xr:uid="{39B911E3-D307-49C2-9F3B-EA68C331EFAE}"/>
    <cellStyle name="Separador de milhares 2 6 2 2 5" xfId="2475" xr:uid="{9B4B79DB-84BA-4566-92B6-63B638A53B27}"/>
    <cellStyle name="Separador de milhares 2 6 2 3" xfId="430" xr:uid="{737F91AF-CD06-4C45-AB9C-3ABD5225F1BE}"/>
    <cellStyle name="Separador de milhares 2 6 2 3 2" xfId="875" xr:uid="{189709EC-A076-4930-A510-CCB0C26A40A3}"/>
    <cellStyle name="Separador de milhares 2 6 2 3 2 2" xfId="1704" xr:uid="{97E00F10-5487-459B-B5E8-A4B20D71F2E1}"/>
    <cellStyle name="Separador de milhares 2 6 2 3 2 2 2" xfId="3815" xr:uid="{CFC901A9-5113-44B9-9915-54722E0E340D}"/>
    <cellStyle name="Separador de milhares 2 6 2 3 2 3" xfId="2998" xr:uid="{61DDD123-534E-4756-9D71-F270B57444CA}"/>
    <cellStyle name="Separador de milhares 2 6 2 3 3" xfId="1277" xr:uid="{CFAD7060-DDC9-425B-89FA-CFFA3538E2F7}"/>
    <cellStyle name="Separador de milhares 2 6 2 3 3 2" xfId="3388" xr:uid="{5C3A18AE-406A-420B-B0B8-87AC1E14B2B7}"/>
    <cellStyle name="Separador de milhares 2 6 2 3 4" xfId="2571" xr:uid="{9B15B1CB-F078-4C4D-AB7F-5DEB5695C95D}"/>
    <cellStyle name="Separador de milhares 2 6 2 4" xfId="681" xr:uid="{0A2E7818-8F75-4AB6-ADD8-13FBC3D6B141}"/>
    <cellStyle name="Separador de milhares 2 6 2 4 2" xfId="1512" xr:uid="{A8141206-5484-40ED-8161-0F9AD07FCF14}"/>
    <cellStyle name="Separador de milhares 2 6 2 4 2 2" xfId="3623" xr:uid="{C4736CF0-289A-4087-A429-198EBB2EDF2B}"/>
    <cellStyle name="Separador de milhares 2 6 2 4 3" xfId="2806" xr:uid="{1C5A7A0C-8221-430D-9BE7-39FDDDA33523}"/>
    <cellStyle name="Separador de milhares 2 6 2 5" xfId="1085" xr:uid="{8B746E5D-02D4-4D68-AD91-C7108E652356}"/>
    <cellStyle name="Separador de milhares 2 6 2 5 2" xfId="3196" xr:uid="{9478B73A-BEE6-422D-BCB0-0CB7972716FC}"/>
    <cellStyle name="Separador de milhares 2 6 2 6" xfId="2380" xr:uid="{D4D5729F-0FAA-4CB9-AAFB-0D739FC7C125}"/>
    <cellStyle name="Separador de milhares 2 6 3" xfId="220" xr:uid="{DB7F640E-15BA-4B57-9C07-AC478A053201}"/>
    <cellStyle name="Separador de milhares 2 6 3 2" xfId="341" xr:uid="{E5B61418-4E7A-4E1B-A4CD-F8B35F758E74}"/>
    <cellStyle name="Separador de milhares 2 6 3 2 2" xfId="533" xr:uid="{8B738ADB-D213-4F56-96E0-BD6929FB66D1}"/>
    <cellStyle name="Separador de milhares 2 6 3 2 2 2" xfId="978" xr:uid="{97A96672-A99E-48C5-81BD-9D0BB975E951}"/>
    <cellStyle name="Separador de milhares 2 6 3 2 2 2 2" xfId="1807" xr:uid="{77738AD0-17DA-4DA8-A33F-CD2928B88F95}"/>
    <cellStyle name="Separador de milhares 2 6 3 2 2 2 2 2" xfId="3918" xr:uid="{04968716-36DC-494A-A01C-BB72E94DD2E0}"/>
    <cellStyle name="Separador de milhares 2 6 3 2 2 2 3" xfId="3101" xr:uid="{E6E43F4C-571E-4FEA-9D01-386E2506815E}"/>
    <cellStyle name="Separador de milhares 2 6 3 2 2 3" xfId="1380" xr:uid="{F5EE5F77-5873-4615-B8DB-8060F410E9CA}"/>
    <cellStyle name="Separador de milhares 2 6 3 2 2 3 2" xfId="3491" xr:uid="{81886FAC-DCD3-4BE2-8131-C49DC08B657E}"/>
    <cellStyle name="Separador de milhares 2 6 3 2 2 4" xfId="2674" xr:uid="{CC2EE0CB-CF31-4747-9412-B3B8F7DA1786}"/>
    <cellStyle name="Separador de milhares 2 6 3 2 3" xfId="786" xr:uid="{A633213F-B1C2-4B35-914A-54871BBDB37C}"/>
    <cellStyle name="Separador de milhares 2 6 3 2 3 2" xfId="1615" xr:uid="{4C573E34-A0CD-49F1-8BDA-2BF257C7A9D7}"/>
    <cellStyle name="Separador de milhares 2 6 3 2 3 2 2" xfId="3726" xr:uid="{E206C592-24BD-49DA-8BA9-E7BA98B76FE5}"/>
    <cellStyle name="Separador de milhares 2 6 3 2 3 3" xfId="2909" xr:uid="{6FCF036F-D225-440F-9016-6BE1B38FA85A}"/>
    <cellStyle name="Separador de milhares 2 6 3 2 4" xfId="1188" xr:uid="{8ECE9144-D241-4355-A653-44230900E8E7}"/>
    <cellStyle name="Separador de milhares 2 6 3 2 4 2" xfId="3299" xr:uid="{0BE7AEEA-5948-402D-BBA3-DF1044D643A9}"/>
    <cellStyle name="Separador de milhares 2 6 3 2 5" xfId="2482" xr:uid="{E40F38E6-535F-44D0-8A05-FA5692728D0B}"/>
    <cellStyle name="Separador de milhares 2 6 3 3" xfId="437" xr:uid="{29EA314C-9C5A-4E3C-BEF4-5ACD95E7FF24}"/>
    <cellStyle name="Separador de milhares 2 6 3 3 2" xfId="882" xr:uid="{1372D25C-2CE6-42AD-83F6-E77EF4F701BA}"/>
    <cellStyle name="Separador de milhares 2 6 3 3 2 2" xfId="1711" xr:uid="{A55E1150-D460-4552-A440-13B26DA212C4}"/>
    <cellStyle name="Separador de milhares 2 6 3 3 2 2 2" xfId="3822" xr:uid="{CED5AFD5-6D6A-449F-BFB5-548C8976585B}"/>
    <cellStyle name="Separador de milhares 2 6 3 3 2 3" xfId="3005" xr:uid="{52E52439-CBDE-4596-AF4D-294953576253}"/>
    <cellStyle name="Separador de milhares 2 6 3 3 3" xfId="1284" xr:uid="{B48E7F49-A004-4635-9E9D-C73BEFA7F8D7}"/>
    <cellStyle name="Separador de milhares 2 6 3 3 3 2" xfId="3395" xr:uid="{E4290583-977D-4259-B637-53A84E67365F}"/>
    <cellStyle name="Separador de milhares 2 6 3 3 4" xfId="2578" xr:uid="{0619B654-8700-4CA0-8B4A-47669F1FB726}"/>
    <cellStyle name="Separador de milhares 2 6 3 4" xfId="689" xr:uid="{9FCEE520-0A04-4019-8953-7BC9E4CA27A7}"/>
    <cellStyle name="Separador de milhares 2 6 3 4 2" xfId="1519" xr:uid="{30725465-71A4-47D9-9CAF-71E5FC4E1172}"/>
    <cellStyle name="Separador de milhares 2 6 3 4 2 2" xfId="3630" xr:uid="{A92096CE-B692-4ED6-8D9B-E73B57722EF7}"/>
    <cellStyle name="Separador de milhares 2 6 3 4 3" xfId="2813" xr:uid="{21FFE2D1-CE49-4A79-8481-6DCBF7A16546}"/>
    <cellStyle name="Separador de milhares 2 6 3 5" xfId="1092" xr:uid="{F42DEB23-F742-4B6F-9C03-418B432DFEBD}"/>
    <cellStyle name="Separador de milhares 2 6 3 5 2" xfId="3203" xr:uid="{73D5DC8F-D525-4EDD-943A-6FB3E92024CF}"/>
    <cellStyle name="Separador de milhares 2 6 3 6" xfId="2387" xr:uid="{4EC3331D-100E-4AE7-B30F-1A7860FA93F6}"/>
    <cellStyle name="Separador de milhares 2 6 4" xfId="301" xr:uid="{A53C87A6-4058-4FFC-BD7B-072D9BE609B0}"/>
    <cellStyle name="Separador de milhares 2 6 4 2" xfId="494" xr:uid="{AC726906-6533-488D-A270-982AB52BCFB2}"/>
    <cellStyle name="Separador de milhares 2 6 4 2 2" xfId="939" xr:uid="{7A2C1C75-E1AD-4A3B-8CF6-6522573D7078}"/>
    <cellStyle name="Separador de milhares 2 6 4 2 2 2" xfId="1768" xr:uid="{B025D23C-1986-4DF8-B442-45460134A6BF}"/>
    <cellStyle name="Separador de milhares 2 6 4 2 2 2 2" xfId="3879" xr:uid="{136478B9-03CF-4630-9360-06952BC98B71}"/>
    <cellStyle name="Separador de milhares 2 6 4 2 2 3" xfId="3062" xr:uid="{3F5307B7-C20B-427E-9923-291713E94908}"/>
    <cellStyle name="Separador de milhares 2 6 4 2 3" xfId="1341" xr:uid="{7266A414-D366-4AF5-9697-FF6213E26223}"/>
    <cellStyle name="Separador de milhares 2 6 4 2 3 2" xfId="3452" xr:uid="{EF37B7A8-0096-44B5-B488-76A6ABCE82F8}"/>
    <cellStyle name="Separador de milhares 2 6 4 2 4" xfId="2635" xr:uid="{E1AD2B82-1E16-4482-8776-4DB01524B63F}"/>
    <cellStyle name="Separador de milhares 2 6 4 3" xfId="747" xr:uid="{1D0F1616-C7CF-4704-A698-52D632180518}"/>
    <cellStyle name="Separador de milhares 2 6 4 3 2" xfId="1576" xr:uid="{C9099BFE-8BFC-4473-AF6A-8A125DFA2AF7}"/>
    <cellStyle name="Separador de milhares 2 6 4 3 2 2" xfId="3687" xr:uid="{0EC9ACAB-8AA9-4791-BC19-835F4F7D7CB2}"/>
    <cellStyle name="Separador de milhares 2 6 4 3 3" xfId="2870" xr:uid="{501C7A7D-2095-4769-B9F1-01D1BAB0EFDC}"/>
    <cellStyle name="Separador de milhares 2 6 4 4" xfId="1149" xr:uid="{AA297B5F-38DF-43E1-AE20-EAC4EE82E20C}"/>
    <cellStyle name="Separador de milhares 2 6 4 4 2" xfId="3260" xr:uid="{5EAE86AC-7131-4B00-81C3-ADFC2416B2C5}"/>
    <cellStyle name="Separador de milhares 2 6 4 5" xfId="2443" xr:uid="{A30D08CD-4FB1-4CDE-8A2F-9C715D8AF5CE}"/>
    <cellStyle name="Separador de milhares 2 6 5" xfId="398" xr:uid="{7F3FDC19-E4C2-48BE-8E8E-1BE3C2463AF8}"/>
    <cellStyle name="Separador de milhares 2 6 5 2" xfId="843" xr:uid="{D34319CB-3CC8-4AFD-A28E-4D22B7A5B772}"/>
    <cellStyle name="Separador de milhares 2 6 5 2 2" xfId="1672" xr:uid="{CA1B2B3A-E55F-4C79-A0DA-3D25E00AA814}"/>
    <cellStyle name="Separador de milhares 2 6 5 2 2 2" xfId="3783" xr:uid="{84A442F0-5FD1-4B8B-B0F5-7C94C0D652BF}"/>
    <cellStyle name="Separador de milhares 2 6 5 2 3" xfId="2966" xr:uid="{DDB16A53-DE9D-49AF-B88F-7686228F36A0}"/>
    <cellStyle name="Separador de milhares 2 6 5 3" xfId="1245" xr:uid="{8225A8F2-1D04-477D-8EC7-441735588887}"/>
    <cellStyle name="Separador de milhares 2 6 5 3 2" xfId="3356" xr:uid="{FCAAD822-CE7A-4042-9253-7E4AE303F89B}"/>
    <cellStyle name="Separador de milhares 2 6 5 4" xfId="2539" xr:uid="{57ED8B06-F16A-4C73-B589-9A0AD2FC7958}"/>
    <cellStyle name="Separador de milhares 2 6 6" xfId="649" xr:uid="{3307AA90-228D-48F0-BB44-CF8A15BEA3B7}"/>
    <cellStyle name="Separador de milhares 2 6 6 2" xfId="1480" xr:uid="{024A801F-2FA6-47BE-BDDF-AC12BC1CC08D}"/>
    <cellStyle name="Separador de milhares 2 6 6 2 2" xfId="3591" xr:uid="{61DA1430-B5B6-48A1-B444-04CC939A5B07}"/>
    <cellStyle name="Separador de milhares 2 6 6 3" xfId="2774" xr:uid="{2D536363-9E77-45E1-AD38-F7913055CCE7}"/>
    <cellStyle name="Separador de milhares 2 6 7" xfId="1053" xr:uid="{2BE9CE21-E067-4985-B990-16911936E650}"/>
    <cellStyle name="Separador de milhares 2 6 7 2" xfId="3164" xr:uid="{DF7CEA1C-B961-409D-95E4-E6473AEC300C}"/>
    <cellStyle name="Separador de milhares 2 6 8" xfId="2348" xr:uid="{E47A1256-8426-4778-8C0C-9F727888B527}"/>
    <cellStyle name="Separador de milhares 2 7" xfId="177" xr:uid="{46980D2A-BE9D-4C33-9C84-CBBF08B67BE5}"/>
    <cellStyle name="Separador de milhares 2 7 2" xfId="213" xr:uid="{BD2C8A52-D1D4-4D29-A495-075692A335A9}"/>
    <cellStyle name="Separador de milhares 2 7 2 2" xfId="334" xr:uid="{CBD6E97C-18AF-42BA-86C5-ED51F163A55F}"/>
    <cellStyle name="Separador de milhares 2 7 2 2 2" xfId="527" xr:uid="{7A26591B-4E36-4044-9CB5-B3FA20BEE45C}"/>
    <cellStyle name="Separador de milhares 2 7 2 2 2 2" xfId="972" xr:uid="{12B05CF3-37F2-4A38-A7F3-40650A809830}"/>
    <cellStyle name="Separador de milhares 2 7 2 2 2 2 2" xfId="1801" xr:uid="{16D99BF4-BD2F-4AA9-9E55-888157369C2C}"/>
    <cellStyle name="Separador de milhares 2 7 2 2 2 2 2 2" xfId="3912" xr:uid="{14E299D8-46E3-4A61-B419-F889E1802CC7}"/>
    <cellStyle name="Separador de milhares 2 7 2 2 2 2 3" xfId="3095" xr:uid="{21E0045E-B3F6-4C6D-B656-23EC339A82F4}"/>
    <cellStyle name="Separador de milhares 2 7 2 2 2 3" xfId="1374" xr:uid="{EE779672-7089-450D-A7E0-86851D5E6C12}"/>
    <cellStyle name="Separador de milhares 2 7 2 2 2 3 2" xfId="3485" xr:uid="{47637DDA-1B32-4A50-9262-95A74E24B6E6}"/>
    <cellStyle name="Separador de milhares 2 7 2 2 2 4" xfId="2668" xr:uid="{24E1EA50-E5F4-43B2-A205-48C06955AEEA}"/>
    <cellStyle name="Separador de milhares 2 7 2 2 3" xfId="780" xr:uid="{1BA64B3D-8662-4928-B850-5E84D1475E04}"/>
    <cellStyle name="Separador de milhares 2 7 2 2 3 2" xfId="1609" xr:uid="{2E108E29-B213-40C3-9B42-714919FA5874}"/>
    <cellStyle name="Separador de milhares 2 7 2 2 3 2 2" xfId="3720" xr:uid="{FE67E8F9-5A01-4178-AAC9-FCA2F2421CD7}"/>
    <cellStyle name="Separador de milhares 2 7 2 2 3 3" xfId="2903" xr:uid="{271B59F2-9CAD-4979-8343-454437308ED1}"/>
    <cellStyle name="Separador de milhares 2 7 2 2 4" xfId="1182" xr:uid="{C22D6AD4-BF25-4502-827F-9A3189FBE52D}"/>
    <cellStyle name="Separador de milhares 2 7 2 2 4 2" xfId="3293" xr:uid="{9BBC6968-FF30-41CB-BE06-8CB60F3B5424}"/>
    <cellStyle name="Separador de milhares 2 7 2 2 5" xfId="2476" xr:uid="{28F76160-7584-40B2-B3B9-3F79B8D7564C}"/>
    <cellStyle name="Separador de milhares 2 7 2 3" xfId="431" xr:uid="{DF6FAF84-DF38-41FD-9093-F82E590454DE}"/>
    <cellStyle name="Separador de milhares 2 7 2 3 2" xfId="876" xr:uid="{B39A7FFB-D217-48A8-9D27-27907D32A3F8}"/>
    <cellStyle name="Separador de milhares 2 7 2 3 2 2" xfId="1705" xr:uid="{8BC6BB5A-0388-4E46-B141-36B5CF0B3781}"/>
    <cellStyle name="Separador de milhares 2 7 2 3 2 2 2" xfId="3816" xr:uid="{49ADACC7-B320-4FA9-B736-6D74F1825552}"/>
    <cellStyle name="Separador de milhares 2 7 2 3 2 3" xfId="2999" xr:uid="{963F9696-60F6-457B-ADE4-BFCE67A4DBC0}"/>
    <cellStyle name="Separador de milhares 2 7 2 3 3" xfId="1278" xr:uid="{DDDD6DEE-3FA3-40F2-A531-6513BE29D372}"/>
    <cellStyle name="Separador de milhares 2 7 2 3 3 2" xfId="3389" xr:uid="{A99C5119-3AC1-453E-89D6-843BCF5D0FA6}"/>
    <cellStyle name="Separador de milhares 2 7 2 3 4" xfId="2572" xr:uid="{3EA5C183-28A8-44D2-863F-830451A923DE}"/>
    <cellStyle name="Separador de milhares 2 7 2 4" xfId="682" xr:uid="{4E955BE7-AE04-44FC-B3B1-44806F36B31B}"/>
    <cellStyle name="Separador de milhares 2 7 2 4 2" xfId="1513" xr:uid="{918147C6-7260-4873-998B-DD523704E32D}"/>
    <cellStyle name="Separador de milhares 2 7 2 4 2 2" xfId="3624" xr:uid="{D8C5253B-06E1-4F95-9558-F7B012C28C06}"/>
    <cellStyle name="Separador de milhares 2 7 2 4 3" xfId="2807" xr:uid="{2CB628DB-C272-4E61-9D94-9FA4AA74CF8F}"/>
    <cellStyle name="Separador de milhares 2 7 2 5" xfId="1086" xr:uid="{BB071C77-23E6-407B-A8F6-5F30B3C8A340}"/>
    <cellStyle name="Separador de milhares 2 7 2 5 2" xfId="3197" xr:uid="{ECF18578-B80D-4966-B467-685AFF279FEF}"/>
    <cellStyle name="Separador de milhares 2 7 2 6" xfId="2381" xr:uid="{092E02E4-5E30-414E-B5E0-5BBDE9EF3C74}"/>
    <cellStyle name="Separador de milhares 2 7 3" xfId="221" xr:uid="{3EAFF39E-CDA5-481D-B44C-E08D51771347}"/>
    <cellStyle name="Separador de milhares 2 7 3 2" xfId="342" xr:uid="{798DD892-4E50-4776-8635-0CF7FCFBA3C7}"/>
    <cellStyle name="Separador de milhares 2 7 3 2 2" xfId="534" xr:uid="{69C57CDA-45CE-482F-BC78-430113D92707}"/>
    <cellStyle name="Separador de milhares 2 7 3 2 2 2" xfId="979" xr:uid="{14B533E1-33CC-4A66-917D-E13E0ADB8891}"/>
    <cellStyle name="Separador de milhares 2 7 3 2 2 2 2" xfId="1808" xr:uid="{6982C38F-6F10-4F00-AF8B-A8F1E0D1BB48}"/>
    <cellStyle name="Separador de milhares 2 7 3 2 2 2 2 2" xfId="3919" xr:uid="{0473F8E4-537B-4154-9E36-D281D625D7AB}"/>
    <cellStyle name="Separador de milhares 2 7 3 2 2 2 3" xfId="3102" xr:uid="{76E0C328-CA03-47F8-AB2E-DB887D3DF2FF}"/>
    <cellStyle name="Separador de milhares 2 7 3 2 2 3" xfId="1381" xr:uid="{906C7025-BC5A-4ED7-B583-B37FF8D3FA0A}"/>
    <cellStyle name="Separador de milhares 2 7 3 2 2 3 2" xfId="3492" xr:uid="{9C8DEE6F-C3B7-44DA-86EB-E0DA32084C18}"/>
    <cellStyle name="Separador de milhares 2 7 3 2 2 4" xfId="2675" xr:uid="{63A8C3FA-A053-496C-A629-20B887541829}"/>
    <cellStyle name="Separador de milhares 2 7 3 2 3" xfId="787" xr:uid="{13AC6957-5DD8-46F5-8293-D1339AF546BE}"/>
    <cellStyle name="Separador de milhares 2 7 3 2 3 2" xfId="1616" xr:uid="{C73BD733-85C7-479B-9A73-1582F8C706F9}"/>
    <cellStyle name="Separador de milhares 2 7 3 2 3 2 2" xfId="3727" xr:uid="{F0AD7B48-32E2-4515-8652-5295C566957E}"/>
    <cellStyle name="Separador de milhares 2 7 3 2 3 3" xfId="2910" xr:uid="{49073C66-73BA-475F-AA06-03D993ED0870}"/>
    <cellStyle name="Separador de milhares 2 7 3 2 4" xfId="1189" xr:uid="{E056B795-A19A-4120-8EA7-5D95053AA56B}"/>
    <cellStyle name="Separador de milhares 2 7 3 2 4 2" xfId="3300" xr:uid="{1517483D-91A3-4530-96B2-5D28204EE09D}"/>
    <cellStyle name="Separador de milhares 2 7 3 2 5" xfId="2483" xr:uid="{C9D505CF-807A-43E4-A2E8-F3C317E20754}"/>
    <cellStyle name="Separador de milhares 2 7 3 3" xfId="438" xr:uid="{51B5D07F-722E-4410-8973-00B4DC4EC8F4}"/>
    <cellStyle name="Separador de milhares 2 7 3 3 2" xfId="883" xr:uid="{3AD39F5A-18A8-4682-AB31-13322B899018}"/>
    <cellStyle name="Separador de milhares 2 7 3 3 2 2" xfId="1712" xr:uid="{5CC315F4-3EC2-48DF-A9F1-A349FFF33703}"/>
    <cellStyle name="Separador de milhares 2 7 3 3 2 2 2" xfId="3823" xr:uid="{2C1C14C0-B029-47F0-B146-F08147F0707A}"/>
    <cellStyle name="Separador de milhares 2 7 3 3 2 3" xfId="3006" xr:uid="{98CEC482-5DE1-44FD-A58F-BE547CC6FAEB}"/>
    <cellStyle name="Separador de milhares 2 7 3 3 3" xfId="1285" xr:uid="{681BD879-108A-44B9-A0EF-430C6158D40A}"/>
    <cellStyle name="Separador de milhares 2 7 3 3 3 2" xfId="3396" xr:uid="{6028BBA5-BEE9-4A2F-A99F-1FB6E50BA862}"/>
    <cellStyle name="Separador de milhares 2 7 3 3 4" xfId="2579" xr:uid="{BF59BE2C-F170-4333-A667-BBBF09C7F6E3}"/>
    <cellStyle name="Separador de milhares 2 7 3 4" xfId="690" xr:uid="{FC4A0A60-8433-4ADB-B70A-D8C7EF7F8DB5}"/>
    <cellStyle name="Separador de milhares 2 7 3 4 2" xfId="1520" xr:uid="{BF70E9F5-E231-4079-B34E-F1C5AAD86E0D}"/>
    <cellStyle name="Separador de milhares 2 7 3 4 2 2" xfId="3631" xr:uid="{4157323F-1227-40B2-A85F-851D62AE4735}"/>
    <cellStyle name="Separador de milhares 2 7 3 4 3" xfId="2814" xr:uid="{71F1A804-B1CE-4B88-B158-47AA4CF15DE8}"/>
    <cellStyle name="Separador de milhares 2 7 3 5" xfId="1093" xr:uid="{8C251422-1E43-42AB-ABF3-D6871069477F}"/>
    <cellStyle name="Separador de milhares 2 7 3 5 2" xfId="3204" xr:uid="{A465E54B-DED7-4D35-AA14-116A6F15E234}"/>
    <cellStyle name="Separador de milhares 2 7 3 6" xfId="2388" xr:uid="{8AB9797A-37C8-41CE-AA17-034E81890FB9}"/>
    <cellStyle name="Separador de milhares 2 7 4" xfId="302" xr:uid="{8C74E73C-7B02-4C2A-B1A0-16896C21F1FF}"/>
    <cellStyle name="Separador de milhares 2 7 4 2" xfId="495" xr:uid="{69B863FB-8FC6-48B8-9EB8-1C799ECDF8BA}"/>
    <cellStyle name="Separador de milhares 2 7 4 2 2" xfId="940" xr:uid="{65BF5B0B-8F09-496D-855E-16A9A308BFA7}"/>
    <cellStyle name="Separador de milhares 2 7 4 2 2 2" xfId="1769" xr:uid="{F46CD2A2-1B51-4E01-9CF0-66E52C6EC0A8}"/>
    <cellStyle name="Separador de milhares 2 7 4 2 2 2 2" xfId="3880" xr:uid="{6C208B33-6CB2-4F15-802A-E2874C888099}"/>
    <cellStyle name="Separador de milhares 2 7 4 2 2 3" xfId="3063" xr:uid="{947D10D0-C7B7-4D2B-84F9-4222C00C7142}"/>
    <cellStyle name="Separador de milhares 2 7 4 2 3" xfId="1342" xr:uid="{D4CBD43E-EA86-4D6F-A71B-C2305962C3D8}"/>
    <cellStyle name="Separador de milhares 2 7 4 2 3 2" xfId="3453" xr:uid="{3C37EAD4-C4DD-459D-B892-08C04FFF15D1}"/>
    <cellStyle name="Separador de milhares 2 7 4 2 4" xfId="2636" xr:uid="{E1513F94-01C1-4003-B0B1-27C7968D6E9F}"/>
    <cellStyle name="Separador de milhares 2 7 4 3" xfId="748" xr:uid="{596F1E93-32C9-4A0F-9378-CE10F7F873AB}"/>
    <cellStyle name="Separador de milhares 2 7 4 3 2" xfId="1577" xr:uid="{1AFD8D8D-57E8-46DB-AE8D-3DC2004D14E1}"/>
    <cellStyle name="Separador de milhares 2 7 4 3 2 2" xfId="3688" xr:uid="{B717975A-C062-4D4F-9E93-1FCFB18DCB57}"/>
    <cellStyle name="Separador de milhares 2 7 4 3 3" xfId="2871" xr:uid="{6FBA9AF0-1093-41BB-A7E9-0661FB3E6B69}"/>
    <cellStyle name="Separador de milhares 2 7 4 4" xfId="1150" xr:uid="{47F81848-73E5-40B0-9A99-8F82E2A3E759}"/>
    <cellStyle name="Separador de milhares 2 7 4 4 2" xfId="3261" xr:uid="{FD85197C-71D2-41D7-9722-909956925573}"/>
    <cellStyle name="Separador de milhares 2 7 4 5" xfId="2444" xr:uid="{949ABDE9-5E4F-4C0A-B16E-CEFD7DC5B77A}"/>
    <cellStyle name="Separador de milhares 2 7 5" xfId="399" xr:uid="{74079DC4-B0F1-4407-9F80-A321D2EE207D}"/>
    <cellStyle name="Separador de milhares 2 7 5 2" xfId="844" xr:uid="{292E01BD-8C5F-424B-9503-F56FA515B6FB}"/>
    <cellStyle name="Separador de milhares 2 7 5 2 2" xfId="1673" xr:uid="{F7290E28-B05C-4482-99C6-124DFA334DBF}"/>
    <cellStyle name="Separador de milhares 2 7 5 2 2 2" xfId="3784" xr:uid="{89FF291A-C99E-4858-9B59-2F93D2AF0169}"/>
    <cellStyle name="Separador de milhares 2 7 5 2 3" xfId="2967" xr:uid="{BB411814-2929-4ED2-8083-54492B939F89}"/>
    <cellStyle name="Separador de milhares 2 7 5 3" xfId="1246" xr:uid="{7288F3FB-37D1-4DE8-8AAB-D3F5592810A8}"/>
    <cellStyle name="Separador de milhares 2 7 5 3 2" xfId="3357" xr:uid="{83D59C2B-BE84-4DE9-AD9B-4254BA8A1267}"/>
    <cellStyle name="Separador de milhares 2 7 5 4" xfId="2540" xr:uid="{51BEF7EC-EFE2-4199-857C-4C39D5FAEF6C}"/>
    <cellStyle name="Separador de milhares 2 7 6" xfId="650" xr:uid="{DE289C60-5338-4133-981F-F96BF1CD26D0}"/>
    <cellStyle name="Separador de milhares 2 7 6 2" xfId="1481" xr:uid="{0C687EC6-774E-4C0C-8866-C250EB53B86F}"/>
    <cellStyle name="Separador de milhares 2 7 6 2 2" xfId="3592" xr:uid="{97EFF194-9DAF-45C9-BABC-52C2FD5A89D8}"/>
    <cellStyle name="Separador de milhares 2 7 6 3" xfId="2775" xr:uid="{22F48949-7F54-4E77-B253-4753E0F7873C}"/>
    <cellStyle name="Separador de milhares 2 7 7" xfId="1054" xr:uid="{A9C00426-1B0B-434A-940F-F9AA6A47858C}"/>
    <cellStyle name="Separador de milhares 2 7 7 2" xfId="3165" xr:uid="{78CFE745-52A4-4FFB-91DD-1F932058D7A6}"/>
    <cellStyle name="Separador de milhares 2 7 8" xfId="2349" xr:uid="{07ECE682-5B46-4C62-8E04-55EA4394FDE4}"/>
    <cellStyle name="Separador de milhares 2 8" xfId="178" xr:uid="{91D788BC-FE7E-4402-8C22-3ACC0E84C326}"/>
    <cellStyle name="Separador de milhares 2 8 2" xfId="214" xr:uid="{FB5D352F-2C63-4917-B9BB-85AFF36DC95B}"/>
    <cellStyle name="Separador de milhares 2 8 2 2" xfId="335" xr:uid="{48BC9337-3E87-4C94-860B-47F306466D76}"/>
    <cellStyle name="Separador de milhares 2 8 2 2 2" xfId="528" xr:uid="{DEBEBB76-A144-4BAF-A3E9-BFD5554DD367}"/>
    <cellStyle name="Separador de milhares 2 8 2 2 2 2" xfId="973" xr:uid="{BE4DEFEA-5C3F-4A1D-9607-D3F7A8834BA3}"/>
    <cellStyle name="Separador de milhares 2 8 2 2 2 2 2" xfId="1802" xr:uid="{84836224-23CC-490D-B3B5-CD7E8271E713}"/>
    <cellStyle name="Separador de milhares 2 8 2 2 2 2 2 2" xfId="3913" xr:uid="{117C2A56-7E40-4362-8C85-0B8DB40872FF}"/>
    <cellStyle name="Separador de milhares 2 8 2 2 2 2 3" xfId="3096" xr:uid="{BD2DEA2D-F68A-411E-88FD-5EDD335CDC06}"/>
    <cellStyle name="Separador de milhares 2 8 2 2 2 3" xfId="1375" xr:uid="{4EF634B3-4C2B-4DDF-A90F-E060BB08982D}"/>
    <cellStyle name="Separador de milhares 2 8 2 2 2 3 2" xfId="3486" xr:uid="{74A62FDB-F3D1-4D25-B252-A1D3DA32DE4D}"/>
    <cellStyle name="Separador de milhares 2 8 2 2 2 4" xfId="2669" xr:uid="{B43CD383-AC21-42A1-923A-ADA8226C1101}"/>
    <cellStyle name="Separador de milhares 2 8 2 2 3" xfId="781" xr:uid="{9C2B31D1-695B-4A16-AC66-3A077A0F282D}"/>
    <cellStyle name="Separador de milhares 2 8 2 2 3 2" xfId="1610" xr:uid="{34D28742-5AF7-43CB-A357-19A49FDAEDA0}"/>
    <cellStyle name="Separador de milhares 2 8 2 2 3 2 2" xfId="3721" xr:uid="{F962BD6E-F51D-4CDE-97F8-AB7D83DAD66B}"/>
    <cellStyle name="Separador de milhares 2 8 2 2 3 3" xfId="2904" xr:uid="{6782A5CD-9208-4FBD-ACEA-E7D6DE809B31}"/>
    <cellStyle name="Separador de milhares 2 8 2 2 4" xfId="1183" xr:uid="{28DE71E9-09F5-474D-9BB9-2B8F898C34AB}"/>
    <cellStyle name="Separador de milhares 2 8 2 2 4 2" xfId="3294" xr:uid="{5D60AC42-92AE-4944-80CD-40E1F5C0C212}"/>
    <cellStyle name="Separador de milhares 2 8 2 2 5" xfId="2477" xr:uid="{DA2BDEE7-9498-4724-A131-E0E1161A227E}"/>
    <cellStyle name="Separador de milhares 2 8 2 3" xfId="432" xr:uid="{11FF11DA-4EA1-449D-BFD4-53A27B332984}"/>
    <cellStyle name="Separador de milhares 2 8 2 3 2" xfId="877" xr:uid="{778049A1-CFA4-4DC7-901F-A8D91FAA2E5E}"/>
    <cellStyle name="Separador de milhares 2 8 2 3 2 2" xfId="1706" xr:uid="{F7F7DA6D-6E7F-4B8D-9410-914093C179B8}"/>
    <cellStyle name="Separador de milhares 2 8 2 3 2 2 2" xfId="3817" xr:uid="{7C5215FD-4140-46D7-BDA3-F547442C63AC}"/>
    <cellStyle name="Separador de milhares 2 8 2 3 2 3" xfId="3000" xr:uid="{CB89B520-D68D-451A-ACAD-4B10B8AFA734}"/>
    <cellStyle name="Separador de milhares 2 8 2 3 3" xfId="1279" xr:uid="{104E2057-C5EF-43A5-8A27-58895064DED4}"/>
    <cellStyle name="Separador de milhares 2 8 2 3 3 2" xfId="3390" xr:uid="{2339730B-DF33-4947-AEA8-E6EE7934DB6F}"/>
    <cellStyle name="Separador de milhares 2 8 2 3 4" xfId="2573" xr:uid="{3BD16849-26E9-4174-8126-8BB4871AC42F}"/>
    <cellStyle name="Separador de milhares 2 8 2 4" xfId="683" xr:uid="{414CF9CF-D30B-4938-B19F-F64812D62396}"/>
    <cellStyle name="Separador de milhares 2 8 2 4 2" xfId="1514" xr:uid="{22164847-1E9B-4C94-BD26-0C74E5C60969}"/>
    <cellStyle name="Separador de milhares 2 8 2 4 2 2" xfId="3625" xr:uid="{90A1E0DD-2EA2-4F07-950F-B5205021397D}"/>
    <cellStyle name="Separador de milhares 2 8 2 4 3" xfId="2808" xr:uid="{A6B6D8D8-8013-4AC0-BB73-0ADC17F15CE6}"/>
    <cellStyle name="Separador de milhares 2 8 2 5" xfId="1087" xr:uid="{FD6E1B10-64F6-4F56-AF42-6A9111B07E52}"/>
    <cellStyle name="Separador de milhares 2 8 2 5 2" xfId="3198" xr:uid="{C6FAFAF3-9DC8-4FAC-A877-200CF15E68BD}"/>
    <cellStyle name="Separador de milhares 2 8 2 6" xfId="2382" xr:uid="{6565E752-1336-40C2-BDB1-B28EAABA16B7}"/>
    <cellStyle name="Separador de milhares 2 8 3" xfId="222" xr:uid="{91EE9F57-A9F3-4DD3-BA4C-74A1A550DDA2}"/>
    <cellStyle name="Separador de milhares 2 8 3 2" xfId="343" xr:uid="{F31C7639-7D08-461E-8253-1E99F6AAAE55}"/>
    <cellStyle name="Separador de milhares 2 8 3 2 2" xfId="535" xr:uid="{FBC1AB0D-3707-4B3D-BBA7-F23EAF634453}"/>
    <cellStyle name="Separador de milhares 2 8 3 2 2 2" xfId="980" xr:uid="{E7D21E5E-AD86-4FE7-9FF8-C884060DE764}"/>
    <cellStyle name="Separador de milhares 2 8 3 2 2 2 2" xfId="1809" xr:uid="{F4929928-5A22-4485-82AC-1BD8624F925A}"/>
    <cellStyle name="Separador de milhares 2 8 3 2 2 2 2 2" xfId="3920" xr:uid="{8E165CA0-7E81-4351-BDC5-26CDE29A2F1C}"/>
    <cellStyle name="Separador de milhares 2 8 3 2 2 2 3" xfId="3103" xr:uid="{C5E8AF25-554C-425E-A357-50655387D7ED}"/>
    <cellStyle name="Separador de milhares 2 8 3 2 2 3" xfId="1382" xr:uid="{E8DB017B-E9B1-4432-94FE-619CC33FD3EC}"/>
    <cellStyle name="Separador de milhares 2 8 3 2 2 3 2" xfId="3493" xr:uid="{6BD7C59F-109D-4B1F-8DC1-FD3ACF4145A6}"/>
    <cellStyle name="Separador de milhares 2 8 3 2 2 4" xfId="2676" xr:uid="{77C60096-B3E4-49DC-9EED-5737290E6448}"/>
    <cellStyle name="Separador de milhares 2 8 3 2 3" xfId="788" xr:uid="{6BF607AD-5929-4FB9-B983-D1FFE6EC117C}"/>
    <cellStyle name="Separador de milhares 2 8 3 2 3 2" xfId="1617" xr:uid="{D0393312-4BE5-48BF-81A2-98F9669A9C55}"/>
    <cellStyle name="Separador de milhares 2 8 3 2 3 2 2" xfId="3728" xr:uid="{C1FCC9A6-C863-4747-B189-90D03376167C}"/>
    <cellStyle name="Separador de milhares 2 8 3 2 3 3" xfId="2911" xr:uid="{21EBA50C-7A3E-4931-85C3-F65AB770E47A}"/>
    <cellStyle name="Separador de milhares 2 8 3 2 4" xfId="1190" xr:uid="{59C3107A-9838-4C8F-8E2C-21BFF4AA60D7}"/>
    <cellStyle name="Separador de milhares 2 8 3 2 4 2" xfId="3301" xr:uid="{DF70D76B-3782-4F69-A25B-7AE4554ED6E2}"/>
    <cellStyle name="Separador de milhares 2 8 3 2 5" xfId="2484" xr:uid="{84E419E3-9F03-49D5-9DCC-5F642F4DDC70}"/>
    <cellStyle name="Separador de milhares 2 8 3 3" xfId="439" xr:uid="{12E194FE-0950-4E9D-9E7E-06A2719CE519}"/>
    <cellStyle name="Separador de milhares 2 8 3 3 2" xfId="884" xr:uid="{1B8AFC3D-7283-47F9-9F21-BEAADA5CF3EB}"/>
    <cellStyle name="Separador de milhares 2 8 3 3 2 2" xfId="1713" xr:uid="{AC6264E8-7260-4F65-AC53-5C8ECE968365}"/>
    <cellStyle name="Separador de milhares 2 8 3 3 2 2 2" xfId="3824" xr:uid="{64903E43-A08B-4F06-B617-6DB2B04675FA}"/>
    <cellStyle name="Separador de milhares 2 8 3 3 2 3" xfId="3007" xr:uid="{AF9FFE41-10D8-4CE8-937C-87EE67A6AF7D}"/>
    <cellStyle name="Separador de milhares 2 8 3 3 3" xfId="1286" xr:uid="{B025F171-4B80-4AD8-9A83-BC48225317C0}"/>
    <cellStyle name="Separador de milhares 2 8 3 3 3 2" xfId="3397" xr:uid="{CC2A6617-D4C9-4C42-B4B3-5663C4B2B44D}"/>
    <cellStyle name="Separador de milhares 2 8 3 3 4" xfId="2580" xr:uid="{E7AAB6F6-43B8-47E1-895A-402AE3679170}"/>
    <cellStyle name="Separador de milhares 2 8 3 4" xfId="691" xr:uid="{F0D0C173-83E9-4A4C-810B-0FEFAE886C9B}"/>
    <cellStyle name="Separador de milhares 2 8 3 4 2" xfId="1521" xr:uid="{CE3B185C-E47C-4D9F-B2DA-0C88EEEBD15C}"/>
    <cellStyle name="Separador de milhares 2 8 3 4 2 2" xfId="3632" xr:uid="{6A6A9F1E-D161-45F9-ACFF-735176A22706}"/>
    <cellStyle name="Separador de milhares 2 8 3 4 3" xfId="2815" xr:uid="{720C6832-6E63-42FC-9E5E-5F1DFC501BBB}"/>
    <cellStyle name="Separador de milhares 2 8 3 5" xfId="1094" xr:uid="{303132EB-C6B8-4C14-B702-E4E5060CBF18}"/>
    <cellStyle name="Separador de milhares 2 8 3 5 2" xfId="3205" xr:uid="{B7F15424-E55F-4A70-87F2-4F137EFB3D02}"/>
    <cellStyle name="Separador de milhares 2 8 3 6" xfId="2389" xr:uid="{D995EE21-F7E7-4B79-9E9C-F8078826D23C}"/>
    <cellStyle name="Separador de milhares 2 8 4" xfId="303" xr:uid="{86D1D70A-EDF5-40BE-8C02-7A682E11D47A}"/>
    <cellStyle name="Separador de milhares 2 8 4 2" xfId="496" xr:uid="{E75FCB98-4767-4522-8409-51B6AC0E9F54}"/>
    <cellStyle name="Separador de milhares 2 8 4 2 2" xfId="941" xr:uid="{9FD948E3-1C40-44E3-80BE-E7FCE4A0F0BC}"/>
    <cellStyle name="Separador de milhares 2 8 4 2 2 2" xfId="1770" xr:uid="{4DB12018-99D9-4A6C-8B9E-C6E851A36E98}"/>
    <cellStyle name="Separador de milhares 2 8 4 2 2 2 2" xfId="3881" xr:uid="{E1D12B75-D3C4-4138-B405-0AE242E85069}"/>
    <cellStyle name="Separador de milhares 2 8 4 2 2 3" xfId="3064" xr:uid="{F7463AA8-FC75-46DA-B346-C2ED413E6968}"/>
    <cellStyle name="Separador de milhares 2 8 4 2 3" xfId="1343" xr:uid="{CBB5FB4F-8F44-4185-B19B-C94F82067F94}"/>
    <cellStyle name="Separador de milhares 2 8 4 2 3 2" xfId="3454" xr:uid="{26DF992B-4F96-45EC-A566-095668098302}"/>
    <cellStyle name="Separador de milhares 2 8 4 2 4" xfId="2637" xr:uid="{88256C42-A312-499A-9419-B61DD5877323}"/>
    <cellStyle name="Separador de milhares 2 8 4 3" xfId="749" xr:uid="{046412AD-3FCA-4893-BF6A-4B551D611402}"/>
    <cellStyle name="Separador de milhares 2 8 4 3 2" xfId="1578" xr:uid="{A905FB20-E1E5-4ADB-990D-33D32C413202}"/>
    <cellStyle name="Separador de milhares 2 8 4 3 2 2" xfId="3689" xr:uid="{AD68D09F-727B-4D43-ACC1-315AA0560B1C}"/>
    <cellStyle name="Separador de milhares 2 8 4 3 3" xfId="2872" xr:uid="{D7AF7B50-FC7B-4496-B8F6-C4051A718F78}"/>
    <cellStyle name="Separador de milhares 2 8 4 4" xfId="1151" xr:uid="{54A62A0D-44BE-4157-B8F4-3329B038838E}"/>
    <cellStyle name="Separador de milhares 2 8 4 4 2" xfId="3262" xr:uid="{F07713BE-60E0-45D2-9096-5EB7C85885CD}"/>
    <cellStyle name="Separador de milhares 2 8 4 5" xfId="2445" xr:uid="{525A9721-25A9-4DEA-ABAF-481D171340B6}"/>
    <cellStyle name="Separador de milhares 2 8 5" xfId="400" xr:uid="{FF56E342-6F98-462B-BA30-957DCE5E678C}"/>
    <cellStyle name="Separador de milhares 2 8 5 2" xfId="845" xr:uid="{44BFD571-B6BB-4ACB-90CB-AEDF3075C61D}"/>
    <cellStyle name="Separador de milhares 2 8 5 2 2" xfId="1674" xr:uid="{02780081-5A1A-4CBE-A8FD-5D2E08DE69D4}"/>
    <cellStyle name="Separador de milhares 2 8 5 2 2 2" xfId="3785" xr:uid="{D5A0BDC0-1ACB-41DE-B85F-D3811736EF06}"/>
    <cellStyle name="Separador de milhares 2 8 5 2 3" xfId="2968" xr:uid="{CE78CE6F-23C9-4F7E-9E36-B0ECD6952655}"/>
    <cellStyle name="Separador de milhares 2 8 5 3" xfId="1247" xr:uid="{56C185FB-44D2-411E-ABF5-8655DD8EAD6B}"/>
    <cellStyle name="Separador de milhares 2 8 5 3 2" xfId="3358" xr:uid="{288DFD1C-A584-41BB-B03E-9909F2E2290A}"/>
    <cellStyle name="Separador de milhares 2 8 5 4" xfId="2541" xr:uid="{B2076332-90C3-49DE-9BF2-775DBE587EED}"/>
    <cellStyle name="Separador de milhares 2 8 6" xfId="651" xr:uid="{7CF75875-E7F0-4EE4-B695-E17072ABB9C2}"/>
    <cellStyle name="Separador de milhares 2 8 6 2" xfId="1482" xr:uid="{2173EC41-56CA-4480-9159-CCC141D99719}"/>
    <cellStyle name="Separador de milhares 2 8 6 2 2" xfId="3593" xr:uid="{27FBBCCB-6C64-4CC2-8C7D-E9E6044E4A63}"/>
    <cellStyle name="Separador de milhares 2 8 6 3" xfId="2776" xr:uid="{1C6BE1C3-B9B8-4D87-B1CC-8FFD15F2FAE9}"/>
    <cellStyle name="Separador de milhares 2 8 7" xfId="1055" xr:uid="{B74BBD83-DCA5-4FD7-860E-71A95631FC30}"/>
    <cellStyle name="Separador de milhares 2 8 7 2" xfId="3166" xr:uid="{72FD0EB3-3B7D-4CBF-9C9B-D79C93646CAE}"/>
    <cellStyle name="Separador de milhares 2 8 8" xfId="2350" xr:uid="{BBA5F984-22AA-4E6F-AC04-78132D2C8F4F}"/>
    <cellStyle name="Separador de milhares 2 9" xfId="179" xr:uid="{79298821-0635-4F36-BE59-D5314E56A803}"/>
    <cellStyle name="Separador de milhares 2 9 2" xfId="215" xr:uid="{34A75089-2508-482A-A563-6E487FE303E5}"/>
    <cellStyle name="Separador de milhares 2 9 2 2" xfId="336" xr:uid="{BAF12FC5-4D86-4A16-A156-5C0207F94DB7}"/>
    <cellStyle name="Separador de milhares 2 9 2 2 2" xfId="529" xr:uid="{AABC0AA9-4A61-49AB-B295-2CA5B6C71510}"/>
    <cellStyle name="Separador de milhares 2 9 2 2 2 2" xfId="974" xr:uid="{5F1D746E-C93E-452C-94D9-480257683ED3}"/>
    <cellStyle name="Separador de milhares 2 9 2 2 2 2 2" xfId="1803" xr:uid="{3654BD7D-5E4E-4CA1-993E-2A9767AD2BBF}"/>
    <cellStyle name="Separador de milhares 2 9 2 2 2 2 2 2" xfId="3914" xr:uid="{AB9DB98F-CB10-4044-9B5E-E98A77830FC3}"/>
    <cellStyle name="Separador de milhares 2 9 2 2 2 2 3" xfId="3097" xr:uid="{2AB24D70-5235-410C-9967-154EF79D7095}"/>
    <cellStyle name="Separador de milhares 2 9 2 2 2 3" xfId="1376" xr:uid="{4A5C9BD6-E6BE-44EE-B126-127BD44D7D49}"/>
    <cellStyle name="Separador de milhares 2 9 2 2 2 3 2" xfId="3487" xr:uid="{BD59BE17-0B99-4D57-982B-94D7116C721F}"/>
    <cellStyle name="Separador de milhares 2 9 2 2 2 4" xfId="2670" xr:uid="{6FE0C1A5-45FE-461F-B378-015CFCA8BFFF}"/>
    <cellStyle name="Separador de milhares 2 9 2 2 3" xfId="782" xr:uid="{5E9A68B3-08A2-4B61-81C5-B3A2B7C3B8DD}"/>
    <cellStyle name="Separador de milhares 2 9 2 2 3 2" xfId="1611" xr:uid="{64C75A55-8D89-4C4B-A4AD-3C6CE6EA7AA3}"/>
    <cellStyle name="Separador de milhares 2 9 2 2 3 2 2" xfId="3722" xr:uid="{6642184A-78D2-440D-A804-8799BAF020FD}"/>
    <cellStyle name="Separador de milhares 2 9 2 2 3 3" xfId="2905" xr:uid="{A9584DF4-5BF1-41F7-8B42-0744FDB01A7D}"/>
    <cellStyle name="Separador de milhares 2 9 2 2 4" xfId="1184" xr:uid="{E2169B8B-3389-4065-8D8F-686586BCE67F}"/>
    <cellStyle name="Separador de milhares 2 9 2 2 4 2" xfId="3295" xr:uid="{7BA58F0E-2AB6-446B-B2BC-366AF5F2F9DE}"/>
    <cellStyle name="Separador de milhares 2 9 2 2 5" xfId="2478" xr:uid="{32BCBB2D-18F9-4E9A-9744-C1E514E8F390}"/>
    <cellStyle name="Separador de milhares 2 9 2 3" xfId="433" xr:uid="{FD173F53-71CC-40C7-982E-27D174E7CB9D}"/>
    <cellStyle name="Separador de milhares 2 9 2 3 2" xfId="878" xr:uid="{B786DD10-1690-46F7-9D26-5CE67F634CCE}"/>
    <cellStyle name="Separador de milhares 2 9 2 3 2 2" xfId="1707" xr:uid="{C35E1CF4-DD0D-4FB8-90F9-096319B9E45B}"/>
    <cellStyle name="Separador de milhares 2 9 2 3 2 2 2" xfId="3818" xr:uid="{F5A487ED-20B1-4233-8533-A9B5002548B6}"/>
    <cellStyle name="Separador de milhares 2 9 2 3 2 3" xfId="3001" xr:uid="{2227A4CF-9D8A-49F7-B6D2-5E369FF66529}"/>
    <cellStyle name="Separador de milhares 2 9 2 3 3" xfId="1280" xr:uid="{0667C09A-52C6-4809-9D95-E7A2E618E404}"/>
    <cellStyle name="Separador de milhares 2 9 2 3 3 2" xfId="3391" xr:uid="{5754CE42-C6B9-485F-B6D9-EA3239A58420}"/>
    <cellStyle name="Separador de milhares 2 9 2 3 4" xfId="2574" xr:uid="{F8BA51D1-95CA-4520-B189-D922A162CDEC}"/>
    <cellStyle name="Separador de milhares 2 9 2 4" xfId="684" xr:uid="{F5D4B9FB-DC9D-4820-BFF9-0D3B6C76BAA3}"/>
    <cellStyle name="Separador de milhares 2 9 2 4 2" xfId="1515" xr:uid="{31872FC4-FC0C-437C-A823-CB2B054F7644}"/>
    <cellStyle name="Separador de milhares 2 9 2 4 2 2" xfId="3626" xr:uid="{F956FF58-3DE2-4A5B-A33C-CE16AFE64CB6}"/>
    <cellStyle name="Separador de milhares 2 9 2 4 3" xfId="2809" xr:uid="{8F7978C5-68FA-4C4E-906F-2A8E5FECDEA3}"/>
    <cellStyle name="Separador de milhares 2 9 2 5" xfId="1088" xr:uid="{54C12DCD-F1FA-43AB-B282-956DA5EF3588}"/>
    <cellStyle name="Separador de milhares 2 9 2 5 2" xfId="3199" xr:uid="{E3551ACE-2ACE-4702-A356-4932B3142023}"/>
    <cellStyle name="Separador de milhares 2 9 2 6" xfId="2383" xr:uid="{84007193-3CDC-4B3D-A048-9B0714B92C36}"/>
    <cellStyle name="Separador de milhares 2 9 3" xfId="223" xr:uid="{E1231725-94B4-4F72-9E27-E724459AEDB0}"/>
    <cellStyle name="Separador de milhares 2 9 3 2" xfId="344" xr:uid="{A0100D60-C48F-45BF-8204-952EE2D4F2ED}"/>
    <cellStyle name="Separador de milhares 2 9 3 2 2" xfId="536" xr:uid="{BDBCC79B-8BCF-4C86-9147-574A9B4B5364}"/>
    <cellStyle name="Separador de milhares 2 9 3 2 2 2" xfId="981" xr:uid="{642786A4-2C6A-4DB1-B1C2-92837521C197}"/>
    <cellStyle name="Separador de milhares 2 9 3 2 2 2 2" xfId="1810" xr:uid="{5444294C-93E4-4F77-9658-C744690C9C85}"/>
    <cellStyle name="Separador de milhares 2 9 3 2 2 2 2 2" xfId="3921" xr:uid="{330282EE-799A-488D-B87D-2D789F417920}"/>
    <cellStyle name="Separador de milhares 2 9 3 2 2 2 3" xfId="3104" xr:uid="{F65DE7E2-E8CB-4A64-9020-202FD2EF48B9}"/>
    <cellStyle name="Separador de milhares 2 9 3 2 2 3" xfId="1383" xr:uid="{65BD54A9-CFD2-4F72-87B6-125E74FF286C}"/>
    <cellStyle name="Separador de milhares 2 9 3 2 2 3 2" xfId="3494" xr:uid="{500CEA8C-F1E9-445C-B7FD-30156F8F5DB5}"/>
    <cellStyle name="Separador de milhares 2 9 3 2 2 4" xfId="2677" xr:uid="{E3511650-76F0-4ED5-8C20-89E75EA22463}"/>
    <cellStyle name="Separador de milhares 2 9 3 2 3" xfId="789" xr:uid="{57E9E2CD-AAF3-4678-8355-D5FB2A4BA5F8}"/>
    <cellStyle name="Separador de milhares 2 9 3 2 3 2" xfId="1618" xr:uid="{02BED362-3B41-49FC-8D2F-243B95D6011C}"/>
    <cellStyle name="Separador de milhares 2 9 3 2 3 2 2" xfId="3729" xr:uid="{3D026CA5-356E-4572-BD1A-99626CC06891}"/>
    <cellStyle name="Separador de milhares 2 9 3 2 3 3" xfId="2912" xr:uid="{8F9E97ED-D84D-4F18-8BFE-2150A912DD5C}"/>
    <cellStyle name="Separador de milhares 2 9 3 2 4" xfId="1191" xr:uid="{187CFC40-8AC3-48FF-8325-D21445BD19CB}"/>
    <cellStyle name="Separador de milhares 2 9 3 2 4 2" xfId="3302" xr:uid="{AAF32566-6440-49A9-B008-2C8EB511EB79}"/>
    <cellStyle name="Separador de milhares 2 9 3 2 5" xfId="2485" xr:uid="{7AE1CBD2-F47A-46DF-A59D-EB9360C1B61B}"/>
    <cellStyle name="Separador de milhares 2 9 3 3" xfId="440" xr:uid="{3B7644BE-8122-45BE-A290-3EFB9D8D2BBE}"/>
    <cellStyle name="Separador de milhares 2 9 3 3 2" xfId="885" xr:uid="{64668C0B-2D05-492A-9258-5FA19653D6DE}"/>
    <cellStyle name="Separador de milhares 2 9 3 3 2 2" xfId="1714" xr:uid="{AA4FC5D3-016A-467C-A305-9433F44A8D38}"/>
    <cellStyle name="Separador de milhares 2 9 3 3 2 2 2" xfId="3825" xr:uid="{39DBE3D8-1711-46C5-B715-257F23DCFF92}"/>
    <cellStyle name="Separador de milhares 2 9 3 3 2 3" xfId="3008" xr:uid="{03A820F7-363F-4F7A-91D3-51638030E4FE}"/>
    <cellStyle name="Separador de milhares 2 9 3 3 3" xfId="1287" xr:uid="{D2C065AD-09D7-4405-92AC-5E2DE1E7034B}"/>
    <cellStyle name="Separador de milhares 2 9 3 3 3 2" xfId="3398" xr:uid="{65FCE70E-8697-4730-A8C0-FD5127C3932A}"/>
    <cellStyle name="Separador de milhares 2 9 3 3 4" xfId="2581" xr:uid="{CA8FE81B-7179-41FD-BCA6-768FA2EF1D77}"/>
    <cellStyle name="Separador de milhares 2 9 3 4" xfId="692" xr:uid="{05A366AC-D826-4A6E-900F-A0A836E2CB67}"/>
    <cellStyle name="Separador de milhares 2 9 3 4 2" xfId="1522" xr:uid="{8801A48C-09DA-4A1B-AE58-0F395E34F64D}"/>
    <cellStyle name="Separador de milhares 2 9 3 4 2 2" xfId="3633" xr:uid="{862DEF58-6185-481C-A0D7-8770A0993CA5}"/>
    <cellStyle name="Separador de milhares 2 9 3 4 3" xfId="2816" xr:uid="{EA30F792-762A-42D1-A9BA-A8BD8D5ACD23}"/>
    <cellStyle name="Separador de milhares 2 9 3 5" xfId="1095" xr:uid="{7E807642-31B2-46B9-B08B-4283521661DD}"/>
    <cellStyle name="Separador de milhares 2 9 3 5 2" xfId="3206" xr:uid="{D81A94E0-D731-43E5-874A-AF980E29624E}"/>
    <cellStyle name="Separador de milhares 2 9 3 6" xfId="2390" xr:uid="{E2557BA4-2DCE-47C1-A907-0F824B11AB2F}"/>
    <cellStyle name="Separador de milhares 2 9 4" xfId="304" xr:uid="{BC3A141C-7D76-4B36-B8E1-6492ECA5F3B1}"/>
    <cellStyle name="Separador de milhares 2 9 4 2" xfId="497" xr:uid="{CE01A97E-AD62-4C1E-92E9-EFD317B61A63}"/>
    <cellStyle name="Separador de milhares 2 9 4 2 2" xfId="942" xr:uid="{4896E400-AF98-4D4B-8B14-6066A8DBF8F4}"/>
    <cellStyle name="Separador de milhares 2 9 4 2 2 2" xfId="1771" xr:uid="{49197B52-EA5B-4F83-8858-41E8BD4E2BDD}"/>
    <cellStyle name="Separador de milhares 2 9 4 2 2 2 2" xfId="3882" xr:uid="{DD53F7C1-9D14-4C8D-ABB5-8D8BD8381E60}"/>
    <cellStyle name="Separador de milhares 2 9 4 2 2 3" xfId="3065" xr:uid="{F39CADF8-6AA0-449A-9C86-BE766F937BC4}"/>
    <cellStyle name="Separador de milhares 2 9 4 2 3" xfId="1344" xr:uid="{70BE4DFA-42D6-4408-B323-361747D640E2}"/>
    <cellStyle name="Separador de milhares 2 9 4 2 3 2" xfId="3455" xr:uid="{3D8F2B53-CD80-429D-BC92-6BF4F2DEAEA5}"/>
    <cellStyle name="Separador de milhares 2 9 4 2 4" xfId="2638" xr:uid="{4C42F48E-D3AF-4CDF-8229-DA416FA84BB6}"/>
    <cellStyle name="Separador de milhares 2 9 4 3" xfId="750" xr:uid="{75C1DEF8-801A-47A6-8AC3-2A5380253FB7}"/>
    <cellStyle name="Separador de milhares 2 9 4 3 2" xfId="1579" xr:uid="{7D88E033-D7BD-4949-AA59-022A9BF15943}"/>
    <cellStyle name="Separador de milhares 2 9 4 3 2 2" xfId="3690" xr:uid="{D7F9D65C-1909-4719-A505-8D8F7C216DA0}"/>
    <cellStyle name="Separador de milhares 2 9 4 3 3" xfId="2873" xr:uid="{FEB92EE6-6763-4A01-B78A-61AC8ADF16D2}"/>
    <cellStyle name="Separador de milhares 2 9 4 4" xfId="1152" xr:uid="{32FCEB1B-A94B-4D4E-8AD8-AF45CE95B58C}"/>
    <cellStyle name="Separador de milhares 2 9 4 4 2" xfId="3263" xr:uid="{18A19340-67B1-41A9-A3A2-6FA7957945FC}"/>
    <cellStyle name="Separador de milhares 2 9 4 5" xfId="2446" xr:uid="{E5B74082-44C8-4071-B88E-BD7A66455CF6}"/>
    <cellStyle name="Separador de milhares 2 9 5" xfId="401" xr:uid="{D3954216-8845-4BD2-8205-8F0C061EA4D6}"/>
    <cellStyle name="Separador de milhares 2 9 5 2" xfId="846" xr:uid="{23FD971D-FF71-4270-B340-1E756D2A0AE9}"/>
    <cellStyle name="Separador de milhares 2 9 5 2 2" xfId="1675" xr:uid="{A8BC6CF8-0587-4F91-B6D8-CDF7C016ABD1}"/>
    <cellStyle name="Separador de milhares 2 9 5 2 2 2" xfId="3786" xr:uid="{B5F8C792-A8AF-470A-8D3B-25769C298F96}"/>
    <cellStyle name="Separador de milhares 2 9 5 2 3" xfId="2969" xr:uid="{4050E7E6-84F1-406C-81DE-CD375B759638}"/>
    <cellStyle name="Separador de milhares 2 9 5 3" xfId="1248" xr:uid="{640BB89F-6366-41B9-828B-9F61E56D6CF2}"/>
    <cellStyle name="Separador de milhares 2 9 5 3 2" xfId="3359" xr:uid="{90A5B270-2133-4BBA-907F-0A0479DC961F}"/>
    <cellStyle name="Separador de milhares 2 9 5 4" xfId="2542" xr:uid="{7090FCBF-AEE7-4086-BDED-CEF73BDAE8B5}"/>
    <cellStyle name="Separador de milhares 2 9 6" xfId="652" xr:uid="{52967BFF-C8F1-4599-9F08-4312F8417FB3}"/>
    <cellStyle name="Separador de milhares 2 9 6 2" xfId="1483" xr:uid="{02B80E96-8D53-44A4-80F6-20C3687C7DB4}"/>
    <cellStyle name="Separador de milhares 2 9 6 2 2" xfId="3594" xr:uid="{587255DC-1177-4643-B9F7-9F15FE6DA909}"/>
    <cellStyle name="Separador de milhares 2 9 6 3" xfId="2777" xr:uid="{2DA65214-011F-4BE5-B84F-5E19AAB73979}"/>
    <cellStyle name="Separador de milhares 2 9 7" xfId="1056" xr:uid="{6A75662F-6AA4-4814-B77A-EF04AE064C6E}"/>
    <cellStyle name="Separador de milhares 2 9 7 2" xfId="3167" xr:uid="{F81EB62A-1322-4049-89C5-4F5166021EB9}"/>
    <cellStyle name="Separador de milhares 2 9 8" xfId="2351" xr:uid="{2D39A6F2-F981-478A-BA3D-08D8CF61A854}"/>
    <cellStyle name="Separador de milhares 3" xfId="152" xr:uid="{2EBA6D01-B78C-4C4A-B3A9-8F1E4443F9D7}"/>
    <cellStyle name="Separador de milhares 3 2" xfId="161" xr:uid="{7969ED0D-347F-4042-833D-4EDD943336E7}"/>
    <cellStyle name="Separador de milhares 3 2 2" xfId="199" xr:uid="{745C8555-8F97-4CBE-86C6-2099CB141E31}"/>
    <cellStyle name="Separador de milhares 3 2 2 2" xfId="320" xr:uid="{A44E9312-59CB-4599-AB1F-935C26B1B96E}"/>
    <cellStyle name="Separador de milhares 3 2 2 2 2" xfId="513" xr:uid="{45E285C2-7FC0-483B-9609-2365353110DF}"/>
    <cellStyle name="Separador de milhares 3 2 2 2 2 2" xfId="958" xr:uid="{C51995C2-2572-4761-B75E-18F8645A9F5D}"/>
    <cellStyle name="Separador de milhares 3 2 2 2 2 2 2" xfId="1787" xr:uid="{E8DD0407-C956-4149-B324-E087A6444649}"/>
    <cellStyle name="Separador de milhares 3 2 2 2 2 2 2 2" xfId="3898" xr:uid="{7B5C46C5-BDA6-4192-8719-582A32A67876}"/>
    <cellStyle name="Separador de milhares 3 2 2 2 2 2 3" xfId="3081" xr:uid="{EA9D03F7-514E-4597-AEE8-B9FDE052A68E}"/>
    <cellStyle name="Separador de milhares 3 2 2 2 2 3" xfId="1360" xr:uid="{C5501AAC-7DDC-4030-8898-345E175C835B}"/>
    <cellStyle name="Separador de milhares 3 2 2 2 2 3 2" xfId="3471" xr:uid="{2C0D37D3-5419-4930-B85E-DDDFC767568E}"/>
    <cellStyle name="Separador de milhares 3 2 2 2 2 4" xfId="2654" xr:uid="{9B1C3F1D-C618-4B7C-8722-BF59D901CA7C}"/>
    <cellStyle name="Separador de milhares 3 2 2 2 3" xfId="766" xr:uid="{793538A5-AE6E-4172-B8AA-0AD56290CFFD}"/>
    <cellStyle name="Separador de milhares 3 2 2 2 3 2" xfId="1595" xr:uid="{0B014DA5-8666-4EA1-9EAE-B24B8D950A1C}"/>
    <cellStyle name="Separador de milhares 3 2 2 2 3 2 2" xfId="3706" xr:uid="{D8C117D2-ADD4-46EA-931C-956C9BB13E3A}"/>
    <cellStyle name="Separador de milhares 3 2 2 2 3 3" xfId="2889" xr:uid="{49CA8C4E-3D56-4B05-BE00-0E4E44E1BA46}"/>
    <cellStyle name="Separador de milhares 3 2 2 2 4" xfId="1168" xr:uid="{A132CB27-185E-4755-87D2-8F5DF5D72437}"/>
    <cellStyle name="Separador de milhares 3 2 2 2 4 2" xfId="3279" xr:uid="{839B77E3-46A8-4E81-8B58-F63F869A3795}"/>
    <cellStyle name="Separador de milhares 3 2 2 2 5" xfId="2462" xr:uid="{CE7821F8-A1CE-4BF2-AD65-D37612AD888E}"/>
    <cellStyle name="Separador de milhares 3 2 2 3" xfId="417" xr:uid="{80E1780E-0D18-48FB-BEB3-EA8877D85C7C}"/>
    <cellStyle name="Separador de milhares 3 2 2 3 2" xfId="862" xr:uid="{CEDC0EA3-8817-483B-93B0-5C8237354611}"/>
    <cellStyle name="Separador de milhares 3 2 2 3 2 2" xfId="1691" xr:uid="{77438C05-C9FC-4A5E-A5D7-EEC845301472}"/>
    <cellStyle name="Separador de milhares 3 2 2 3 2 2 2" xfId="3802" xr:uid="{CFC32DAE-69EB-4B48-A2CA-A939260DB9B0}"/>
    <cellStyle name="Separador de milhares 3 2 2 3 2 3" xfId="2985" xr:uid="{05B207B0-7F6B-4488-B5F4-0C2B71B6383F}"/>
    <cellStyle name="Separador de milhares 3 2 2 3 3" xfId="1264" xr:uid="{054A7243-48C4-4FD3-9700-5EC7E6D04F13}"/>
    <cellStyle name="Separador de milhares 3 2 2 3 3 2" xfId="3375" xr:uid="{BEDD25E1-2BC5-4337-82B7-8B1C17B74E53}"/>
    <cellStyle name="Separador de milhares 3 2 2 3 4" xfId="2558" xr:uid="{CC6172B9-B6DF-4844-B87B-785F79B4BA76}"/>
    <cellStyle name="Separador de milhares 3 2 2 4" xfId="668" xr:uid="{8412ACB4-F252-473D-8F48-4A779F46BD94}"/>
    <cellStyle name="Separador de milhares 3 2 2 4 2" xfId="1499" xr:uid="{10245783-4F0E-49A6-97E0-D9C61E106C23}"/>
    <cellStyle name="Separador de milhares 3 2 2 4 2 2" xfId="3610" xr:uid="{A9833D6C-1DE6-42D0-98FC-C6CBF40C9D50}"/>
    <cellStyle name="Separador de milhares 3 2 2 4 3" xfId="2793" xr:uid="{44FC76FC-3A8C-487E-AA34-6BEB4CA399FD}"/>
    <cellStyle name="Separador de milhares 3 2 2 5" xfId="1072" xr:uid="{16D999A0-16D1-407F-9D69-2E342CEED886}"/>
    <cellStyle name="Separador de milhares 3 2 2 5 2" xfId="3183" xr:uid="{69D41024-20E3-456D-8597-93A23C8C6C7B}"/>
    <cellStyle name="Separador de milhares 3 2 2 6" xfId="2367" xr:uid="{A3C00B63-A7C8-461B-812C-5B3A30C23185}"/>
    <cellStyle name="Separador de milhares 3 2 3" xfId="288" xr:uid="{2F60EC63-301C-42D6-98B0-4903BF45B47A}"/>
    <cellStyle name="Separador de milhares 3 2 3 2" xfId="481" xr:uid="{951454A2-4E87-4218-8567-44885864A4C5}"/>
    <cellStyle name="Separador de milhares 3 2 3 2 2" xfId="926" xr:uid="{53B77C89-2207-49BB-AB7F-3C515E1B845D}"/>
    <cellStyle name="Separador de milhares 3 2 3 2 2 2" xfId="1755" xr:uid="{8F30103D-6183-4B80-819A-36F88396BB15}"/>
    <cellStyle name="Separador de milhares 3 2 3 2 2 2 2" xfId="3866" xr:uid="{067641EA-5926-4291-9126-3E7B50326E3A}"/>
    <cellStyle name="Separador de milhares 3 2 3 2 2 3" xfId="3049" xr:uid="{A86EA9B6-B8D3-4A67-B1A7-2525A535AFC8}"/>
    <cellStyle name="Separador de milhares 3 2 3 2 3" xfId="1328" xr:uid="{6E80D5C6-5DEB-428A-8229-315A6EAB9B09}"/>
    <cellStyle name="Separador de milhares 3 2 3 2 3 2" xfId="3439" xr:uid="{DAEFDD80-DB1B-46B9-BFAA-A05877C702C4}"/>
    <cellStyle name="Separador de milhares 3 2 3 2 4" xfId="2622" xr:uid="{960CBE34-3478-4644-8955-FA4289B2BA9E}"/>
    <cellStyle name="Separador de milhares 3 2 3 3" xfId="734" xr:uid="{8A1B6B0F-D543-4B29-ACEF-D1955BAD1EB4}"/>
    <cellStyle name="Separador de milhares 3 2 3 3 2" xfId="1563" xr:uid="{92188F16-DA59-4648-A46D-4483B8EB510B}"/>
    <cellStyle name="Separador de milhares 3 2 3 3 2 2" xfId="3674" xr:uid="{0658121B-C5CB-4FD8-8E35-E6935CB14C11}"/>
    <cellStyle name="Separador de milhares 3 2 3 3 3" xfId="2857" xr:uid="{25F91AAD-66D7-4A88-A86F-C352B45790A8}"/>
    <cellStyle name="Separador de milhares 3 2 3 4" xfId="1136" xr:uid="{0346DFCC-4F5F-4C19-AA0A-8FD1258D6835}"/>
    <cellStyle name="Separador de milhares 3 2 3 4 2" xfId="3247" xr:uid="{CC684E7A-B3C3-4FC1-B65C-0571ADA99833}"/>
    <cellStyle name="Separador de milhares 3 2 3 5" xfId="2430" xr:uid="{E98B908F-E0C2-4504-A588-90FBDDD0F403}"/>
    <cellStyle name="Separador de milhares 3 2 4" xfId="385" xr:uid="{3DCE43E8-E4A0-4D8E-8ADF-D236D175DF61}"/>
    <cellStyle name="Separador de milhares 3 2 4 2" xfId="830" xr:uid="{CB9FBAA7-2D17-496E-854F-B9B1DFA18F1C}"/>
    <cellStyle name="Separador de milhares 3 2 4 2 2" xfId="1659" xr:uid="{D9BFEF76-526B-48C9-B2F5-2262C5FBE035}"/>
    <cellStyle name="Separador de milhares 3 2 4 2 2 2" xfId="3770" xr:uid="{FE33C02C-B3EF-4520-908A-E7EB89A32601}"/>
    <cellStyle name="Separador de milhares 3 2 4 2 3" xfId="2953" xr:uid="{97363D27-3972-4196-B329-8A433B532F24}"/>
    <cellStyle name="Separador de milhares 3 2 4 3" xfId="1232" xr:uid="{E4DA71A2-5816-4C8F-87A6-E372F2A08715}"/>
    <cellStyle name="Separador de milhares 3 2 4 3 2" xfId="3343" xr:uid="{9C2AC0D4-9A45-4142-B3AB-6C4D4986A162}"/>
    <cellStyle name="Separador de milhares 3 2 4 4" xfId="2526" xr:uid="{FB510157-B38F-4D31-85A9-6DA26490A367}"/>
    <cellStyle name="Separador de milhares 3 2 5" xfId="636" xr:uid="{BBC82F8E-93A0-45B3-84CE-4513A1FDE3D2}"/>
    <cellStyle name="Separador de milhares 3 2 5 2" xfId="1467" xr:uid="{2BD5CE96-7D63-416D-9FFE-670BDB3F84C8}"/>
    <cellStyle name="Separador de milhares 3 2 5 2 2" xfId="3578" xr:uid="{65AE2E01-72C6-44B7-897C-7DAF16C248A4}"/>
    <cellStyle name="Separador de milhares 3 2 5 3" xfId="2761" xr:uid="{2BA58180-5F64-427F-92FE-CD1D1B2200F5}"/>
    <cellStyle name="Separador de milhares 3 2 6" xfId="1040" xr:uid="{2C0AB2EE-2974-4A42-B9A8-851B0B6B20DD}"/>
    <cellStyle name="Separador de milhares 3 2 6 2" xfId="3151" xr:uid="{8BD90047-558A-481F-9055-772EB8445E0E}"/>
    <cellStyle name="Separador de milhares 3 2 7" xfId="2335" xr:uid="{68B77E52-DB0C-420F-A9BB-1F985789EDA8}"/>
    <cellStyle name="Separador de milhares 3 3" xfId="193" xr:uid="{8374922B-743F-4B8B-B429-2B6E92CD0008}"/>
    <cellStyle name="Separador de milhares 3 3 2" xfId="314" xr:uid="{7D254BBC-19B8-4094-8F35-CD3979FCAE5A}"/>
    <cellStyle name="Separador de milhares 3 3 2 2" xfId="507" xr:uid="{C47109D3-E5C6-4B5F-B897-CC1080C4C992}"/>
    <cellStyle name="Separador de milhares 3 3 2 2 2" xfId="952" xr:uid="{87691F43-A957-43B7-A8DD-8F1EE560CC28}"/>
    <cellStyle name="Separador de milhares 3 3 2 2 2 2" xfId="1781" xr:uid="{7DBF0C77-E897-4B5C-BF33-FD5037738C57}"/>
    <cellStyle name="Separador de milhares 3 3 2 2 2 2 2" xfId="3892" xr:uid="{7AB823C2-A7E8-42D6-8749-2547F80E46E9}"/>
    <cellStyle name="Separador de milhares 3 3 2 2 2 3" xfId="3075" xr:uid="{1D1C26E6-8203-4647-9016-08C443CBB440}"/>
    <cellStyle name="Separador de milhares 3 3 2 2 3" xfId="1354" xr:uid="{D9C2A57F-506B-4665-A43C-C5BFC3511487}"/>
    <cellStyle name="Separador de milhares 3 3 2 2 3 2" xfId="3465" xr:uid="{A5095A1E-A3E3-4A2F-B2E3-A0BD35AB49C1}"/>
    <cellStyle name="Separador de milhares 3 3 2 2 4" xfId="2648" xr:uid="{856F6D3C-5A88-490F-8235-EF5425B7BAFF}"/>
    <cellStyle name="Separador de milhares 3 3 2 3" xfId="760" xr:uid="{0509C4A9-D56B-4A1F-BB0F-2D8866AD047F}"/>
    <cellStyle name="Separador de milhares 3 3 2 3 2" xfId="1589" xr:uid="{BDCEA323-74A4-4C69-803F-3517EECB2C8F}"/>
    <cellStyle name="Separador de milhares 3 3 2 3 2 2" xfId="3700" xr:uid="{7AE26B09-9CCA-4CF7-8347-C47309DEB389}"/>
    <cellStyle name="Separador de milhares 3 3 2 3 3" xfId="2883" xr:uid="{19E53ED1-8BF8-45DB-B159-73B347AEC757}"/>
    <cellStyle name="Separador de milhares 3 3 2 4" xfId="1162" xr:uid="{45190C1F-E61D-4FC9-ACD9-F00FDA2D9E3E}"/>
    <cellStyle name="Separador de milhares 3 3 2 4 2" xfId="3273" xr:uid="{042993DC-27FE-4714-91DF-4A8674A0EC36}"/>
    <cellStyle name="Separador de milhares 3 3 2 5" xfId="2456" xr:uid="{7677C14A-359F-4360-9A16-8B5A48CD52D7}"/>
    <cellStyle name="Separador de milhares 3 3 3" xfId="411" xr:uid="{8A2F5C63-AE39-41D7-A0C3-A1546DA92ACD}"/>
    <cellStyle name="Separador de milhares 3 3 3 2" xfId="856" xr:uid="{AF55F108-7001-4E29-81BD-10F88101ED7E}"/>
    <cellStyle name="Separador de milhares 3 3 3 2 2" xfId="1685" xr:uid="{667E9B05-B4CD-4CA9-838B-96457E25CCF5}"/>
    <cellStyle name="Separador de milhares 3 3 3 2 2 2" xfId="3796" xr:uid="{34DE6358-F4B7-4AF3-BBCF-AB383159B1D0}"/>
    <cellStyle name="Separador de milhares 3 3 3 2 3" xfId="2979" xr:uid="{372601D5-B209-4427-8C01-856C3732653E}"/>
    <cellStyle name="Separador de milhares 3 3 3 3" xfId="1258" xr:uid="{A168CCFB-0804-47AA-8381-0A33DC3008FA}"/>
    <cellStyle name="Separador de milhares 3 3 3 3 2" xfId="3369" xr:uid="{5809A2B0-27AC-4BCE-9986-A2885AD49FC9}"/>
    <cellStyle name="Separador de milhares 3 3 3 4" xfId="2552" xr:uid="{1A1CFD64-6B12-4AC4-AB9A-51A3457FB8FF}"/>
    <cellStyle name="Separador de milhares 3 3 4" xfId="662" xr:uid="{1BB37AC0-6D47-49C8-9CEE-FDC9EA45B14A}"/>
    <cellStyle name="Separador de milhares 3 3 4 2" xfId="1493" xr:uid="{C3CF6DCE-3511-4495-B15D-3E9ACC0BB122}"/>
    <cellStyle name="Separador de milhares 3 3 4 2 2" xfId="3604" xr:uid="{C53C855F-4D27-4C92-BB51-8B6C018C0FCB}"/>
    <cellStyle name="Separador de milhares 3 3 4 3" xfId="2787" xr:uid="{4342D250-8F3C-4974-B0DA-C0F45A1A27B6}"/>
    <cellStyle name="Separador de milhares 3 3 5" xfId="1066" xr:uid="{8E390595-8AE0-4227-888A-1A867134DF36}"/>
    <cellStyle name="Separador de milhares 3 3 5 2" xfId="3177" xr:uid="{4C0ECC9E-B2AF-4FE1-9BBF-261AE067BCDB}"/>
    <cellStyle name="Separador de milhares 3 3 6" xfId="2361" xr:uid="{8B94955A-A2CE-4A6C-8366-069281F5998F}"/>
    <cellStyle name="Separador de milhares 3 4" xfId="282" xr:uid="{DE976C80-54D0-4643-8493-6131CA6DF943}"/>
    <cellStyle name="Separador de milhares 3 4 2" xfId="475" xr:uid="{3A4E81EE-DD8D-4D5A-B8A8-05F94374EA38}"/>
    <cellStyle name="Separador de milhares 3 4 2 2" xfId="920" xr:uid="{58B46554-7AE8-4B2B-A1D6-B70141F8A4B2}"/>
    <cellStyle name="Separador de milhares 3 4 2 2 2" xfId="1749" xr:uid="{1CCF356A-8363-4930-BF63-2954EB0F9C5F}"/>
    <cellStyle name="Separador de milhares 3 4 2 2 2 2" xfId="3860" xr:uid="{A3613144-6D36-4E70-A5CA-27D60E0FE50D}"/>
    <cellStyle name="Separador de milhares 3 4 2 2 3" xfId="3043" xr:uid="{8DE8BAC7-9BEA-486A-AEF8-BCB27A4A640F}"/>
    <cellStyle name="Separador de milhares 3 4 2 3" xfId="1322" xr:uid="{7196C126-351D-48BA-A20B-D2097DAC8CB6}"/>
    <cellStyle name="Separador de milhares 3 4 2 3 2" xfId="3433" xr:uid="{8D20547C-5BA2-47D9-AD41-5643FCDDE272}"/>
    <cellStyle name="Separador de milhares 3 4 2 4" xfId="2616" xr:uid="{CFD8838A-9D49-4538-92EC-31B544740BB9}"/>
    <cellStyle name="Separador de milhares 3 4 3" xfId="728" xr:uid="{BA1D2CFE-241A-4BB5-AA1A-69D12A43958B}"/>
    <cellStyle name="Separador de milhares 3 4 3 2" xfId="1557" xr:uid="{E3CEE0AF-A8EA-45AB-AF1B-46652DFD1889}"/>
    <cellStyle name="Separador de milhares 3 4 3 2 2" xfId="3668" xr:uid="{E5153B66-4084-4747-A802-40B8B4F3285A}"/>
    <cellStyle name="Separador de milhares 3 4 3 3" xfId="2851" xr:uid="{FED56BFA-07D4-4303-99D7-EF40E69FA9FA}"/>
    <cellStyle name="Separador de milhares 3 4 4" xfId="1130" xr:uid="{653E9B02-49BA-42D7-AB61-87267FC02A6D}"/>
    <cellStyle name="Separador de milhares 3 4 4 2" xfId="3241" xr:uid="{754CA3EC-1E37-4CB5-8891-E6BBF4EC3A68}"/>
    <cellStyle name="Separador de milhares 3 4 5" xfId="2424" xr:uid="{9FCFABD8-6896-4316-847F-B68F364376E3}"/>
    <cellStyle name="Separador de milhares 3 5" xfId="379" xr:uid="{A00F2388-0F59-42B0-B370-8ABF984540CB}"/>
    <cellStyle name="Separador de milhares 3 5 2" xfId="824" xr:uid="{E7D74B7D-2EAD-438F-8C2E-28DDB7A88E82}"/>
    <cellStyle name="Separador de milhares 3 5 2 2" xfId="1653" xr:uid="{AF6FB523-5EEA-4FE3-BB4F-F058CE98AAD1}"/>
    <cellStyle name="Separador de milhares 3 5 2 2 2" xfId="3764" xr:uid="{72F5DCD4-A521-40B4-A0AC-08B08DEC121A}"/>
    <cellStyle name="Separador de milhares 3 5 2 3" xfId="2947" xr:uid="{709DB6BE-C4A9-44C3-80A6-518804D8F41A}"/>
    <cellStyle name="Separador de milhares 3 5 3" xfId="1226" xr:uid="{065E91C0-E494-4DD7-8829-F2F107A3C386}"/>
    <cellStyle name="Separador de milhares 3 5 3 2" xfId="3337" xr:uid="{DBC8C631-CDDD-4490-BEAD-387E94669406}"/>
    <cellStyle name="Separador de milhares 3 5 4" xfId="2520" xr:uid="{C19EAB37-1237-4431-88A8-5F00669FD9FD}"/>
    <cellStyle name="Separador de milhares 3 6" xfId="630" xr:uid="{870B4ED0-D304-4C64-8AAC-1A126D80BED4}"/>
    <cellStyle name="Separador de milhares 3 6 2" xfId="1461" xr:uid="{6734E86C-31E9-412A-A99D-C6B5B83B7A48}"/>
    <cellStyle name="Separador de milhares 3 6 2 2" xfId="3572" xr:uid="{4E79DE7E-C448-4F33-AD10-1821F5BE5E08}"/>
    <cellStyle name="Separador de milhares 3 6 3" xfId="2755" xr:uid="{EFD12A92-037E-41F3-83BC-F18432FE8126}"/>
    <cellStyle name="Separador de milhares 3 7" xfId="1034" xr:uid="{946FCB2F-8CAF-4836-88AE-2C7A8AA692DF}"/>
    <cellStyle name="Separador de milhares 3 7 2" xfId="3145" xr:uid="{6DF65C21-72BE-4BD2-938F-8B63CA8F59A5}"/>
    <cellStyle name="Separador de milhares 3 8" xfId="2268" xr:uid="{9E332567-501B-4E1B-AC94-AD5AC986ADC1}"/>
    <cellStyle name="Separador de milhares 3 9" xfId="2330" xr:uid="{16E236A7-F81C-40F3-BF98-33B7A5918726}"/>
    <cellStyle name="Separador de milhares 4" xfId="153" xr:uid="{57E7847E-4BAF-470C-B826-EC927B0EC966}"/>
    <cellStyle name="Separador de milhares 4 2" xfId="163" xr:uid="{53FEF90E-389C-49E5-8F13-80709D610A0A}"/>
    <cellStyle name="Separador de milhares 4 2 2" xfId="200" xr:uid="{79CAF8FE-6300-4989-9406-D6AD1CE618E9}"/>
    <cellStyle name="Separador de milhares 4 2 2 2" xfId="321" xr:uid="{C4A8C6BA-98CB-4A3C-BCD8-C042942546D9}"/>
    <cellStyle name="Separador de milhares 4 2 2 2 2" xfId="514" xr:uid="{577BFC42-4BD1-44AB-918C-DDA3DA5E5820}"/>
    <cellStyle name="Separador de milhares 4 2 2 2 2 2" xfId="959" xr:uid="{1A99653D-CFC0-4D09-9410-9CD910E20725}"/>
    <cellStyle name="Separador de milhares 4 2 2 2 2 2 2" xfId="1788" xr:uid="{20AFF5FD-2515-4972-B109-15B3C292F348}"/>
    <cellStyle name="Separador de milhares 4 2 2 2 2 2 2 2" xfId="3899" xr:uid="{3C32404F-AD54-42A7-9D29-44600C67EF68}"/>
    <cellStyle name="Separador de milhares 4 2 2 2 2 2 3" xfId="3082" xr:uid="{5280680B-E751-4D12-AB61-C3D132037CA3}"/>
    <cellStyle name="Separador de milhares 4 2 2 2 2 3" xfId="1361" xr:uid="{AFC324AC-B0D1-4E66-B75D-A0FAFCF6979A}"/>
    <cellStyle name="Separador de milhares 4 2 2 2 2 3 2" xfId="3472" xr:uid="{8B0E7C4C-4FC3-4C9F-A33C-8EF60CBA39B3}"/>
    <cellStyle name="Separador de milhares 4 2 2 2 2 4" xfId="2655" xr:uid="{CE3C7816-A92E-4C3A-B3FA-4FC15502EA29}"/>
    <cellStyle name="Separador de milhares 4 2 2 2 3" xfId="767" xr:uid="{F6AB34BA-FB89-495B-A93A-E081BAF92AA7}"/>
    <cellStyle name="Separador de milhares 4 2 2 2 3 2" xfId="1596" xr:uid="{02505912-1651-4763-96AF-33EFB7A40AD4}"/>
    <cellStyle name="Separador de milhares 4 2 2 2 3 2 2" xfId="3707" xr:uid="{8C05C46D-C99F-4A2F-BBD2-75EF6D2F28FA}"/>
    <cellStyle name="Separador de milhares 4 2 2 2 3 3" xfId="2890" xr:uid="{E413BB6D-152D-4D7B-8034-826D93933334}"/>
    <cellStyle name="Separador de milhares 4 2 2 2 4" xfId="1169" xr:uid="{B771531A-35A9-4879-9346-B310DB955B0B}"/>
    <cellStyle name="Separador de milhares 4 2 2 2 4 2" xfId="3280" xr:uid="{0487D4E7-C693-434D-808B-699115D68EF5}"/>
    <cellStyle name="Separador de milhares 4 2 2 2 5" xfId="2463" xr:uid="{31918723-ADA3-4BC0-988F-A50FE85B245C}"/>
    <cellStyle name="Separador de milhares 4 2 2 3" xfId="418" xr:uid="{F3CC246E-5033-41D4-8723-E434D27A60DD}"/>
    <cellStyle name="Separador de milhares 4 2 2 3 2" xfId="863" xr:uid="{17E29FD7-D658-4444-9AFA-2CF09E3FCA73}"/>
    <cellStyle name="Separador de milhares 4 2 2 3 2 2" xfId="1692" xr:uid="{CB8541AC-7208-4002-86EF-22F8A24A5B9F}"/>
    <cellStyle name="Separador de milhares 4 2 2 3 2 2 2" xfId="3803" xr:uid="{6F88C402-FB5A-4BB2-A80D-CD9CF9E406AA}"/>
    <cellStyle name="Separador de milhares 4 2 2 3 2 3" xfId="2986" xr:uid="{7E7A13D5-0BDB-46D7-B201-E48C2D943F90}"/>
    <cellStyle name="Separador de milhares 4 2 2 3 3" xfId="1265" xr:uid="{82FC55B7-4BA6-4EC6-A337-B95A2FB107DE}"/>
    <cellStyle name="Separador de milhares 4 2 2 3 3 2" xfId="3376" xr:uid="{8A17E330-B2A0-425C-A236-E2CE4EA31837}"/>
    <cellStyle name="Separador de milhares 4 2 2 3 4" xfId="2559" xr:uid="{833E7593-876C-4F17-9B5A-BFD3D3EC9495}"/>
    <cellStyle name="Separador de milhares 4 2 2 4" xfId="669" xr:uid="{DDB27740-8AAE-45F8-8BFC-A98834BBE65B}"/>
    <cellStyle name="Separador de milhares 4 2 2 4 2" xfId="1500" xr:uid="{F33B3FED-5F24-4F52-A269-0602B371B1F1}"/>
    <cellStyle name="Separador de milhares 4 2 2 4 2 2" xfId="3611" xr:uid="{D90723DC-60BE-42A5-B692-860B064FE191}"/>
    <cellStyle name="Separador de milhares 4 2 2 4 3" xfId="2794" xr:uid="{5F73F104-5B8D-4FDA-BAC2-B42B701C3D70}"/>
    <cellStyle name="Separador de milhares 4 2 2 5" xfId="1073" xr:uid="{C8F48164-E365-400D-844F-C8B58B052115}"/>
    <cellStyle name="Separador de milhares 4 2 2 5 2" xfId="3184" xr:uid="{90FC9A45-94A3-43D6-9001-14BF6F9CBDE9}"/>
    <cellStyle name="Separador de milhares 4 2 2 6" xfId="2368" xr:uid="{D20205E4-FA82-428B-BAFB-ECD2563070E8}"/>
    <cellStyle name="Separador de milhares 4 2 3" xfId="289" xr:uid="{84EEBC29-865B-4E3D-9C34-543224DEB360}"/>
    <cellStyle name="Separador de milhares 4 2 3 2" xfId="482" xr:uid="{64C93902-01CA-4D0E-BFEB-8284FE20E8CB}"/>
    <cellStyle name="Separador de milhares 4 2 3 2 2" xfId="927" xr:uid="{E9A28035-908A-4C2C-B77B-FA8ACA9A45E0}"/>
    <cellStyle name="Separador de milhares 4 2 3 2 2 2" xfId="1756" xr:uid="{F89B6ED6-81D3-4AEC-BB2A-673F191BE242}"/>
    <cellStyle name="Separador de milhares 4 2 3 2 2 2 2" xfId="3867" xr:uid="{0E6281B1-D032-49FE-B531-E1126268AC51}"/>
    <cellStyle name="Separador de milhares 4 2 3 2 2 3" xfId="3050" xr:uid="{AEFD7674-1588-409F-B7B5-0EF80EA1AF91}"/>
    <cellStyle name="Separador de milhares 4 2 3 2 3" xfId="1329" xr:uid="{B6DD647A-6275-4592-9C3C-C0F2D571ADB2}"/>
    <cellStyle name="Separador de milhares 4 2 3 2 3 2" xfId="3440" xr:uid="{6DDC5FCD-D6DA-4E9B-87D3-B7B10628BD2B}"/>
    <cellStyle name="Separador de milhares 4 2 3 2 4" xfId="2623" xr:uid="{139ED638-2D9F-4E1E-A392-7E0E5AB32CFD}"/>
    <cellStyle name="Separador de milhares 4 2 3 3" xfId="735" xr:uid="{C97674E1-89CC-4B60-A28E-1751572E05EF}"/>
    <cellStyle name="Separador de milhares 4 2 3 3 2" xfId="1564" xr:uid="{344D30D7-4274-434F-801A-4D3582191903}"/>
    <cellStyle name="Separador de milhares 4 2 3 3 2 2" xfId="3675" xr:uid="{1C78256E-155C-41DF-80A7-4B358CAA0FC0}"/>
    <cellStyle name="Separador de milhares 4 2 3 3 3" xfId="2858" xr:uid="{2543A757-0C91-41D7-AA8A-3BA23C705955}"/>
    <cellStyle name="Separador de milhares 4 2 3 4" xfId="1137" xr:uid="{545DE52D-FEBB-4DB9-B89F-2A5DFD7ED2FC}"/>
    <cellStyle name="Separador de milhares 4 2 3 4 2" xfId="3248" xr:uid="{8C85C510-8D62-4821-870D-FE5A935B5BB5}"/>
    <cellStyle name="Separador de milhares 4 2 3 5" xfId="2431" xr:uid="{5C6EA2AB-D2A2-4DF9-B5D0-046258F1E6B5}"/>
    <cellStyle name="Separador de milhares 4 2 4" xfId="386" xr:uid="{7C0FB6D4-2C8E-4788-BB3A-7A7C04E8F831}"/>
    <cellStyle name="Separador de milhares 4 2 4 2" xfId="831" xr:uid="{0076D06C-A855-42BB-940C-34C47F3C7496}"/>
    <cellStyle name="Separador de milhares 4 2 4 2 2" xfId="1660" xr:uid="{4043265D-1FD7-4255-AD77-16A873FFF2B7}"/>
    <cellStyle name="Separador de milhares 4 2 4 2 2 2" xfId="3771" xr:uid="{E00E005C-C444-4276-BAC4-3B92E3F1C048}"/>
    <cellStyle name="Separador de milhares 4 2 4 2 3" xfId="2954" xr:uid="{25A9E1D2-E313-4C20-8C2C-BC399BC36809}"/>
    <cellStyle name="Separador de milhares 4 2 4 3" xfId="1233" xr:uid="{E5B9E939-4B9B-4466-877E-35F097876DF1}"/>
    <cellStyle name="Separador de milhares 4 2 4 3 2" xfId="3344" xr:uid="{9CA2A2E3-62CD-4A9B-99EF-831BF81B3DB7}"/>
    <cellStyle name="Separador de milhares 4 2 4 4" xfId="2527" xr:uid="{D11CB39F-9D17-431A-A329-F949CD0FE1C1}"/>
    <cellStyle name="Separador de milhares 4 2 5" xfId="637" xr:uid="{A239C02C-1538-43D7-BB56-86A75A2C407E}"/>
    <cellStyle name="Separador de milhares 4 2 5 2" xfId="1468" xr:uid="{057AD5B0-B479-4F61-96BD-8D386E3E2264}"/>
    <cellStyle name="Separador de milhares 4 2 5 2 2" xfId="3579" xr:uid="{30C54A06-F381-481C-A7FF-07929BB49869}"/>
    <cellStyle name="Separador de milhares 4 2 5 3" xfId="2762" xr:uid="{33972CC2-D451-41ED-A2C6-2AC1FB7C8CAC}"/>
    <cellStyle name="Separador de milhares 4 2 6" xfId="1041" xr:uid="{705F6B3E-9D8C-49A0-A1F5-9391E49B5BB7}"/>
    <cellStyle name="Separador de milhares 4 2 6 2" xfId="3152" xr:uid="{A5C2954A-AC12-4E1E-9559-CFCB810B67B1}"/>
    <cellStyle name="Separador de milhares 4 2 7" xfId="2336" xr:uid="{C7B42D6A-04B2-4DFF-9669-4B44FE732AFD}"/>
    <cellStyle name="Separador de milhares 4 3" xfId="194" xr:uid="{BF0C54DA-CC28-4D85-8C1A-9B55650EDB5D}"/>
    <cellStyle name="Separador de milhares 4 3 2" xfId="315" xr:uid="{C1F5DE8E-B937-4BB3-8611-7566A95EC887}"/>
    <cellStyle name="Separador de milhares 4 3 2 2" xfId="508" xr:uid="{D0FC68C3-C741-4130-8330-E0E18EF794FA}"/>
    <cellStyle name="Separador de milhares 4 3 2 2 2" xfId="953" xr:uid="{BF5F80F3-84D0-439C-B4DB-2D8B5374A246}"/>
    <cellStyle name="Separador de milhares 4 3 2 2 2 2" xfId="1782" xr:uid="{620AF620-C358-48BA-8BC7-1DDE7620EAEB}"/>
    <cellStyle name="Separador de milhares 4 3 2 2 2 2 2" xfId="3893" xr:uid="{6064D908-0F7F-4BB2-8BCE-58E215CD2EBA}"/>
    <cellStyle name="Separador de milhares 4 3 2 2 2 3" xfId="3076" xr:uid="{4947E1EC-DFC6-48A2-AEE5-C082DE8ED7EC}"/>
    <cellStyle name="Separador de milhares 4 3 2 2 3" xfId="1355" xr:uid="{95FEA742-F01C-428F-887E-6382F0DD2F0D}"/>
    <cellStyle name="Separador de milhares 4 3 2 2 3 2" xfId="3466" xr:uid="{F12D4424-4D89-4366-BE35-61CBAD4E6F10}"/>
    <cellStyle name="Separador de milhares 4 3 2 2 4" xfId="2649" xr:uid="{18F56FDD-C816-428E-ADE8-383A5818F3E4}"/>
    <cellStyle name="Separador de milhares 4 3 2 3" xfId="761" xr:uid="{C520F7D6-E07D-4BCD-BA5A-3F81EA0A52A5}"/>
    <cellStyle name="Separador de milhares 4 3 2 3 2" xfId="1590" xr:uid="{C42A9DD5-0D1D-4B04-84E9-0ADB94278992}"/>
    <cellStyle name="Separador de milhares 4 3 2 3 2 2" xfId="3701" xr:uid="{F7280022-275D-4282-AF54-A915D52C1994}"/>
    <cellStyle name="Separador de milhares 4 3 2 3 3" xfId="2884" xr:uid="{281BAED0-C5B6-424F-AD4B-2B4BF90CAEC0}"/>
    <cellStyle name="Separador de milhares 4 3 2 4" xfId="1163" xr:uid="{1A063E93-B9CD-4EE3-B9A7-CF8F4533403F}"/>
    <cellStyle name="Separador de milhares 4 3 2 4 2" xfId="3274" xr:uid="{54118BE3-1FED-451A-9279-E5722C21B7A4}"/>
    <cellStyle name="Separador de milhares 4 3 2 5" xfId="2457" xr:uid="{ED8E9E1B-7FF8-4F3C-9C77-2B643740D9D6}"/>
    <cellStyle name="Separador de milhares 4 3 3" xfId="412" xr:uid="{B8F70816-3E28-45EB-BE3C-30704F3078DF}"/>
    <cellStyle name="Separador de milhares 4 3 3 2" xfId="857" xr:uid="{38F44E67-E47F-487E-A6BA-045FD34C8036}"/>
    <cellStyle name="Separador de milhares 4 3 3 2 2" xfId="1686" xr:uid="{122B2E53-1C1E-4DBF-B6CD-646D67F0E15E}"/>
    <cellStyle name="Separador de milhares 4 3 3 2 2 2" xfId="3797" xr:uid="{8FD99E35-116D-49C1-982D-D5734819A3F9}"/>
    <cellStyle name="Separador de milhares 4 3 3 2 3" xfId="2980" xr:uid="{CCC68B9A-9ACC-4392-9C05-63F774BE9B08}"/>
    <cellStyle name="Separador de milhares 4 3 3 3" xfId="1259" xr:uid="{D7D8BD38-4123-4C25-AADF-7395F284ECC3}"/>
    <cellStyle name="Separador de milhares 4 3 3 3 2" xfId="3370" xr:uid="{ECE8564F-BF96-4173-9D06-E509201ADA12}"/>
    <cellStyle name="Separador de milhares 4 3 3 4" xfId="2553" xr:uid="{8704D34A-0547-41BE-BD8A-773B680650E3}"/>
    <cellStyle name="Separador de milhares 4 3 4" xfId="663" xr:uid="{E551B93F-0543-4E73-A57D-52889BDE38B1}"/>
    <cellStyle name="Separador de milhares 4 3 4 2" xfId="1494" xr:uid="{7C0F662B-8CC6-45E8-B7D3-B11F58E1EF40}"/>
    <cellStyle name="Separador de milhares 4 3 4 2 2" xfId="3605" xr:uid="{A7F12A86-E0E1-4FF9-B7A6-9347D987147B}"/>
    <cellStyle name="Separador de milhares 4 3 4 3" xfId="2788" xr:uid="{6A8E45E1-7CAF-443C-BDAE-30518AE5CBAA}"/>
    <cellStyle name="Separador de milhares 4 3 5" xfId="1067" xr:uid="{570CB04A-B053-410F-ADDE-0259CD5B8044}"/>
    <cellStyle name="Separador de milhares 4 3 5 2" xfId="3178" xr:uid="{EAEA45B3-0847-48D1-9926-76C15479EF69}"/>
    <cellStyle name="Separador de milhares 4 3 6" xfId="2362" xr:uid="{99DA71CD-1A96-4D01-BE39-933A93602510}"/>
    <cellStyle name="Separador de milhares 4 4" xfId="283" xr:uid="{1933D704-6F2F-4D23-923E-909064FE45F2}"/>
    <cellStyle name="Separador de milhares 4 4 2" xfId="476" xr:uid="{9AAD4EC5-98C6-44B9-A65B-3ED16F0FEAAB}"/>
    <cellStyle name="Separador de milhares 4 4 2 2" xfId="921" xr:uid="{0B675CA8-91DD-4AF4-92FC-BF7C3E2B36A5}"/>
    <cellStyle name="Separador de milhares 4 4 2 2 2" xfId="1750" xr:uid="{16637118-C827-4C2C-91AA-489C7A7FDD7F}"/>
    <cellStyle name="Separador de milhares 4 4 2 2 2 2" xfId="3861" xr:uid="{0400F50B-5DDF-4185-9CBF-D2E568556BB6}"/>
    <cellStyle name="Separador de milhares 4 4 2 2 3" xfId="3044" xr:uid="{E2241012-175A-41D3-A6FD-549CD4021951}"/>
    <cellStyle name="Separador de milhares 4 4 2 3" xfId="1323" xr:uid="{C71BCB4A-3D79-48AB-AC31-3E39C86ED226}"/>
    <cellStyle name="Separador de milhares 4 4 2 3 2" xfId="3434" xr:uid="{4DDB5B70-6B17-41BA-82B7-686B04870EF0}"/>
    <cellStyle name="Separador de milhares 4 4 2 4" xfId="2617" xr:uid="{C2DB8A09-DD13-4096-9A81-94FEE3161613}"/>
    <cellStyle name="Separador de milhares 4 4 3" xfId="729" xr:uid="{300BC5DE-6660-4596-9B1B-E1A12FA3BCCF}"/>
    <cellStyle name="Separador de milhares 4 4 3 2" xfId="1558" xr:uid="{67B843A6-6C15-4358-A6DA-DF966803767D}"/>
    <cellStyle name="Separador de milhares 4 4 3 2 2" xfId="3669" xr:uid="{AF84A87A-8007-4C37-8CEF-FCD4FEC2066A}"/>
    <cellStyle name="Separador de milhares 4 4 3 3" xfId="2852" xr:uid="{736F52A0-9A09-4756-82D9-C06A69F4E84C}"/>
    <cellStyle name="Separador de milhares 4 4 4" xfId="1131" xr:uid="{99E537A1-6262-4504-89EF-AEC32D168830}"/>
    <cellStyle name="Separador de milhares 4 4 4 2" xfId="3242" xr:uid="{AABE7A56-C40C-45D8-89D5-198FA89AF7B6}"/>
    <cellStyle name="Separador de milhares 4 4 5" xfId="2425" xr:uid="{A224125A-E389-4C31-8A7E-60A8E0CDDC49}"/>
    <cellStyle name="Separador de milhares 4 5" xfId="380" xr:uid="{8A136AF3-1DC9-49D4-9DD3-15CEF8B52709}"/>
    <cellStyle name="Separador de milhares 4 5 2" xfId="825" xr:uid="{6E0E26F3-B790-454A-BE8D-C06D56760B79}"/>
    <cellStyle name="Separador de milhares 4 5 2 2" xfId="1654" xr:uid="{E02A591C-8A29-4E69-B747-1F56286C3328}"/>
    <cellStyle name="Separador de milhares 4 5 2 2 2" xfId="3765" xr:uid="{F32D99FF-AD23-41DC-9985-0BF1C82FA0AB}"/>
    <cellStyle name="Separador de milhares 4 5 2 3" xfId="2948" xr:uid="{A41F33F4-32D3-41D4-BB83-204BE13BBC67}"/>
    <cellStyle name="Separador de milhares 4 5 3" xfId="1227" xr:uid="{110EE100-5735-41E6-B89B-F51BF8428E36}"/>
    <cellStyle name="Separador de milhares 4 5 3 2" xfId="3338" xr:uid="{DB28A504-F16D-4B90-AD28-096CF1244DD8}"/>
    <cellStyle name="Separador de milhares 4 5 4" xfId="2521" xr:uid="{45F3181C-C572-4154-BF36-989C580F1E97}"/>
    <cellStyle name="Separador de milhares 4 6" xfId="631" xr:uid="{7ADACDF8-8B8D-46AB-9FFA-856886166031}"/>
    <cellStyle name="Separador de milhares 4 6 2" xfId="1462" xr:uid="{AFE53D2E-5FAD-43A9-841A-EBB6A4FF61D6}"/>
    <cellStyle name="Separador de milhares 4 6 2 2" xfId="3573" xr:uid="{AC2BCF45-6C16-48D4-BC51-8B01B324AF82}"/>
    <cellStyle name="Separador de milhares 4 6 3" xfId="2756" xr:uid="{1A613F26-E139-45CB-A0B2-16C18015B39D}"/>
    <cellStyle name="Separador de milhares 4 7" xfId="1035" xr:uid="{D3A2FE95-58EF-4D9A-8CA0-8EC9A80073C7}"/>
    <cellStyle name="Separador de milhares 4 7 2" xfId="3146" xr:uid="{3D48CC36-9E73-4C26-B7FB-9B507274EA78}"/>
    <cellStyle name="Separador de milhares 4 8" xfId="2331" xr:uid="{FAEE5425-6B0B-4EDF-B92A-6A803D42821A}"/>
    <cellStyle name="Separador de milhares 5" xfId="164" xr:uid="{1F598617-A8BF-4710-8F68-C7670B4252F0}"/>
    <cellStyle name="Separador de milhares 5 2" xfId="201" xr:uid="{EBFEC7FD-D9FB-4563-A6F1-BDC8ED78AB03}"/>
    <cellStyle name="Separador de milhares 5 2 2" xfId="322" xr:uid="{70692CFB-296F-42AA-8B91-D353BCC0F820}"/>
    <cellStyle name="Separador de milhares 5 2 2 2" xfId="515" xr:uid="{ADBAAC64-D81B-4A8A-8D4C-CDDD0A489AFE}"/>
    <cellStyle name="Separador de milhares 5 2 2 2 2" xfId="960" xr:uid="{D8AC8CF5-03E3-4F30-916A-5B8DD3E467EA}"/>
    <cellStyle name="Separador de milhares 5 2 2 2 2 2" xfId="1789" xr:uid="{DC92BEEA-EB0C-44C8-AF07-B23C96761557}"/>
    <cellStyle name="Separador de milhares 5 2 2 2 2 2 2" xfId="3900" xr:uid="{F8C09639-7EB5-405D-BC29-DDDE517E8B2E}"/>
    <cellStyle name="Separador de milhares 5 2 2 2 2 3" xfId="3083" xr:uid="{5083117E-DB16-4026-93D1-37A5BC9C2C62}"/>
    <cellStyle name="Separador de milhares 5 2 2 2 3" xfId="1362" xr:uid="{07284A2B-AB63-4F64-AAC1-27FAA7FDAB7A}"/>
    <cellStyle name="Separador de milhares 5 2 2 2 3 2" xfId="3473" xr:uid="{FEAEF8D3-0299-471C-B4BA-9C85577B2D66}"/>
    <cellStyle name="Separador de milhares 5 2 2 2 4" xfId="2656" xr:uid="{2D335D96-925F-4B6A-857A-C58CE749BE02}"/>
    <cellStyle name="Separador de milhares 5 2 2 3" xfId="768" xr:uid="{C4666CAE-606B-4499-8BC6-C8D48B961418}"/>
    <cellStyle name="Separador de milhares 5 2 2 3 2" xfId="1597" xr:uid="{341DFE1D-3A3D-4547-89A9-7FB31607BF7D}"/>
    <cellStyle name="Separador de milhares 5 2 2 3 2 2" xfId="3708" xr:uid="{2B128976-F468-419F-8ABF-DBC055361F9C}"/>
    <cellStyle name="Separador de milhares 5 2 2 3 3" xfId="2891" xr:uid="{3B9C723D-A281-405A-896E-C30D287066F7}"/>
    <cellStyle name="Separador de milhares 5 2 2 4" xfId="1170" xr:uid="{14407101-261A-43C7-9FF3-9523837C7FF2}"/>
    <cellStyle name="Separador de milhares 5 2 2 4 2" xfId="3281" xr:uid="{F6C84D03-A74B-4153-90A0-E69DE1F419F7}"/>
    <cellStyle name="Separador de milhares 5 2 2 5" xfId="2464" xr:uid="{D8A39A30-5121-4DB9-A912-F7AF80070F0D}"/>
    <cellStyle name="Separador de milhares 5 2 3" xfId="419" xr:uid="{76F5D5A8-3EEF-40CC-8930-8FE08BD498AB}"/>
    <cellStyle name="Separador de milhares 5 2 3 2" xfId="864" xr:uid="{6D2E3001-BCAB-407D-8CAC-3E070548E34B}"/>
    <cellStyle name="Separador de milhares 5 2 3 2 2" xfId="1693" xr:uid="{9A4ED20C-7931-4EF7-B0B5-2759DF19A9FB}"/>
    <cellStyle name="Separador de milhares 5 2 3 2 2 2" xfId="3804" xr:uid="{948D522B-110F-4ED3-A438-51DCD0E4F8CF}"/>
    <cellStyle name="Separador de milhares 5 2 3 2 3" xfId="2987" xr:uid="{CC092DDF-A651-411C-BB1B-E52E430342B4}"/>
    <cellStyle name="Separador de milhares 5 2 3 3" xfId="1266" xr:uid="{453B3884-551E-4DC2-8162-29405D0ADD18}"/>
    <cellStyle name="Separador de milhares 5 2 3 3 2" xfId="3377" xr:uid="{5A10B680-7472-4DB6-8509-A7D6F30E9FB5}"/>
    <cellStyle name="Separador de milhares 5 2 3 4" xfId="2560" xr:uid="{FE97A0AF-62DD-4C59-8588-1B71FFF9D464}"/>
    <cellStyle name="Separador de milhares 5 2 4" xfId="670" xr:uid="{EEE59CD6-F85E-47CA-BEA8-0B030CF20112}"/>
    <cellStyle name="Separador de milhares 5 2 4 2" xfId="1501" xr:uid="{03351E04-DBA9-4BF3-8FF2-B326CB84655D}"/>
    <cellStyle name="Separador de milhares 5 2 4 2 2" xfId="3612" xr:uid="{D91FF715-36B7-4570-A6D7-80E8E978F076}"/>
    <cellStyle name="Separador de milhares 5 2 4 3" xfId="2795" xr:uid="{AF39DEB5-D443-49CD-8C32-9A05CC59D4DF}"/>
    <cellStyle name="Separador de milhares 5 2 5" xfId="1074" xr:uid="{E2BED5E6-B1A6-4990-B4A6-00EEEF183452}"/>
    <cellStyle name="Separador de milhares 5 2 5 2" xfId="3185" xr:uid="{D0C7182D-BC4C-4B31-8C61-F646C16D97F1}"/>
    <cellStyle name="Separador de milhares 5 2 6" xfId="2369" xr:uid="{E5D61A53-CE34-4A7A-98B7-0616F2CE7DF9}"/>
    <cellStyle name="Separador de milhares 5 3" xfId="290" xr:uid="{1F99D04F-E93D-403E-99BF-9363C70A701E}"/>
    <cellStyle name="Separador de milhares 5 3 2" xfId="483" xr:uid="{45EA4BD8-777E-4FB8-809F-B97D8A8814A0}"/>
    <cellStyle name="Separador de milhares 5 3 2 2" xfId="928" xr:uid="{0EC21D1A-0ED4-4A63-8C1A-403E0C2DBA13}"/>
    <cellStyle name="Separador de milhares 5 3 2 2 2" xfId="1757" xr:uid="{63FD6A27-C8E8-4A15-99BA-146D03DD58CA}"/>
    <cellStyle name="Separador de milhares 5 3 2 2 2 2" xfId="3868" xr:uid="{E6DC7443-8C88-48C7-8E0B-B4211FEB5B90}"/>
    <cellStyle name="Separador de milhares 5 3 2 2 3" xfId="3051" xr:uid="{6B50E872-1865-4FEB-BE53-EF739C71A4EE}"/>
    <cellStyle name="Separador de milhares 5 3 2 3" xfId="1330" xr:uid="{004F2FB6-08EB-4232-9165-36EDB078B005}"/>
    <cellStyle name="Separador de milhares 5 3 2 3 2" xfId="3441" xr:uid="{878899B6-A2A0-4853-AE7A-4D3541D251D6}"/>
    <cellStyle name="Separador de milhares 5 3 2 4" xfId="2624" xr:uid="{1542B96A-88EF-4C9C-B235-BFC7E33AB185}"/>
    <cellStyle name="Separador de milhares 5 3 3" xfId="736" xr:uid="{C929AEF4-C927-4C01-81D7-C960D0FB3D29}"/>
    <cellStyle name="Separador de milhares 5 3 3 2" xfId="1565" xr:uid="{12DE83D3-F76B-48E2-9451-D7D9A534E536}"/>
    <cellStyle name="Separador de milhares 5 3 3 2 2" xfId="3676" xr:uid="{56AA263D-4C41-4CAB-9990-50E014691D19}"/>
    <cellStyle name="Separador de milhares 5 3 3 3" xfId="2859" xr:uid="{B2D7707C-BF59-44DC-81D9-005ACB003381}"/>
    <cellStyle name="Separador de milhares 5 3 4" xfId="1138" xr:uid="{E2EF33F2-1E85-4D56-9E62-CEFA792695E2}"/>
    <cellStyle name="Separador de milhares 5 3 4 2" xfId="3249" xr:uid="{E1083020-1FF0-47DE-9C56-BAE5C9234C29}"/>
    <cellStyle name="Separador de milhares 5 3 5" xfId="2432" xr:uid="{FBBB5638-5C83-4662-91D8-0E07288B9E6B}"/>
    <cellStyle name="Separador de milhares 5 4" xfId="387" xr:uid="{9B9F8354-4F90-4964-9AD3-73543EE8BAFA}"/>
    <cellStyle name="Separador de milhares 5 4 2" xfId="832" xr:uid="{05BB44C7-61C4-4DEF-9B63-4EB7DEE44F46}"/>
    <cellStyle name="Separador de milhares 5 4 2 2" xfId="1661" xr:uid="{EAB15649-1274-48B9-82C2-93FA3DC9A267}"/>
    <cellStyle name="Separador de milhares 5 4 2 2 2" xfId="3772" xr:uid="{24E7ECB8-9F96-450F-A83B-7F8C42C0C568}"/>
    <cellStyle name="Separador de milhares 5 4 2 3" xfId="2955" xr:uid="{8A483C59-2ADA-4C49-B84A-E6C541DA4DE0}"/>
    <cellStyle name="Separador de milhares 5 4 3" xfId="1234" xr:uid="{A313BA91-8AF5-4D4F-B810-0AE7A5DD6E65}"/>
    <cellStyle name="Separador de milhares 5 4 3 2" xfId="3345" xr:uid="{C68881EC-1B30-4E7E-AEE0-B596843DAFFD}"/>
    <cellStyle name="Separador de milhares 5 4 4" xfId="2528" xr:uid="{714570CD-9D8E-424B-A866-C14483E5BFCC}"/>
    <cellStyle name="Separador de milhares 5 5" xfId="638" xr:uid="{5D86597C-8025-4CEA-99EE-0F82F40979EB}"/>
    <cellStyle name="Separador de milhares 5 5 2" xfId="1469" xr:uid="{FFF1018A-1187-4BB3-A22A-5A7C0A57FB51}"/>
    <cellStyle name="Separador de milhares 5 5 2 2" xfId="3580" xr:uid="{8D898CF3-A908-421F-B23E-E2F24870C9B8}"/>
    <cellStyle name="Separador de milhares 5 5 3" xfId="2763" xr:uid="{E87601DD-4016-4F85-9FC9-E810821F6CDD}"/>
    <cellStyle name="Separador de milhares 5 6" xfId="1042" xr:uid="{16537B93-E999-4A3D-85CC-D23C1BA6F10B}"/>
    <cellStyle name="Separador de milhares 5 6 2" xfId="3153" xr:uid="{6006858E-547B-46F6-976B-C98ABA74D44F}"/>
    <cellStyle name="Separador de milhares 5 7" xfId="2337" xr:uid="{D0F01961-E3FE-47A1-95CB-6B9CA195773A}"/>
    <cellStyle name="Separador de milhares 6" xfId="165" xr:uid="{A89D1346-8699-4CA3-8974-7A9306628A2E}"/>
    <cellStyle name="Separador de milhares 6 2" xfId="202" xr:uid="{28A586F5-295B-4419-9901-FD5839B4B266}"/>
    <cellStyle name="Separador de milhares 6 2 2" xfId="323" xr:uid="{A74CEF3E-1FB6-4282-9CDE-C4F8572E55F8}"/>
    <cellStyle name="Separador de milhares 6 2 2 2" xfId="516" xr:uid="{3A37A6EB-11BB-4849-A2E2-D8282B47806C}"/>
    <cellStyle name="Separador de milhares 6 2 2 2 2" xfId="961" xr:uid="{1F8E7928-27F7-4BE0-B708-AE85EAE813FD}"/>
    <cellStyle name="Separador de milhares 6 2 2 2 2 2" xfId="1790" xr:uid="{E7A22C98-658A-4DC9-AE11-BBA22A49E982}"/>
    <cellStyle name="Separador de milhares 6 2 2 2 2 2 2" xfId="3901" xr:uid="{7C28AB14-9FDE-47CA-9F81-B772C9BE8015}"/>
    <cellStyle name="Separador de milhares 6 2 2 2 2 3" xfId="3084" xr:uid="{221C92E5-CC49-4DFC-A310-741FA3945A91}"/>
    <cellStyle name="Separador de milhares 6 2 2 2 3" xfId="1363" xr:uid="{56EA6F01-5C1F-420A-9D75-107BE3DD64B6}"/>
    <cellStyle name="Separador de milhares 6 2 2 2 3 2" xfId="3474" xr:uid="{D81BD781-9F31-4832-BFC5-A75728A9604D}"/>
    <cellStyle name="Separador de milhares 6 2 2 2 4" xfId="2657" xr:uid="{98D2C84B-ABE8-49A6-926C-BE16366BFF42}"/>
    <cellStyle name="Separador de milhares 6 2 2 3" xfId="769" xr:uid="{E3CD1A83-9AB0-4A32-BC21-5356935E9039}"/>
    <cellStyle name="Separador de milhares 6 2 2 3 2" xfId="1598" xr:uid="{ADA87484-D4A6-4BE1-9ACE-4352DE16B97D}"/>
    <cellStyle name="Separador de milhares 6 2 2 3 2 2" xfId="3709" xr:uid="{8C465A2D-13BE-489C-86B3-68F3F162AE05}"/>
    <cellStyle name="Separador de milhares 6 2 2 3 3" xfId="2892" xr:uid="{9BF6548F-21AB-48C8-BC7F-5D7AEEDF09C1}"/>
    <cellStyle name="Separador de milhares 6 2 2 4" xfId="1171" xr:uid="{F765ABA4-DE89-4B6B-A3E2-FEE5FCE46AE2}"/>
    <cellStyle name="Separador de milhares 6 2 2 4 2" xfId="3282" xr:uid="{F927CB28-3935-4B87-88A7-E40F04692A00}"/>
    <cellStyle name="Separador de milhares 6 2 2 5" xfId="2465" xr:uid="{AA8E5F96-FD9E-4B6B-9B9D-DD537F099BD7}"/>
    <cellStyle name="Separador de milhares 6 2 3" xfId="420" xr:uid="{3ABF4BB9-DD4E-450C-AC08-22D3A2C3E4AB}"/>
    <cellStyle name="Separador de milhares 6 2 3 2" xfId="865" xr:uid="{EA611F5B-7D7D-47D1-801B-995485520C16}"/>
    <cellStyle name="Separador de milhares 6 2 3 2 2" xfId="1694" xr:uid="{8E32CCD2-C685-41FF-AB75-60354BD16CE7}"/>
    <cellStyle name="Separador de milhares 6 2 3 2 2 2" xfId="3805" xr:uid="{4CEF5977-D917-48C8-B893-666F190244F5}"/>
    <cellStyle name="Separador de milhares 6 2 3 2 3" xfId="2988" xr:uid="{E5824827-9758-4C7B-84B5-D9F399FFB205}"/>
    <cellStyle name="Separador de milhares 6 2 3 3" xfId="1267" xr:uid="{7E763369-7960-4716-A9B6-2599B322516F}"/>
    <cellStyle name="Separador de milhares 6 2 3 3 2" xfId="3378" xr:uid="{6FF941D2-6DAF-4C51-A969-9C3D8D37EDC9}"/>
    <cellStyle name="Separador de milhares 6 2 3 4" xfId="2561" xr:uid="{71223F15-2496-4E59-9082-F7CAB8C209A0}"/>
    <cellStyle name="Separador de milhares 6 2 4" xfId="671" xr:uid="{46BC2756-BCB3-4385-897F-409FD6725701}"/>
    <cellStyle name="Separador de milhares 6 2 4 2" xfId="1502" xr:uid="{6DB6481E-8C9D-4943-81DC-3597B8B637CD}"/>
    <cellStyle name="Separador de milhares 6 2 4 2 2" xfId="3613" xr:uid="{41EC3DD8-891F-4074-9FD7-0AAD30545CBF}"/>
    <cellStyle name="Separador de milhares 6 2 4 3" xfId="2796" xr:uid="{5169ECC0-938D-41E1-B1EC-E66C97D5567C}"/>
    <cellStyle name="Separador de milhares 6 2 5" xfId="1075" xr:uid="{7B124AB2-E9A9-4C0D-A5BA-18CC4884CA1A}"/>
    <cellStyle name="Separador de milhares 6 2 5 2" xfId="3186" xr:uid="{5EF98F85-5DAA-45DC-82A1-6FA3CC9F35D9}"/>
    <cellStyle name="Separador de milhares 6 2 6" xfId="2370" xr:uid="{9243218C-8D6B-4874-BFCF-2E9F144D19D9}"/>
    <cellStyle name="Separador de milhares 6 3" xfId="291" xr:uid="{EEFF968F-A18F-4498-A45A-6D31313248FE}"/>
    <cellStyle name="Separador de milhares 6 3 2" xfId="484" xr:uid="{C477D5BD-817C-449C-B405-683646FC7ECF}"/>
    <cellStyle name="Separador de milhares 6 3 2 2" xfId="929" xr:uid="{6E9A8F28-E30B-43A4-A052-F3175C453FDB}"/>
    <cellStyle name="Separador de milhares 6 3 2 2 2" xfId="1758" xr:uid="{92CA63AC-4F1B-470D-8150-03417700DC22}"/>
    <cellStyle name="Separador de milhares 6 3 2 2 2 2" xfId="3869" xr:uid="{DB7B7486-66C0-41D0-A9AF-A1C7E0890C03}"/>
    <cellStyle name="Separador de milhares 6 3 2 2 3" xfId="3052" xr:uid="{F44CA379-143C-479C-B1BF-0EFB8A2271DB}"/>
    <cellStyle name="Separador de milhares 6 3 2 3" xfId="1331" xr:uid="{0AB8A8F5-78A1-4C58-8273-B41F05749814}"/>
    <cellStyle name="Separador de milhares 6 3 2 3 2" xfId="3442" xr:uid="{2380FC70-87F5-4B21-8413-AADCB27B0613}"/>
    <cellStyle name="Separador de milhares 6 3 2 4" xfId="2625" xr:uid="{CF030E10-5B93-4F92-96ED-3D97DB2F5FE4}"/>
    <cellStyle name="Separador de milhares 6 3 3" xfId="737" xr:uid="{7890F866-A88F-46AE-A56E-F978DA72D9E4}"/>
    <cellStyle name="Separador de milhares 6 3 3 2" xfId="1566" xr:uid="{D0108F6F-52C2-4211-83D5-60E214683100}"/>
    <cellStyle name="Separador de milhares 6 3 3 2 2" xfId="3677" xr:uid="{FDD34B2A-6FD5-475E-BAFC-FE30757095A1}"/>
    <cellStyle name="Separador de milhares 6 3 3 3" xfId="2860" xr:uid="{5B6DCBE3-CB97-4F0A-A9EE-F081B1016D82}"/>
    <cellStyle name="Separador de milhares 6 3 4" xfId="1139" xr:uid="{B716558E-BBAF-4F17-A39C-088FD8AAE140}"/>
    <cellStyle name="Separador de milhares 6 3 4 2" xfId="3250" xr:uid="{70D99F0D-1BB7-4748-A151-822FFC6C602F}"/>
    <cellStyle name="Separador de milhares 6 3 5" xfId="2433" xr:uid="{08FCF6B6-5A7C-46D3-A478-3154F6A0CCEF}"/>
    <cellStyle name="Separador de milhares 6 4" xfId="388" xr:uid="{EFFB6B31-2524-487E-A2E7-83B19714B770}"/>
    <cellStyle name="Separador de milhares 6 4 2" xfId="833" xr:uid="{D306BCD0-D62F-48B5-8A04-E80A299119E4}"/>
    <cellStyle name="Separador de milhares 6 4 2 2" xfId="1662" xr:uid="{1B9BEC2C-58B3-477A-BED9-6E24A9EB4753}"/>
    <cellStyle name="Separador de milhares 6 4 2 2 2" xfId="3773" xr:uid="{60206B85-9185-4A48-B7F1-B6B86C376063}"/>
    <cellStyle name="Separador de milhares 6 4 2 3" xfId="2956" xr:uid="{A525F9EC-8820-4C8F-ACA3-188ABBB30FBE}"/>
    <cellStyle name="Separador de milhares 6 4 3" xfId="1235" xr:uid="{80C90200-0BD5-4F56-92F3-EF2497F8A773}"/>
    <cellStyle name="Separador de milhares 6 4 3 2" xfId="3346" xr:uid="{DB6B2152-ECA0-4B8D-9C0A-B451017E8AA2}"/>
    <cellStyle name="Separador de milhares 6 4 4" xfId="2529" xr:uid="{62B2C28B-7829-4D71-BA28-FF370F3385CF}"/>
    <cellStyle name="Separador de milhares 6 5" xfId="639" xr:uid="{390C29E6-E1B9-47B9-A754-721ABF2B79DC}"/>
    <cellStyle name="Separador de milhares 6 5 2" xfId="1470" xr:uid="{6F3F93F0-C0BA-42FF-A79A-4D4C10B2BCA8}"/>
    <cellStyle name="Separador de milhares 6 5 2 2" xfId="3581" xr:uid="{F4EA238A-8568-44FE-BEED-FB2A41AAF5EE}"/>
    <cellStyle name="Separador de milhares 6 5 3" xfId="2764" xr:uid="{A73D5647-FD38-4C6E-887D-045770752CEE}"/>
    <cellStyle name="Separador de milhares 6 6" xfId="1043" xr:uid="{963730B2-EA20-4FBD-9705-5BA59B39FF39}"/>
    <cellStyle name="Separador de milhares 6 6 2" xfId="3154" xr:uid="{8F4D49DD-1111-4064-A544-2A2728A4087B}"/>
    <cellStyle name="Separador de milhares 6 7" xfId="2338" xr:uid="{EEE989DA-A7FD-4749-A4D4-6C8B2CD06204}"/>
    <cellStyle name="Separador de milhares 7" xfId="166" xr:uid="{047C24F6-05DC-44B6-860B-823FE689BB18}"/>
    <cellStyle name="Separador de milhares 7 2" xfId="203" xr:uid="{3AAACF7C-890F-4395-AC96-CC72877C3BA5}"/>
    <cellStyle name="Separador de milhares 7 2 2" xfId="324" xr:uid="{426DFDB0-A367-408C-8824-1F516D6EE09B}"/>
    <cellStyle name="Separador de milhares 7 2 2 2" xfId="517" xr:uid="{978FA940-9F82-419C-824C-2FD756D10C06}"/>
    <cellStyle name="Separador de milhares 7 2 2 2 2" xfId="962" xr:uid="{4590E1FC-5208-4E32-A8CA-001F1EA12144}"/>
    <cellStyle name="Separador de milhares 7 2 2 2 2 2" xfId="1791" xr:uid="{34207090-0C04-461B-8B7F-50A0598D6269}"/>
    <cellStyle name="Separador de milhares 7 2 2 2 2 2 2" xfId="3902" xr:uid="{926732E0-462E-4338-BE35-8F8F52FC5A77}"/>
    <cellStyle name="Separador de milhares 7 2 2 2 2 3" xfId="3085" xr:uid="{82EC0EEC-FC42-462D-AF73-432A873591F6}"/>
    <cellStyle name="Separador de milhares 7 2 2 2 3" xfId="1364" xr:uid="{031BC710-21D3-4098-B1CD-FD0B2AB68240}"/>
    <cellStyle name="Separador de milhares 7 2 2 2 3 2" xfId="3475" xr:uid="{E99C8B97-2A94-4584-9B6E-C16421F09419}"/>
    <cellStyle name="Separador de milhares 7 2 2 2 4" xfId="2658" xr:uid="{ED1661C8-3EA9-4D08-BEE3-074368C06D2B}"/>
    <cellStyle name="Separador de milhares 7 2 2 3" xfId="770" xr:uid="{2C766739-5ACA-49A6-8AC1-7145891383FE}"/>
    <cellStyle name="Separador de milhares 7 2 2 3 2" xfId="1599" xr:uid="{C09879C7-A4D4-48A9-A1AA-F11BDE46A7A9}"/>
    <cellStyle name="Separador de milhares 7 2 2 3 2 2" xfId="3710" xr:uid="{E87EA5F4-2A63-4A84-823D-EECFC8C68229}"/>
    <cellStyle name="Separador de milhares 7 2 2 3 3" xfId="2893" xr:uid="{A8EE7DE3-21F3-450B-AB88-AF3F09B6AAC5}"/>
    <cellStyle name="Separador de milhares 7 2 2 4" xfId="1172" xr:uid="{2D546550-D37A-44C9-94A6-36D054475268}"/>
    <cellStyle name="Separador de milhares 7 2 2 4 2" xfId="3283" xr:uid="{E0AB0F78-2590-4E50-BFDD-5EF316F20B7F}"/>
    <cellStyle name="Separador de milhares 7 2 2 5" xfId="2466" xr:uid="{049778D6-FE77-41D2-A72F-B7AE148EE8E5}"/>
    <cellStyle name="Separador de milhares 7 2 3" xfId="421" xr:uid="{62DAF054-5984-42C5-9729-61FE98C14BB6}"/>
    <cellStyle name="Separador de milhares 7 2 3 2" xfId="866" xr:uid="{4E91A61A-1175-4B33-A40F-14D4075D6BB8}"/>
    <cellStyle name="Separador de milhares 7 2 3 2 2" xfId="1695" xr:uid="{56992CF8-2BF1-4B6B-8254-4E3A7E8D8D1A}"/>
    <cellStyle name="Separador de milhares 7 2 3 2 2 2" xfId="3806" xr:uid="{F416DF6E-FCE0-4803-87DA-D86051FE2205}"/>
    <cellStyle name="Separador de milhares 7 2 3 2 3" xfId="2989" xr:uid="{4212D6C7-5AED-48B0-ABF1-882B5523A8B4}"/>
    <cellStyle name="Separador de milhares 7 2 3 3" xfId="1268" xr:uid="{0B9ABDC8-84CB-4EC6-8C8D-028F93DB41C6}"/>
    <cellStyle name="Separador de milhares 7 2 3 3 2" xfId="3379" xr:uid="{B8F7E309-3001-4922-A60F-AB3EBCA58056}"/>
    <cellStyle name="Separador de milhares 7 2 3 4" xfId="2562" xr:uid="{371F8020-1648-495F-B0F2-A7951B85147D}"/>
    <cellStyle name="Separador de milhares 7 2 4" xfId="672" xr:uid="{78266E85-7068-47FB-8B8B-13EFFA0856A4}"/>
    <cellStyle name="Separador de milhares 7 2 4 2" xfId="1503" xr:uid="{7F06C3FC-5B60-41E3-8A4D-39017E3FF7CD}"/>
    <cellStyle name="Separador de milhares 7 2 4 2 2" xfId="3614" xr:uid="{476F494C-34D2-4A1F-9D9C-C4FD889DB9F3}"/>
    <cellStyle name="Separador de milhares 7 2 4 3" xfId="2797" xr:uid="{7D15684A-6389-414B-A539-E3456F55519F}"/>
    <cellStyle name="Separador de milhares 7 2 5" xfId="1076" xr:uid="{8252DF63-0D55-4607-92ED-7862632AD266}"/>
    <cellStyle name="Separador de milhares 7 2 5 2" xfId="3187" xr:uid="{94060636-7023-41AC-9771-E1AFAAADA64D}"/>
    <cellStyle name="Separador de milhares 7 2 6" xfId="2371" xr:uid="{AA51B428-9D80-4FA1-ABC0-F180A1877A7A}"/>
    <cellStyle name="Separador de milhares 7 3" xfId="292" xr:uid="{B79B33F2-BF51-4BDC-ADB2-514D0ABD6F4A}"/>
    <cellStyle name="Separador de milhares 7 3 2" xfId="485" xr:uid="{DBEB6A1C-3724-4168-B2FB-E3B60135F4C7}"/>
    <cellStyle name="Separador de milhares 7 3 2 2" xfId="930" xr:uid="{D7C9E779-0B32-444A-93D4-DDE760D4811B}"/>
    <cellStyle name="Separador de milhares 7 3 2 2 2" xfId="1759" xr:uid="{B3FCBA32-E47C-4EFC-9E93-096072BDEC35}"/>
    <cellStyle name="Separador de milhares 7 3 2 2 2 2" xfId="3870" xr:uid="{E3255086-B406-4583-99FD-50BAA57160A0}"/>
    <cellStyle name="Separador de milhares 7 3 2 2 3" xfId="3053" xr:uid="{6C999D9B-E5A7-4927-B439-882026D87EC8}"/>
    <cellStyle name="Separador de milhares 7 3 2 3" xfId="1332" xr:uid="{A6E67596-8FAD-477C-9C96-1EDE526722C9}"/>
    <cellStyle name="Separador de milhares 7 3 2 3 2" xfId="3443" xr:uid="{40548A27-7B73-4129-8CF8-9ECD58DDB706}"/>
    <cellStyle name="Separador de milhares 7 3 2 4" xfId="2626" xr:uid="{054D7415-B085-47AA-9462-A2E6F4E0BD77}"/>
    <cellStyle name="Separador de milhares 7 3 3" xfId="738" xr:uid="{8FEAA8F3-2F70-4F80-AD6B-F05D167DAAFA}"/>
    <cellStyle name="Separador de milhares 7 3 3 2" xfId="1567" xr:uid="{8254ED8B-61FC-4BE8-9554-B3A30D566DE1}"/>
    <cellStyle name="Separador de milhares 7 3 3 2 2" xfId="3678" xr:uid="{E3620FAE-BC66-4111-903E-7B3B6085D098}"/>
    <cellStyle name="Separador de milhares 7 3 3 3" xfId="2861" xr:uid="{3F7F1DB6-FF97-4A39-AD7B-CBB417BCE42B}"/>
    <cellStyle name="Separador de milhares 7 3 4" xfId="1140" xr:uid="{835871E2-87D9-447C-947F-93EC66D48F40}"/>
    <cellStyle name="Separador de milhares 7 3 4 2" xfId="3251" xr:uid="{184A8313-F218-47BC-997E-4763B77FAC41}"/>
    <cellStyle name="Separador de milhares 7 3 5" xfId="2434" xr:uid="{5E522A22-DD5B-46EC-926E-C2A48A4B8786}"/>
    <cellStyle name="Separador de milhares 7 4" xfId="389" xr:uid="{A4F35499-2192-4723-A7C9-E1DA12153E7C}"/>
    <cellStyle name="Separador de milhares 7 4 2" xfId="834" xr:uid="{A5DEE0D9-47E6-4599-8AC8-CBD0701763ED}"/>
    <cellStyle name="Separador de milhares 7 4 2 2" xfId="1663" xr:uid="{E55314DF-4F06-4220-8077-8E60957956E0}"/>
    <cellStyle name="Separador de milhares 7 4 2 2 2" xfId="3774" xr:uid="{40BAA4D9-EC51-4C9D-A28F-584CA7282EDE}"/>
    <cellStyle name="Separador de milhares 7 4 2 3" xfId="2957" xr:uid="{EF9E8909-5388-4758-897E-FC1126A71008}"/>
    <cellStyle name="Separador de milhares 7 4 3" xfId="1236" xr:uid="{9C03FBEF-8CC6-40E0-B81D-D2935FD68E0A}"/>
    <cellStyle name="Separador de milhares 7 4 3 2" xfId="3347" xr:uid="{2F6A950E-D0AC-486F-96D4-651DEA944E18}"/>
    <cellStyle name="Separador de milhares 7 4 4" xfId="2530" xr:uid="{13519C9E-BE23-45B1-BE59-CE6842D6F632}"/>
    <cellStyle name="Separador de milhares 7 5" xfId="640" xr:uid="{CDB266A4-F910-491D-8860-BAF9A1CBBE43}"/>
    <cellStyle name="Separador de milhares 7 5 2" xfId="1471" xr:uid="{3B251E86-5FD2-4C00-A7D9-68B5559DCCBB}"/>
    <cellStyle name="Separador de milhares 7 5 2 2" xfId="3582" xr:uid="{28E28E7F-05B4-48D4-897A-B6766F0C78DA}"/>
    <cellStyle name="Separador de milhares 7 5 3" xfId="2765" xr:uid="{315925C8-9F36-4D21-981E-68577475AAED}"/>
    <cellStyle name="Separador de milhares 7 6" xfId="1044" xr:uid="{CED69BDF-CED3-4BBE-BA7E-285882443103}"/>
    <cellStyle name="Separador de milhares 7 6 2" xfId="3155" xr:uid="{FB1F81CD-93D6-4A36-A127-7BE16BB96E4E}"/>
    <cellStyle name="Separador de milhares 7 7" xfId="2339" xr:uid="{F27F51A6-9CE6-4E68-BE58-7E1A6EBE35DB}"/>
    <cellStyle name="Separador de milhares 8" xfId="167" xr:uid="{6352DABC-608F-46C7-A20B-5EB90EB66642}"/>
    <cellStyle name="Separador de milhares 8 2" xfId="204" xr:uid="{D3E15FC5-8D57-4725-8972-963D006A6C2C}"/>
    <cellStyle name="Separador de milhares 8 2 2" xfId="325" xr:uid="{05856BFD-4D09-4018-A856-2F573A873DC8}"/>
    <cellStyle name="Separador de milhares 8 2 2 2" xfId="518" xr:uid="{5A06DCE4-663E-4D2F-9D80-A093764AC2D8}"/>
    <cellStyle name="Separador de milhares 8 2 2 2 2" xfId="963" xr:uid="{AF538609-8490-469E-BEB2-0D82A08D5A89}"/>
    <cellStyle name="Separador de milhares 8 2 2 2 2 2" xfId="1792" xr:uid="{BDA15548-70B9-4CBD-AC5D-E75E5F90DB7F}"/>
    <cellStyle name="Separador de milhares 8 2 2 2 2 2 2" xfId="3903" xr:uid="{4F0C5A8D-42EA-4F42-A52A-E0E6B1ED6FF3}"/>
    <cellStyle name="Separador de milhares 8 2 2 2 2 3" xfId="3086" xr:uid="{D509B935-9871-45BF-B08C-427B0C887CBC}"/>
    <cellStyle name="Separador de milhares 8 2 2 2 3" xfId="1365" xr:uid="{B5CAE0B9-EF14-4A7E-86B0-A4E274FE8C77}"/>
    <cellStyle name="Separador de milhares 8 2 2 2 3 2" xfId="3476" xr:uid="{3F60F646-9DCF-4C74-9664-1BFE8E457AA5}"/>
    <cellStyle name="Separador de milhares 8 2 2 2 4" xfId="2659" xr:uid="{A148EDCB-044B-4260-A93D-8F8C4C0EE58E}"/>
    <cellStyle name="Separador de milhares 8 2 2 3" xfId="771" xr:uid="{1D1DD068-6714-45BD-880F-A0487E73E294}"/>
    <cellStyle name="Separador de milhares 8 2 2 3 2" xfId="1600" xr:uid="{9C86A768-76ED-4BFD-85B8-3C787A0F846F}"/>
    <cellStyle name="Separador de milhares 8 2 2 3 2 2" xfId="3711" xr:uid="{CCAE45DA-4135-4DB3-BF00-653E578BDD8A}"/>
    <cellStyle name="Separador de milhares 8 2 2 3 3" xfId="2894" xr:uid="{034ED643-115F-4F85-8F1F-D59A7C524F8E}"/>
    <cellStyle name="Separador de milhares 8 2 2 4" xfId="1173" xr:uid="{39E70A1A-DBEA-4040-B676-1FBF6A9A3301}"/>
    <cellStyle name="Separador de milhares 8 2 2 4 2" xfId="3284" xr:uid="{CFF8D63D-2828-4598-9F6B-D97BE4BB7322}"/>
    <cellStyle name="Separador de milhares 8 2 2 5" xfId="2467" xr:uid="{D53237D3-5543-40F3-B240-298DCBFF9C62}"/>
    <cellStyle name="Separador de milhares 8 2 3" xfId="422" xr:uid="{F941957A-ABF4-4149-86B1-6A6D49F2CD72}"/>
    <cellStyle name="Separador de milhares 8 2 3 2" xfId="867" xr:uid="{E3F04F36-D4B0-4CF6-9570-42901AFA1DCA}"/>
    <cellStyle name="Separador de milhares 8 2 3 2 2" xfId="1696" xr:uid="{6B9FD656-6267-46B1-A5B9-2B7EA1036B60}"/>
    <cellStyle name="Separador de milhares 8 2 3 2 2 2" xfId="3807" xr:uid="{85FDBD6C-3079-4C46-8629-24F8DE536C31}"/>
    <cellStyle name="Separador de milhares 8 2 3 2 3" xfId="2990" xr:uid="{C17921A5-2808-47EE-8B7E-C299DC92B5DD}"/>
    <cellStyle name="Separador de milhares 8 2 3 3" xfId="1269" xr:uid="{56640F63-61E8-4E09-B203-2EA78A4A5BB0}"/>
    <cellStyle name="Separador de milhares 8 2 3 3 2" xfId="3380" xr:uid="{FD3A029F-190A-49E2-92C1-4E54995C009E}"/>
    <cellStyle name="Separador de milhares 8 2 3 4" xfId="2563" xr:uid="{4F3A9987-4B93-4CE3-8F9D-B3ED1D5E7723}"/>
    <cellStyle name="Separador de milhares 8 2 4" xfId="673" xr:uid="{5B67659C-67B7-4535-95EA-BE2D91980A66}"/>
    <cellStyle name="Separador de milhares 8 2 4 2" xfId="1504" xr:uid="{66E1E300-7053-40F5-9E8E-2AC50E8FEC03}"/>
    <cellStyle name="Separador de milhares 8 2 4 2 2" xfId="3615" xr:uid="{7FC2BD0A-7BBF-4587-BE0A-C32A6A510DC3}"/>
    <cellStyle name="Separador de milhares 8 2 4 3" xfId="2798" xr:uid="{68C32C8A-1F93-4265-B66F-B22090F5CE90}"/>
    <cellStyle name="Separador de milhares 8 2 5" xfId="1077" xr:uid="{6C252660-A674-45E9-9DE3-88644F455B6B}"/>
    <cellStyle name="Separador de milhares 8 2 5 2" xfId="3188" xr:uid="{5D5DD4BA-477F-401E-AE54-651B98E5DF64}"/>
    <cellStyle name="Separador de milhares 8 2 6" xfId="2372" xr:uid="{A01F3FA4-94AE-4FC6-8DB9-6D39B101CEFA}"/>
    <cellStyle name="Separador de milhares 8 3" xfId="293" xr:uid="{A107F4F5-8C9A-4B7B-83BE-AB629EB674E7}"/>
    <cellStyle name="Separador de milhares 8 3 2" xfId="486" xr:uid="{042730BC-B6BF-45A4-86A1-94CA57467311}"/>
    <cellStyle name="Separador de milhares 8 3 2 2" xfId="931" xr:uid="{1FC3DF2A-285A-40C6-A437-E26A4B13D410}"/>
    <cellStyle name="Separador de milhares 8 3 2 2 2" xfId="1760" xr:uid="{6D4DCDA0-4635-4B47-8AFF-C3E7DC22AC4C}"/>
    <cellStyle name="Separador de milhares 8 3 2 2 2 2" xfId="3871" xr:uid="{5767DA5A-793F-481A-A865-2E8BE653E46F}"/>
    <cellStyle name="Separador de milhares 8 3 2 2 3" xfId="3054" xr:uid="{C9B01968-2564-4769-A980-DF23A6A0F25B}"/>
    <cellStyle name="Separador de milhares 8 3 2 3" xfId="1333" xr:uid="{FEDB6679-6091-40BE-8012-4B84B1078EEA}"/>
    <cellStyle name="Separador de milhares 8 3 2 3 2" xfId="3444" xr:uid="{CD11DE6F-4B46-4E44-A74C-0E9E72FBBBB1}"/>
    <cellStyle name="Separador de milhares 8 3 2 4" xfId="2627" xr:uid="{AEF6A01D-A8B5-4B84-8AF2-521077B6BCC1}"/>
    <cellStyle name="Separador de milhares 8 3 3" xfId="739" xr:uid="{5E4D14D8-5925-4E93-9E84-D1222C289B67}"/>
    <cellStyle name="Separador de milhares 8 3 3 2" xfId="1568" xr:uid="{9E845C5C-F28E-4B3D-98EA-E90ECA471B08}"/>
    <cellStyle name="Separador de milhares 8 3 3 2 2" xfId="3679" xr:uid="{E0048C66-BB11-4AD0-9741-7723AA0BE9CB}"/>
    <cellStyle name="Separador de milhares 8 3 3 3" xfId="2862" xr:uid="{80B8F55F-3BBA-4414-9BD4-AF5A5C2FDE02}"/>
    <cellStyle name="Separador de milhares 8 3 4" xfId="1141" xr:uid="{4FF3793B-C264-4154-8881-49D4D9C821B0}"/>
    <cellStyle name="Separador de milhares 8 3 4 2" xfId="3252" xr:uid="{E9354B58-322F-4E0D-9FCE-6CB3EF2A871C}"/>
    <cellStyle name="Separador de milhares 8 3 5" xfId="2435" xr:uid="{014345C5-6AFA-4EC3-932B-3DA0715CB71F}"/>
    <cellStyle name="Separador de milhares 8 4" xfId="390" xr:uid="{9A4E92A5-F0B2-4D1B-9A1E-20937989F935}"/>
    <cellStyle name="Separador de milhares 8 4 2" xfId="835" xr:uid="{F005E96F-FB10-48EF-9DDF-86728E7F9D4F}"/>
    <cellStyle name="Separador de milhares 8 4 2 2" xfId="1664" xr:uid="{6A75EF92-5DCC-4461-B1A2-4B26A8EC5654}"/>
    <cellStyle name="Separador de milhares 8 4 2 2 2" xfId="3775" xr:uid="{B0EE30CB-2708-4899-B082-CCBAB2F7F0C4}"/>
    <cellStyle name="Separador de milhares 8 4 2 3" xfId="2958" xr:uid="{6E4431F0-6A4E-4304-8481-224BC648FB3A}"/>
    <cellStyle name="Separador de milhares 8 4 3" xfId="1237" xr:uid="{7D5DDDAA-99D8-46C0-AB42-574C65EDD22F}"/>
    <cellStyle name="Separador de milhares 8 4 3 2" xfId="3348" xr:uid="{9FF40690-8086-4900-9F2A-A516FACCCC99}"/>
    <cellStyle name="Separador de milhares 8 4 4" xfId="2531" xr:uid="{0C48448A-9105-4909-BD79-83F7EA1060DE}"/>
    <cellStyle name="Separador de milhares 8 5" xfId="641" xr:uid="{3AF4C0D5-F032-42C1-B01E-88F9BEC30C81}"/>
    <cellStyle name="Separador de milhares 8 5 2" xfId="1472" xr:uid="{0AE04B52-EE0D-4317-A9DF-AF911FEEB3C4}"/>
    <cellStyle name="Separador de milhares 8 5 2 2" xfId="3583" xr:uid="{52DA899F-5376-4685-A5C0-2FD901C6CD94}"/>
    <cellStyle name="Separador de milhares 8 5 3" xfId="2766" xr:uid="{C6826637-A41E-4A78-840D-10B8CCCB7AB5}"/>
    <cellStyle name="Separador de milhares 8 6" xfId="1045" xr:uid="{E0A45C89-0D23-45CB-BE48-1BC57D7C5B91}"/>
    <cellStyle name="Separador de milhares 8 6 2" xfId="3156" xr:uid="{F5B17525-2AC4-4071-9B7D-6A4C81AA5DB7}"/>
    <cellStyle name="Separador de milhares 8 7" xfId="2340" xr:uid="{815EF112-E71C-4CBB-851C-16AFF9DDBE85}"/>
    <cellStyle name="Separador de milhares 9" xfId="168" xr:uid="{11C65DBF-511A-4150-9B89-AB56E922A11D}"/>
    <cellStyle name="Separador de milhares 9 2" xfId="205" xr:uid="{1F0EF52B-0A08-4FF6-9C8B-3C24FCE71754}"/>
    <cellStyle name="Separador de milhares 9 2 2" xfId="326" xr:uid="{19CF0BB4-B5EE-4695-921F-C6BC566098AC}"/>
    <cellStyle name="Separador de milhares 9 2 2 2" xfId="519" xr:uid="{24164EBC-9BD8-4C7A-981C-303B85BC281B}"/>
    <cellStyle name="Separador de milhares 9 2 2 2 2" xfId="964" xr:uid="{A7A5AFF2-E116-4C13-9F88-0810271D300F}"/>
    <cellStyle name="Separador de milhares 9 2 2 2 2 2" xfId="1793" xr:uid="{B44A4B6B-7C3B-415E-BBD3-AABBD7194ADB}"/>
    <cellStyle name="Separador de milhares 9 2 2 2 2 2 2" xfId="3904" xr:uid="{D48E464E-E280-4D9A-8636-05D58AE61F42}"/>
    <cellStyle name="Separador de milhares 9 2 2 2 2 3" xfId="3087" xr:uid="{A053287D-46A9-4B78-94EB-A9748E710D99}"/>
    <cellStyle name="Separador de milhares 9 2 2 2 3" xfId="1366" xr:uid="{63C6B9E0-4987-4375-B7BB-BEB623124DAA}"/>
    <cellStyle name="Separador de milhares 9 2 2 2 3 2" xfId="3477" xr:uid="{2310F9C7-8912-4405-8491-B15E54B8B089}"/>
    <cellStyle name="Separador de milhares 9 2 2 2 4" xfId="2660" xr:uid="{03B7BFD0-065A-4F88-AC33-340D2B66C171}"/>
    <cellStyle name="Separador de milhares 9 2 2 3" xfId="772" xr:uid="{96BCD96B-FE95-4535-8D55-A155BA6450F9}"/>
    <cellStyle name="Separador de milhares 9 2 2 3 2" xfId="1601" xr:uid="{DB1A9438-5482-4BFB-BB9E-8405E8896F92}"/>
    <cellStyle name="Separador de milhares 9 2 2 3 2 2" xfId="3712" xr:uid="{F789FFF3-3F00-43B4-8802-DC6529C3DA4D}"/>
    <cellStyle name="Separador de milhares 9 2 2 3 3" xfId="2895" xr:uid="{2BA9D86D-95AD-4449-BD62-28D982BCAD7A}"/>
    <cellStyle name="Separador de milhares 9 2 2 4" xfId="1174" xr:uid="{97AEEBD1-224B-4F25-A3B7-6D6AAB361806}"/>
    <cellStyle name="Separador de milhares 9 2 2 4 2" xfId="3285" xr:uid="{7CE0127C-717E-41E3-8BAD-75535A4D21BC}"/>
    <cellStyle name="Separador de milhares 9 2 2 5" xfId="2468" xr:uid="{71920C97-BB5C-48F5-83B4-6A60941F1CE2}"/>
    <cellStyle name="Separador de milhares 9 2 3" xfId="423" xr:uid="{A4002ECD-DB68-4DC8-816B-4A074A5B4E9C}"/>
    <cellStyle name="Separador de milhares 9 2 3 2" xfId="868" xr:uid="{54A13A82-3813-445F-B0D0-523EB1AA1F65}"/>
    <cellStyle name="Separador de milhares 9 2 3 2 2" xfId="1697" xr:uid="{55AD2899-0B83-4D71-8D3C-1A22E40C3942}"/>
    <cellStyle name="Separador de milhares 9 2 3 2 2 2" xfId="3808" xr:uid="{0BBAB44F-C9A4-4127-B508-33D024CCBA53}"/>
    <cellStyle name="Separador de milhares 9 2 3 2 3" xfId="2991" xr:uid="{EC79AAE9-F60D-4D9A-9D18-76BF0D7C303C}"/>
    <cellStyle name="Separador de milhares 9 2 3 3" xfId="1270" xr:uid="{2E312AF6-B698-48AF-B2BB-ED43FD2B7220}"/>
    <cellStyle name="Separador de milhares 9 2 3 3 2" xfId="3381" xr:uid="{C5D61F64-5114-49B8-868A-5FB281895DAB}"/>
    <cellStyle name="Separador de milhares 9 2 3 4" xfId="2564" xr:uid="{18713195-4215-4EE0-A434-11409D5B0DD0}"/>
    <cellStyle name="Separador de milhares 9 2 4" xfId="674" xr:uid="{F5F336F5-FCB3-4647-891B-3782977298C9}"/>
    <cellStyle name="Separador de milhares 9 2 4 2" xfId="1505" xr:uid="{B80F8A7F-1B6B-41B9-97FF-FD053DCF308D}"/>
    <cellStyle name="Separador de milhares 9 2 4 2 2" xfId="3616" xr:uid="{06DA73F9-D9F1-4385-9CEE-8EE7A1122AD9}"/>
    <cellStyle name="Separador de milhares 9 2 4 3" xfId="2799" xr:uid="{D30676A0-2E2B-4C2D-802A-007551D31B0E}"/>
    <cellStyle name="Separador de milhares 9 2 5" xfId="1078" xr:uid="{7CF661FB-C1D3-49B2-AE3D-29437AA38E12}"/>
    <cellStyle name="Separador de milhares 9 2 5 2" xfId="3189" xr:uid="{688D191B-E475-41CF-84D4-67248510910B}"/>
    <cellStyle name="Separador de milhares 9 2 6" xfId="2373" xr:uid="{712A89ED-A8BA-433E-8E1E-68C3CCF420B4}"/>
    <cellStyle name="Separador de milhares 9 3" xfId="294" xr:uid="{36413AE9-0569-4BFB-9520-484EB91B2699}"/>
    <cellStyle name="Separador de milhares 9 3 2" xfId="487" xr:uid="{E0AC62E4-655C-444C-80AE-3B3404107418}"/>
    <cellStyle name="Separador de milhares 9 3 2 2" xfId="932" xr:uid="{E90CC379-8068-4F60-84FD-35ADA1C40B86}"/>
    <cellStyle name="Separador de milhares 9 3 2 2 2" xfId="1761" xr:uid="{92B8D764-B67E-45EB-A043-6ABD4D81E5DF}"/>
    <cellStyle name="Separador de milhares 9 3 2 2 2 2" xfId="3872" xr:uid="{8A339E64-F89B-4577-B8DB-DECE04FE3CDD}"/>
    <cellStyle name="Separador de milhares 9 3 2 2 3" xfId="3055" xr:uid="{41FC4D02-F920-4A21-9128-85FC4D8CA344}"/>
    <cellStyle name="Separador de milhares 9 3 2 3" xfId="1334" xr:uid="{65903582-C2F0-44F0-8EDA-96C30685EC4D}"/>
    <cellStyle name="Separador de milhares 9 3 2 3 2" xfId="3445" xr:uid="{767E49A7-9ADD-44FC-9436-3C734FEB8859}"/>
    <cellStyle name="Separador de milhares 9 3 2 4" xfId="2628" xr:uid="{A4D7E582-5EE4-4BC9-9FCA-C8918CD45875}"/>
    <cellStyle name="Separador de milhares 9 3 3" xfId="740" xr:uid="{92EC5551-B268-4151-8402-20C3A94D7517}"/>
    <cellStyle name="Separador de milhares 9 3 3 2" xfId="1569" xr:uid="{284D8AA1-5B64-4B84-A0A0-00BFBA880C93}"/>
    <cellStyle name="Separador de milhares 9 3 3 2 2" xfId="3680" xr:uid="{FE435AB9-5374-4EDA-A17C-5E6FAEAD6204}"/>
    <cellStyle name="Separador de milhares 9 3 3 3" xfId="2863" xr:uid="{BF0C7495-A139-48DD-B209-CF57E1A2F5CF}"/>
    <cellStyle name="Separador de milhares 9 3 4" xfId="1142" xr:uid="{F83A94DD-5693-45AE-B5A9-1B9E864B080D}"/>
    <cellStyle name="Separador de milhares 9 3 4 2" xfId="3253" xr:uid="{5051E6F5-207F-46E9-AB67-4B9349834A33}"/>
    <cellStyle name="Separador de milhares 9 3 5" xfId="2436" xr:uid="{C89C5D92-5F79-4D1A-BA46-9927CA7E29B3}"/>
    <cellStyle name="Separador de milhares 9 4" xfId="391" xr:uid="{097E100C-4CE8-406C-8951-BFACF0C5F93D}"/>
    <cellStyle name="Separador de milhares 9 4 2" xfId="836" xr:uid="{723F9161-C65E-4833-89AC-4ED263F7B2C7}"/>
    <cellStyle name="Separador de milhares 9 4 2 2" xfId="1665" xr:uid="{B63E2807-189B-40BF-B4F3-D7A0E77599E7}"/>
    <cellStyle name="Separador de milhares 9 4 2 2 2" xfId="3776" xr:uid="{FC46D124-1569-4A2A-AD4C-41E7F0EFD922}"/>
    <cellStyle name="Separador de milhares 9 4 2 3" xfId="2959" xr:uid="{6159C2AE-4384-4B3B-B72F-495B0F343E81}"/>
    <cellStyle name="Separador de milhares 9 4 3" xfId="1238" xr:uid="{6CAC7B54-D881-4F8D-92C4-8DE41D232183}"/>
    <cellStyle name="Separador de milhares 9 4 3 2" xfId="3349" xr:uid="{AE3BD820-0B55-49F6-B1B6-27A9AADCFCC3}"/>
    <cellStyle name="Separador de milhares 9 4 4" xfId="2532" xr:uid="{457B7C91-6F11-431B-B9B9-B66DC94B6205}"/>
    <cellStyle name="Separador de milhares 9 5" xfId="642" xr:uid="{88CCFB1C-3861-4063-8B48-E4E567713391}"/>
    <cellStyle name="Separador de milhares 9 5 2" xfId="1473" xr:uid="{308EF5EB-9E1D-454F-BFAE-33036DE2614E}"/>
    <cellStyle name="Separador de milhares 9 5 2 2" xfId="3584" xr:uid="{CF4A0400-49B8-4ADF-BF58-E92E42D6D4CF}"/>
    <cellStyle name="Separador de milhares 9 5 3" xfId="2767" xr:uid="{856957B0-B6F3-4E2C-B70D-107B14E82F12}"/>
    <cellStyle name="Separador de milhares 9 6" xfId="1046" xr:uid="{7FE1A0F2-6C8A-4819-B186-320D0CA21BF5}"/>
    <cellStyle name="Separador de milhares 9 6 2" xfId="3157" xr:uid="{109E20EE-F0A5-48C7-BCF4-CAF13F8F54E4}"/>
    <cellStyle name="Separador de milhares 9 7" xfId="2341" xr:uid="{1A446F69-63CF-43F9-8A92-EB041BEBD2CA}"/>
    <cellStyle name="Texto de Aviso" xfId="17" builtinId="11" customBuiltin="1"/>
    <cellStyle name="Texto Explicativo" xfId="19" builtinId="53" customBuiltin="1"/>
    <cellStyle name="Título" xfId="4" builtinId="15" customBuiltin="1"/>
    <cellStyle name="Título 1" xfId="5" builtinId="16" customBuiltin="1"/>
    <cellStyle name="Título 1 1" xfId="72" xr:uid="{A70A62EE-4E83-40E3-9F23-3E119847E597}"/>
    <cellStyle name="Título 2" xfId="6" builtinId="17" customBuiltin="1"/>
    <cellStyle name="Título 3" xfId="7" builtinId="18" customBuiltin="1"/>
    <cellStyle name="Título 4" xfId="8" builtinId="19" customBuiltin="1"/>
    <cellStyle name="Título 5" xfId="74" xr:uid="{713770BB-9EE3-49EB-BFE6-EE6FF876247A}"/>
    <cellStyle name="Total" xfId="20" builtinId="25" customBuiltin="1"/>
    <cellStyle name="Vírgula" xfId="1" builtinId="3"/>
    <cellStyle name="Vírgula 10" xfId="2014" xr:uid="{0FA818B6-57DF-4FC1-9F77-BB86EB6A9BBE}"/>
    <cellStyle name="Vírgula 10 2" xfId="2227" xr:uid="{59393E36-2940-4E5B-B0A1-678E47477889}"/>
    <cellStyle name="Vírgula 10 2 2" xfId="4293" xr:uid="{D1F6C25E-893E-45A7-8F64-D545768C263D}"/>
    <cellStyle name="Vírgula 10 3" xfId="2269" xr:uid="{9698B1CD-9C30-4DF0-9D15-E97C8FFFB972}"/>
    <cellStyle name="Vírgula 10 4" xfId="4107" xr:uid="{802C5735-CB21-4C37-A8D3-E53AC703ECE6}"/>
    <cellStyle name="Vírgula 11" xfId="2061" xr:uid="{22296E32-8179-4F59-BAC4-DEC67B2035EA}"/>
    <cellStyle name="Vírgula 11 2" xfId="2270" xr:uid="{CA015BF0-EDBB-4AF9-A72C-5AE8D9280D27}"/>
    <cellStyle name="Vírgula 11 3" xfId="4129" xr:uid="{2BF20174-54C6-4C8A-B16D-2DE20B34C313}"/>
    <cellStyle name="Vírgula 12" xfId="2271" xr:uid="{702CCBEE-3998-42F2-B453-DBD7D2E7F702}"/>
    <cellStyle name="Vírgula 13" xfId="4314" xr:uid="{0F850595-01B2-46B7-903D-E8E34CCF7996}"/>
    <cellStyle name="Vírgula 2" xfId="49" xr:uid="{88674D07-77E6-47A6-B3F2-3EBB6FAF83A9}"/>
    <cellStyle name="Vírgula 2 10" xfId="2019" xr:uid="{54DEBFBA-0BF2-43EE-8EE0-4601762C6BE0}"/>
    <cellStyle name="Vírgula 2 10 2" xfId="2228" xr:uid="{311EDFB9-19D5-4150-B015-E9DC61723C57}"/>
    <cellStyle name="Vírgula 2 10 2 2" xfId="4294" xr:uid="{9E634966-A6CB-443A-9F0F-7084D3F701F1}"/>
    <cellStyle name="Vírgula 2 10 3" xfId="4108" xr:uid="{2AE45A52-3A21-4954-8B82-A552C1681106}"/>
    <cellStyle name="Vírgula 2 11" xfId="2064" xr:uid="{F045853C-948D-4BB5-A1BB-4145FBC31F8D}"/>
    <cellStyle name="Vírgula 2 11 2" xfId="4130" xr:uid="{3689BD53-F0EA-4134-B636-0675C84FDCFE}"/>
    <cellStyle name="Vírgula 2 12" xfId="2281" xr:uid="{805D489F-2BB1-4CB3-912C-93914FDE54AD}"/>
    <cellStyle name="Vírgula 2 2" xfId="2" xr:uid="{B4DAC8F5-C2BB-4851-B01B-30BE14F17A94}"/>
    <cellStyle name="Vírgula 2 2 2" xfId="89" xr:uid="{7760DE7A-4276-4393-9610-5DFD29A6CE92}"/>
    <cellStyle name="Vírgula 2 2 2 10" xfId="1847" xr:uid="{02DB91C1-3102-4498-8758-6393327511EF}"/>
    <cellStyle name="Vírgula 2 2 2 10 2" xfId="3957" xr:uid="{3306A04B-A077-4C45-BE04-CCA732536648}"/>
    <cellStyle name="Vírgula 2 2 2 11" xfId="2293" xr:uid="{5660286A-8B49-4396-802F-9D3755EA076B}"/>
    <cellStyle name="Vírgula 2 2 2 2" xfId="115" xr:uid="{706F2125-7CE3-47F1-982E-EE3A5EBACAC0}"/>
    <cellStyle name="Vírgula 2 2 2 2 2" xfId="360" xr:uid="{1FFB6694-B382-4385-8604-FD66A17C48AA}"/>
    <cellStyle name="Vírgula 2 2 2 2 2 2" xfId="552" xr:uid="{C19AC31F-66AF-4B20-82E4-F30B4D3B9052}"/>
    <cellStyle name="Vírgula 2 2 2 2 2 2 2" xfId="997" xr:uid="{0026E26D-32D6-40B7-97A9-A067D30531C7}"/>
    <cellStyle name="Vírgula 2 2 2 2 2 2 2 2" xfId="1826" xr:uid="{448591FF-5057-4CC4-8025-CC03F0F4312F}"/>
    <cellStyle name="Vírgula 2 2 2 2 2 2 2 2 2" xfId="3937" xr:uid="{65C16D24-55DA-441A-9A41-D6FDA73202BB}"/>
    <cellStyle name="Vírgula 2 2 2 2 2 2 2 3" xfId="2218" xr:uid="{85279BD3-2903-41CE-ACC1-558DEE52FD7F}"/>
    <cellStyle name="Vírgula 2 2 2 2 2 2 2 3 2" xfId="4284" xr:uid="{037C344D-145D-43B1-BBAB-1CD308B007F3}"/>
    <cellStyle name="Vírgula 2 2 2 2 2 2 2 4" xfId="3120" xr:uid="{1E02A605-30C0-41E7-BA1D-F4E20D27A21E}"/>
    <cellStyle name="Vírgula 2 2 2 2 2 2 3" xfId="1399" xr:uid="{831B0143-D8E8-4C5D-949D-AB9CC5864C8B}"/>
    <cellStyle name="Vírgula 2 2 2 2 2 2 3 2" xfId="3510" xr:uid="{DE6F436A-A8E0-4EAD-852B-EDFECDB748BE}"/>
    <cellStyle name="Vírgula 2 2 2 2 2 2 4" xfId="2004" xr:uid="{B9BA5747-EFE6-477D-A443-2BD5ED6BAAA1}"/>
    <cellStyle name="Vírgula 2 2 2 2 2 2 4 2" xfId="4098" xr:uid="{7B7DC13C-E8EB-461B-A6ED-BAB79F33D1B6}"/>
    <cellStyle name="Vírgula 2 2 2 2 2 2 5" xfId="2693" xr:uid="{14867073-734B-4015-85EC-BF96A661B973}"/>
    <cellStyle name="Vírgula 2 2 2 2 2 3" xfId="805" xr:uid="{25D6B12C-0E68-4F85-8812-1872ACF22303}"/>
    <cellStyle name="Vírgula 2 2 2 2 2 3 2" xfId="1634" xr:uid="{23218B6B-A61A-4618-94C2-77623EF6C532}"/>
    <cellStyle name="Vírgula 2 2 2 2 2 3 2 2" xfId="3745" xr:uid="{E2144197-E5AE-47D7-8E0F-91372660B0B6}"/>
    <cellStyle name="Vírgula 2 2 2 2 2 3 3" xfId="2138" xr:uid="{480C8DF9-0C5E-43E1-9D8E-CBCF7F8D1D0E}"/>
    <cellStyle name="Vírgula 2 2 2 2 2 3 3 2" xfId="4204" xr:uid="{A88DEF6F-E010-46BF-BCE0-20C6C6CB39B1}"/>
    <cellStyle name="Vírgula 2 2 2 2 2 3 4" xfId="2928" xr:uid="{D7907C03-BB21-4E7B-BD1D-9CE0630838F8}"/>
    <cellStyle name="Vírgula 2 2 2 2 2 4" xfId="1207" xr:uid="{4AE31297-E58B-4BD3-8703-B54D81DE2006}"/>
    <cellStyle name="Vírgula 2 2 2 2 2 4 2" xfId="3318" xr:uid="{0EE5BFF6-7155-46CE-86C0-9111CC4E4270}"/>
    <cellStyle name="Vírgula 2 2 2 2 2 5" xfId="1919" xr:uid="{B2F438F7-B8A1-4D0E-8D0B-398EC245087E}"/>
    <cellStyle name="Vírgula 2 2 2 2 2 5 2" xfId="4018" xr:uid="{6B86EDCB-F517-4C46-BF45-C38A9D05A05A}"/>
    <cellStyle name="Vírgula 2 2 2 2 2 6" xfId="2501" xr:uid="{24A7C435-534C-48E1-8DF7-8150CBAB61B8}"/>
    <cellStyle name="Vírgula 2 2 2 2 3" xfId="456" xr:uid="{464269AF-E015-421D-B454-A6A797FF1FC5}"/>
    <cellStyle name="Vírgula 2 2 2 2 3 2" xfId="901" xr:uid="{C22DD7FA-5008-4A80-9779-95FD7F6B728C}"/>
    <cellStyle name="Vírgula 2 2 2 2 3 2 2" xfId="1730" xr:uid="{6B00BC6A-96D2-4507-9503-6DA4EC1F496E}"/>
    <cellStyle name="Vírgula 2 2 2 2 3 2 2 2" xfId="3841" xr:uid="{3B3BC26E-E150-4E6E-AE64-49B5184F1891}"/>
    <cellStyle name="Vírgula 2 2 2 2 3 2 3" xfId="2176" xr:uid="{74C1213F-23A9-444F-9135-1D273221EF0C}"/>
    <cellStyle name="Vírgula 2 2 2 2 3 2 3 2" xfId="4242" xr:uid="{3E36CEF0-1F61-4F35-A724-62DA5BABDBDD}"/>
    <cellStyle name="Vírgula 2 2 2 2 3 2 4" xfId="3024" xr:uid="{A1DA627F-BF25-4D26-81F0-17CF4ECA0743}"/>
    <cellStyle name="Vírgula 2 2 2 2 3 3" xfId="1303" xr:uid="{514C58EF-C49C-49E2-A77D-E1F0D87F1F2F}"/>
    <cellStyle name="Vírgula 2 2 2 2 3 3 2" xfId="3414" xr:uid="{2E38A858-DFCD-4040-802F-BCA3CBB3A755}"/>
    <cellStyle name="Vírgula 2 2 2 2 3 4" xfId="1962" xr:uid="{A40C0154-9AFC-4852-908B-475F1155A43D}"/>
    <cellStyle name="Vírgula 2 2 2 2 3 4 2" xfId="4056" xr:uid="{9482867B-803D-4F5E-B071-E18BDF6D3A6E}"/>
    <cellStyle name="Vírgula 2 2 2 2 3 5" xfId="2597" xr:uid="{66618AA9-56B2-4670-90D5-265A4DFCB51A}"/>
    <cellStyle name="Vírgula 2 2 2 2 4" xfId="709" xr:uid="{D6E53ECE-C4F5-4F3C-914E-C597B70B7F13}"/>
    <cellStyle name="Vírgula 2 2 2 2 4 2" xfId="1538" xr:uid="{DEB0811A-BD29-4C9F-B7BF-C8CAD38B5B6E}"/>
    <cellStyle name="Vírgula 2 2 2 2 4 2 2" xfId="2241" xr:uid="{82AD4744-E2CE-41A1-9C85-6ACE162358B1}"/>
    <cellStyle name="Vírgula 2 2 2 2 4 2 2 2" xfId="4307" xr:uid="{7C98B64E-62D8-4226-B336-0AF09C824F2B}"/>
    <cellStyle name="Vírgula 2 2 2 2 4 2 3" xfId="3649" xr:uid="{40645448-D11A-4415-95B2-DA9A22E6CFC5}"/>
    <cellStyle name="Vírgula 2 2 2 2 4 3" xfId="2034" xr:uid="{BFE273F6-E8B1-4370-A6EF-027FD7C78737}"/>
    <cellStyle name="Vírgula 2 2 2 2 4 3 2" xfId="4121" xr:uid="{DDCA6FCC-EC97-4808-AA1A-6D43206BF8A9}"/>
    <cellStyle name="Vírgula 2 2 2 2 4 4" xfId="2832" xr:uid="{8A520101-0DB0-42D9-B152-6157AD95CF7F}"/>
    <cellStyle name="Vírgula 2 2 2 2 5" xfId="597" xr:uid="{D54B49AC-2A07-4C2A-94AF-A88C60B58339}"/>
    <cellStyle name="Vírgula 2 2 2 2 5 2" xfId="1444" xr:uid="{FC6082BD-0CD1-4E22-B8A6-8CA2105A54E1}"/>
    <cellStyle name="Vírgula 2 2 2 2 5 2 2" xfId="3555" xr:uid="{E239B0B2-DDA2-400C-8D06-33A93D469E94}"/>
    <cellStyle name="Vírgula 2 2 2 2 5 3" xfId="2096" xr:uid="{F91EE749-E81E-48F0-9AD8-CDBBD531B73D}"/>
    <cellStyle name="Vírgula 2 2 2 2 5 3 2" xfId="4162" xr:uid="{8075B9E4-84C2-4C79-B398-23C1EB5D1E41}"/>
    <cellStyle name="Vírgula 2 2 2 2 5 4" xfId="2738" xr:uid="{69C31113-59D0-4CD7-81BA-3C3C22A8C4FA}"/>
    <cellStyle name="Vírgula 2 2 2 2 6" xfId="255" xr:uid="{F9DDB8F1-7E58-499D-AF89-6D69F8A35AD3}"/>
    <cellStyle name="Vírgula 2 2 2 2 6 2" xfId="2406" xr:uid="{1993B8C7-960A-41C4-A853-6B7D95BD7D3E}"/>
    <cellStyle name="Vírgula 2 2 2 2 7" xfId="1111" xr:uid="{4F3DD8A6-7940-4D8A-90F7-FDCED0138A71}"/>
    <cellStyle name="Vírgula 2 2 2 2 7 2" xfId="3222" xr:uid="{A1D79DC2-4B2A-4D34-BAE0-0F9764DEE094}"/>
    <cellStyle name="Vírgula 2 2 2 2 8" xfId="1866" xr:uid="{68FF2304-6A46-4147-A82C-4D70FFDF9D83}"/>
    <cellStyle name="Vírgula 2 2 2 2 8 2" xfId="3976" xr:uid="{C6B15FDA-F265-4B71-ABC1-06F60E94E24E}"/>
    <cellStyle name="Vírgula 2 2 2 2 9" xfId="2312" xr:uid="{9D8D177C-3C77-40D2-825F-A1BFADE26B2B}"/>
    <cellStyle name="Vírgula 2 2 2 3" xfId="306" xr:uid="{DB66BBBB-31FA-439F-9CE4-AA344CB5F61A}"/>
    <cellStyle name="Vírgula 2 2 2 3 2" xfId="499" xr:uid="{662E1206-0E4B-4C3E-B5B5-5B4088DBEF73}"/>
    <cellStyle name="Vírgula 2 2 2 3 2 2" xfId="944" xr:uid="{BF37C8B9-4FC8-4737-84F9-D1DCA5CC5189}"/>
    <cellStyle name="Vírgula 2 2 2 3 2 2 2" xfId="1773" xr:uid="{5550E8B6-92A6-42AE-A460-B17FC76A74E5}"/>
    <cellStyle name="Vírgula 2 2 2 3 2 2 2 2" xfId="3884" xr:uid="{D32837B9-113A-49BB-9DE0-7943B9230C83}"/>
    <cellStyle name="Vírgula 2 2 2 3 2 2 3" xfId="2199" xr:uid="{7A71C928-20FF-4983-9B1B-BCC2AFB850F3}"/>
    <cellStyle name="Vírgula 2 2 2 3 2 2 3 2" xfId="4265" xr:uid="{8A4339E4-D503-4C05-983C-C47FA90C96DD}"/>
    <cellStyle name="Vírgula 2 2 2 3 2 2 4" xfId="3067" xr:uid="{CCD74275-CA25-4933-A7A4-B958F947DD51}"/>
    <cellStyle name="Vírgula 2 2 2 3 2 3" xfId="1346" xr:uid="{4260A8F2-D0F4-4161-B226-4E5AC7EE18CA}"/>
    <cellStyle name="Vírgula 2 2 2 3 2 3 2" xfId="3457" xr:uid="{8ADDD40E-F59B-4770-8C04-68133152E7FC}"/>
    <cellStyle name="Vírgula 2 2 2 3 2 4" xfId="1985" xr:uid="{C57BEC51-8B83-47FF-97B0-9C167D138FCC}"/>
    <cellStyle name="Vírgula 2 2 2 3 2 4 2" xfId="4079" xr:uid="{A6E1067E-22D9-44EB-A23D-B774968E94F8}"/>
    <cellStyle name="Vírgula 2 2 2 3 2 5" xfId="2640" xr:uid="{2CD74B32-3064-403A-A139-116A7808E323}"/>
    <cellStyle name="Vírgula 2 2 2 3 3" xfId="752" xr:uid="{756BD4A6-5A21-4B7E-87FE-BAFED63C3ACE}"/>
    <cellStyle name="Vírgula 2 2 2 3 3 2" xfId="1581" xr:uid="{EE387B49-564C-4AF8-8CD8-25EBFC56E3A6}"/>
    <cellStyle name="Vírgula 2 2 2 3 3 2 2" xfId="3692" xr:uid="{2D63E315-5A08-49D5-A3F6-042838166D9B}"/>
    <cellStyle name="Vírgula 2 2 2 3 3 3" xfId="2119" xr:uid="{A7E1C1CB-CF1C-48D3-97CB-7365158DB7F3}"/>
    <cellStyle name="Vírgula 2 2 2 3 3 3 2" xfId="4185" xr:uid="{62DCBB25-3A35-4E91-86D3-E16F7AA96AF8}"/>
    <cellStyle name="Vírgula 2 2 2 3 3 4" xfId="2875" xr:uid="{23539AA4-2CE4-4C18-9071-8473CF24F832}"/>
    <cellStyle name="Vírgula 2 2 2 3 4" xfId="1154" xr:uid="{BDD870F6-876A-4671-BCB4-B79E24D235C8}"/>
    <cellStyle name="Vírgula 2 2 2 3 4 2" xfId="3265" xr:uid="{029DE3B3-85CF-445C-B4F6-FB69977A1BD5}"/>
    <cellStyle name="Vírgula 2 2 2 3 5" xfId="1898" xr:uid="{C1E19500-76B8-41D7-BAE6-C78E5745D399}"/>
    <cellStyle name="Vírgula 2 2 2 3 5 2" xfId="3999" xr:uid="{99076CA6-994C-469A-A3C2-BDF618B48209}"/>
    <cellStyle name="Vírgula 2 2 2 3 6" xfId="2448" xr:uid="{5435013A-4818-43E9-8E83-C3B31AAB04B3}"/>
    <cellStyle name="Vírgula 2 2 2 4" xfId="403" xr:uid="{83F5E1FD-9AA6-4357-9A77-03F1F8611AA1}"/>
    <cellStyle name="Vírgula 2 2 2 4 2" xfId="848" xr:uid="{AB44E14B-DA1A-4864-BAFF-18E12006F0CB}"/>
    <cellStyle name="Vírgula 2 2 2 4 2 2" xfId="1677" xr:uid="{7BEC1DC5-964E-4510-B38D-645F82E8A905}"/>
    <cellStyle name="Vírgula 2 2 2 4 2 2 2" xfId="3788" xr:uid="{74B28E08-E41E-47C7-BDDC-3F55BFF1AE0C}"/>
    <cellStyle name="Vírgula 2 2 2 4 2 3" xfId="2157" xr:uid="{D8F70F26-6F23-4566-820E-C781090E08A5}"/>
    <cellStyle name="Vírgula 2 2 2 4 2 3 2" xfId="4223" xr:uid="{67FC5725-2CAF-459D-A370-1BBCECD692BB}"/>
    <cellStyle name="Vírgula 2 2 2 4 2 4" xfId="2971" xr:uid="{38BA044D-D46A-44CF-A2F8-0C7F97843A13}"/>
    <cellStyle name="Vírgula 2 2 2 4 3" xfId="1250" xr:uid="{721E4EDD-A79C-4444-804D-CB0925A30C80}"/>
    <cellStyle name="Vírgula 2 2 2 4 3 2" xfId="3361" xr:uid="{1D46FE0A-2318-4283-824B-A8DA13E27A4E}"/>
    <cellStyle name="Vírgula 2 2 2 4 4" xfId="1943" xr:uid="{D3903614-B49C-4D0A-9320-C922B0E3ADB9}"/>
    <cellStyle name="Vírgula 2 2 2 4 4 2" xfId="4037" xr:uid="{19B45294-1821-4092-9EE8-017F03302475}"/>
    <cellStyle name="Vírgula 2 2 2 4 5" xfId="2544" xr:uid="{AA9F3794-4246-43DF-92C7-303CEBD2F38E}"/>
    <cellStyle name="Vírgula 2 2 2 5" xfId="654" xr:uid="{94B2E44D-7B0C-4876-9E72-0D60E665B4F1}"/>
    <cellStyle name="Vírgula 2 2 2 5 2" xfId="1485" xr:uid="{27C2A778-40A3-40A9-87DF-CE9D7636FA6E}"/>
    <cellStyle name="Vírgula 2 2 2 5 2 2" xfId="2234" xr:uid="{63273BF9-33F5-4C39-9984-6E315C9201E0}"/>
    <cellStyle name="Vírgula 2 2 2 5 2 2 2" xfId="4300" xr:uid="{376A94EF-5F50-4F8A-8737-771CA4311214}"/>
    <cellStyle name="Vírgula 2 2 2 5 2 3" xfId="3596" xr:uid="{95883F5B-AE0C-444E-9CB2-31544E67A1EC}"/>
    <cellStyle name="Vírgula 2 2 2 5 3" xfId="2026" xr:uid="{951E3BE3-2B61-4886-AAEB-7D9D60577BF4}"/>
    <cellStyle name="Vírgula 2 2 2 5 3 2" xfId="4114" xr:uid="{CD628F0B-982A-4A25-97A7-C4289A07D9D4}"/>
    <cellStyle name="Vírgula 2 2 2 5 4" xfId="2779" xr:uid="{1DD095D7-9AFC-4C36-8728-40F3CDA79A6D}"/>
    <cellStyle name="Vírgula 2 2 2 6" xfId="578" xr:uid="{E4763AB1-0AA2-4BB1-9417-48DA6CD2990F}"/>
    <cellStyle name="Vírgula 2 2 2 6 2" xfId="1425" xr:uid="{F8E7A0AC-616D-466B-8999-057C5748AAB9}"/>
    <cellStyle name="Vírgula 2 2 2 6 2 2" xfId="3536" xr:uid="{76EB85BC-38DA-4F9F-8158-43117D7464FF}"/>
    <cellStyle name="Vírgula 2 2 2 6 3" xfId="2077" xr:uid="{02032EB2-A525-4CFC-BC99-CF448A2ECC8A}"/>
    <cellStyle name="Vírgula 2 2 2 6 3 2" xfId="4143" xr:uid="{0AE72CE4-4F19-4A19-AD8B-1F9BB4C9C44C}"/>
    <cellStyle name="Vírgula 2 2 2 6 4" xfId="2719" xr:uid="{031884F7-83F6-4521-B55E-0447F940E321}"/>
    <cellStyle name="Vírgula 2 2 2 7" xfId="183" xr:uid="{466F192E-5EAE-418C-BDC7-BB586FF0CC90}"/>
    <cellStyle name="Vírgula 2 2 2 7 2" xfId="2353" xr:uid="{6B947087-5C0C-49C3-B92F-C7B98E08668F}"/>
    <cellStyle name="Vírgula 2 2 2 8" xfId="1014" xr:uid="{205539BD-C8F6-42C4-8B31-9EA85A261979}"/>
    <cellStyle name="Vírgula 2 2 2 8 2" xfId="3132" xr:uid="{01C88011-CCF4-4965-B8F9-37E62C7A73D7}"/>
    <cellStyle name="Vírgula 2 2 2 9" xfId="1058" xr:uid="{BBBB3E57-3F56-4E4E-8553-9A71FD7E5E81}"/>
    <cellStyle name="Vírgula 2 2 2 9 2" xfId="3169" xr:uid="{607A8018-E4BD-434E-870D-1C99F1EDA0B2}"/>
    <cellStyle name="Vírgula 2 2 3" xfId="73" xr:uid="{A5EA57A2-193E-4874-A8AD-66380CA0255C}"/>
    <cellStyle name="Vírgula 2 2 3 10" xfId="2289" xr:uid="{A3F9B397-A699-4B98-A53A-B6B0C805A52E}"/>
    <cellStyle name="Vírgula 2 2 3 2" xfId="111" xr:uid="{647AB893-21EA-441D-B2AE-0B368E282EBF}"/>
    <cellStyle name="Vírgula 2 2 3 2 2" xfId="548" xr:uid="{A162671B-751B-43E1-BCB1-0F20F3452C65}"/>
    <cellStyle name="Vírgula 2 2 3 2 2 2" xfId="993" xr:uid="{10D3D16D-9E7D-4BB7-9968-55081DC3AB0B}"/>
    <cellStyle name="Vírgula 2 2 3 2 2 2 2" xfId="1822" xr:uid="{ADF94FC9-27B8-4F40-A2DE-E3913AA54B00}"/>
    <cellStyle name="Vírgula 2 2 3 2 2 2 2 2" xfId="2214" xr:uid="{B9EDFFBA-51B0-4C05-A813-5E81721007BD}"/>
    <cellStyle name="Vírgula 2 2 3 2 2 2 2 2 2" xfId="4280" xr:uid="{E470D54B-C9FB-4B71-A813-191047D2BA69}"/>
    <cellStyle name="Vírgula 2 2 3 2 2 2 2 3" xfId="3933" xr:uid="{7B915490-E232-4944-BC97-CA6477A4E2B7}"/>
    <cellStyle name="Vírgula 2 2 3 2 2 2 3" xfId="2000" xr:uid="{A29958D3-09D5-4D88-8EA0-74077EE17F8E}"/>
    <cellStyle name="Vírgula 2 2 3 2 2 2 3 2" xfId="4094" xr:uid="{E1C19660-1187-4B72-BC76-CC0507B5ADB9}"/>
    <cellStyle name="Vírgula 2 2 3 2 2 2 4" xfId="3116" xr:uid="{2D2606F2-D01E-443A-98D3-5811B1620C51}"/>
    <cellStyle name="Vírgula 2 2 3 2 2 3" xfId="1395" xr:uid="{9A6C1805-1557-4AF4-A139-23739E34D923}"/>
    <cellStyle name="Vírgula 2 2 3 2 2 3 2" xfId="2134" xr:uid="{C62036F5-4A9B-4394-975D-5A634291EE62}"/>
    <cellStyle name="Vírgula 2 2 3 2 2 3 2 2" xfId="4200" xr:uid="{9E614224-CFC4-4ABA-8FF7-42EB3A1FA1E2}"/>
    <cellStyle name="Vírgula 2 2 3 2 2 3 3" xfId="3506" xr:uid="{A5E70E26-0634-43F9-880B-FA2706C64268}"/>
    <cellStyle name="Vírgula 2 2 3 2 2 4" xfId="1915" xr:uid="{33187F65-BC83-4C61-8D61-1BB6038573C7}"/>
    <cellStyle name="Vírgula 2 2 3 2 2 4 2" xfId="4014" xr:uid="{9E11E567-5678-4135-BAB2-F6B7C52EA3C4}"/>
    <cellStyle name="Vírgula 2 2 3 2 2 5" xfId="2689" xr:uid="{47DFFB27-5FC9-4631-A484-0094A75C5CBD}"/>
    <cellStyle name="Vírgula 2 2 3 2 3" xfId="801" xr:uid="{C6CE214F-5C5D-4E4D-9044-6A3FC2BFECF1}"/>
    <cellStyle name="Vírgula 2 2 3 2 3 2" xfId="1630" xr:uid="{B6F0BC50-78CE-4D0E-8223-EEBE51E7657E}"/>
    <cellStyle name="Vírgula 2 2 3 2 3 2 2" xfId="2172" xr:uid="{5195E651-273B-4450-9FE5-C05760CB0DD3}"/>
    <cellStyle name="Vírgula 2 2 3 2 3 2 2 2" xfId="4238" xr:uid="{08D2045D-9B8F-4053-BAEC-8D541A233FA1}"/>
    <cellStyle name="Vírgula 2 2 3 2 3 2 3" xfId="3741" xr:uid="{517A3713-3841-4B26-AB1A-E5E6392E2C56}"/>
    <cellStyle name="Vírgula 2 2 3 2 3 3" xfId="1958" xr:uid="{00156636-9414-43A6-8A32-30A96C2B2793}"/>
    <cellStyle name="Vírgula 2 2 3 2 3 3 2" xfId="4052" xr:uid="{D74CA932-0C27-4EA6-86EA-9929364083F5}"/>
    <cellStyle name="Vírgula 2 2 3 2 3 4" xfId="2924" xr:uid="{141C16D3-A762-4758-9DD7-9F576B0120A6}"/>
    <cellStyle name="Vírgula 2 2 3 2 4" xfId="593" xr:uid="{99107EE4-3D98-412A-BCBD-DDF96D59C414}"/>
    <cellStyle name="Vírgula 2 2 3 2 4 2" xfId="1440" xr:uid="{8660C4F9-4BE4-4600-8DC1-03D6280CB5EE}"/>
    <cellStyle name="Vírgula 2 2 3 2 4 2 2" xfId="3551" xr:uid="{835EB9D8-3FAE-4B04-B298-B03DD7B5F038}"/>
    <cellStyle name="Vírgula 2 2 3 2 4 3" xfId="2092" xr:uid="{2B783701-7B9F-4063-AD78-9CFCDBE842B5}"/>
    <cellStyle name="Vírgula 2 2 3 2 4 3 2" xfId="4158" xr:uid="{C0FE5C21-50E6-4544-8646-7E57D5F7D7D9}"/>
    <cellStyle name="Vírgula 2 2 3 2 4 4" xfId="2734" xr:uid="{52C52C11-419A-482D-88E5-85625910045A}"/>
    <cellStyle name="Vírgula 2 2 3 2 5" xfId="356" xr:uid="{F2E1D8C2-DA03-4ACA-BF7C-E6B4770E5AEB}"/>
    <cellStyle name="Vírgula 2 2 3 2 5 2" xfId="2497" xr:uid="{AC7BAF11-D05C-4D6D-A12A-02C44CABBBD4}"/>
    <cellStyle name="Vírgula 2 2 3 2 6" xfId="1203" xr:uid="{DEB292A6-2190-4258-8466-D44F2EC1375E}"/>
    <cellStyle name="Vírgula 2 2 3 2 6 2" xfId="3314" xr:uid="{71F55B36-17FE-4FCD-A38C-F6E9EA2F5F40}"/>
    <cellStyle name="Vírgula 2 2 3 2 7" xfId="1862" xr:uid="{657184E6-D068-4EF4-A57D-7B91E6A11357}"/>
    <cellStyle name="Vírgula 2 2 3 2 7 2" xfId="3972" xr:uid="{DD8195BB-23A9-435C-9B74-9E351A98093E}"/>
    <cellStyle name="Vírgula 2 2 3 2 8" xfId="2308" xr:uid="{B1995FD2-3E71-447F-B234-94B67DC19442}"/>
    <cellStyle name="Vírgula 2 2 3 3" xfId="452" xr:uid="{0B2C7B0B-7518-4F29-93DB-28C439EA6A24}"/>
    <cellStyle name="Vírgula 2 2 3 3 2" xfId="897" xr:uid="{7754B5FF-9104-415C-B73B-2136FD9C5FDD}"/>
    <cellStyle name="Vírgula 2 2 3 3 2 2" xfId="1726" xr:uid="{2ABEB8C7-C1F9-4D39-BB82-D4C2E2478AF8}"/>
    <cellStyle name="Vírgula 2 2 3 3 2 2 2" xfId="2195" xr:uid="{86AA3445-EB6B-4279-88AD-72F01592F788}"/>
    <cellStyle name="Vírgula 2 2 3 3 2 2 2 2" xfId="4261" xr:uid="{30B26A83-FE26-458D-BAD4-EE0BDE0A79E0}"/>
    <cellStyle name="Vírgula 2 2 3 3 2 2 3" xfId="3837" xr:uid="{9DB26A8B-7C4D-4067-BC64-9F1528E20BA0}"/>
    <cellStyle name="Vírgula 2 2 3 3 2 3" xfId="1981" xr:uid="{3BD711BA-84F9-4A4B-A235-73C3818277D9}"/>
    <cellStyle name="Vírgula 2 2 3 3 2 3 2" xfId="4075" xr:uid="{B68CA7F4-F398-4F87-AED0-137B2E0E1329}"/>
    <cellStyle name="Vírgula 2 2 3 3 2 4" xfId="3020" xr:uid="{3B4334E5-210E-436B-987B-73FDE79F57BA}"/>
    <cellStyle name="Vírgula 2 2 3 3 3" xfId="1299" xr:uid="{16EB80D2-1BF3-4ADF-90F2-B7C2838AA84B}"/>
    <cellStyle name="Vírgula 2 2 3 3 3 2" xfId="2115" xr:uid="{3FD28999-AB2F-4312-AFF6-D146D653EECF}"/>
    <cellStyle name="Vírgula 2 2 3 3 3 2 2" xfId="4181" xr:uid="{4AA00CC6-A520-4819-9D77-3ECF6AC63DF2}"/>
    <cellStyle name="Vírgula 2 2 3 3 3 3" xfId="3410" xr:uid="{AA8DA087-8598-4F11-AD5A-6DDF654A1995}"/>
    <cellStyle name="Vírgula 2 2 3 3 4" xfId="1893" xr:uid="{980B7334-FF39-48EC-BB00-F2DA027DBD9A}"/>
    <cellStyle name="Vírgula 2 2 3 3 4 2" xfId="3995" xr:uid="{D0BE360A-9AFF-4662-BD38-C62BEBCF80B2}"/>
    <cellStyle name="Vírgula 2 2 3 3 5" xfId="2593" xr:uid="{BFACDE01-A9A8-4909-8F65-11EBB96DB465}"/>
    <cellStyle name="Vírgula 2 2 3 4" xfId="705" xr:uid="{C005585E-48AE-4768-9A9E-0E3E7F1120F4}"/>
    <cellStyle name="Vírgula 2 2 3 4 2" xfId="1534" xr:uid="{D35D5DAF-E18E-4FB1-860F-4775DD3431DE}"/>
    <cellStyle name="Vírgula 2 2 3 4 2 2" xfId="2153" xr:uid="{C1E2F448-4BA4-4126-AEA0-5557B790B9A0}"/>
    <cellStyle name="Vírgula 2 2 3 4 2 2 2" xfId="4219" xr:uid="{C2D1A7A3-3E9A-433B-9017-01119C796AB0}"/>
    <cellStyle name="Vírgula 2 2 3 4 2 3" xfId="3645" xr:uid="{1D83076B-D323-47D6-AA78-E287574AF446}"/>
    <cellStyle name="Vírgula 2 2 3 4 3" xfId="1939" xr:uid="{FDC7E4B6-11FF-415D-953C-ABA94F163E83}"/>
    <cellStyle name="Vírgula 2 2 3 4 3 2" xfId="4033" xr:uid="{02F8A5F8-27CD-4715-A39A-C9C04AFFB11A}"/>
    <cellStyle name="Vírgula 2 2 3 4 4" xfId="2828" xr:uid="{3CCD5127-AFAA-458F-91BC-03C9118AD19B}"/>
    <cellStyle name="Vírgula 2 2 3 5" xfId="574" xr:uid="{FFCF1BCF-C809-40C5-8C00-D84F29CB442F}"/>
    <cellStyle name="Vírgula 2 2 3 5 2" xfId="1421" xr:uid="{CB72F171-1818-4101-815A-286B0423EA33}"/>
    <cellStyle name="Vírgula 2 2 3 5 2 2" xfId="3532" xr:uid="{AB4D680C-FF56-447D-9CAD-F6971FB887D5}"/>
    <cellStyle name="Vírgula 2 2 3 5 3" xfId="2073" xr:uid="{DEF96004-2582-426B-A80D-A193C4B04F7B}"/>
    <cellStyle name="Vírgula 2 2 3 5 3 2" xfId="4139" xr:uid="{90E2ADA6-BCFA-4600-AEB4-84541F3D383F}"/>
    <cellStyle name="Vírgula 2 2 3 5 4" xfId="2715" xr:uid="{5573CC67-1AA9-4F48-B4B4-320FA70F5029}"/>
    <cellStyle name="Vírgula 2 2 3 6" xfId="250" xr:uid="{DD2F1BB4-4344-4705-BB18-2FD81A5A17DD}"/>
    <cellStyle name="Vírgula 2 2 3 6 2" xfId="2402" xr:uid="{48EFD2F9-86B8-4991-A1A5-687E15EF2614}"/>
    <cellStyle name="Vírgula 2 2 3 7" xfId="130" xr:uid="{C2C5F14C-79F9-4BA8-AB0A-1364C0BBB110}"/>
    <cellStyle name="Vírgula 2 2 3 7 2" xfId="2322" xr:uid="{F9A5A7D2-27B7-49A1-8DE0-AFC1F43BFEFB}"/>
    <cellStyle name="Vírgula 2 2 3 8" xfId="1107" xr:uid="{D5DE6C67-97FC-47BA-89C1-84D719F50401}"/>
    <cellStyle name="Vírgula 2 2 3 8 2" xfId="3218" xr:uid="{679835AA-32EB-40F8-BF2C-23B592D1B3E0}"/>
    <cellStyle name="Vírgula 2 2 3 9" xfId="1843" xr:uid="{14C29065-16D8-4EF8-BB54-E5FAA1ACC4A5}"/>
    <cellStyle name="Vírgula 2 2 3 9 2" xfId="3953" xr:uid="{2E540A6A-A771-45A6-A20E-F6314FA04115}"/>
    <cellStyle name="Vírgula 2 2 4" xfId="106" xr:uid="{1ED032BE-18C1-479B-8202-9BFF7CEB5C0D}"/>
    <cellStyle name="Vírgula 2 2 4 2" xfId="351" xr:uid="{F4B8ADF1-D688-4247-B9B9-60E02CF985FE}"/>
    <cellStyle name="Vírgula 2 2 4 2 2" xfId="543" xr:uid="{E3C18B51-7AD9-428C-9C69-54EA5A929EB5}"/>
    <cellStyle name="Vírgula 2 2 4 2 2 2" xfId="988" xr:uid="{73643B8E-9846-41A7-A28C-0E8CC572BEB8}"/>
    <cellStyle name="Vírgula 2 2 4 2 2 2 2" xfId="1817" xr:uid="{FF58CE7D-11C3-42FA-842F-470CA6E5E2E8}"/>
    <cellStyle name="Vírgula 2 2 4 2 2 2 2 2" xfId="3928" xr:uid="{80C1D114-F99D-433A-89A1-2FEB4F41ACAD}"/>
    <cellStyle name="Vírgula 2 2 4 2 2 2 3" xfId="2209" xr:uid="{6C3D8D5C-A968-46C6-8D3C-BA42A58A913F}"/>
    <cellStyle name="Vírgula 2 2 4 2 2 2 3 2" xfId="4275" xr:uid="{E7A2F6D7-6A99-4A0E-B6CA-1330FF3AAC06}"/>
    <cellStyle name="Vírgula 2 2 4 2 2 2 4" xfId="3111" xr:uid="{098895C6-413F-495B-8BD6-E5093C6996CE}"/>
    <cellStyle name="Vírgula 2 2 4 2 2 3" xfId="1390" xr:uid="{28995A94-8422-48B7-AE81-F47FFA98686E}"/>
    <cellStyle name="Vírgula 2 2 4 2 2 3 2" xfId="3501" xr:uid="{B38C1014-EEBA-4ED2-B792-FB282C40ED95}"/>
    <cellStyle name="Vírgula 2 2 4 2 2 4" xfId="1995" xr:uid="{9A3CC3A5-1456-4C50-A3C3-8CBC74424BCA}"/>
    <cellStyle name="Vírgula 2 2 4 2 2 4 2" xfId="4089" xr:uid="{707EBD41-21E7-402A-9329-978DEC83ACA5}"/>
    <cellStyle name="Vírgula 2 2 4 2 2 5" xfId="2684" xr:uid="{EC3790C5-5512-4C33-9F1F-07CBF0987963}"/>
    <cellStyle name="Vírgula 2 2 4 2 3" xfId="796" xr:uid="{FA7F1FA0-FEBA-47A4-BED4-C2D168191798}"/>
    <cellStyle name="Vírgula 2 2 4 2 3 2" xfId="1625" xr:uid="{DB5F29B9-BEF2-4172-AD60-D225FD5F6671}"/>
    <cellStyle name="Vírgula 2 2 4 2 3 2 2" xfId="3736" xr:uid="{08BA66FB-2B5E-4E95-99FD-C22F9D07E6EC}"/>
    <cellStyle name="Vírgula 2 2 4 2 3 3" xfId="2129" xr:uid="{CDF2ECD4-100F-4A7F-891B-07F5658B306D}"/>
    <cellStyle name="Vírgula 2 2 4 2 3 3 2" xfId="4195" xr:uid="{1285F62E-9C22-4F49-B1BE-5E16C5C65E47}"/>
    <cellStyle name="Vírgula 2 2 4 2 3 4" xfId="2919" xr:uid="{50D85156-CC00-4170-B262-ECAE7EB57F93}"/>
    <cellStyle name="Vírgula 2 2 4 2 4" xfId="1198" xr:uid="{EA3DF8A6-0E52-46BA-82E3-AFCF6D6D8D42}"/>
    <cellStyle name="Vírgula 2 2 4 2 4 2" xfId="3309" xr:uid="{D60306A7-D5DE-4893-9000-67D114833CBE}"/>
    <cellStyle name="Vírgula 2 2 4 2 5" xfId="1910" xr:uid="{30D71EF7-FEC1-4A0E-A3CB-25981FD8A81C}"/>
    <cellStyle name="Vírgula 2 2 4 2 5 2" xfId="4009" xr:uid="{2AF68C56-DD1F-4111-B602-3341BD67DE30}"/>
    <cellStyle name="Vírgula 2 2 4 2 6" xfId="2492" xr:uid="{4EAFD426-FA78-4427-9676-BA7124B0FF54}"/>
    <cellStyle name="Vírgula 2 2 4 3" xfId="447" xr:uid="{5821F9E2-E0CF-41B1-B4C3-45EE11B97E7A}"/>
    <cellStyle name="Vírgula 2 2 4 3 2" xfId="892" xr:uid="{2058351F-2D49-4268-B926-58A553407381}"/>
    <cellStyle name="Vírgula 2 2 4 3 2 2" xfId="1721" xr:uid="{1E8FE7DB-8F07-4B5D-8CA3-8F1718A75B50}"/>
    <cellStyle name="Vírgula 2 2 4 3 2 2 2" xfId="3832" xr:uid="{E830B2FB-95FB-4BAD-83DE-AC34ED1B150A}"/>
    <cellStyle name="Vírgula 2 2 4 3 2 3" xfId="2167" xr:uid="{D075B007-09C7-4A6F-8705-BCE8D24F2D72}"/>
    <cellStyle name="Vírgula 2 2 4 3 2 3 2" xfId="4233" xr:uid="{EA408CD9-585F-4E28-AFC8-3164A8BF29E5}"/>
    <cellStyle name="Vírgula 2 2 4 3 2 4" xfId="3015" xr:uid="{B223C6F5-DE24-4CB6-8D96-58D2BF702EE0}"/>
    <cellStyle name="Vírgula 2 2 4 3 3" xfId="1294" xr:uid="{F9FF23F1-59D2-4B5D-93E1-5DC6C2CDA173}"/>
    <cellStyle name="Vírgula 2 2 4 3 3 2" xfId="3405" xr:uid="{C0159DB5-17B5-4323-A3AC-75B6DF9DD7F2}"/>
    <cellStyle name="Vírgula 2 2 4 3 4" xfId="1953" xr:uid="{7F4E7CAA-403A-458A-8014-03ACAC05ED99}"/>
    <cellStyle name="Vírgula 2 2 4 3 4 2" xfId="4047" xr:uid="{B0BD2EBD-E737-4237-9A61-D89148D0CF4F}"/>
    <cellStyle name="Vírgula 2 2 4 3 5" xfId="2588" xr:uid="{CE2BB9FD-5078-41F0-9CE0-905EBC4A9B3B}"/>
    <cellStyle name="Vírgula 2 2 4 4" xfId="700" xr:uid="{8D27AFA3-46D5-426E-817B-2A4C1AC21472}"/>
    <cellStyle name="Vírgula 2 2 4 4 2" xfId="1529" xr:uid="{3ACBEAE8-38F0-4452-928C-AD4A26E41D13}"/>
    <cellStyle name="Vírgula 2 2 4 4 2 2" xfId="3640" xr:uid="{061DFDDD-5AF4-40DF-85A7-07DD673FACE3}"/>
    <cellStyle name="Vírgula 2 2 4 4 3" xfId="2087" xr:uid="{919F4B66-55B0-42B1-AAA6-57092DE77F9C}"/>
    <cellStyle name="Vírgula 2 2 4 4 3 2" xfId="4153" xr:uid="{D96EA0E8-BFAB-48B2-8403-334A6F743489}"/>
    <cellStyle name="Vírgula 2 2 4 4 4" xfId="2823" xr:uid="{D8B9F14E-9DA4-471E-B928-1F33EFDAA8F6}"/>
    <cellStyle name="Vírgula 2 2 4 5" xfId="588" xr:uid="{B9E9E900-9839-4066-B6DC-C8560888B835}"/>
    <cellStyle name="Vírgula 2 2 4 5 2" xfId="1435" xr:uid="{62BDAF42-64F6-43A5-9A00-858598EFE5C3}"/>
    <cellStyle name="Vírgula 2 2 4 5 2 2" xfId="3546" xr:uid="{C759690C-3789-438E-9008-473577E5A018}"/>
    <cellStyle name="Vírgula 2 2 4 5 3" xfId="2729" xr:uid="{146C5822-0D6C-4E21-9029-1542465E99F1}"/>
    <cellStyle name="Vírgula 2 2 4 6" xfId="241" xr:uid="{6A3FABA1-B993-4E47-8577-4444FF790FC3}"/>
    <cellStyle name="Vírgula 2 2 4 6 2" xfId="2397" xr:uid="{D17B0F88-54C5-4446-8EB7-D65B945F5D85}"/>
    <cellStyle name="Vírgula 2 2 4 7" xfId="1102" xr:uid="{C3AB51A2-2D84-4F46-95DD-03FB8106B5BC}"/>
    <cellStyle name="Vírgula 2 2 4 7 2" xfId="3213" xr:uid="{167BD1D1-4266-46E0-B5F0-422ECA5173C2}"/>
    <cellStyle name="Vírgula 2 2 4 8" xfId="1857" xr:uid="{60586D95-9AC5-4D0E-814C-F46A5267BCCE}"/>
    <cellStyle name="Vírgula 2 2 4 8 2" xfId="3967" xr:uid="{4FB79AF6-FE5C-434F-A9D1-0C21B3713DC8}"/>
    <cellStyle name="Vírgula 2 2 4 9" xfId="2303" xr:uid="{9080FAD1-E431-4840-8623-389A120A4114}"/>
    <cellStyle name="Vírgula 2 2 5" xfId="61" xr:uid="{98A01F37-D6E8-4DA7-832F-60ADAFA89EE4}"/>
    <cellStyle name="Vírgula 2 2 5 2" xfId="569" xr:uid="{F2BAF7D7-373F-473E-8C9D-F961F630366E}"/>
    <cellStyle name="Vírgula 2 2 5 2 2" xfId="2190" xr:uid="{5AA6E202-51F8-4DC9-A112-FFE7FDB9DEFF}"/>
    <cellStyle name="Vírgula 2 2 5 2 2 2" xfId="4256" xr:uid="{45A9F2AC-1574-4347-AD4E-7EFAB08E9B2B}"/>
    <cellStyle name="Vírgula 2 2 5 2 3" xfId="1976" xr:uid="{CA0A3BA9-D00A-4039-9BD0-BF51708A5450}"/>
    <cellStyle name="Vírgula 2 2 5 2 3 2" xfId="4070" xr:uid="{3BF1E381-C71E-40B7-98DB-06DFBC61E0E4}"/>
    <cellStyle name="Vírgula 2 2 5 2 4" xfId="2710" xr:uid="{DC76FF51-5C1B-4C02-BE0D-4A4B13DD12D9}"/>
    <cellStyle name="Vírgula 2 2 5 3" xfId="1416" xr:uid="{BE2E7FC8-E9CA-4376-A94C-9BF05ECFCA66}"/>
    <cellStyle name="Vírgula 2 2 5 3 2" xfId="2110" xr:uid="{28B3E94F-7D76-4229-AF63-1883C3AD9C48}"/>
    <cellStyle name="Vírgula 2 2 5 3 2 2" xfId="4176" xr:uid="{23461D28-5243-4E86-9F3C-1FE34C232ED9}"/>
    <cellStyle name="Vírgula 2 2 5 3 3" xfId="3527" xr:uid="{F2994E71-20A0-436A-AF12-2D9196DE23DA}"/>
    <cellStyle name="Vírgula 2 2 5 4" xfId="1888" xr:uid="{65543B20-C90F-4A6B-A192-BADAB6466FE3}"/>
    <cellStyle name="Vírgula 2 2 5 4 2" xfId="3990" xr:uid="{2B87ADB4-651F-4E64-B322-B4ADF47B91C7}"/>
    <cellStyle name="Vírgula 2 2 5 5" xfId="2285" xr:uid="{ACB10F0B-89A2-4E96-8726-053E3CF735D8}"/>
    <cellStyle name="Vírgula 2 2 6" xfId="611" xr:uid="{7D2E8C1F-D0FA-47F7-A427-A603A0BD50E9}"/>
    <cellStyle name="Vírgula 2 2 6 2" xfId="1453" xr:uid="{85DFC709-E5D7-4E13-AC30-96A1C212D002}"/>
    <cellStyle name="Vírgula 2 2 6 2 2" xfId="2230" xr:uid="{D2779E88-7A47-4189-BB14-CA9ED5416BFA}"/>
    <cellStyle name="Vírgula 2 2 6 2 2 2" xfId="4296" xr:uid="{10060966-41F2-4C5A-91C3-1E9D040BC981}"/>
    <cellStyle name="Vírgula 2 2 6 2 3" xfId="3564" xr:uid="{0B151B4F-125F-459F-AB63-7931D0B36006}"/>
    <cellStyle name="Vírgula 2 2 6 3" xfId="2021" xr:uid="{C691F178-941D-40E0-948F-D55CC251042D}"/>
    <cellStyle name="Vírgula 2 2 6 3 2" xfId="4110" xr:uid="{83114FDC-E957-4EDA-9C15-2C04B06A3B9C}"/>
    <cellStyle name="Vírgula 2 2 6 4" xfId="2747" xr:uid="{EF139FE6-B93A-47C8-8070-FE2F5DCA2BE3}"/>
    <cellStyle name="Vírgula 2 2 7" xfId="129" xr:uid="{5CEDF13F-0497-4042-9C2A-3AC310D47DEB}"/>
    <cellStyle name="Vírgula 2 2 7 2" xfId="2068" xr:uid="{CACF7F1B-6EBF-493B-9D31-BA2F017C1B08}"/>
    <cellStyle name="Vírgula 2 2 7 2 2" xfId="4134" xr:uid="{5B0613A3-D1DD-4E3D-B4B8-22F1AF6B3E24}"/>
    <cellStyle name="Vírgula 2 2 7 3" xfId="2321" xr:uid="{9ED1CE4B-DC0E-4BE0-BB98-D0650B96DCD4}"/>
    <cellStyle name="Vírgula 2 2 8" xfId="1020" xr:uid="{2515E04F-C2CC-41B8-8E65-87FA9AA47C97}"/>
    <cellStyle name="Vírgula 2 3" xfId="86" xr:uid="{39CBB635-28F9-41DF-8A39-67F945225949}"/>
    <cellStyle name="Vírgula 2 3 10" xfId="1845" xr:uid="{48C46C55-9618-4CF3-AA6A-03B03C19EAF8}"/>
    <cellStyle name="Vírgula 2 3 10 2" xfId="3955" xr:uid="{93C8F684-170D-4494-8F65-91D0D1300633}"/>
    <cellStyle name="Vírgula 2 3 11" xfId="2291" xr:uid="{D19EE8E8-E82B-467C-8159-CD35E636C774}"/>
    <cellStyle name="Vírgula 2 3 2" xfId="113" xr:uid="{A654D2F7-498D-4D8D-BC9D-40087D211A85}"/>
    <cellStyle name="Vírgula 2 3 2 2" xfId="308" xr:uid="{7F473D97-497E-4EFA-9015-B74D78283F53}"/>
    <cellStyle name="Vírgula 2 3 2 2 2" xfId="501" xr:uid="{97C00923-4282-498E-A062-781ED0822E77}"/>
    <cellStyle name="Vírgula 2 3 2 2 2 2" xfId="946" xr:uid="{DE5E1BDD-8ABE-4E0B-8EDC-B661CE66252B}"/>
    <cellStyle name="Vírgula 2 3 2 2 2 2 2" xfId="1775" xr:uid="{2F297B43-00DA-4018-A1A5-A52BDBD6048D}"/>
    <cellStyle name="Vírgula 2 3 2 2 2 2 2 2" xfId="3886" xr:uid="{0F4C6655-DCBE-4436-843B-F7A55E566743}"/>
    <cellStyle name="Vírgula 2 3 2 2 2 2 3" xfId="2216" xr:uid="{A4A87A79-B60B-4D73-B075-E808B10CAC42}"/>
    <cellStyle name="Vírgula 2 3 2 2 2 2 3 2" xfId="4282" xr:uid="{13F2EE59-3273-47B5-A5A8-0AD991463960}"/>
    <cellStyle name="Vírgula 2 3 2 2 2 2 4" xfId="3069" xr:uid="{24E1DF1C-CB42-4187-96EF-78D305E08E04}"/>
    <cellStyle name="Vírgula 2 3 2 2 2 3" xfId="1348" xr:uid="{3044208A-F93D-4016-878C-26924676FEDF}"/>
    <cellStyle name="Vírgula 2 3 2 2 2 3 2" xfId="3459" xr:uid="{B201A9E9-3774-4832-9FE5-1B8B8C7A9E52}"/>
    <cellStyle name="Vírgula 2 3 2 2 2 4" xfId="2002" xr:uid="{20CC4EE0-7613-4864-911D-237E0D32F191}"/>
    <cellStyle name="Vírgula 2 3 2 2 2 4 2" xfId="4096" xr:uid="{4A2D279C-2F8E-47B0-BFD7-BE4CE301B319}"/>
    <cellStyle name="Vírgula 2 3 2 2 2 5" xfId="2642" xr:uid="{2EA81D84-6CF0-4613-907D-074C3CB30B04}"/>
    <cellStyle name="Vírgula 2 3 2 2 3" xfId="754" xr:uid="{5440EADE-7A37-4681-919C-859CC99EB7A8}"/>
    <cellStyle name="Vírgula 2 3 2 2 3 2" xfId="1583" xr:uid="{7FB9233B-9B2A-47F9-A390-3748FE8B0281}"/>
    <cellStyle name="Vírgula 2 3 2 2 3 2 2" xfId="3694" xr:uid="{36FDAF73-1A9C-42C6-BAE9-34A55758EE93}"/>
    <cellStyle name="Vírgula 2 3 2 2 3 3" xfId="2136" xr:uid="{DC188FF3-188B-4615-B90F-3249C4AFC49B}"/>
    <cellStyle name="Vírgula 2 3 2 2 3 3 2" xfId="4202" xr:uid="{329E109F-BC93-420D-BD89-24AFFED94F40}"/>
    <cellStyle name="Vírgula 2 3 2 2 3 4" xfId="2877" xr:uid="{94B4A8F7-C593-4554-A860-0702A20AA6D7}"/>
    <cellStyle name="Vírgula 2 3 2 2 4" xfId="1156" xr:uid="{F5D71968-7A1D-4ADD-8E00-63A3B7894580}"/>
    <cellStyle name="Vírgula 2 3 2 2 4 2" xfId="3267" xr:uid="{9CC7371F-87B2-4E6C-9C6B-1452EB74EC7C}"/>
    <cellStyle name="Vírgula 2 3 2 2 5" xfId="1917" xr:uid="{C335E49D-121F-41BB-B6CB-27A491DF17A1}"/>
    <cellStyle name="Vírgula 2 3 2 2 5 2" xfId="4016" xr:uid="{DB5D7C61-EBBF-42EE-A4C4-228DFB375C9D}"/>
    <cellStyle name="Vírgula 2 3 2 2 6" xfId="2450" xr:uid="{F316542B-1529-4F5A-B415-D1CCFDFDAADF}"/>
    <cellStyle name="Vírgula 2 3 2 3" xfId="405" xr:uid="{7CB66F71-205F-4F5A-9618-1E014F0DC8D3}"/>
    <cellStyle name="Vírgula 2 3 2 3 2" xfId="850" xr:uid="{B1342EBC-EB73-4CD2-8635-48EEC75BC85A}"/>
    <cellStyle name="Vírgula 2 3 2 3 2 2" xfId="1679" xr:uid="{634F278D-F4EB-43C6-93CA-D04E89BBAC7E}"/>
    <cellStyle name="Vírgula 2 3 2 3 2 2 2" xfId="3790" xr:uid="{C5C0E187-7C2D-41D2-A898-F9F4E2409A5E}"/>
    <cellStyle name="Vírgula 2 3 2 3 2 3" xfId="2174" xr:uid="{5F4BCA8B-4962-4011-869A-F8D52477A6A2}"/>
    <cellStyle name="Vírgula 2 3 2 3 2 3 2" xfId="4240" xr:uid="{D9582D70-4BA4-461D-A765-6E1949687B4C}"/>
    <cellStyle name="Vírgula 2 3 2 3 2 4" xfId="2973" xr:uid="{AFB23F39-EAF2-46B5-888C-121AF431D6DB}"/>
    <cellStyle name="Vírgula 2 3 2 3 3" xfId="1252" xr:uid="{4380F5C4-5F71-48EF-B869-565A89EC5D1E}"/>
    <cellStyle name="Vírgula 2 3 2 3 3 2" xfId="3363" xr:uid="{0E878727-0095-475C-A906-E3F8851BF9C9}"/>
    <cellStyle name="Vírgula 2 3 2 3 4" xfId="1960" xr:uid="{A5345283-FA26-4B9E-BD4E-E9E50B5BE85E}"/>
    <cellStyle name="Vírgula 2 3 2 3 4 2" xfId="4054" xr:uid="{F41A0D14-DEB4-4162-B179-F934572BEC31}"/>
    <cellStyle name="Vírgula 2 3 2 3 5" xfId="2546" xr:uid="{C6272F19-3370-4541-9367-6FE8842F8116}"/>
    <cellStyle name="Vírgula 2 3 2 4" xfId="656" xr:uid="{4C546074-2788-483F-BDFD-05EA9C900D70}"/>
    <cellStyle name="Vírgula 2 3 2 4 2" xfId="1487" xr:uid="{3DA3795A-3309-4F15-857E-56529B8E6370}"/>
    <cellStyle name="Vírgula 2 3 2 4 2 2" xfId="2239" xr:uid="{14AB5E4B-9C40-4A9E-80D6-1A132E76AE5D}"/>
    <cellStyle name="Vírgula 2 3 2 4 2 2 2" xfId="4305" xr:uid="{146874E2-C2CD-48EC-84F6-DF14DED57049}"/>
    <cellStyle name="Vírgula 2 3 2 4 2 3" xfId="3598" xr:uid="{EE9E46F3-26CE-4B46-A4EC-823122FA25AC}"/>
    <cellStyle name="Vírgula 2 3 2 4 3" xfId="2032" xr:uid="{988E4E75-D0A6-4F7E-820A-85FE868D6965}"/>
    <cellStyle name="Vírgula 2 3 2 4 3 2" xfId="4119" xr:uid="{E3D24207-1B6C-40C1-80F7-2B6A973A835C}"/>
    <cellStyle name="Vírgula 2 3 2 4 4" xfId="2781" xr:uid="{7756D1B0-122F-4AB6-8898-309F05D9CE86}"/>
    <cellStyle name="Vírgula 2 3 2 5" xfId="595" xr:uid="{0E31CB0B-1074-4A0B-A36D-C96B5E3E5DC1}"/>
    <cellStyle name="Vírgula 2 3 2 5 2" xfId="1442" xr:uid="{D03C655A-DB9F-483A-8E38-B40FECCDC289}"/>
    <cellStyle name="Vírgula 2 3 2 5 2 2" xfId="3553" xr:uid="{349FCCEA-912F-42DC-A5CC-F43DB777656A}"/>
    <cellStyle name="Vírgula 2 3 2 5 3" xfId="2094" xr:uid="{2C013E2E-CCBD-4265-85D6-C5F9C2E37203}"/>
    <cellStyle name="Vírgula 2 3 2 5 3 2" xfId="4160" xr:uid="{3C57F03B-DC9B-40CD-8C41-846DA10783FC}"/>
    <cellStyle name="Vírgula 2 3 2 5 4" xfId="2736" xr:uid="{1727BB28-9B68-4FD3-9D2E-87687D1FCE9F}"/>
    <cellStyle name="Vírgula 2 3 2 6" xfId="185" xr:uid="{4FE9F0D9-82BB-4B66-82E1-90E3B6A74D1A}"/>
    <cellStyle name="Vírgula 2 3 2 6 2" xfId="2355" xr:uid="{0831608A-2E39-4731-B21A-9C10FB16DFBB}"/>
    <cellStyle name="Vírgula 2 3 2 7" xfId="1060" xr:uid="{A09C3E3D-FCAB-4EC6-A75A-43EC5A2E269A}"/>
    <cellStyle name="Vírgula 2 3 2 7 2" xfId="3171" xr:uid="{2D01CC4F-E1C9-45D1-9E0F-47401666038F}"/>
    <cellStyle name="Vírgula 2 3 2 8" xfId="1864" xr:uid="{A1C0E17A-AF9C-4366-80C9-739608FE6749}"/>
    <cellStyle name="Vírgula 2 3 2 8 2" xfId="3974" xr:uid="{6C1EA4B4-9709-4614-A184-1BEA0667A357}"/>
    <cellStyle name="Vírgula 2 3 2 9" xfId="2310" xr:uid="{038A8CD7-A118-4461-A8F5-0AD1FD5D35F8}"/>
    <cellStyle name="Vírgula 2 3 3" xfId="252" xr:uid="{2E46209B-E84B-4C28-A3E8-EC68825274DE}"/>
    <cellStyle name="Vírgula 2 3 3 2" xfId="358" xr:uid="{345788A5-A299-4858-8048-E3994F7C26B0}"/>
    <cellStyle name="Vírgula 2 3 3 2 2" xfId="550" xr:uid="{C1EAC760-F0FB-4F12-B167-FB787FC2B63B}"/>
    <cellStyle name="Vírgula 2 3 3 2 2 2" xfId="995" xr:uid="{DAE3A8C2-C5D7-402E-96F5-FA3ABA1E0C55}"/>
    <cellStyle name="Vírgula 2 3 3 2 2 2 2" xfId="1824" xr:uid="{1A710CA5-4F4B-461C-9B5F-F6C1A66107E1}"/>
    <cellStyle name="Vírgula 2 3 3 2 2 2 2 2" xfId="3935" xr:uid="{880ED582-8C9B-4E0E-83CF-23A8838659C0}"/>
    <cellStyle name="Vírgula 2 3 3 2 2 2 3" xfId="3118" xr:uid="{CFB67AED-0266-463D-B5EA-30B0E4374E93}"/>
    <cellStyle name="Vírgula 2 3 3 2 2 3" xfId="1397" xr:uid="{A8313458-6CD9-4FB1-9089-59E1AC14390B}"/>
    <cellStyle name="Vírgula 2 3 3 2 2 3 2" xfId="3508" xr:uid="{AF9025A7-F166-47EE-B6AF-F5FF5B27B797}"/>
    <cellStyle name="Vírgula 2 3 3 2 2 4" xfId="2197" xr:uid="{B1D80889-189D-4115-A489-D5FE87BC9B87}"/>
    <cellStyle name="Vírgula 2 3 3 2 2 4 2" xfId="4263" xr:uid="{DBC3AE11-7E1F-4D8C-A0A0-F205E71D2579}"/>
    <cellStyle name="Vírgula 2 3 3 2 2 5" xfId="2691" xr:uid="{1712F5B4-053F-4B52-9A53-D86987F115DB}"/>
    <cellStyle name="Vírgula 2 3 3 2 3" xfId="803" xr:uid="{64061242-52FC-49B2-B703-7F3B5496961C}"/>
    <cellStyle name="Vírgula 2 3 3 2 3 2" xfId="1632" xr:uid="{2D413152-3C11-48B3-A1E8-D2C13275AEE6}"/>
    <cellStyle name="Vírgula 2 3 3 2 3 2 2" xfId="3743" xr:uid="{0A61BF3F-EA6C-4901-9EB9-1B641DFD33E0}"/>
    <cellStyle name="Vírgula 2 3 3 2 3 3" xfId="2926" xr:uid="{3BCE90B3-7707-4A4F-B05A-84D9DD91EA3E}"/>
    <cellStyle name="Vírgula 2 3 3 2 4" xfId="1205" xr:uid="{94AC6E36-CBB6-4598-930D-5DB3C4F3564E}"/>
    <cellStyle name="Vírgula 2 3 3 2 4 2" xfId="3316" xr:uid="{FFB8EE69-DBA4-495F-990D-E55ABE2369E6}"/>
    <cellStyle name="Vírgula 2 3 3 2 5" xfId="1983" xr:uid="{F6E66FB5-A2AB-4865-8754-A49E73291B48}"/>
    <cellStyle name="Vírgula 2 3 3 2 5 2" xfId="4077" xr:uid="{E3303D2B-262B-43BB-BE3E-C643B12772B4}"/>
    <cellStyle name="Vírgula 2 3 3 2 6" xfId="2499" xr:uid="{243909E7-56AE-42E5-A1F7-84E30DEBC029}"/>
    <cellStyle name="Vírgula 2 3 3 3" xfId="454" xr:uid="{47B1C90B-3420-40A3-BCB0-D7A32D448BAF}"/>
    <cellStyle name="Vírgula 2 3 3 3 2" xfId="899" xr:uid="{6749F0ED-7D0E-4B87-B4E2-D8562770C3D2}"/>
    <cellStyle name="Vírgula 2 3 3 3 2 2" xfId="1728" xr:uid="{E703E220-D895-475A-B7BA-890C84005E7D}"/>
    <cellStyle name="Vírgula 2 3 3 3 2 2 2" xfId="3839" xr:uid="{C4595E84-4C41-434A-A8F9-6653B67DBB69}"/>
    <cellStyle name="Vírgula 2 3 3 3 2 3" xfId="3022" xr:uid="{186950C6-50A6-4E21-A913-44C123A4B3B6}"/>
    <cellStyle name="Vírgula 2 3 3 3 3" xfId="1301" xr:uid="{F30A85FA-57EB-4335-BBED-866067E1DF8C}"/>
    <cellStyle name="Vírgula 2 3 3 3 3 2" xfId="3412" xr:uid="{F10BE5EA-72C2-4090-AF9E-2778C0E55250}"/>
    <cellStyle name="Vírgula 2 3 3 3 4" xfId="2117" xr:uid="{63533B0E-0032-4492-B690-E27B8DA183EF}"/>
    <cellStyle name="Vírgula 2 3 3 3 4 2" xfId="4183" xr:uid="{D38218AF-AE11-40A6-987F-62346B86F45C}"/>
    <cellStyle name="Vírgula 2 3 3 3 5" xfId="2595" xr:uid="{5DE17BC3-46A6-4015-B4C0-99570C4A8103}"/>
    <cellStyle name="Vírgula 2 3 3 4" xfId="707" xr:uid="{E5B11C24-AF1E-4948-9281-65643D72ED04}"/>
    <cellStyle name="Vírgula 2 3 3 4 2" xfId="1536" xr:uid="{188778DB-915C-48D2-89DA-C3AD8EA7AE1C}"/>
    <cellStyle name="Vírgula 2 3 3 4 2 2" xfId="3647" xr:uid="{E8F1C860-16AD-4A26-8546-B2AA526F81B8}"/>
    <cellStyle name="Vírgula 2 3 3 4 3" xfId="2830" xr:uid="{E2781E23-CC2D-4044-AC16-C2319A27ECC9}"/>
    <cellStyle name="Vírgula 2 3 3 5" xfId="1109" xr:uid="{EF5AB4A9-38D4-4D52-BBB1-A3871A208B9A}"/>
    <cellStyle name="Vírgula 2 3 3 5 2" xfId="3220" xr:uid="{F4FB8D0F-F6F6-45E1-A78D-073AD01B6363}"/>
    <cellStyle name="Vírgula 2 3 3 6" xfId="1896" xr:uid="{E306C390-D4C2-4B3A-8775-F03F43C1AEFA}"/>
    <cellStyle name="Vírgula 2 3 3 6 2" xfId="3997" xr:uid="{586CA79D-EF5D-4C64-9D53-8D1B38ED7A90}"/>
    <cellStyle name="Vírgula 2 3 3 7" xfId="2404" xr:uid="{0405F063-5007-4772-83EF-7A17659D3403}"/>
    <cellStyle name="Vírgula 2 3 4" xfId="276" xr:uid="{A3B36ADF-1467-4374-9912-AAD263280B1E}"/>
    <cellStyle name="Vírgula 2 3 4 2" xfId="469" xr:uid="{BD65CD58-9075-41B1-91A7-8BC74ED41FF1}"/>
    <cellStyle name="Vírgula 2 3 4 2 2" xfId="914" xr:uid="{136C8433-84EE-4193-A6A3-87EE084B0ECA}"/>
    <cellStyle name="Vírgula 2 3 4 2 2 2" xfId="1743" xr:uid="{670E8895-8ECB-4033-BDD9-C3EF0A8E82FE}"/>
    <cellStyle name="Vírgula 2 3 4 2 2 2 2" xfId="3854" xr:uid="{B62D8391-77A1-471D-ABD8-5F16585A77FD}"/>
    <cellStyle name="Vírgula 2 3 4 2 2 3" xfId="3037" xr:uid="{AA60DAE5-921D-4668-AEF2-8552EC7D1740}"/>
    <cellStyle name="Vírgula 2 3 4 2 3" xfId="1316" xr:uid="{87D2AECA-F8BB-4D05-866D-07A30A0CE84D}"/>
    <cellStyle name="Vírgula 2 3 4 2 3 2" xfId="3427" xr:uid="{8890ED98-4B39-41F8-B2CE-6591C0291F74}"/>
    <cellStyle name="Vírgula 2 3 4 2 4" xfId="2155" xr:uid="{BB66EBA8-CAFE-479C-8FBB-273EE69937F5}"/>
    <cellStyle name="Vírgula 2 3 4 2 4 2" xfId="4221" xr:uid="{FD1B15A2-D3B6-4FCE-B7BF-6CF248DE4E7D}"/>
    <cellStyle name="Vírgula 2 3 4 2 5" xfId="2610" xr:uid="{640813A6-3D6F-4407-9CD0-36BEE75FFF83}"/>
    <cellStyle name="Vírgula 2 3 4 3" xfId="722" xr:uid="{B826B30D-EF19-4BA8-AF1A-AFC39AD1A74B}"/>
    <cellStyle name="Vírgula 2 3 4 3 2" xfId="1551" xr:uid="{B02AA458-8DF8-458B-8C3D-7EFDDB1C81DA}"/>
    <cellStyle name="Vírgula 2 3 4 3 2 2" xfId="3662" xr:uid="{551EB242-B792-415B-AFAD-8ADAB23FC697}"/>
    <cellStyle name="Vírgula 2 3 4 3 3" xfId="2845" xr:uid="{737F37A5-4987-48AC-A8B3-3AB948D91894}"/>
    <cellStyle name="Vírgula 2 3 4 4" xfId="1124" xr:uid="{9E8A80BB-AF8D-474A-8426-047C27EF95A5}"/>
    <cellStyle name="Vírgula 2 3 4 4 2" xfId="3235" xr:uid="{1BD05CBA-A4D9-4EAE-BD42-D05C8A939BF9}"/>
    <cellStyle name="Vírgula 2 3 4 5" xfId="1941" xr:uid="{9D631801-ED87-4D41-A0CE-E67B308809E4}"/>
    <cellStyle name="Vírgula 2 3 4 5 2" xfId="4035" xr:uid="{0C75D38E-F26B-416B-91CB-37FACA2FDEF2}"/>
    <cellStyle name="Vírgula 2 3 4 6" xfId="2418" xr:uid="{88D6FE80-AEEB-4987-9D5D-571B2409DAA7}"/>
    <cellStyle name="Vírgula 2 3 5" xfId="373" xr:uid="{A33B3533-E1E6-4149-AB28-549CFF946D75}"/>
    <cellStyle name="Vírgula 2 3 5 2" xfId="818" xr:uid="{027AC994-6B45-4E6D-B3A4-32D45FC1308A}"/>
    <cellStyle name="Vírgula 2 3 5 2 2" xfId="1647" xr:uid="{404A6B4F-77EB-4D60-806E-015AC245C36E}"/>
    <cellStyle name="Vírgula 2 3 5 2 2 2" xfId="3758" xr:uid="{D68956BD-39AC-4FE6-9A6F-3B66FBF29778}"/>
    <cellStyle name="Vírgula 2 3 5 2 3" xfId="2232" xr:uid="{C66C90B4-D928-4FAB-A31E-30B857AC313D}"/>
    <cellStyle name="Vírgula 2 3 5 2 3 2" xfId="4298" xr:uid="{2D7BE6C7-0897-4CD2-8CC5-F46DE9F6C6FC}"/>
    <cellStyle name="Vírgula 2 3 5 2 4" xfId="2941" xr:uid="{A93287B1-D8D4-483E-9CAC-78A7C0E3149E}"/>
    <cellStyle name="Vírgula 2 3 5 3" xfId="1220" xr:uid="{B0517D82-3D20-4F9E-837C-B84705A43F19}"/>
    <cellStyle name="Vírgula 2 3 5 3 2" xfId="3331" xr:uid="{E15AB84A-A234-4949-99C0-E96129527B3E}"/>
    <cellStyle name="Vírgula 2 3 5 4" xfId="2023" xr:uid="{44E4D86A-30E3-401C-A970-94CA8AE32573}"/>
    <cellStyle name="Vírgula 2 3 5 4 2" xfId="4112" xr:uid="{297F6296-9A74-424B-A10B-65FE1BF13CFB}"/>
    <cellStyle name="Vírgula 2 3 5 5" xfId="2514" xr:uid="{B01B1B1D-F1F1-41CA-98D1-1EBE84E38221}"/>
    <cellStyle name="Vírgula 2 3 6" xfId="616" xr:uid="{D7AEF2FD-D851-4504-85F8-3FE354E41A51}"/>
    <cellStyle name="Vírgula 2 3 6 2" xfId="1455" xr:uid="{2CE731C6-7C6F-4069-9C78-82BCF59D94EB}"/>
    <cellStyle name="Vírgula 2 3 6 2 2" xfId="3566" xr:uid="{A6BB32CE-9DAB-4655-901C-6E0628F20930}"/>
    <cellStyle name="Vírgula 2 3 6 3" xfId="2075" xr:uid="{4537C3B4-0AE5-458F-A00C-5261CD1E7BEF}"/>
    <cellStyle name="Vírgula 2 3 6 3 2" xfId="4141" xr:uid="{83A53083-1E11-4F31-B957-2FF04DD19E63}"/>
    <cellStyle name="Vírgula 2 3 6 4" xfId="2749" xr:uid="{8D7F0777-34CD-4CE1-B194-810E0C63929B}"/>
    <cellStyle name="Vírgula 2 3 7" xfId="576" xr:uid="{7CADBC3E-DE14-4A40-A9E9-FF0A20AF3685}"/>
    <cellStyle name="Vírgula 2 3 7 2" xfId="1423" xr:uid="{3DA0259A-BE56-4B68-A986-15AAF6DF0AF8}"/>
    <cellStyle name="Vírgula 2 3 7 2 2" xfId="3534" xr:uid="{A972F56D-B0B3-4875-A9EE-3482C8468EDF}"/>
    <cellStyle name="Vírgula 2 3 7 3" xfId="2717" xr:uid="{E1D786AB-C9F5-4F07-9E4E-577A96041E33}"/>
    <cellStyle name="Vírgula 2 3 8" xfId="135" xr:uid="{C6A6419C-36E1-48FA-9306-328752B2A301}"/>
    <cellStyle name="Vírgula 2 3 8 2" xfId="2324" xr:uid="{7DD13C17-C184-4877-B8A3-93E83CD2C713}"/>
    <cellStyle name="Vírgula 2 3 9" xfId="1028" xr:uid="{46DE0737-5143-4A2A-9A29-A2C688823573}"/>
    <cellStyle name="Vírgula 2 3 9 2" xfId="3139" xr:uid="{3FA9343B-50CC-4511-885C-FCC1E63E9D0D}"/>
    <cellStyle name="Vírgula 2 4" xfId="95" xr:uid="{D1F06816-A5ED-483E-8524-45F83229F030}"/>
    <cellStyle name="Vírgula 2 4 10" xfId="1851" xr:uid="{4CE99E0F-3F1D-4AF8-8D35-08F4002DF73A}"/>
    <cellStyle name="Vírgula 2 4 10 2" xfId="3961" xr:uid="{8399AEAB-57BC-446C-989C-7EEB559C91E9}"/>
    <cellStyle name="Vírgula 2 4 11" xfId="2297" xr:uid="{55A060CB-9289-492E-8F95-6460CD192CB2}"/>
    <cellStyle name="Vírgula 2 4 2" xfId="119" xr:uid="{5C6C3524-E19B-4CB4-9209-43FC3779D31F}"/>
    <cellStyle name="Vírgula 2 4 2 2" xfId="317" xr:uid="{7AB95E0C-DE9E-4434-BB1F-5BBFD78A55EA}"/>
    <cellStyle name="Vírgula 2 4 2 2 2" xfId="510" xr:uid="{A85BE266-5753-49F3-92E9-CDC7D37998D7}"/>
    <cellStyle name="Vírgula 2 4 2 2 2 2" xfId="955" xr:uid="{618C38CE-442D-4714-BE26-8866698296DF}"/>
    <cellStyle name="Vírgula 2 4 2 2 2 2 2" xfId="1784" xr:uid="{BE03C247-4A8D-4D1E-B679-6CAB6C8299D7}"/>
    <cellStyle name="Vírgula 2 4 2 2 2 2 2 2" xfId="3895" xr:uid="{7BD208D1-6C3A-4B8F-A918-ECED00F7CD38}"/>
    <cellStyle name="Vírgula 2 4 2 2 2 2 3" xfId="2222" xr:uid="{5D61B400-BA08-46E5-A1E0-13AF4DE36F0F}"/>
    <cellStyle name="Vírgula 2 4 2 2 2 2 3 2" xfId="4288" xr:uid="{050BD98B-5887-4166-A73B-35DD4C48E07C}"/>
    <cellStyle name="Vírgula 2 4 2 2 2 2 4" xfId="3078" xr:uid="{36FF0CA2-D5CA-44B8-A4A8-CCFC5B337CB2}"/>
    <cellStyle name="Vírgula 2 4 2 2 2 3" xfId="1357" xr:uid="{FB37313C-2893-4362-A026-0B656EB56E69}"/>
    <cellStyle name="Vírgula 2 4 2 2 2 3 2" xfId="3468" xr:uid="{D8A21831-7152-4253-8D11-789B4C4760B2}"/>
    <cellStyle name="Vírgula 2 4 2 2 2 4" xfId="2008" xr:uid="{22E5572B-46B2-4CBE-AE25-3AFADECAA0A9}"/>
    <cellStyle name="Vírgula 2 4 2 2 2 4 2" xfId="4102" xr:uid="{C765E629-E1A5-4EE1-B9F9-069B1FAEFC35}"/>
    <cellStyle name="Vírgula 2 4 2 2 2 5" xfId="2651" xr:uid="{4C9C4337-F111-432F-9B92-A0A84A7A5502}"/>
    <cellStyle name="Vírgula 2 4 2 2 3" xfId="763" xr:uid="{6523AE1C-B068-4434-AE62-9F9D3E223F3B}"/>
    <cellStyle name="Vírgula 2 4 2 2 3 2" xfId="1592" xr:uid="{3DCE4A4E-5D73-42CF-B29A-F5A770CB5DC1}"/>
    <cellStyle name="Vírgula 2 4 2 2 3 2 2" xfId="3703" xr:uid="{4E221007-32CC-48AA-AD67-1006090EE8F8}"/>
    <cellStyle name="Vírgula 2 4 2 2 3 3" xfId="2142" xr:uid="{A23FF843-5EFD-4C6A-B060-923C7EE324ED}"/>
    <cellStyle name="Vírgula 2 4 2 2 3 3 2" xfId="4208" xr:uid="{D60E19A7-97B7-46C6-8B8F-7C7F678289CF}"/>
    <cellStyle name="Vírgula 2 4 2 2 3 4" xfId="2886" xr:uid="{38455483-7DE5-48DF-91BE-E91615B63141}"/>
    <cellStyle name="Vírgula 2 4 2 2 4" xfId="1165" xr:uid="{5AED6F8B-0BB1-41DB-B825-7D47648D78C9}"/>
    <cellStyle name="Vírgula 2 4 2 2 4 2" xfId="3276" xr:uid="{D426283E-3D98-4C1B-BAA8-59EE099B19EE}"/>
    <cellStyle name="Vírgula 2 4 2 2 5" xfId="1923" xr:uid="{EE4F4442-2970-48CE-BA7E-EEF58935569A}"/>
    <cellStyle name="Vírgula 2 4 2 2 5 2" xfId="4022" xr:uid="{0228944B-757F-4D66-8D99-97AA7883D7E4}"/>
    <cellStyle name="Vírgula 2 4 2 2 6" xfId="2459" xr:uid="{F10B55A1-0617-4B14-B341-1DD3D03C2CB0}"/>
    <cellStyle name="Vírgula 2 4 2 3" xfId="414" xr:uid="{D8584298-B9B4-4CF1-832D-0334725A6E76}"/>
    <cellStyle name="Vírgula 2 4 2 3 2" xfId="859" xr:uid="{B4D79EEB-BD20-462F-874F-FFAED9112FC2}"/>
    <cellStyle name="Vírgula 2 4 2 3 2 2" xfId="1688" xr:uid="{DC1BAE57-AEB8-4D6C-B8A6-CFAC17827714}"/>
    <cellStyle name="Vírgula 2 4 2 3 2 2 2" xfId="3799" xr:uid="{5B6CA087-9602-4759-8971-674C50375AAF}"/>
    <cellStyle name="Vírgula 2 4 2 3 2 3" xfId="2180" xr:uid="{7987CE8A-2DE1-4923-8985-E50E614F2A3D}"/>
    <cellStyle name="Vírgula 2 4 2 3 2 3 2" xfId="4246" xr:uid="{5FFEF9DA-CA06-4AD4-B195-2225B87297A9}"/>
    <cellStyle name="Vírgula 2 4 2 3 2 4" xfId="2982" xr:uid="{2DFF0C1B-E0B8-46C4-9873-08FB7ACBFB53}"/>
    <cellStyle name="Vírgula 2 4 2 3 3" xfId="1261" xr:uid="{161368E5-18A6-489F-8D46-56BFD9DAD41C}"/>
    <cellStyle name="Vírgula 2 4 2 3 3 2" xfId="3372" xr:uid="{F320560C-09CC-425D-8EA4-916097874F65}"/>
    <cellStyle name="Vírgula 2 4 2 3 4" xfId="1966" xr:uid="{58A206CB-7A9F-4759-B6B7-66C1FA89AD75}"/>
    <cellStyle name="Vírgula 2 4 2 3 4 2" xfId="4060" xr:uid="{55ADE8FB-95F5-470A-A7E1-CDBBFF784AA0}"/>
    <cellStyle name="Vírgula 2 4 2 3 5" xfId="2555" xr:uid="{E910C7E0-D6B8-4148-BB63-0F3B1EE5C630}"/>
    <cellStyle name="Vírgula 2 4 2 4" xfId="665" xr:uid="{3504982B-976F-46CF-BE8A-B7AC7DBD6C1A}"/>
    <cellStyle name="Vírgula 2 4 2 4 2" xfId="1496" xr:uid="{09ADB95D-FE93-4333-AB4B-2DE5DBC06510}"/>
    <cellStyle name="Vírgula 2 4 2 4 2 2" xfId="3607" xr:uid="{0F59C606-D7EC-4884-9DEE-0D78162F0E0E}"/>
    <cellStyle name="Vírgula 2 4 2 4 3" xfId="2100" xr:uid="{370368F0-99B0-435D-A214-04F5F7DBA6B1}"/>
    <cellStyle name="Vírgula 2 4 2 4 3 2" xfId="4166" xr:uid="{32B766D4-09AC-482E-9BAE-7B8EDBD6D13F}"/>
    <cellStyle name="Vírgula 2 4 2 4 4" xfId="2790" xr:uid="{DFD11A08-307D-408C-973B-EA0EB56767D8}"/>
    <cellStyle name="Vírgula 2 4 2 5" xfId="601" xr:uid="{5573D7D0-9640-40A3-8F96-38ED07931C00}"/>
    <cellStyle name="Vírgula 2 4 2 5 2" xfId="1448" xr:uid="{56D795DD-7802-417B-8198-1C8F58DF5F45}"/>
    <cellStyle name="Vírgula 2 4 2 5 2 2" xfId="3559" xr:uid="{D838440D-ABA3-4DFB-BD66-6CC69FC94060}"/>
    <cellStyle name="Vírgula 2 4 2 5 3" xfId="2742" xr:uid="{4C62FDB3-FD9C-4A5B-96B3-6CE9109AD1CF}"/>
    <cellStyle name="Vírgula 2 4 2 6" xfId="196" xr:uid="{CB284D82-ABD1-4894-9AD8-B11FB6BF2A1E}"/>
    <cellStyle name="Vírgula 2 4 2 6 2" xfId="2364" xr:uid="{A3845455-848F-486E-B2F3-B9DB5BBB6929}"/>
    <cellStyle name="Vírgula 2 4 2 7" xfId="1069" xr:uid="{9A6FD500-312D-4B15-A20A-14FD7249A547}"/>
    <cellStyle name="Vírgula 2 4 2 7 2" xfId="3180" xr:uid="{1B68860E-C2BC-41F5-9419-F6E9F2CD7F21}"/>
    <cellStyle name="Vírgula 2 4 2 8" xfId="1870" xr:uid="{04A94ED6-8C68-42F3-B7CF-F1395FE542F1}"/>
    <cellStyle name="Vírgula 2 4 2 8 2" xfId="3980" xr:uid="{8F07A204-352B-460F-B4D5-89082FB99A54}"/>
    <cellStyle name="Vírgula 2 4 2 9" xfId="2316" xr:uid="{4EF9444D-B27C-4816-80F9-ACB1980BBB2C}"/>
    <cellStyle name="Vírgula 2 4 3" xfId="261" xr:uid="{D55C0C1D-F733-4CBF-9B5D-0F66A24EC233}"/>
    <cellStyle name="Vírgula 2 4 3 2" xfId="364" xr:uid="{6EDF93E8-0FF3-4637-BB37-D45085E59A79}"/>
    <cellStyle name="Vírgula 2 4 3 2 2" xfId="556" xr:uid="{DD459EAD-1867-4BD5-9616-603905FD109A}"/>
    <cellStyle name="Vírgula 2 4 3 2 2 2" xfId="1001" xr:uid="{0BE63532-4BA2-4D20-BFEB-0BD428205D4E}"/>
    <cellStyle name="Vírgula 2 4 3 2 2 2 2" xfId="1830" xr:uid="{357037A6-573D-4C4A-9F5E-7BE4A3D79D63}"/>
    <cellStyle name="Vírgula 2 4 3 2 2 2 2 2" xfId="3941" xr:uid="{96A3E369-5B10-4F20-9C04-968811F816C6}"/>
    <cellStyle name="Vírgula 2 4 3 2 2 2 3" xfId="3124" xr:uid="{A52CF6AD-00EF-460C-B71B-B955B2BFDD69}"/>
    <cellStyle name="Vírgula 2 4 3 2 2 3" xfId="1403" xr:uid="{90963940-DB7C-4954-941E-5E4DB93F11BB}"/>
    <cellStyle name="Vírgula 2 4 3 2 2 3 2" xfId="3514" xr:uid="{B64B29E2-2571-480C-87BB-51D03A2D258D}"/>
    <cellStyle name="Vírgula 2 4 3 2 2 4" xfId="2203" xr:uid="{C296C5C1-BEE9-4BFA-9FEC-5BCD4D8FA470}"/>
    <cellStyle name="Vírgula 2 4 3 2 2 4 2" xfId="4269" xr:uid="{31DBCBB0-AC5D-4BBC-848C-4985BE4241BE}"/>
    <cellStyle name="Vírgula 2 4 3 2 2 5" xfId="2697" xr:uid="{3605F047-3E15-4D07-A713-C91B57B5A45A}"/>
    <cellStyle name="Vírgula 2 4 3 2 3" xfId="809" xr:uid="{CEE992E5-251B-4387-B393-2328FE25C02B}"/>
    <cellStyle name="Vírgula 2 4 3 2 3 2" xfId="1638" xr:uid="{9FA0CA13-4E50-4DBE-9F68-60F503C1E7BE}"/>
    <cellStyle name="Vírgula 2 4 3 2 3 2 2" xfId="3749" xr:uid="{B37358D0-1A0F-49C9-AF42-DB07644EBA45}"/>
    <cellStyle name="Vírgula 2 4 3 2 3 3" xfId="2932" xr:uid="{C4A2F980-A3A3-41C9-AA80-2C45042B6A46}"/>
    <cellStyle name="Vírgula 2 4 3 2 4" xfId="1211" xr:uid="{90670583-4275-4AC5-9791-780E86A6ABD3}"/>
    <cellStyle name="Vírgula 2 4 3 2 4 2" xfId="3322" xr:uid="{60ECBFC2-4B17-4182-A56A-6CEED902B0D1}"/>
    <cellStyle name="Vírgula 2 4 3 2 5" xfId="1989" xr:uid="{71F14862-61EB-44CC-8411-E2BD785DA1D2}"/>
    <cellStyle name="Vírgula 2 4 3 2 5 2" xfId="4083" xr:uid="{24EAFB8E-5C7F-4302-8402-8B0BD4D415C1}"/>
    <cellStyle name="Vírgula 2 4 3 2 6" xfId="2505" xr:uid="{F1B6B685-E08B-459D-873A-C29C3F25C6ED}"/>
    <cellStyle name="Vírgula 2 4 3 3" xfId="460" xr:uid="{4D3D6F7F-4DA1-40A3-A1C1-2871928B2247}"/>
    <cellStyle name="Vírgula 2 4 3 3 2" xfId="905" xr:uid="{776E7EA6-D20E-4E6E-9D79-03DF4CA96B13}"/>
    <cellStyle name="Vírgula 2 4 3 3 2 2" xfId="1734" xr:uid="{94A2FD6D-4901-474E-8B9D-AB77C7172B04}"/>
    <cellStyle name="Vírgula 2 4 3 3 2 2 2" xfId="3845" xr:uid="{73CB1BC8-6581-43A9-8A1B-501DE25D61FB}"/>
    <cellStyle name="Vírgula 2 4 3 3 2 3" xfId="3028" xr:uid="{C649BCCF-F205-42A0-8968-3F35648EE612}"/>
    <cellStyle name="Vírgula 2 4 3 3 3" xfId="1307" xr:uid="{46B8454C-E569-45B6-8075-F6B74FD55F72}"/>
    <cellStyle name="Vírgula 2 4 3 3 3 2" xfId="3418" xr:uid="{B759953C-4327-447D-9AEB-F298156663F6}"/>
    <cellStyle name="Vírgula 2 4 3 3 4" xfId="2123" xr:uid="{359F2CA1-DE6E-440B-8D74-1C1EB6D6AE89}"/>
    <cellStyle name="Vírgula 2 4 3 3 4 2" xfId="4189" xr:uid="{CDB2ED54-933A-45C1-B8DE-E5887A54366A}"/>
    <cellStyle name="Vírgula 2 4 3 3 5" xfId="2601" xr:uid="{9E007E3E-DECC-404E-B23E-DBE0CEE670A5}"/>
    <cellStyle name="Vírgula 2 4 3 4" xfId="713" xr:uid="{3C686029-BBDB-4CC9-9D29-5B935054598C}"/>
    <cellStyle name="Vírgula 2 4 3 4 2" xfId="1542" xr:uid="{E1CD0ED4-186E-47E5-9D9D-E9E9AB4A144D}"/>
    <cellStyle name="Vírgula 2 4 3 4 2 2" xfId="3653" xr:uid="{95D5D619-9E49-4AAD-874D-32C9C61E9BA2}"/>
    <cellStyle name="Vírgula 2 4 3 4 3" xfId="2836" xr:uid="{DCA89EDC-B7EE-4837-8DAC-1E5E05F39BBD}"/>
    <cellStyle name="Vírgula 2 4 3 5" xfId="1115" xr:uid="{8C56089F-0913-4840-9188-BCA5B218D5F4}"/>
    <cellStyle name="Vírgula 2 4 3 5 2" xfId="3226" xr:uid="{E07CC4AD-1319-4DAB-A01E-E01622C0B3DA}"/>
    <cellStyle name="Vírgula 2 4 3 6" xfId="1902" xr:uid="{5A54BD5B-185B-45E0-AC3F-E376410D505C}"/>
    <cellStyle name="Vírgula 2 4 3 6 2" xfId="4003" xr:uid="{C89E1725-AA80-4493-B832-98B824E01BC1}"/>
    <cellStyle name="Vírgula 2 4 3 7" xfId="2410" xr:uid="{92F45DAE-4813-406C-AE7A-CF9CF1FD5A30}"/>
    <cellStyle name="Vírgula 2 4 4" xfId="285" xr:uid="{1C82C3A5-8413-4741-98F8-CC9865DC614C}"/>
    <cellStyle name="Vírgula 2 4 4 2" xfId="478" xr:uid="{FA29401E-C7EA-4977-A40F-4B225AF9959B}"/>
    <cellStyle name="Vírgula 2 4 4 2 2" xfId="923" xr:uid="{5025FAC0-31BD-4885-BD31-A071EB88A930}"/>
    <cellStyle name="Vírgula 2 4 4 2 2 2" xfId="1752" xr:uid="{267F9FC7-069B-4BD0-9CC8-D4693C94E999}"/>
    <cellStyle name="Vírgula 2 4 4 2 2 2 2" xfId="3863" xr:uid="{B9358B9C-8AA7-4C44-99DC-D03E48AACCE0}"/>
    <cellStyle name="Vírgula 2 4 4 2 2 3" xfId="3046" xr:uid="{0AE276DA-76ED-4F6C-81BE-3B3A14CE21CF}"/>
    <cellStyle name="Vírgula 2 4 4 2 3" xfId="1325" xr:uid="{133416D3-C472-44CE-9F37-797890D764B0}"/>
    <cellStyle name="Vírgula 2 4 4 2 3 2" xfId="3436" xr:uid="{5FA35B25-C3E2-44D2-88BB-BA0FB8DC1F38}"/>
    <cellStyle name="Vírgula 2 4 4 2 4" xfId="2161" xr:uid="{1DAEB2C2-4CCE-428D-BBF5-95363CFB6A1A}"/>
    <cellStyle name="Vírgula 2 4 4 2 4 2" xfId="4227" xr:uid="{95DB0D54-6970-44BF-8CA9-91B014D4A282}"/>
    <cellStyle name="Vírgula 2 4 4 2 5" xfId="2619" xr:uid="{EA62A2EB-E09D-4F20-8816-F2118BA8FF56}"/>
    <cellStyle name="Vírgula 2 4 4 3" xfId="731" xr:uid="{7BC835DA-0058-4FE6-A188-F374E9923E26}"/>
    <cellStyle name="Vírgula 2 4 4 3 2" xfId="1560" xr:uid="{73985F83-403C-42DC-9485-6194608284C4}"/>
    <cellStyle name="Vírgula 2 4 4 3 2 2" xfId="3671" xr:uid="{990B28EA-485F-4734-8B27-A844E32F8B69}"/>
    <cellStyle name="Vírgula 2 4 4 3 3" xfId="2854" xr:uid="{9DFB855D-C504-4AFB-B5F9-62584723B952}"/>
    <cellStyle name="Vírgula 2 4 4 4" xfId="1133" xr:uid="{D7445D29-F259-4658-A2BA-41C9A9E8901B}"/>
    <cellStyle name="Vírgula 2 4 4 4 2" xfId="3244" xr:uid="{4CABF039-5EBB-427A-87F5-7E9DC07E49B4}"/>
    <cellStyle name="Vírgula 2 4 4 5" xfId="1947" xr:uid="{59286479-8410-453B-8BFF-D1691898A070}"/>
    <cellStyle name="Vírgula 2 4 4 5 2" xfId="4041" xr:uid="{7242DC1A-DA4C-4EFB-A94B-92050AC3EDDD}"/>
    <cellStyle name="Vírgula 2 4 4 6" xfId="2427" xr:uid="{F9498496-F4AD-4C06-9761-1EDFA01C0F48}"/>
    <cellStyle name="Vírgula 2 4 5" xfId="382" xr:uid="{81EA0558-6E9D-4198-A151-27ED2C71BFB9}"/>
    <cellStyle name="Vírgula 2 4 5 2" xfId="827" xr:uid="{E6B0D4BF-3885-43DC-8C8F-EF45F989029A}"/>
    <cellStyle name="Vírgula 2 4 5 2 2" xfId="1656" xr:uid="{EF9164B6-FBD6-428A-9573-08C797D889AB}"/>
    <cellStyle name="Vírgula 2 4 5 2 2 2" xfId="3767" xr:uid="{F75420DF-0C29-434A-819F-0B94FD2F6776}"/>
    <cellStyle name="Vírgula 2 4 5 2 3" xfId="2245" xr:uid="{3C7DB065-00A5-47DA-BE41-0C67B220DD6D}"/>
    <cellStyle name="Vírgula 2 4 5 2 3 2" xfId="4311" xr:uid="{EADA13A9-99A0-4374-8B79-BFED78509AC3}"/>
    <cellStyle name="Vírgula 2 4 5 2 4" xfId="2950" xr:uid="{12D31B03-4C98-459C-A691-6A632C710874}"/>
    <cellStyle name="Vírgula 2 4 5 3" xfId="1229" xr:uid="{1922ED44-DC7F-44D0-8BF2-64F8077DF921}"/>
    <cellStyle name="Vírgula 2 4 5 3 2" xfId="3340" xr:uid="{35B069AE-4E8A-4679-BC61-89C21384D248}"/>
    <cellStyle name="Vírgula 2 4 5 4" xfId="2038" xr:uid="{488CC123-D157-4B50-9D05-881A331A2F3A}"/>
    <cellStyle name="Vírgula 2 4 5 4 2" xfId="4125" xr:uid="{C63039A4-BBD6-4879-B30E-15F9C60E7A0E}"/>
    <cellStyle name="Vírgula 2 4 5 5" xfId="2523" xr:uid="{62AA328E-B4B6-4460-8F3C-B6EE6C4E4383}"/>
    <cellStyle name="Vírgula 2 4 6" xfId="633" xr:uid="{27B9E946-8518-4101-A2E6-7480D6F058CC}"/>
    <cellStyle name="Vírgula 2 4 6 2" xfId="1464" xr:uid="{0307726B-903C-4345-B4C9-938D42DCFCEE}"/>
    <cellStyle name="Vírgula 2 4 6 2 2" xfId="3575" xr:uid="{BE52EFAD-EF22-459C-A29C-FE565689CEB9}"/>
    <cellStyle name="Vírgula 2 4 6 3" xfId="2081" xr:uid="{64F6A461-DC83-43EA-94A1-F508F2E9513D}"/>
    <cellStyle name="Vírgula 2 4 6 3 2" xfId="4147" xr:uid="{A3DC38D6-8BD8-401F-87B7-30A1BCB0D3F6}"/>
    <cellStyle name="Vírgula 2 4 6 4" xfId="2758" xr:uid="{3DAA5CAC-4B4A-4107-91C0-4C7A2D80DD11}"/>
    <cellStyle name="Vírgula 2 4 7" xfId="582" xr:uid="{42D2A334-4FA8-4A64-AF53-282E9FBD5D71}"/>
    <cellStyle name="Vírgula 2 4 7 2" xfId="1429" xr:uid="{8D5E4E26-BA49-4577-87FF-3F0C10BD9479}"/>
    <cellStyle name="Vírgula 2 4 7 2 2" xfId="3540" xr:uid="{94363DA2-CB37-4F68-81F2-F239BFA4785B}"/>
    <cellStyle name="Vírgula 2 4 7 3" xfId="2723" xr:uid="{67321610-838E-4C80-8FC8-011760698B2E}"/>
    <cellStyle name="Vírgula 2 4 8" xfId="156" xr:uid="{39DDDAD1-B00C-4D60-B195-E78565DD96FC}"/>
    <cellStyle name="Vírgula 2 4 8 2" xfId="2333" xr:uid="{BF7D9CF4-14D3-4927-8C15-FB73677ED1B5}"/>
    <cellStyle name="Vírgula 2 4 9" xfId="1037" xr:uid="{D15A6697-5B9F-4D29-BEBE-C652E7FBC386}"/>
    <cellStyle name="Vírgula 2 4 9 2" xfId="3148" xr:uid="{6251A695-F66F-458B-B662-59519CCBCD6E}"/>
    <cellStyle name="Vírgula 2 5" xfId="67" xr:uid="{8C48345D-EAD1-40A9-9F96-9D9F8A43B184}"/>
    <cellStyle name="Vírgula 2 5 10" xfId="2287" xr:uid="{D37A28F4-CCB3-45A0-ADB8-A49D4E30B3B4}"/>
    <cellStyle name="Vírgula 2 5 2" xfId="109" xr:uid="{06A75982-72D5-4C88-9DED-AC4DA34ADE2D}"/>
    <cellStyle name="Vírgula 2 5 2 2" xfId="354" xr:uid="{A1552A23-8570-4366-A85C-7D4267B6FB8E}"/>
    <cellStyle name="Vírgula 2 5 2 2 2" xfId="546" xr:uid="{E899D5A3-A46C-46BA-9D7F-5B56544A20DA}"/>
    <cellStyle name="Vírgula 2 5 2 2 2 2" xfId="991" xr:uid="{3A388006-F23E-4572-8F4D-98C0474BEF48}"/>
    <cellStyle name="Vírgula 2 5 2 2 2 2 2" xfId="1820" xr:uid="{40DA99F1-7AD4-4864-A8E6-125D6B4DA37C}"/>
    <cellStyle name="Vírgula 2 5 2 2 2 2 2 2" xfId="3931" xr:uid="{8FC72541-448D-47A7-96F0-ACF218FB5A8E}"/>
    <cellStyle name="Vírgula 2 5 2 2 2 2 3" xfId="2212" xr:uid="{15CF5311-2C48-45F7-91C4-037CA44393FB}"/>
    <cellStyle name="Vírgula 2 5 2 2 2 2 3 2" xfId="4278" xr:uid="{E2D22D72-17DD-4783-9234-958848DA5729}"/>
    <cellStyle name="Vírgula 2 5 2 2 2 2 4" xfId="3114" xr:uid="{E6F95F80-404F-4C7B-9C35-4D6C6C231100}"/>
    <cellStyle name="Vírgula 2 5 2 2 2 3" xfId="1393" xr:uid="{2A64440E-BEC1-4857-B6BB-688BF171FFD0}"/>
    <cellStyle name="Vírgula 2 5 2 2 2 3 2" xfId="3504" xr:uid="{05FAFBBC-D9E1-48EF-9586-BFD326865E48}"/>
    <cellStyle name="Vírgula 2 5 2 2 2 4" xfId="1998" xr:uid="{134CF68C-CADC-4A4A-B8F7-54C9ED166AC5}"/>
    <cellStyle name="Vírgula 2 5 2 2 2 4 2" xfId="4092" xr:uid="{B6EAF1A2-0AB1-4B06-8B37-6F4E51C4794E}"/>
    <cellStyle name="Vírgula 2 5 2 2 2 5" xfId="2687" xr:uid="{07B1EB27-FA98-41B4-9CE8-88C142B27E98}"/>
    <cellStyle name="Vírgula 2 5 2 2 3" xfId="799" xr:uid="{399AE7C2-86A1-4662-A424-F86D9A35A40B}"/>
    <cellStyle name="Vírgula 2 5 2 2 3 2" xfId="1628" xr:uid="{A48F5544-3435-4CF0-8C9F-775F4434EF6D}"/>
    <cellStyle name="Vírgula 2 5 2 2 3 2 2" xfId="3739" xr:uid="{6866B12B-EF73-4034-A1EE-D4A770941AF4}"/>
    <cellStyle name="Vírgula 2 5 2 2 3 3" xfId="2132" xr:uid="{BA9E7AD2-A9CE-4A7E-9C78-33DFE4B83B29}"/>
    <cellStyle name="Vírgula 2 5 2 2 3 3 2" xfId="4198" xr:uid="{1C8A390C-DBF2-4E1E-B1A2-6AFD14352CE1}"/>
    <cellStyle name="Vírgula 2 5 2 2 3 4" xfId="2922" xr:uid="{40EEA9E7-D4B6-4C52-8FF2-3B67F00D324C}"/>
    <cellStyle name="Vírgula 2 5 2 2 4" xfId="1201" xr:uid="{B67366C2-8B60-470F-BB8D-DF06725E8D89}"/>
    <cellStyle name="Vírgula 2 5 2 2 4 2" xfId="3312" xr:uid="{E80C2B2E-79BC-4A32-8A56-553007444D15}"/>
    <cellStyle name="Vírgula 2 5 2 2 5" xfId="1913" xr:uid="{F6A2D186-F305-4528-BC23-A3C8D080383A}"/>
    <cellStyle name="Vírgula 2 5 2 2 5 2" xfId="4012" xr:uid="{60FD1284-66FF-4E57-BFE8-9A78BB965577}"/>
    <cellStyle name="Vírgula 2 5 2 2 6" xfId="2495" xr:uid="{069CB8F5-A9D6-4E3D-8EE2-815713569B0C}"/>
    <cellStyle name="Vírgula 2 5 2 3" xfId="450" xr:uid="{7728E859-2CA7-4C98-83C1-292275C535AA}"/>
    <cellStyle name="Vírgula 2 5 2 3 2" xfId="895" xr:uid="{FC9593B8-A1DA-46C6-8048-2288296BA6D2}"/>
    <cellStyle name="Vírgula 2 5 2 3 2 2" xfId="1724" xr:uid="{505DC757-6877-43F7-B240-4E62F5715367}"/>
    <cellStyle name="Vírgula 2 5 2 3 2 2 2" xfId="3835" xr:uid="{FEA6B7F0-0956-4E50-9915-7C8B02015E47}"/>
    <cellStyle name="Vírgula 2 5 2 3 2 3" xfId="2170" xr:uid="{4C86C262-7673-431F-AFF3-17A9C0C0DEB1}"/>
    <cellStyle name="Vírgula 2 5 2 3 2 3 2" xfId="4236" xr:uid="{6358A371-1B2F-430F-90E4-4AE5391CD3F2}"/>
    <cellStyle name="Vírgula 2 5 2 3 2 4" xfId="3018" xr:uid="{4DE7ADF5-0163-426F-B58A-6AEF3C359C20}"/>
    <cellStyle name="Vírgula 2 5 2 3 3" xfId="1297" xr:uid="{E8E96832-21B0-4DE4-83CE-860E134C23F0}"/>
    <cellStyle name="Vírgula 2 5 2 3 3 2" xfId="3408" xr:uid="{75BEA459-65C2-4A8A-9E18-769E217FC133}"/>
    <cellStyle name="Vírgula 2 5 2 3 4" xfId="1956" xr:uid="{2EAC6992-40A7-4AAA-A189-EE68E5A17FCA}"/>
    <cellStyle name="Vírgula 2 5 2 3 4 2" xfId="4050" xr:uid="{B56A10CF-C9F0-459E-88C4-2ED902BADEEF}"/>
    <cellStyle name="Vírgula 2 5 2 3 5" xfId="2591" xr:uid="{14331713-756F-4629-AEB4-75402766F70A}"/>
    <cellStyle name="Vírgula 2 5 2 4" xfId="703" xr:uid="{D17A2FDB-E32B-436D-8188-9B7C4DBE845D}"/>
    <cellStyle name="Vírgula 2 5 2 4 2" xfId="1532" xr:uid="{5C5A4F01-DB61-46FA-9B63-9FFD5DFE53E7}"/>
    <cellStyle name="Vírgula 2 5 2 4 2 2" xfId="3643" xr:uid="{F08261BF-9909-40BB-BF46-6232E3BA762F}"/>
    <cellStyle name="Vírgula 2 5 2 4 3" xfId="2090" xr:uid="{5BF53717-4306-4069-9BDD-79472E295D58}"/>
    <cellStyle name="Vírgula 2 5 2 4 3 2" xfId="4156" xr:uid="{C27498CE-C126-4795-9FC1-A87503272BA2}"/>
    <cellStyle name="Vírgula 2 5 2 4 4" xfId="2826" xr:uid="{C97DEC92-ED9D-4C81-971E-620197CCE650}"/>
    <cellStyle name="Vírgula 2 5 2 5" xfId="591" xr:uid="{8ABDB68E-EE76-4AEC-AC4E-226629A2189E}"/>
    <cellStyle name="Vírgula 2 5 2 5 2" xfId="1438" xr:uid="{187F11DB-4A19-4851-AC55-27023EEE48F9}"/>
    <cellStyle name="Vírgula 2 5 2 5 2 2" xfId="3549" xr:uid="{8A4C73F1-6081-4C7C-B84C-50B8F2EDD23D}"/>
    <cellStyle name="Vírgula 2 5 2 5 3" xfId="2732" xr:uid="{CFA85D97-FFD0-48BC-AAFB-650CC9F3DCD7}"/>
    <cellStyle name="Vírgula 2 5 2 6" xfId="247" xr:uid="{E94FCB50-BCC1-4FD2-964B-51AE98D08CC9}"/>
    <cellStyle name="Vírgula 2 5 2 6 2" xfId="2400" xr:uid="{A7E376CF-93CB-40E9-9906-FA6E7C6E4BAF}"/>
    <cellStyle name="Vírgula 2 5 2 7" xfId="1105" xr:uid="{CCC8665E-472E-4A71-BF20-00117441DF99}"/>
    <cellStyle name="Vírgula 2 5 2 7 2" xfId="3216" xr:uid="{4FAB5104-5470-40DC-9D0F-877C4C6D02A9}"/>
    <cellStyle name="Vírgula 2 5 2 8" xfId="1860" xr:uid="{A058CC88-FF88-460F-BB81-674074177DF9}"/>
    <cellStyle name="Vírgula 2 5 2 8 2" xfId="3970" xr:uid="{2E5246A4-660C-4859-8496-245F67035524}"/>
    <cellStyle name="Vírgula 2 5 2 9" xfId="2306" xr:uid="{D6A17527-0FD8-4130-AFB8-23CC133FC9AA}"/>
    <cellStyle name="Vírgula 2 5 3" xfId="305" xr:uid="{016715C2-244F-4765-B4BC-04FF102078AF}"/>
    <cellStyle name="Vírgula 2 5 3 2" xfId="498" xr:uid="{DB35D825-C89B-4AF9-A78A-93B6220365D3}"/>
    <cellStyle name="Vírgula 2 5 3 2 2" xfId="943" xr:uid="{AC0C34C4-9898-4D86-B333-EDB48822C7F4}"/>
    <cellStyle name="Vírgula 2 5 3 2 2 2" xfId="1772" xr:uid="{3CDD1028-ED1B-4AC6-A592-01B74D1CFDF3}"/>
    <cellStyle name="Vírgula 2 5 3 2 2 2 2" xfId="3883" xr:uid="{4705E4BD-4C4A-4790-9CE7-3A18D5273132}"/>
    <cellStyle name="Vírgula 2 5 3 2 2 3" xfId="2193" xr:uid="{E88BEA9D-ED8C-4857-A739-E6F643622F24}"/>
    <cellStyle name="Vírgula 2 5 3 2 2 3 2" xfId="4259" xr:uid="{00ABA5CA-B3D2-4321-88ED-0BEA69ADBAE9}"/>
    <cellStyle name="Vírgula 2 5 3 2 2 4" xfId="3066" xr:uid="{74A86931-C12D-4A9B-8DBD-F9EF00AA11D8}"/>
    <cellStyle name="Vírgula 2 5 3 2 3" xfId="1345" xr:uid="{9A17DABE-B675-4A77-B9DE-F90726D4E219}"/>
    <cellStyle name="Vírgula 2 5 3 2 3 2" xfId="3456" xr:uid="{D2800778-0452-49F7-B45B-3F82B80A5050}"/>
    <cellStyle name="Vírgula 2 5 3 2 4" xfId="1979" xr:uid="{616D98FD-DF85-4286-9042-CE215EA9CF09}"/>
    <cellStyle name="Vírgula 2 5 3 2 4 2" xfId="4073" xr:uid="{71242DCB-B552-480B-9C5C-5D2FD406FA9F}"/>
    <cellStyle name="Vírgula 2 5 3 2 5" xfId="2639" xr:uid="{B2CEAFF1-BD72-475F-A9DB-227D9689202C}"/>
    <cellStyle name="Vírgula 2 5 3 3" xfId="751" xr:uid="{5EECB465-4F04-4528-AF14-B8A58E64A7B8}"/>
    <cellStyle name="Vírgula 2 5 3 3 2" xfId="1580" xr:uid="{2324C65A-8052-412C-8D2F-01A99D5D0565}"/>
    <cellStyle name="Vírgula 2 5 3 3 2 2" xfId="3691" xr:uid="{349CE5C9-03AD-4176-961A-24B6686F4786}"/>
    <cellStyle name="Vírgula 2 5 3 3 3" xfId="2113" xr:uid="{E38705D0-8BA1-47F4-B4C8-0A5768AE907E}"/>
    <cellStyle name="Vírgula 2 5 3 3 3 2" xfId="4179" xr:uid="{959AE5B2-BD52-40A7-A0CA-FE339E728CD9}"/>
    <cellStyle name="Vírgula 2 5 3 3 4" xfId="2874" xr:uid="{73F26C7F-A898-4128-9195-934074FD34AA}"/>
    <cellStyle name="Vírgula 2 5 3 4" xfId="1153" xr:uid="{B2D2DCD7-7AA4-4623-BBD8-E75688D80A16}"/>
    <cellStyle name="Vírgula 2 5 3 4 2" xfId="3264" xr:uid="{7C2A3A8A-FBCA-425D-ABDB-33F3750E0235}"/>
    <cellStyle name="Vírgula 2 5 3 5" xfId="1891" xr:uid="{3E639556-8F4C-4983-BD25-8BC81B8659ED}"/>
    <cellStyle name="Vírgula 2 5 3 5 2" xfId="3993" xr:uid="{2CB15E3D-C458-40ED-A8CB-8526525447EA}"/>
    <cellStyle name="Vírgula 2 5 3 6" xfId="2447" xr:uid="{8C78227B-D88F-44EB-9A80-0BF130597731}"/>
    <cellStyle name="Vírgula 2 5 4" xfId="402" xr:uid="{F6564A3C-C06D-42A8-A79A-C72921FD69C3}"/>
    <cellStyle name="Vírgula 2 5 4 2" xfId="847" xr:uid="{DD6B0B64-75DC-4221-A324-EF504429541B}"/>
    <cellStyle name="Vírgula 2 5 4 2 2" xfId="1676" xr:uid="{047C8545-A136-49F3-A123-0CD10E241943}"/>
    <cellStyle name="Vírgula 2 5 4 2 2 2" xfId="3787" xr:uid="{4D338626-94EC-4FEA-B878-D99AE0077F2C}"/>
    <cellStyle name="Vírgula 2 5 4 2 3" xfId="2151" xr:uid="{DA92D3FE-7E93-41CB-9B0C-CBE15AC0AEA6}"/>
    <cellStyle name="Vírgula 2 5 4 2 3 2" xfId="4217" xr:uid="{A099CAE9-CD81-4C84-A284-3E82C222C124}"/>
    <cellStyle name="Vírgula 2 5 4 2 4" xfId="2970" xr:uid="{B92B0A48-DCA7-428C-AA8F-E911DA340C02}"/>
    <cellStyle name="Vírgula 2 5 4 3" xfId="1249" xr:uid="{BB3049BE-3A04-4D46-8F1B-DE14127C9159}"/>
    <cellStyle name="Vírgula 2 5 4 3 2" xfId="3360" xr:uid="{9F12C76D-5B5B-41BD-9AA7-A910194D6FE8}"/>
    <cellStyle name="Vírgula 2 5 4 4" xfId="1937" xr:uid="{05B689DE-FE94-489F-B837-7CEB4462FCDB}"/>
    <cellStyle name="Vírgula 2 5 4 4 2" xfId="4031" xr:uid="{6065258D-1612-4F90-A944-80ED3F2E124E}"/>
    <cellStyle name="Vírgula 2 5 4 5" xfId="2543" xr:uid="{66B4B3A9-DA64-4C3A-A0D1-53AC6229C209}"/>
    <cellStyle name="Vírgula 2 5 5" xfId="653" xr:uid="{D0388B51-1174-45D9-8AE9-BF51F448C9F6}"/>
    <cellStyle name="Vírgula 2 5 5 2" xfId="1484" xr:uid="{2EFD01C0-2C91-4E55-8E12-F35F45E4A080}"/>
    <cellStyle name="Vírgula 2 5 5 2 2" xfId="3595" xr:uid="{5CC8D257-47FA-4BFA-9267-495A90807073}"/>
    <cellStyle name="Vírgula 2 5 5 3" xfId="2071" xr:uid="{E555EB2F-B7D9-4600-83F6-78F87E2C3423}"/>
    <cellStyle name="Vírgula 2 5 5 3 2" xfId="4137" xr:uid="{40D805D9-8D9A-44AD-8D65-A32259DDBF97}"/>
    <cellStyle name="Vírgula 2 5 5 4" xfId="2778" xr:uid="{4306C778-1950-4779-8989-8BAF33842A58}"/>
    <cellStyle name="Vírgula 2 5 6" xfId="572" xr:uid="{643D6D38-ABB7-423D-B1C5-7C63E90B6650}"/>
    <cellStyle name="Vírgula 2 5 6 2" xfId="1419" xr:uid="{6372D675-571E-41CD-BDB1-E6FDB0EBC562}"/>
    <cellStyle name="Vírgula 2 5 6 2 2" xfId="3530" xr:uid="{5BA20777-97EB-4C4A-8114-8DA3A4AEBB0D}"/>
    <cellStyle name="Vírgula 2 5 6 3" xfId="2713" xr:uid="{405F1782-E948-4DEF-A017-DE352E566393}"/>
    <cellStyle name="Vírgula 2 5 7" xfId="182" xr:uid="{7303FB58-E2FB-49E8-B678-C0F6AF1396C5}"/>
    <cellStyle name="Vírgula 2 5 7 2" xfId="2352" xr:uid="{DC260584-1EBC-49A2-ACE0-C82C23BAA0B0}"/>
    <cellStyle name="Vírgula 2 5 8" xfId="1057" xr:uid="{DC828571-2A91-4A64-9544-69B8D8FA9D8C}"/>
    <cellStyle name="Vírgula 2 5 8 2" xfId="3168" xr:uid="{EF6CCF55-57A6-47E4-913F-0F758CB8C8E3}"/>
    <cellStyle name="Vírgula 2 5 9" xfId="1841" xr:uid="{5034A4CB-20F9-43C7-9C49-0E67BE656AE4}"/>
    <cellStyle name="Vírgula 2 5 9 2" xfId="3951" xr:uid="{B9250A92-8848-450F-BA65-5697799DC4CD}"/>
    <cellStyle name="Vírgula 2 6" xfId="101" xr:uid="{C56B85C9-B662-49AF-BA65-07C93C618D85}"/>
    <cellStyle name="Vírgula 2 6 2" xfId="121" xr:uid="{418FDBE8-042A-4887-BCD3-11F6B07A21C3}"/>
    <cellStyle name="Vírgula 2 6 2 2" xfId="558" xr:uid="{515EC752-506E-48FE-A4DB-C91EEF0D353F}"/>
    <cellStyle name="Vírgula 2 6 2 2 2" xfId="1003" xr:uid="{A20293AD-B344-4E4D-895C-772D8E1B7B12}"/>
    <cellStyle name="Vírgula 2 6 2 2 2 2" xfId="1832" xr:uid="{60682B16-9762-4D85-92BB-D4AF712E10E5}"/>
    <cellStyle name="Vírgula 2 6 2 2 2 2 2" xfId="2224" xr:uid="{86B1EC48-A1E2-4244-8E2D-85E8152B98F3}"/>
    <cellStyle name="Vírgula 2 6 2 2 2 2 2 2" xfId="4290" xr:uid="{AB411AF7-27FD-438B-869B-18611A21AC88}"/>
    <cellStyle name="Vírgula 2 6 2 2 2 2 3" xfId="3943" xr:uid="{B2DE6FB2-7624-4D3B-8467-1D4BB11AA950}"/>
    <cellStyle name="Vírgula 2 6 2 2 2 3" xfId="2010" xr:uid="{3A4AD054-3005-4603-B956-5DC29018B048}"/>
    <cellStyle name="Vírgula 2 6 2 2 2 3 2" xfId="4104" xr:uid="{3056D5F0-B546-496F-9DC0-1E09C7F382C4}"/>
    <cellStyle name="Vírgula 2 6 2 2 2 4" xfId="3126" xr:uid="{1A284C04-1BD6-40D4-88B1-355524793826}"/>
    <cellStyle name="Vírgula 2 6 2 2 3" xfId="1405" xr:uid="{3547DCFF-5648-4F34-AC66-77B0F7DAF203}"/>
    <cellStyle name="Vírgula 2 6 2 2 3 2" xfId="2144" xr:uid="{4D28B23B-7C14-4EA7-939B-4DF68D277905}"/>
    <cellStyle name="Vírgula 2 6 2 2 3 2 2" xfId="4210" xr:uid="{12BE42B5-A9F9-45F6-BF94-9A5FAAEC0184}"/>
    <cellStyle name="Vírgula 2 6 2 2 3 3" xfId="3516" xr:uid="{D7AFA4E9-BEDA-41FB-8B66-AA2DC9D7C470}"/>
    <cellStyle name="Vírgula 2 6 2 2 4" xfId="1925" xr:uid="{10F577D6-83D8-45F7-8E29-614541549D4D}"/>
    <cellStyle name="Vírgula 2 6 2 2 4 2" xfId="4024" xr:uid="{EB53E52A-F932-45C4-82DD-0E23B11DFAFD}"/>
    <cellStyle name="Vírgula 2 6 2 2 5" xfId="2699" xr:uid="{46860475-1E83-44BA-ACAA-CD827661671E}"/>
    <cellStyle name="Vírgula 2 6 2 3" xfId="811" xr:uid="{09DAEACB-8ECC-4995-A2EB-A81071062247}"/>
    <cellStyle name="Vírgula 2 6 2 3 2" xfId="1640" xr:uid="{85E72D2F-AA4D-4C3D-8091-0A3BFBBFBE36}"/>
    <cellStyle name="Vírgula 2 6 2 3 2 2" xfId="2182" xr:uid="{D8EBBC43-7B95-4080-98B5-167F9D84B239}"/>
    <cellStyle name="Vírgula 2 6 2 3 2 2 2" xfId="4248" xr:uid="{B1D8428F-7257-472B-8B4C-6AE0B9571223}"/>
    <cellStyle name="Vírgula 2 6 2 3 2 3" xfId="3751" xr:uid="{1B4EE41A-7ADD-4582-BC4E-D0D0AFF40688}"/>
    <cellStyle name="Vírgula 2 6 2 3 3" xfId="1968" xr:uid="{BB151892-1944-4C0B-A4F0-B5221C4C3612}"/>
    <cellStyle name="Vírgula 2 6 2 3 3 2" xfId="4062" xr:uid="{0B4AAE43-0CEE-4DA2-AC9E-A1AD178EA5EA}"/>
    <cellStyle name="Vírgula 2 6 2 3 4" xfId="2934" xr:uid="{CBBA48D4-F83F-4723-AED9-7BDA31360220}"/>
    <cellStyle name="Vírgula 2 6 2 4" xfId="603" xr:uid="{929E004B-618B-4FE5-8BA7-F3438DDF94D6}"/>
    <cellStyle name="Vírgula 2 6 2 4 2" xfId="1450" xr:uid="{1D94BA2A-CE1D-490D-AE0F-3647A944C97C}"/>
    <cellStyle name="Vírgula 2 6 2 4 2 2" xfId="3561" xr:uid="{5F2C173C-03DD-42C7-B9D7-2E5F6649EFD7}"/>
    <cellStyle name="Vírgula 2 6 2 4 3" xfId="2102" xr:uid="{70CD35D0-4E9F-4A1D-8463-F6A908832456}"/>
    <cellStyle name="Vírgula 2 6 2 4 3 2" xfId="4168" xr:uid="{8F58C620-DCAA-4A66-8418-7E21F6723DEB}"/>
    <cellStyle name="Vírgula 2 6 2 4 4" xfId="2744" xr:uid="{BADD47A0-CD15-471A-B22B-AA747F5BCAA9}"/>
    <cellStyle name="Vírgula 2 6 2 5" xfId="366" xr:uid="{33893B58-45D7-44CB-836C-5E226A082C0F}"/>
    <cellStyle name="Vírgula 2 6 2 5 2" xfId="2507" xr:uid="{EE26AB33-6D01-4DD6-B4AD-C7334908D2E3}"/>
    <cellStyle name="Vírgula 2 6 2 6" xfId="1213" xr:uid="{D950BB0A-C138-42CB-823E-16EA37772F70}"/>
    <cellStyle name="Vírgula 2 6 2 6 2" xfId="3324" xr:uid="{B02AEC42-182C-4567-8293-B6004F396D4C}"/>
    <cellStyle name="Vírgula 2 6 2 7" xfId="1872" xr:uid="{D743DADE-59FC-4F57-B40B-703F34B6591C}"/>
    <cellStyle name="Vírgula 2 6 2 7 2" xfId="3982" xr:uid="{4CDCAD81-9B97-4434-A8E6-483681BCE02D}"/>
    <cellStyle name="Vírgula 2 6 2 8" xfId="2318" xr:uid="{07428E51-66D8-4374-9E05-2D3E87F540C8}"/>
    <cellStyle name="Vírgula 2 6 3" xfId="462" xr:uid="{CD55DB76-0775-470B-BD95-9279BBFC141D}"/>
    <cellStyle name="Vírgula 2 6 3 2" xfId="907" xr:uid="{612354EA-381B-4223-BDC8-07D369C0DAA7}"/>
    <cellStyle name="Vírgula 2 6 3 2 2" xfId="1736" xr:uid="{C8894AF6-A1BF-40D3-896A-A9D2F066A69A}"/>
    <cellStyle name="Vírgula 2 6 3 2 2 2" xfId="2205" xr:uid="{D19291BB-E7E4-4A2B-9634-9268EE2F32B2}"/>
    <cellStyle name="Vírgula 2 6 3 2 2 2 2" xfId="4271" xr:uid="{7BA56DD6-892F-44B1-B052-8174382C26D0}"/>
    <cellStyle name="Vírgula 2 6 3 2 2 3" xfId="3847" xr:uid="{84ACC215-70DA-422C-9FCB-D4A40261908A}"/>
    <cellStyle name="Vírgula 2 6 3 2 3" xfId="1991" xr:uid="{4BD2D4B2-283E-41C9-81FF-0B3326875C39}"/>
    <cellStyle name="Vírgula 2 6 3 2 3 2" xfId="4085" xr:uid="{E501CD0A-6E8A-4E2A-8CD9-143BA381AD65}"/>
    <cellStyle name="Vírgula 2 6 3 2 4" xfId="3030" xr:uid="{EEBA7B9E-F40F-4F92-9722-A062DA0F9797}"/>
    <cellStyle name="Vírgula 2 6 3 3" xfId="1309" xr:uid="{77794C9F-0C00-4B1E-9AB2-FC22348B6564}"/>
    <cellStyle name="Vírgula 2 6 3 3 2" xfId="2125" xr:uid="{2A620615-378D-4115-96EB-3D3C8C08FE84}"/>
    <cellStyle name="Vírgula 2 6 3 3 2 2" xfId="4191" xr:uid="{6FF636E8-B6D2-4170-9136-4E5AACE37550}"/>
    <cellStyle name="Vírgula 2 6 3 3 3" xfId="3420" xr:uid="{D6E92FC5-51CD-42E2-BA6D-2BAC54E2E952}"/>
    <cellStyle name="Vírgula 2 6 3 4" xfId="1906" xr:uid="{8F2152F3-83CB-439F-B9DB-C7F75ACD11A4}"/>
    <cellStyle name="Vírgula 2 6 3 4 2" xfId="4005" xr:uid="{1FF4F50F-5DC7-4F35-B47B-81E47AE9CFE8}"/>
    <cellStyle name="Vírgula 2 6 3 5" xfId="2603" xr:uid="{33E073DE-C127-4A74-A7D7-FE4EDF3D4869}"/>
    <cellStyle name="Vírgula 2 6 4" xfId="715" xr:uid="{5A2D75DA-7F2F-4C2C-95BC-54BD0BBA4B7B}"/>
    <cellStyle name="Vírgula 2 6 4 2" xfId="1544" xr:uid="{E905BDD5-08AC-47C9-8373-546C0EFF8596}"/>
    <cellStyle name="Vírgula 2 6 4 2 2" xfId="2163" xr:uid="{F6949D9F-C7A5-4CF7-B805-B4F6E0081859}"/>
    <cellStyle name="Vírgula 2 6 4 2 2 2" xfId="4229" xr:uid="{CBB80E74-144D-4C69-940C-64C0F8D6665F}"/>
    <cellStyle name="Vírgula 2 6 4 2 3" xfId="3655" xr:uid="{ADA5C657-BA2F-404C-9540-AE7CB6545DDE}"/>
    <cellStyle name="Vírgula 2 6 4 3" xfId="1949" xr:uid="{E2DFB99C-E1DD-4137-BFCD-7CDDC4C058C8}"/>
    <cellStyle name="Vírgula 2 6 4 3 2" xfId="4043" xr:uid="{BAA4A41E-062B-4BD8-BAE0-456A84FA6D40}"/>
    <cellStyle name="Vírgula 2 6 4 4" xfId="2838" xr:uid="{5855F8C2-9238-4D4F-B750-F871F20B58AD}"/>
    <cellStyle name="Vírgula 2 6 5" xfId="584" xr:uid="{A6E2237C-E3AC-4E91-9AB7-5019DB2D7A4C}"/>
    <cellStyle name="Vírgula 2 6 5 2" xfId="1431" xr:uid="{5B944E78-1448-422C-91B5-F67F7A906357}"/>
    <cellStyle name="Vírgula 2 6 5 2 2" xfId="3542" xr:uid="{AC824D3C-3FC5-47AE-A871-D40D5F5DFC04}"/>
    <cellStyle name="Vírgula 2 6 5 3" xfId="2083" xr:uid="{C755CE34-A317-46C6-8C80-D050B74B722E}"/>
    <cellStyle name="Vírgula 2 6 5 3 2" xfId="4149" xr:uid="{4A0297F6-92B9-4E65-A70B-CEEBACE7EE44}"/>
    <cellStyle name="Vírgula 2 6 5 4" xfId="2725" xr:uid="{AFEF252F-9299-4147-8A0D-30AFA45BE736}"/>
    <cellStyle name="Vírgula 2 6 6" xfId="266" xr:uid="{A53DF0F6-EFD7-496D-A64E-A48B49BC9039}"/>
    <cellStyle name="Vírgula 2 6 6 2" xfId="2412" xr:uid="{AA4FB2B0-4A5F-4338-A11F-23414D2DA9B2}"/>
    <cellStyle name="Vírgula 2 6 7" xfId="1117" xr:uid="{651019B2-A8A2-428F-8B65-68B8593A1DA1}"/>
    <cellStyle name="Vírgula 2 6 7 2" xfId="3228" xr:uid="{1B6770F6-3153-43B8-A87E-F8E4C3EBCE6D}"/>
    <cellStyle name="Vírgula 2 6 8" xfId="1853" xr:uid="{D45FF794-51EC-44E8-AB74-4706B6EC92DD}"/>
    <cellStyle name="Vírgula 2 6 8 2" xfId="3963" xr:uid="{3BD2FD26-9863-4D67-AED5-797D4BB4FD75}"/>
    <cellStyle name="Vírgula 2 6 9" xfId="2299" xr:uid="{5F8B6600-E942-421D-80C3-A19B0DA7CA52}"/>
    <cellStyle name="Vírgula 2 7" xfId="104" xr:uid="{97653FAB-0362-40B3-A91D-F69DC1E0A363}"/>
    <cellStyle name="Vírgula 2 7 2" xfId="347" xr:uid="{A90DA968-EAFF-400D-9286-F2F79C0A3FF3}"/>
    <cellStyle name="Vírgula 2 7 2 2" xfId="539" xr:uid="{69F30624-ECD2-4A98-B9E6-B15BB6656D66}"/>
    <cellStyle name="Vírgula 2 7 2 2 2" xfId="984" xr:uid="{E2B81165-4A90-4C58-80C4-9D8BF17FB105}"/>
    <cellStyle name="Vírgula 2 7 2 2 2 2" xfId="1813" xr:uid="{1C81BE9B-E3AD-4E3E-8F98-32E7276A46DF}"/>
    <cellStyle name="Vírgula 2 7 2 2 2 2 2" xfId="3924" xr:uid="{D46855DE-3CE4-4B54-BF0C-C0DD106C2B89}"/>
    <cellStyle name="Vírgula 2 7 2 2 2 3" xfId="2207" xr:uid="{3B0925A4-DD94-4586-8BF3-AEE5620FDF89}"/>
    <cellStyle name="Vírgula 2 7 2 2 2 3 2" xfId="4273" xr:uid="{7CD1DBF8-BEAD-4EDA-822E-E7A5CBA52E8C}"/>
    <cellStyle name="Vírgula 2 7 2 2 2 4" xfId="3107" xr:uid="{F849D3FB-0F20-4F80-891F-86CED827EED5}"/>
    <cellStyle name="Vírgula 2 7 2 2 3" xfId="1386" xr:uid="{EA089EC1-BA54-4AAD-84EF-1718464F681E}"/>
    <cellStyle name="Vírgula 2 7 2 2 3 2" xfId="3497" xr:uid="{755CA6EC-ABA8-4872-9ED9-45547C745ABD}"/>
    <cellStyle name="Vírgula 2 7 2 2 4" xfId="1993" xr:uid="{E2C1015B-AA1F-4E9E-B254-952D0E26B2F8}"/>
    <cellStyle name="Vírgula 2 7 2 2 4 2" xfId="4087" xr:uid="{D6841052-716E-44C8-953F-F927CB89978C}"/>
    <cellStyle name="Vírgula 2 7 2 2 5" xfId="2680" xr:uid="{720D6F9B-84FE-4475-9CD8-B1898C388771}"/>
    <cellStyle name="Vírgula 2 7 2 3" xfId="792" xr:uid="{460291E9-3CCB-4ED2-B3D0-50C89DD496E3}"/>
    <cellStyle name="Vírgula 2 7 2 3 2" xfId="1621" xr:uid="{B0D32F7A-6586-4CCE-B9DC-0EDA6EB8A391}"/>
    <cellStyle name="Vírgula 2 7 2 3 2 2" xfId="3732" xr:uid="{6D7809AA-A7ED-410E-8C6F-1AF4E09DEFF1}"/>
    <cellStyle name="Vírgula 2 7 2 3 3" xfId="2127" xr:uid="{5CCD08D6-7785-4872-A3E0-728084AC7533}"/>
    <cellStyle name="Vírgula 2 7 2 3 3 2" xfId="4193" xr:uid="{96616D99-C9BB-49F4-B186-CE9C89DE4B33}"/>
    <cellStyle name="Vírgula 2 7 2 3 4" xfId="2915" xr:uid="{F71EF1F4-1F8D-4DAD-93A3-6FF4C106B8C7}"/>
    <cellStyle name="Vírgula 2 7 2 4" xfId="1194" xr:uid="{EDA9B4B6-1CB1-4314-9E92-F6227F5D1217}"/>
    <cellStyle name="Vírgula 2 7 2 4 2" xfId="3305" xr:uid="{8E4E498F-9778-427C-A300-1A099C237BF1}"/>
    <cellStyle name="Vírgula 2 7 2 5" xfId="1908" xr:uid="{302B6120-A382-4F2F-94A4-C13DDF350049}"/>
    <cellStyle name="Vírgula 2 7 2 5 2" xfId="4007" xr:uid="{07E1082E-1441-4E41-89A2-E4BFAD90F085}"/>
    <cellStyle name="Vírgula 2 7 2 6" xfId="2488" xr:uid="{FC4C2DE7-B438-41E7-8DE0-4D6AE2BD699C}"/>
    <cellStyle name="Vírgula 2 7 3" xfId="443" xr:uid="{95555FB1-8AE8-4081-BC69-0D1B8B9B87A9}"/>
    <cellStyle name="Vírgula 2 7 3 2" xfId="888" xr:uid="{DBCB9FD3-3439-4628-9CFC-EF3F4871B8E2}"/>
    <cellStyle name="Vírgula 2 7 3 2 2" xfId="1717" xr:uid="{CA4142F9-66DA-434A-9C92-E732ED9774BC}"/>
    <cellStyle name="Vírgula 2 7 3 2 2 2" xfId="3828" xr:uid="{2DB4C263-6070-42FC-AAC7-DCE76BB8E6C2}"/>
    <cellStyle name="Vírgula 2 7 3 2 3" xfId="2165" xr:uid="{4675E423-6F91-4178-8E96-50AE548A4605}"/>
    <cellStyle name="Vírgula 2 7 3 2 3 2" xfId="4231" xr:uid="{55FC12FF-AC10-4890-B6FF-B088143DB9DE}"/>
    <cellStyle name="Vírgula 2 7 3 2 4" xfId="3011" xr:uid="{2332E3B7-E2AA-4ED2-AE8B-7E0D530DF793}"/>
    <cellStyle name="Vírgula 2 7 3 3" xfId="1290" xr:uid="{98CF9C51-F253-494C-93B5-E2E53A6250DA}"/>
    <cellStyle name="Vírgula 2 7 3 3 2" xfId="3401" xr:uid="{43575225-0D89-4924-933D-D9920CB78360}"/>
    <cellStyle name="Vírgula 2 7 3 4" xfId="1951" xr:uid="{AAB603E8-75A8-4E4E-98C6-A02177B20340}"/>
    <cellStyle name="Vírgula 2 7 3 4 2" xfId="4045" xr:uid="{75D35056-BB30-480B-9A21-0BAEA794F91D}"/>
    <cellStyle name="Vírgula 2 7 3 5" xfId="2584" xr:uid="{919402C3-632B-4DDC-A5B6-015B443CC1E9}"/>
    <cellStyle name="Vírgula 2 7 4" xfId="696" xr:uid="{123E2475-6BA1-42D8-841F-F6BF0B1569AE}"/>
    <cellStyle name="Vírgula 2 7 4 2" xfId="1525" xr:uid="{5D46B74E-C3C3-458A-864F-7EDA9D3A4E8A}"/>
    <cellStyle name="Vírgula 2 7 4 2 2" xfId="3636" xr:uid="{E5CA5ADC-ED6E-425B-A85C-CAE51DA0BE1D}"/>
    <cellStyle name="Vírgula 2 7 4 3" xfId="2085" xr:uid="{225CAD13-B9F8-49CC-8A75-7F9849B2959D}"/>
    <cellStyle name="Vírgula 2 7 4 3 2" xfId="4151" xr:uid="{94419559-DA9F-496B-81AE-B91A29471AB4}"/>
    <cellStyle name="Vírgula 2 7 4 4" xfId="2819" xr:uid="{8D0C320B-432F-4B49-AF72-C8DE1B52AE17}"/>
    <cellStyle name="Vírgula 2 7 5" xfId="586" xr:uid="{6C11A160-712C-4138-9DAB-B43E342FCB82}"/>
    <cellStyle name="Vírgula 2 7 5 2" xfId="1433" xr:uid="{60618A50-5203-4302-B980-00FAEC508EA4}"/>
    <cellStyle name="Vírgula 2 7 5 2 2" xfId="3544" xr:uid="{6B31B477-7C21-4565-96FC-F30631F81F11}"/>
    <cellStyle name="Vírgula 2 7 5 3" xfId="2727" xr:uid="{CDFD9437-0FEB-4C98-BD51-29F230D42057}"/>
    <cellStyle name="Vírgula 2 7 6" xfId="230" xr:uid="{B302D921-FC0C-4933-939C-4408A5F6661B}"/>
    <cellStyle name="Vírgula 2 7 6 2" xfId="2393" xr:uid="{B286FD45-48C8-4A4C-918E-8D894E9B616F}"/>
    <cellStyle name="Vírgula 2 7 7" xfId="1098" xr:uid="{255E8871-57FA-4018-AD0E-477B72119F2C}"/>
    <cellStyle name="Vírgula 2 7 7 2" xfId="3209" xr:uid="{15E141F1-D203-4CC2-943D-D72DA30B33DC}"/>
    <cellStyle name="Vírgula 2 7 8" xfId="1855" xr:uid="{C47535F8-CC31-4996-84E7-F6AFA6B4CA91}"/>
    <cellStyle name="Vírgula 2 7 8 2" xfId="3965" xr:uid="{3BADDFE2-19D1-4A54-A793-D1D42400A09D}"/>
    <cellStyle name="Vírgula 2 7 9" xfId="2301" xr:uid="{E1C0AD67-F04E-4787-8C28-A7BC9B6FB533}"/>
    <cellStyle name="Vírgula 2 8" xfId="565" xr:uid="{AB39D96D-3D09-4066-938C-0FEA5F86351E}"/>
    <cellStyle name="Vírgula 2 8 2" xfId="1412" xr:uid="{C46974B8-456A-4289-AB69-F3304C8894F7}"/>
    <cellStyle name="Vírgula 2 8 2 2" xfId="2186" xr:uid="{BF0E4FC7-5F25-49D8-B45B-1DDBB6640AB3}"/>
    <cellStyle name="Vírgula 2 8 2 2 2" xfId="4252" xr:uid="{4B6AF46E-250E-4490-8277-A5ACE96330DA}"/>
    <cellStyle name="Vírgula 2 8 2 3" xfId="1972" xr:uid="{4C12A00B-2B0E-46D7-8A53-3BE3D951A115}"/>
    <cellStyle name="Vírgula 2 8 2 3 2" xfId="4066" xr:uid="{BE013839-B92A-4766-828C-E582F2DDA0A0}"/>
    <cellStyle name="Vírgula 2 8 2 4" xfId="3523" xr:uid="{88760596-A0BE-46C0-B1BE-BBAD33F9860B}"/>
    <cellStyle name="Vírgula 2 8 3" xfId="2106" xr:uid="{40288D62-3CB6-4270-9173-033F1E68ED85}"/>
    <cellStyle name="Vírgula 2 8 3 2" xfId="4172" xr:uid="{41CDE6A1-241B-4A9B-9AEB-9EE7D50F6D8E}"/>
    <cellStyle name="Vírgula 2 8 4" xfId="1884" xr:uid="{A70477F5-46C1-4CB0-9349-EAAADFF730D0}"/>
    <cellStyle name="Vírgula 2 8 4 2" xfId="3986" xr:uid="{78CC3928-9A58-4B51-B938-D409F0612A16}"/>
    <cellStyle name="Vírgula 2 8 5" xfId="2706" xr:uid="{BBFAE6EC-ED96-4FBB-9EA5-38D42E344522}"/>
    <cellStyle name="Vírgula 2 9" xfId="1934" xr:uid="{FF7E1E1A-E8A0-4ED6-B31B-2A7FF9969677}"/>
    <cellStyle name="Vírgula 2 9 2" xfId="2148" xr:uid="{894B3936-CDF0-4541-A647-85A2405A0420}"/>
    <cellStyle name="Vírgula 2 9 2 2" xfId="4214" xr:uid="{8F66A816-D096-4CDE-BFB7-00C33C799432}"/>
    <cellStyle name="Vírgula 2 9 3" xfId="4028" xr:uid="{C3CED040-EE93-4CD2-9096-761A292A9F38}"/>
    <cellStyle name="Vírgula 3" xfId="54" xr:uid="{E591851F-A1B2-4525-B73F-0EEB637CAD97}"/>
    <cellStyle name="Vírgula 3 10" xfId="566" xr:uid="{593D1564-E628-46D2-B1B0-C7632BC7D4FA}"/>
    <cellStyle name="Vírgula 3 10 2" xfId="1413" xr:uid="{6857D95A-2F5D-48B2-9FAD-192AFE61D0F9}"/>
    <cellStyle name="Vírgula 3 10 2 2" xfId="3524" xr:uid="{0072FCE6-5D58-42BE-AAC5-0A40FBB15ECF}"/>
    <cellStyle name="Vírgula 3 10 3" xfId="2707" xr:uid="{C377ABEB-8DBD-422A-98A7-F285E515E771}"/>
    <cellStyle name="Vírgula 3 11" xfId="139" xr:uid="{6D72DE69-0221-4934-8AAF-97FEC9D715F8}"/>
    <cellStyle name="Vírgula 3 11 2" xfId="2325" xr:uid="{3BAFA931-2EDC-4EA9-9EFE-3EE83DF05609}"/>
    <cellStyle name="Vírgula 3 12" xfId="1029" xr:uid="{F8F5DF0F-FCBD-43C2-B7FC-E8BA7266CA2C}"/>
    <cellStyle name="Vírgula 3 12 2" xfId="3140" xr:uid="{CF82B8AE-9297-43F4-8C96-3ED5DCE5DC30}"/>
    <cellStyle name="Vírgula 3 13" xfId="2272" xr:uid="{BB4AF466-CF7D-4179-BB0A-BA81EC604309}"/>
    <cellStyle name="Vírgula 3 14" xfId="2282" xr:uid="{DD4F41DB-DD4B-453A-8C60-C962FCB6818A}"/>
    <cellStyle name="Vírgula 3 2" xfId="57" xr:uid="{C3412E72-CE43-4D51-AFED-8F9D87D94F35}"/>
    <cellStyle name="Vírgula 3 2 10" xfId="2273" xr:uid="{A1C73DD7-E47C-4DAF-8B73-0B5A5127B97B}"/>
    <cellStyle name="Vírgula 3 2 11" xfId="2283" xr:uid="{716E98D8-EE54-4CA8-8ADC-D37E2D370DE7}"/>
    <cellStyle name="Vírgula 3 2 2" xfId="87" xr:uid="{99435BD6-BD73-4651-83D9-FE74A46E6596}"/>
    <cellStyle name="Vírgula 3 2 2 10" xfId="2292" xr:uid="{FA2E3209-70BD-4D5F-952A-5FDC1FA51AC2}"/>
    <cellStyle name="Vírgula 3 2 2 2" xfId="114" xr:uid="{84CBADB7-7722-448D-B215-2196546E418E}"/>
    <cellStyle name="Vírgula 3 2 2 2 2" xfId="359" xr:uid="{1E0D08A1-1979-4D65-B17A-60F304E62E5B}"/>
    <cellStyle name="Vírgula 3 2 2 2 2 2" xfId="551" xr:uid="{1D5B2274-5D98-4F1C-895E-0AE8CE09D2BD}"/>
    <cellStyle name="Vírgula 3 2 2 2 2 2 2" xfId="996" xr:uid="{51F5C13B-8BBB-4CD5-8AFD-8BECE7FB4DF1}"/>
    <cellStyle name="Vírgula 3 2 2 2 2 2 2 2" xfId="1825" xr:uid="{52CFE9BE-C818-4D52-BCC4-7C8AB8A17CB2}"/>
    <cellStyle name="Vírgula 3 2 2 2 2 2 2 2 2" xfId="3936" xr:uid="{D610BD67-6FDC-4620-BECF-803C22E3B3E6}"/>
    <cellStyle name="Vírgula 3 2 2 2 2 2 2 3" xfId="2217" xr:uid="{CE1A036B-33AF-4202-8BCA-6B2AD13C26E3}"/>
    <cellStyle name="Vírgula 3 2 2 2 2 2 2 3 2" xfId="4283" xr:uid="{4F587712-E6BE-4509-9136-917D9D346B54}"/>
    <cellStyle name="Vírgula 3 2 2 2 2 2 2 4" xfId="3119" xr:uid="{E518C22F-1A4E-4856-8355-653BB1B603AC}"/>
    <cellStyle name="Vírgula 3 2 2 2 2 2 3" xfId="1398" xr:uid="{731C1FD2-2D48-4C19-99B0-DD7F8C3ADA96}"/>
    <cellStyle name="Vírgula 3 2 2 2 2 2 3 2" xfId="3509" xr:uid="{4113A79F-3E05-462C-A17A-13D880C37DF7}"/>
    <cellStyle name="Vírgula 3 2 2 2 2 2 4" xfId="2003" xr:uid="{DCE02FDE-7D73-4A0A-812E-32098DAC7564}"/>
    <cellStyle name="Vírgula 3 2 2 2 2 2 4 2" xfId="4097" xr:uid="{3707E81B-70AA-4894-A477-0257CBE2D683}"/>
    <cellStyle name="Vírgula 3 2 2 2 2 2 5" xfId="2692" xr:uid="{FC5AD958-1182-40D3-870A-2980FD961551}"/>
    <cellStyle name="Vírgula 3 2 2 2 2 3" xfId="804" xr:uid="{1CFB1F64-1480-47CB-90C5-580A7E6373DC}"/>
    <cellStyle name="Vírgula 3 2 2 2 2 3 2" xfId="1633" xr:uid="{323A4054-6067-4902-829B-D2CBF7875979}"/>
    <cellStyle name="Vírgula 3 2 2 2 2 3 2 2" xfId="3744" xr:uid="{DF0A4F1E-5C85-45BD-85CC-B37FE2FB8C3A}"/>
    <cellStyle name="Vírgula 3 2 2 2 2 3 3" xfId="2137" xr:uid="{5C6F2645-D18E-406A-B25A-0323568768D8}"/>
    <cellStyle name="Vírgula 3 2 2 2 2 3 3 2" xfId="4203" xr:uid="{B2B7FC31-10EB-4183-BB77-17683841721D}"/>
    <cellStyle name="Vírgula 3 2 2 2 2 3 4" xfId="2927" xr:uid="{1EDEEDCE-9839-414A-9CC8-FDED5EDB6149}"/>
    <cellStyle name="Vírgula 3 2 2 2 2 4" xfId="1206" xr:uid="{8258977F-D430-4BE0-9DDD-36793A4BAA5E}"/>
    <cellStyle name="Vírgula 3 2 2 2 2 4 2" xfId="3317" xr:uid="{24DAF5B2-1B2F-48FA-85EA-DC1434C4B872}"/>
    <cellStyle name="Vírgula 3 2 2 2 2 5" xfId="1918" xr:uid="{E27406AD-65CD-43C0-B826-6777AC8E8CA5}"/>
    <cellStyle name="Vírgula 3 2 2 2 2 5 2" xfId="4017" xr:uid="{F2058B45-28E5-4F70-952F-0106D4E001F0}"/>
    <cellStyle name="Vírgula 3 2 2 2 2 6" xfId="2500" xr:uid="{F7A13BC4-212A-4CBC-9DC9-FAD493F26D62}"/>
    <cellStyle name="Vírgula 3 2 2 2 3" xfId="455" xr:uid="{6B9702C1-0592-4926-A03B-22152A2188AF}"/>
    <cellStyle name="Vírgula 3 2 2 2 3 2" xfId="900" xr:uid="{C1869D3B-05DC-4021-8DFA-9770ABBFA94B}"/>
    <cellStyle name="Vírgula 3 2 2 2 3 2 2" xfId="1729" xr:uid="{5B32AD77-45CF-48A0-B89D-ECEA2F08BE62}"/>
    <cellStyle name="Vírgula 3 2 2 2 3 2 2 2" xfId="3840" xr:uid="{D53659B0-A077-4A0D-8738-BE3C6825F8D7}"/>
    <cellStyle name="Vírgula 3 2 2 2 3 2 3" xfId="2175" xr:uid="{729F8D8D-CEA1-4F99-8D2C-AAAC80CA12A2}"/>
    <cellStyle name="Vírgula 3 2 2 2 3 2 3 2" xfId="4241" xr:uid="{10519DD7-D64E-4A02-85E9-C717C66E23D7}"/>
    <cellStyle name="Vírgula 3 2 2 2 3 2 4" xfId="3023" xr:uid="{E572633E-7A34-411B-BCF3-10B67091AB99}"/>
    <cellStyle name="Vírgula 3 2 2 2 3 3" xfId="1302" xr:uid="{3217A586-DBDB-4F78-9EE7-9E331CBD51E8}"/>
    <cellStyle name="Vírgula 3 2 2 2 3 3 2" xfId="3413" xr:uid="{740DE6F8-1C91-4F86-81D5-BEE040754BC4}"/>
    <cellStyle name="Vírgula 3 2 2 2 3 4" xfId="1961" xr:uid="{3E310BFC-33D5-4FF5-A6D1-B4F92D4C4FAE}"/>
    <cellStyle name="Vírgula 3 2 2 2 3 4 2" xfId="4055" xr:uid="{6B39B9C5-D65E-44FE-A689-814D46EA698B}"/>
    <cellStyle name="Vírgula 3 2 2 2 3 5" xfId="2596" xr:uid="{B91E6778-17B2-41BC-BC4B-4DD5168DE5E2}"/>
    <cellStyle name="Vírgula 3 2 2 2 4" xfId="708" xr:uid="{0D647F7C-8113-406F-B440-0B70FEDA4DD2}"/>
    <cellStyle name="Vírgula 3 2 2 2 4 2" xfId="1537" xr:uid="{73303309-19C1-401F-8B92-CA02B3AA69EB}"/>
    <cellStyle name="Vírgula 3 2 2 2 4 2 2" xfId="3648" xr:uid="{9B5B3E55-C9D6-4214-96C3-2F7330F77354}"/>
    <cellStyle name="Vírgula 3 2 2 2 4 3" xfId="2095" xr:uid="{64EDC570-D011-4F61-9061-CC907052935A}"/>
    <cellStyle name="Vírgula 3 2 2 2 4 3 2" xfId="4161" xr:uid="{55C71F8C-3C3C-4A6A-8938-E99E15687F9D}"/>
    <cellStyle name="Vírgula 3 2 2 2 4 4" xfId="2831" xr:uid="{3CCD54E4-ED83-4D28-A078-8EF6F7849BD6}"/>
    <cellStyle name="Vírgula 3 2 2 2 5" xfId="596" xr:uid="{E497B189-AD3B-49A2-87C3-2D34A6024029}"/>
    <cellStyle name="Vírgula 3 2 2 2 5 2" xfId="1443" xr:uid="{27434D48-CFA2-428A-88E7-D47006A27B11}"/>
    <cellStyle name="Vírgula 3 2 2 2 5 2 2" xfId="3554" xr:uid="{9FA12C3F-6967-4D45-93F4-FD571FF2E201}"/>
    <cellStyle name="Vírgula 3 2 2 2 5 3" xfId="2737" xr:uid="{72A90F69-B4A2-4E8F-B728-B0AE172F2D25}"/>
    <cellStyle name="Vírgula 3 2 2 2 6" xfId="253" xr:uid="{C01C729D-1FD1-46AB-9883-C6A224FE217F}"/>
    <cellStyle name="Vírgula 3 2 2 2 6 2" xfId="2405" xr:uid="{55F128D9-0CD0-45DA-84E9-BE30DFBF814B}"/>
    <cellStyle name="Vírgula 3 2 2 2 7" xfId="1110" xr:uid="{6DBD1538-94D2-4594-8852-DC77C37973EE}"/>
    <cellStyle name="Vírgula 3 2 2 2 7 2" xfId="3221" xr:uid="{119354DA-5B0F-4C17-8B2F-F603938AA00F}"/>
    <cellStyle name="Vírgula 3 2 2 2 8" xfId="1865" xr:uid="{642BDA42-D873-48AE-9FE4-32DAFB5D6ACB}"/>
    <cellStyle name="Vírgula 3 2 2 2 8 2" xfId="3975" xr:uid="{5F0DE0B9-1BE0-40F6-972F-351DD6F06DBD}"/>
    <cellStyle name="Vírgula 3 2 2 2 9" xfId="2311" xr:uid="{8D3BFBA3-7134-400C-82F1-AFAD6BC31E2A}"/>
    <cellStyle name="Vírgula 3 2 2 3" xfId="310" xr:uid="{0EA3BB1D-95C2-4A4B-9D1E-899E522BE1FC}"/>
    <cellStyle name="Vírgula 3 2 2 3 2" xfId="503" xr:uid="{BD703CF8-C2CA-4897-9F58-3CB2DC9D6792}"/>
    <cellStyle name="Vírgula 3 2 2 3 2 2" xfId="948" xr:uid="{F965C5ED-699D-4A85-8C75-9A05DE16D2D7}"/>
    <cellStyle name="Vírgula 3 2 2 3 2 2 2" xfId="1777" xr:uid="{D5B2F569-7DD2-4594-B8E9-2ED38644A255}"/>
    <cellStyle name="Vírgula 3 2 2 3 2 2 2 2" xfId="3888" xr:uid="{09231729-9915-49C6-85A6-6D0D1D0A683F}"/>
    <cellStyle name="Vírgula 3 2 2 3 2 2 3" xfId="2198" xr:uid="{3AECBC55-DD48-4728-9F4D-231E1617AC51}"/>
    <cellStyle name="Vírgula 3 2 2 3 2 2 3 2" xfId="4264" xr:uid="{5B722B73-7C34-4A3A-9B7D-A34EF62FFC2B}"/>
    <cellStyle name="Vírgula 3 2 2 3 2 2 4" xfId="3071" xr:uid="{13A012F3-A46C-4F8F-9B17-4672C2F85A17}"/>
    <cellStyle name="Vírgula 3 2 2 3 2 3" xfId="1350" xr:uid="{D31E526C-0B31-4AF1-96DE-355155833B6E}"/>
    <cellStyle name="Vírgula 3 2 2 3 2 3 2" xfId="3461" xr:uid="{A49806C9-A156-4828-8D6D-BFFEA2B48CC3}"/>
    <cellStyle name="Vírgula 3 2 2 3 2 4" xfId="1984" xr:uid="{73F6B8EE-BDDE-4B97-AA5F-C2619975E3BD}"/>
    <cellStyle name="Vírgula 3 2 2 3 2 4 2" xfId="4078" xr:uid="{0CCE5F0C-0F82-49CE-ACA3-13598FAD901F}"/>
    <cellStyle name="Vírgula 3 2 2 3 2 5" xfId="2644" xr:uid="{2902A933-8D74-4173-9366-D645CB9908F2}"/>
    <cellStyle name="Vírgula 3 2 2 3 3" xfId="756" xr:uid="{A4E11B52-9D1B-489B-8250-75A71584C52C}"/>
    <cellStyle name="Vírgula 3 2 2 3 3 2" xfId="1585" xr:uid="{77C75D18-7E33-46D0-A76C-F4294053B744}"/>
    <cellStyle name="Vírgula 3 2 2 3 3 2 2" xfId="3696" xr:uid="{EE73D51C-525C-40CC-984C-962D564036C9}"/>
    <cellStyle name="Vírgula 3 2 2 3 3 3" xfId="2118" xr:uid="{CF204D5D-DC6E-4ABD-8AC5-DC58EE4138F5}"/>
    <cellStyle name="Vírgula 3 2 2 3 3 3 2" xfId="4184" xr:uid="{2F875C09-829A-428B-B31E-A85261ECD4C3}"/>
    <cellStyle name="Vírgula 3 2 2 3 3 4" xfId="2879" xr:uid="{7919C30D-EB49-4F72-8A22-33E12A8D7EC1}"/>
    <cellStyle name="Vírgula 3 2 2 3 4" xfId="1158" xr:uid="{AE1D6F16-B211-46DF-A591-9D06B7963995}"/>
    <cellStyle name="Vírgula 3 2 2 3 4 2" xfId="3269" xr:uid="{0E37604A-5B86-429A-8D72-9C0646B52638}"/>
    <cellStyle name="Vírgula 3 2 2 3 5" xfId="1897" xr:uid="{0696670E-DC09-4527-A67F-E02EC045E8B1}"/>
    <cellStyle name="Vírgula 3 2 2 3 5 2" xfId="3998" xr:uid="{4C6B0814-25E0-4374-89C3-CB3EDCC3C9BE}"/>
    <cellStyle name="Vírgula 3 2 2 3 6" xfId="2452" xr:uid="{88AC691E-4433-4235-9FFC-5961A44D355C}"/>
    <cellStyle name="Vírgula 3 2 2 4" xfId="407" xr:uid="{01D3C529-7FC3-4478-BB56-6DA7CAD60AAE}"/>
    <cellStyle name="Vírgula 3 2 2 4 2" xfId="852" xr:uid="{C6B9870D-1A92-4E9E-AF4A-5D8623CE3451}"/>
    <cellStyle name="Vírgula 3 2 2 4 2 2" xfId="1681" xr:uid="{4AACD6CC-6FF2-4BA5-91CB-12813B23EEC6}"/>
    <cellStyle name="Vírgula 3 2 2 4 2 2 2" xfId="3792" xr:uid="{903F2960-7198-40C6-B183-73FD47025AEB}"/>
    <cellStyle name="Vírgula 3 2 2 4 2 3" xfId="2156" xr:uid="{0062E8F2-4CF2-4916-A712-177723154B0E}"/>
    <cellStyle name="Vírgula 3 2 2 4 2 3 2" xfId="4222" xr:uid="{946502D4-C796-4B0A-882E-959FA78EFE01}"/>
    <cellStyle name="Vírgula 3 2 2 4 2 4" xfId="2975" xr:uid="{EC11DDAE-0EEF-47E7-AE44-2185A09BC0A4}"/>
    <cellStyle name="Vírgula 3 2 2 4 3" xfId="1254" xr:uid="{54958E1F-909E-4DE8-8D6D-D3EE9FEBE07A}"/>
    <cellStyle name="Vírgula 3 2 2 4 3 2" xfId="3365" xr:uid="{EC82E4CC-7747-414D-B688-782EF769BB08}"/>
    <cellStyle name="Vírgula 3 2 2 4 4" xfId="1942" xr:uid="{FADB0A8C-9769-477F-970C-E65A2EA5474B}"/>
    <cellStyle name="Vírgula 3 2 2 4 4 2" xfId="4036" xr:uid="{A359460D-2465-463F-995F-37D0DF994B5A}"/>
    <cellStyle name="Vírgula 3 2 2 4 5" xfId="2548" xr:uid="{4E101192-10E7-4037-BCAD-28E26D78167A}"/>
    <cellStyle name="Vírgula 3 2 2 5" xfId="658" xr:uid="{B82AC72C-13EA-41FA-8D49-E0ED03C17409}"/>
    <cellStyle name="Vírgula 3 2 2 5 2" xfId="1489" xr:uid="{CFA4DE12-3261-4C89-A9D1-D035EEC2036E}"/>
    <cellStyle name="Vírgula 3 2 2 5 2 2" xfId="2240" xr:uid="{10313DC2-DE03-4873-9C1D-F8AD23033D3F}"/>
    <cellStyle name="Vírgula 3 2 2 5 2 2 2" xfId="4306" xr:uid="{ED047C66-3F0E-445E-9B84-D08B65169B67}"/>
    <cellStyle name="Vírgula 3 2 2 5 2 3" xfId="3600" xr:uid="{D31B525F-8B82-49C4-9E8E-833D19508E45}"/>
    <cellStyle name="Vírgula 3 2 2 5 3" xfId="2033" xr:uid="{ABCF7559-E73F-4D34-A157-A99B79D7AAF1}"/>
    <cellStyle name="Vírgula 3 2 2 5 3 2" xfId="4120" xr:uid="{6C74FEC3-D42A-40F8-82A7-8535F0E4D2B9}"/>
    <cellStyle name="Vírgula 3 2 2 5 4" xfId="2783" xr:uid="{377A23E1-D017-4FB6-8805-F81B6DDC0EFB}"/>
    <cellStyle name="Vírgula 3 2 2 6" xfId="577" xr:uid="{BAF0E160-1344-439D-8809-71D5BFEDA00B}"/>
    <cellStyle name="Vírgula 3 2 2 6 2" xfId="1424" xr:uid="{1EA3D0D2-C72E-47C8-85FE-CA3D393DEE81}"/>
    <cellStyle name="Vírgula 3 2 2 6 2 2" xfId="3535" xr:uid="{3FD5F9AE-8FD6-4742-A70B-99CC0CE3EEB0}"/>
    <cellStyle name="Vírgula 3 2 2 6 3" xfId="2076" xr:uid="{78361740-D215-4D22-8690-21CF7387F08D}"/>
    <cellStyle name="Vírgula 3 2 2 6 3 2" xfId="4142" xr:uid="{B96056CE-170D-4648-A7AC-0E9F1259D0B5}"/>
    <cellStyle name="Vírgula 3 2 2 6 4" xfId="2718" xr:uid="{456A2039-208F-4DCA-90D8-09BCD207E7DA}"/>
    <cellStyle name="Vírgula 3 2 2 7" xfId="187" xr:uid="{EB66AA3A-A81A-4086-96D5-1A7EF93F5871}"/>
    <cellStyle name="Vírgula 3 2 2 7 2" xfId="2357" xr:uid="{E2C2E71C-F5B3-4021-AACE-DAC888B66007}"/>
    <cellStyle name="Vírgula 3 2 2 8" xfId="1062" xr:uid="{1F7FDD22-9D83-492F-BC3B-1092F0B3B0A8}"/>
    <cellStyle name="Vírgula 3 2 2 8 2" xfId="3173" xr:uid="{F72EE1AF-46EA-4FBB-A078-14CA7BDA7B33}"/>
    <cellStyle name="Vírgula 3 2 2 9" xfId="1846" xr:uid="{A9AD639D-4BD7-4F50-9D4F-0CD7082B1ED9}"/>
    <cellStyle name="Vírgula 3 2 2 9 2" xfId="3956" xr:uid="{F1BFFF66-94F7-46D9-8C9A-DA177ECDF3D3}"/>
    <cellStyle name="Vírgula 3 2 3" xfId="105" xr:uid="{5357A88A-2D47-4E06-8A9F-6807B2395957}"/>
    <cellStyle name="Vírgula 3 2 3 2" xfId="349" xr:uid="{52118F78-1B24-43CF-AE67-F06ED44ACE4F}"/>
    <cellStyle name="Vírgula 3 2 3 2 2" xfId="541" xr:uid="{E2C9B0AA-5E68-4075-AD1E-C29CBA4A2414}"/>
    <cellStyle name="Vírgula 3 2 3 2 2 2" xfId="986" xr:uid="{68310B7D-4F14-4D66-921F-C5124DF81060}"/>
    <cellStyle name="Vírgula 3 2 3 2 2 2 2" xfId="1815" xr:uid="{1F9B46D0-F688-4EE4-8D0B-03D61191B19C}"/>
    <cellStyle name="Vírgula 3 2 3 2 2 2 2 2" xfId="3926" xr:uid="{EE78C86F-1821-4F4A-88E6-65AE0137D1DC}"/>
    <cellStyle name="Vírgula 3 2 3 2 2 2 3" xfId="2208" xr:uid="{B00FB6AA-9521-4347-B4A9-A6B3FC387894}"/>
    <cellStyle name="Vírgula 3 2 3 2 2 2 3 2" xfId="4274" xr:uid="{48E8C2F1-A2F0-4437-A114-494FC70D7E7B}"/>
    <cellStyle name="Vírgula 3 2 3 2 2 2 4" xfId="3109" xr:uid="{5920F09D-5BC5-4CE5-8E0E-B9D7436F1133}"/>
    <cellStyle name="Vírgula 3 2 3 2 2 3" xfId="1388" xr:uid="{96550149-D00E-45FE-8530-CB455979EA1A}"/>
    <cellStyle name="Vírgula 3 2 3 2 2 3 2" xfId="3499" xr:uid="{3CC6A55A-B61D-49F5-8504-05733F874379}"/>
    <cellStyle name="Vírgula 3 2 3 2 2 4" xfId="1994" xr:uid="{11229071-5FC5-4D0B-8B08-5063849610CF}"/>
    <cellStyle name="Vírgula 3 2 3 2 2 4 2" xfId="4088" xr:uid="{7FAD86E4-E001-42B0-BDDC-19B299A43FF6}"/>
    <cellStyle name="Vírgula 3 2 3 2 2 5" xfId="2682" xr:uid="{022C0DF0-9561-4FD5-AD17-56F315444FF5}"/>
    <cellStyle name="Vírgula 3 2 3 2 3" xfId="794" xr:uid="{D405743D-8B79-4E24-8F70-7D973802AD05}"/>
    <cellStyle name="Vírgula 3 2 3 2 3 2" xfId="1623" xr:uid="{4CFCA53A-DECB-4E3D-9C78-87E950A60052}"/>
    <cellStyle name="Vírgula 3 2 3 2 3 2 2" xfId="3734" xr:uid="{5012E955-408A-427D-A628-4C1BD4CCA3BE}"/>
    <cellStyle name="Vírgula 3 2 3 2 3 3" xfId="2128" xr:uid="{24F0B7C8-0093-4C37-B0F4-291F8435EA4C}"/>
    <cellStyle name="Vírgula 3 2 3 2 3 3 2" xfId="4194" xr:uid="{6482104C-1ECB-47C2-9697-6F0BF2213015}"/>
    <cellStyle name="Vírgula 3 2 3 2 3 4" xfId="2917" xr:uid="{3353971C-7CD2-467A-8503-69560EDD073D}"/>
    <cellStyle name="Vírgula 3 2 3 2 4" xfId="1196" xr:uid="{5E33AC7D-AD6C-48EC-8FFC-20D2CB942627}"/>
    <cellStyle name="Vírgula 3 2 3 2 4 2" xfId="3307" xr:uid="{4C85AD9B-8E27-4300-9A03-D63C9A453EF8}"/>
    <cellStyle name="Vírgula 3 2 3 2 5" xfId="1909" xr:uid="{F2C6CAAE-1DD8-4E93-9B33-91722CF7EE72}"/>
    <cellStyle name="Vírgula 3 2 3 2 5 2" xfId="4008" xr:uid="{EF11785B-13CB-4134-92B1-D3ADABD192BE}"/>
    <cellStyle name="Vírgula 3 2 3 2 6" xfId="2490" xr:uid="{37B10FFE-67F0-49A0-A761-682E0F085F60}"/>
    <cellStyle name="Vírgula 3 2 3 3" xfId="445" xr:uid="{662CF6C2-8281-428F-8D41-1CC34C9A7967}"/>
    <cellStyle name="Vírgula 3 2 3 3 2" xfId="890" xr:uid="{93CB539E-E1F4-41D3-B5BA-EEB59FFBA085}"/>
    <cellStyle name="Vírgula 3 2 3 3 2 2" xfId="1719" xr:uid="{078B4758-88F5-4E01-9EAA-57E9A5B71F2A}"/>
    <cellStyle name="Vírgula 3 2 3 3 2 2 2" xfId="3830" xr:uid="{8584E198-59B3-4A79-9C95-88B70CF26546}"/>
    <cellStyle name="Vírgula 3 2 3 3 2 3" xfId="2166" xr:uid="{0AB24150-F1C6-40BC-B23D-6830D3C5DEDF}"/>
    <cellStyle name="Vírgula 3 2 3 3 2 3 2" xfId="4232" xr:uid="{D192C2CB-6C70-40EF-BB01-200FB3B62D36}"/>
    <cellStyle name="Vírgula 3 2 3 3 2 4" xfId="3013" xr:uid="{0B5DB0D7-BE7F-4482-838A-A20E2A6E9EE6}"/>
    <cellStyle name="Vírgula 3 2 3 3 3" xfId="1292" xr:uid="{C5E842BF-62DB-401C-92D0-DFF84C2C9CE2}"/>
    <cellStyle name="Vírgula 3 2 3 3 3 2" xfId="3403" xr:uid="{12D131E2-A8E4-4023-8FE6-848000D08A1D}"/>
    <cellStyle name="Vírgula 3 2 3 3 4" xfId="1952" xr:uid="{ABD3901E-78CB-45D4-B884-07F5F6AF6920}"/>
    <cellStyle name="Vírgula 3 2 3 3 4 2" xfId="4046" xr:uid="{078A9EF8-B396-48D3-9C76-E4F3EECACAB7}"/>
    <cellStyle name="Vírgula 3 2 3 3 5" xfId="2586" xr:uid="{AF001B7C-4922-4F91-9681-006AC2086D3D}"/>
    <cellStyle name="Vírgula 3 2 3 4" xfId="698" xr:uid="{E198E415-5212-4DE9-B972-353905D9D4D5}"/>
    <cellStyle name="Vírgula 3 2 3 4 2" xfId="1527" xr:uid="{67929528-2CAA-4DCD-AA96-8546B694EF5C}"/>
    <cellStyle name="Vírgula 3 2 3 4 2 2" xfId="3638" xr:uid="{D984FE9A-D85D-45BF-B33C-CF8F28BC7D63}"/>
    <cellStyle name="Vírgula 3 2 3 4 3" xfId="2086" xr:uid="{7703746A-3EE4-4353-BF41-902AD2714440}"/>
    <cellStyle name="Vírgula 3 2 3 4 3 2" xfId="4152" xr:uid="{EFB71191-A1A5-449C-A83A-91F9C0820207}"/>
    <cellStyle name="Vírgula 3 2 3 4 4" xfId="2821" xr:uid="{CEADF955-8125-4B1E-A5A5-4E226160F58C}"/>
    <cellStyle name="Vírgula 3 2 3 5" xfId="587" xr:uid="{DA173C95-4B0C-484B-970B-74A283AFC68B}"/>
    <cellStyle name="Vírgula 3 2 3 5 2" xfId="1434" xr:uid="{50A51320-4210-4617-8E7A-B61E2FA4D106}"/>
    <cellStyle name="Vírgula 3 2 3 5 2 2" xfId="3545" xr:uid="{7BDEF722-E396-4EBE-895F-5447A9815A5E}"/>
    <cellStyle name="Vírgula 3 2 3 5 3" xfId="2728" xr:uid="{756A117E-A8B8-4007-B306-F3959E1A4209}"/>
    <cellStyle name="Vírgula 3 2 3 6" xfId="238" xr:uid="{E6C7BEE6-5912-4613-85F3-6529C06E5086}"/>
    <cellStyle name="Vírgula 3 2 3 6 2" xfId="2395" xr:uid="{9A45443D-6B60-4F85-BBC4-96552EA77FB3}"/>
    <cellStyle name="Vírgula 3 2 3 7" xfId="1100" xr:uid="{44023115-7A45-4CF7-B8AF-E342AE6DDC99}"/>
    <cellStyle name="Vírgula 3 2 3 7 2" xfId="3211" xr:uid="{799EE3A3-20F6-4702-822C-370B7AD22BDB}"/>
    <cellStyle name="Vírgula 3 2 3 8" xfId="1856" xr:uid="{F3AF25E3-C67E-4743-87EE-C71CC5DB445E}"/>
    <cellStyle name="Vírgula 3 2 3 8 2" xfId="3966" xr:uid="{CCBEFF01-7A97-4DD4-9388-BB9BB9C99AEA}"/>
    <cellStyle name="Vírgula 3 2 3 9" xfId="2302" xr:uid="{7D8E1793-0665-42FC-9A9F-0D9F35C1BD4D}"/>
    <cellStyle name="Vírgula 3 2 4" xfId="278" xr:uid="{D5A7ACF8-A80C-4FD9-A651-C8744E811F23}"/>
    <cellStyle name="Vírgula 3 2 4 2" xfId="471" xr:uid="{633433D2-F44A-40E7-BB12-8D3419BD8F0E}"/>
    <cellStyle name="Vírgula 3 2 4 2 2" xfId="916" xr:uid="{072575AC-1139-484D-984F-0BAAD2398074}"/>
    <cellStyle name="Vírgula 3 2 4 2 2 2" xfId="1745" xr:uid="{01191562-5C7B-492E-A668-6BDB128A290D}"/>
    <cellStyle name="Vírgula 3 2 4 2 2 2 2" xfId="3856" xr:uid="{5F16CB75-B015-4A24-9FF4-5745118C1B11}"/>
    <cellStyle name="Vírgula 3 2 4 2 2 3" xfId="2188" xr:uid="{3A91EF1B-4DB5-4C52-A103-1796DB592309}"/>
    <cellStyle name="Vírgula 3 2 4 2 2 3 2" xfId="4254" xr:uid="{6E67E130-83C8-4E14-9FBF-589C30A26C8D}"/>
    <cellStyle name="Vírgula 3 2 4 2 2 4" xfId="3039" xr:uid="{AB617467-57EF-4E0A-9427-7DC64302529B}"/>
    <cellStyle name="Vírgula 3 2 4 2 3" xfId="1318" xr:uid="{DC0C87EC-5A6C-42AC-939F-D3AF2C551EBF}"/>
    <cellStyle name="Vírgula 3 2 4 2 3 2" xfId="3429" xr:uid="{13FCD50C-E80F-49B5-AF86-E06D72D4C14A}"/>
    <cellStyle name="Vírgula 3 2 4 2 4" xfId="1974" xr:uid="{9E6F44D4-EF43-4750-822F-FE93ECFE17B4}"/>
    <cellStyle name="Vírgula 3 2 4 2 4 2" xfId="4068" xr:uid="{8235A29B-B859-430E-BC5B-B480DB8100EB}"/>
    <cellStyle name="Vírgula 3 2 4 2 5" xfId="2612" xr:uid="{DDED91C1-31B3-499B-8E5D-EA81F8F62CDD}"/>
    <cellStyle name="Vírgula 3 2 4 3" xfId="724" xr:uid="{50F9B4B4-64A0-4B18-8A7D-6FA8DBFE067A}"/>
    <cellStyle name="Vírgula 3 2 4 3 2" xfId="1553" xr:uid="{A729D378-59DA-4078-8C80-D3F7B830AC3E}"/>
    <cellStyle name="Vírgula 3 2 4 3 2 2" xfId="3664" xr:uid="{889F18AB-F908-4CB3-8A18-4B0D1150D9F1}"/>
    <cellStyle name="Vírgula 3 2 4 3 3" xfId="2108" xr:uid="{5646E834-F114-4AA2-AF74-739F4B6FA0BB}"/>
    <cellStyle name="Vírgula 3 2 4 3 3 2" xfId="4174" xr:uid="{C8884CCD-7815-45F1-8E64-FBF9CED361E0}"/>
    <cellStyle name="Vírgula 3 2 4 3 4" xfId="2847" xr:uid="{B5D5C78E-6426-42B4-952C-077576262995}"/>
    <cellStyle name="Vírgula 3 2 4 4" xfId="1126" xr:uid="{3A74B04C-B569-430E-A4EE-57D8E95703F2}"/>
    <cellStyle name="Vírgula 3 2 4 4 2" xfId="3237" xr:uid="{873A449A-ED6A-41E2-9ED1-F19FA4E34D5C}"/>
    <cellStyle name="Vírgula 3 2 4 5" xfId="1886" xr:uid="{6DF642F0-2062-447E-9084-98E40F541817}"/>
    <cellStyle name="Vírgula 3 2 4 5 2" xfId="3988" xr:uid="{F2876823-38E4-42B2-B055-95E6163F512A}"/>
    <cellStyle name="Vírgula 3 2 4 6" xfId="2420" xr:uid="{84DE441B-253C-4B60-A5EA-B60423A17FB5}"/>
    <cellStyle name="Vírgula 3 2 5" xfId="375" xr:uid="{3F536C64-2BAE-428C-AF79-81C4FE602268}"/>
    <cellStyle name="Vírgula 3 2 5 2" xfId="820" xr:uid="{9C950683-9ED9-4DC8-A71B-BCA5536AB1A0}"/>
    <cellStyle name="Vírgula 3 2 5 2 2" xfId="1649" xr:uid="{4FBA82D7-3621-4E97-BC37-3F4EFC1F08C4}"/>
    <cellStyle name="Vírgula 3 2 5 2 2 2" xfId="3760" xr:uid="{AA07BA2F-6D8D-4462-A852-E7F61276C014}"/>
    <cellStyle name="Vírgula 3 2 5 2 3" xfId="2233" xr:uid="{EDFA86C1-577E-445C-A3E0-23C08FE20C33}"/>
    <cellStyle name="Vírgula 3 2 5 2 3 2" xfId="4299" xr:uid="{33155E4F-04C6-41F3-9E83-5EE538AB5329}"/>
    <cellStyle name="Vírgula 3 2 5 2 4" xfId="2943" xr:uid="{A1B62B6A-38C8-4F28-93C1-20AC124D416A}"/>
    <cellStyle name="Vírgula 3 2 5 3" xfId="1222" xr:uid="{04AC9D5C-FEB9-460F-90C0-CBA7605E9A00}"/>
    <cellStyle name="Vírgula 3 2 5 3 2" xfId="3333" xr:uid="{7074820C-EF70-4B64-A259-2DAA12667CBF}"/>
    <cellStyle name="Vírgula 3 2 5 4" xfId="2024" xr:uid="{073F3DBC-41AE-4FCB-B26E-5D4CD34C3482}"/>
    <cellStyle name="Vírgula 3 2 5 4 2" xfId="4113" xr:uid="{ABFC8E82-71D0-47D0-8869-B63ACB9F14BE}"/>
    <cellStyle name="Vírgula 3 2 5 5" xfId="2516" xr:uid="{53291E88-08FA-4FC4-BF57-96C3DB047750}"/>
    <cellStyle name="Vírgula 3 2 6" xfId="620" xr:uid="{E8059D0D-1351-47C8-910F-432AF2EE690D}"/>
    <cellStyle name="Vírgula 3 2 6 2" xfId="1457" xr:uid="{52FD926F-8B52-48CF-9E52-8C421A00C187}"/>
    <cellStyle name="Vírgula 3 2 6 2 2" xfId="3568" xr:uid="{C974A0BD-C415-4272-BAB4-EE9C4EECDF76}"/>
    <cellStyle name="Vírgula 3 2 6 3" xfId="2066" xr:uid="{906574FB-9DF1-4947-8306-6B6DE744361D}"/>
    <cellStyle name="Vírgula 3 2 6 3 2" xfId="4132" xr:uid="{11DC8129-A369-4A7E-9785-36EB2E1534E6}"/>
    <cellStyle name="Vírgula 3 2 6 4" xfId="2751" xr:uid="{257BBB4D-C204-4BE1-A169-7C42CDA28333}"/>
    <cellStyle name="Vírgula 3 2 7" xfId="567" xr:uid="{ABC94B90-FCC9-42A8-BD75-00947CFD85C3}"/>
    <cellStyle name="Vírgula 3 2 7 2" xfId="1414" xr:uid="{BCCD1F9D-20F4-4074-947C-B1181A1C6EAD}"/>
    <cellStyle name="Vírgula 3 2 7 2 2" xfId="3525" xr:uid="{7EAB7A6B-1228-494A-8AFD-2E1659615F9C}"/>
    <cellStyle name="Vírgula 3 2 7 3" xfId="2708" xr:uid="{EB909376-9ADF-42A6-A154-D9863A220D97}"/>
    <cellStyle name="Vírgula 3 2 8" xfId="140" xr:uid="{03E8B011-EFF5-4E20-A600-70FE3D84365C}"/>
    <cellStyle name="Vírgula 3 2 8 2" xfId="2326" xr:uid="{93C9CFF1-23D5-487E-B1AE-6453F8D2C45F}"/>
    <cellStyle name="Vírgula 3 2 9" xfId="1030" xr:uid="{2B355290-8F40-4468-879D-D5189D06ABBE}"/>
    <cellStyle name="Vírgula 3 2 9 2" xfId="3141" xr:uid="{A44B9FAE-402C-4FA4-A5BE-2CD50BB4DF97}"/>
    <cellStyle name="Vírgula 3 3" xfId="94" xr:uid="{63955E84-AC06-4AB6-8554-3F033D3B01C9}"/>
    <cellStyle name="Vírgula 3 3 10" xfId="2274" xr:uid="{4B74978C-E229-4CE2-B15F-C4EFC82CB305}"/>
    <cellStyle name="Vírgula 3 3 11" xfId="2296" xr:uid="{80A9A4E9-55F3-4805-9FB3-53D18166E570}"/>
    <cellStyle name="Vírgula 3 3 2" xfId="118" xr:uid="{A92FF6DB-95A7-4C9E-A779-36E28E8F03C9}"/>
    <cellStyle name="Vírgula 3 3 2 2" xfId="363" xr:uid="{979FB8CC-4E41-4618-A1B4-1E02DEE19A7A}"/>
    <cellStyle name="Vírgula 3 3 2 2 2" xfId="555" xr:uid="{1E5BE184-513E-4B01-9255-6F9FC006E6B7}"/>
    <cellStyle name="Vírgula 3 3 2 2 2 2" xfId="1000" xr:uid="{1342782C-2ED8-4A76-9DD2-CC1C5A6CD2D8}"/>
    <cellStyle name="Vírgula 3 3 2 2 2 2 2" xfId="1829" xr:uid="{F6A0E302-4700-4223-8951-E68216806373}"/>
    <cellStyle name="Vírgula 3 3 2 2 2 2 2 2" xfId="3940" xr:uid="{DDE59F42-10F6-42D9-9841-7DD73360B0A2}"/>
    <cellStyle name="Vírgula 3 3 2 2 2 2 3" xfId="2221" xr:uid="{20295238-9270-470E-B5CD-3D023851BDE6}"/>
    <cellStyle name="Vírgula 3 3 2 2 2 2 3 2" xfId="4287" xr:uid="{34E9DA33-F0D1-4ABD-9A03-B3D50F577D03}"/>
    <cellStyle name="Vírgula 3 3 2 2 2 2 4" xfId="3123" xr:uid="{92FE0966-4C33-443C-ADDB-EAABF3114DB3}"/>
    <cellStyle name="Vírgula 3 3 2 2 2 3" xfId="1402" xr:uid="{F9B3E575-1A54-41D5-9341-D5FBADA563BA}"/>
    <cellStyle name="Vírgula 3 3 2 2 2 3 2" xfId="3513" xr:uid="{07AD3477-F71E-4F5B-86B0-389F5BCD7512}"/>
    <cellStyle name="Vírgula 3 3 2 2 2 4" xfId="2007" xr:uid="{360A05D4-951A-431E-B7AD-CC09E462DDFB}"/>
    <cellStyle name="Vírgula 3 3 2 2 2 4 2" xfId="4101" xr:uid="{FBC8F633-B795-4D88-B73C-95F7F25FAF89}"/>
    <cellStyle name="Vírgula 3 3 2 2 2 5" xfId="2696" xr:uid="{9D37F7A1-4939-465A-93BD-1D79D3DB07E3}"/>
    <cellStyle name="Vírgula 3 3 2 2 3" xfId="808" xr:uid="{BD1ABBE6-480F-4ED2-84C4-5A63A352A294}"/>
    <cellStyle name="Vírgula 3 3 2 2 3 2" xfId="1637" xr:uid="{94B59D6A-DFEE-45A9-89B8-4D4678EAC34D}"/>
    <cellStyle name="Vírgula 3 3 2 2 3 2 2" xfId="3748" xr:uid="{84CA6709-C8CD-4CAB-8522-8B5B197EBECD}"/>
    <cellStyle name="Vírgula 3 3 2 2 3 3" xfId="2141" xr:uid="{1D64E253-980D-48CC-A62A-8AFA7931801D}"/>
    <cellStyle name="Vírgula 3 3 2 2 3 3 2" xfId="4207" xr:uid="{6B3A9CDD-912B-4FD3-B745-1EBE77CCCD27}"/>
    <cellStyle name="Vírgula 3 3 2 2 3 4" xfId="2931" xr:uid="{1704E044-E143-42E7-A91F-50A9A36D2CD9}"/>
    <cellStyle name="Vírgula 3 3 2 2 4" xfId="1210" xr:uid="{E1FC08F3-74CA-4546-AA2F-50CFD5DD7DF0}"/>
    <cellStyle name="Vírgula 3 3 2 2 4 2" xfId="3321" xr:uid="{2B97EF74-8CD5-4DE7-B4B8-F7D603CD8939}"/>
    <cellStyle name="Vírgula 3 3 2 2 5" xfId="1922" xr:uid="{F06B3A40-AC39-4958-9246-4414C6A19F69}"/>
    <cellStyle name="Vírgula 3 3 2 2 5 2" xfId="4021" xr:uid="{68CD609C-4BA8-4CD2-A0B4-BA5EE4E513EE}"/>
    <cellStyle name="Vírgula 3 3 2 2 6" xfId="2504" xr:uid="{49C48E41-F88D-40D4-98D8-6B0BCE1E2B26}"/>
    <cellStyle name="Vírgula 3 3 2 3" xfId="459" xr:uid="{F146B56D-1A7D-4336-8946-1D7383CFF7BF}"/>
    <cellStyle name="Vírgula 3 3 2 3 2" xfId="904" xr:uid="{C55C1A5D-7FCF-48FF-85D0-6B20E4AC539B}"/>
    <cellStyle name="Vírgula 3 3 2 3 2 2" xfId="1733" xr:uid="{FF858A5A-C95A-434B-986C-916F4DE575AA}"/>
    <cellStyle name="Vírgula 3 3 2 3 2 2 2" xfId="3844" xr:uid="{7EFBCA92-75AD-4092-8D73-632395E810EF}"/>
    <cellStyle name="Vírgula 3 3 2 3 2 3" xfId="2179" xr:uid="{5B002F8D-085B-43EA-86D0-DB081462C8AB}"/>
    <cellStyle name="Vírgula 3 3 2 3 2 3 2" xfId="4245" xr:uid="{5EDAC9B4-DDDA-4E92-BAAF-4A12E91C80BE}"/>
    <cellStyle name="Vírgula 3 3 2 3 2 4" xfId="3027" xr:uid="{F3FAB90A-4CBD-4379-B905-85848AD16DBB}"/>
    <cellStyle name="Vírgula 3 3 2 3 3" xfId="1306" xr:uid="{8D5F7CE2-517F-4C92-9415-CBF0F35C8DCC}"/>
    <cellStyle name="Vírgula 3 3 2 3 3 2" xfId="3417" xr:uid="{DFE0905A-DAC2-4EDB-9343-801BEEFD6BF0}"/>
    <cellStyle name="Vírgula 3 3 2 3 4" xfId="1965" xr:uid="{D1959A38-7630-418E-B3D1-451A75762020}"/>
    <cellStyle name="Vírgula 3 3 2 3 4 2" xfId="4059" xr:uid="{9A076B5C-A68F-4B4D-A2BE-6E8C7B084C42}"/>
    <cellStyle name="Vírgula 3 3 2 3 5" xfId="2600" xr:uid="{457B2A23-8DF8-45A6-92B6-611071111381}"/>
    <cellStyle name="Vírgula 3 3 2 4" xfId="712" xr:uid="{9C2250A2-8A54-4CAB-BD87-A7F6735D872D}"/>
    <cellStyle name="Vírgula 3 3 2 4 2" xfId="1541" xr:uid="{3FE3C14B-9523-405F-9A0A-34F367F8DB69}"/>
    <cellStyle name="Vírgula 3 3 2 4 2 2" xfId="3652" xr:uid="{2CB4BE32-A17C-43C8-AF79-9AC4DCBCB36C}"/>
    <cellStyle name="Vírgula 3 3 2 4 3" xfId="2099" xr:uid="{38361AAA-DD2D-4AB0-941D-87CCA518D2F2}"/>
    <cellStyle name="Vírgula 3 3 2 4 3 2" xfId="4165" xr:uid="{E76B15BE-8514-4907-B003-4C6338905270}"/>
    <cellStyle name="Vírgula 3 3 2 4 4" xfId="2835" xr:uid="{CAE224F0-590A-4BEF-859D-D6E44C3D48FA}"/>
    <cellStyle name="Vírgula 3 3 2 5" xfId="600" xr:uid="{BBB3F27F-8544-473F-AAAB-2BFCFD3A7C5F}"/>
    <cellStyle name="Vírgula 3 3 2 5 2" xfId="1447" xr:uid="{B1ED1A1D-5BDE-4A9C-94BD-826824C2019C}"/>
    <cellStyle name="Vírgula 3 3 2 5 2 2" xfId="3558" xr:uid="{5F1EA5F2-0D3F-4426-91DC-27787DF37428}"/>
    <cellStyle name="Vírgula 3 3 2 5 3" xfId="2741" xr:uid="{EBA540AE-3316-4159-BA33-1DE0FFF3BD03}"/>
    <cellStyle name="Vírgula 3 3 2 6" xfId="260" xr:uid="{D4AC7582-DCA1-4D91-99E7-5B4D578BC811}"/>
    <cellStyle name="Vírgula 3 3 2 6 2" xfId="2409" xr:uid="{33BD3F99-9F3C-45A0-B1EB-F94FA10A1887}"/>
    <cellStyle name="Vírgula 3 3 2 7" xfId="1114" xr:uid="{D13705DE-8718-4AC7-8DAE-C5BE150886B3}"/>
    <cellStyle name="Vírgula 3 3 2 7 2" xfId="3225" xr:uid="{F3817BCC-F035-4EA7-A7DB-C6400A4D4343}"/>
    <cellStyle name="Vírgula 3 3 2 8" xfId="1869" xr:uid="{51681BE2-CFA0-427A-8323-6E2C4191A408}"/>
    <cellStyle name="Vírgula 3 3 2 8 2" xfId="3979" xr:uid="{5AF67D7F-421C-4D4D-826E-0160702F5D6F}"/>
    <cellStyle name="Vírgula 3 3 2 9" xfId="2315" xr:uid="{1CAE69FF-634D-4F52-B9E5-179223A95918}"/>
    <cellStyle name="Vírgula 3 3 3" xfId="309" xr:uid="{55D8038B-2148-4BEA-A288-19F7022DD79C}"/>
    <cellStyle name="Vírgula 3 3 3 2" xfId="502" xr:uid="{56DAA10E-EABC-48B6-BBBB-E8F252FF00E8}"/>
    <cellStyle name="Vírgula 3 3 3 2 2" xfId="947" xr:uid="{BAB1C07B-4DC9-42D7-BB87-8AFD172B6C42}"/>
    <cellStyle name="Vírgula 3 3 3 2 2 2" xfId="1776" xr:uid="{0F5C7A8B-F269-4ADF-8A73-D8404E75A36F}"/>
    <cellStyle name="Vírgula 3 3 3 2 2 2 2" xfId="3887" xr:uid="{5F2E9853-CAEE-4F8A-968B-8FB8CCDC34A0}"/>
    <cellStyle name="Vírgula 3 3 3 2 2 3" xfId="2202" xr:uid="{2762C46D-B758-4EE3-8F78-5B4CA38F41A5}"/>
    <cellStyle name="Vírgula 3 3 3 2 2 3 2" xfId="4268" xr:uid="{2BBCDC7A-2E5B-48ED-A0CC-D51C17CC8275}"/>
    <cellStyle name="Vírgula 3 3 3 2 2 4" xfId="3070" xr:uid="{8AF4E221-EA63-4765-B3BD-96F33C6BEE87}"/>
    <cellStyle name="Vírgula 3 3 3 2 3" xfId="1349" xr:uid="{27A08F2C-0ED3-49C9-BF01-A0793D6DAABF}"/>
    <cellStyle name="Vírgula 3 3 3 2 3 2" xfId="3460" xr:uid="{7F2F668D-29D5-459E-AE34-745E76F7A419}"/>
    <cellStyle name="Vírgula 3 3 3 2 4" xfId="1988" xr:uid="{4F191081-F6A8-4624-8637-56F7FEAD578E}"/>
    <cellStyle name="Vírgula 3 3 3 2 4 2" xfId="4082" xr:uid="{B7D6E163-3879-43F2-A769-ED737A18BB89}"/>
    <cellStyle name="Vírgula 3 3 3 2 5" xfId="2643" xr:uid="{855FD413-4853-4AC1-815D-1CDFDC9E2A52}"/>
    <cellStyle name="Vírgula 3 3 3 3" xfId="755" xr:uid="{4A0DB818-18DD-4DDC-920C-604EA17F43C7}"/>
    <cellStyle name="Vírgula 3 3 3 3 2" xfId="1584" xr:uid="{A2F230BB-86A1-4000-9F03-C04B62BC6040}"/>
    <cellStyle name="Vírgula 3 3 3 3 2 2" xfId="3695" xr:uid="{7D6E66EC-27A0-4294-BFD8-CAFF9FF95B17}"/>
    <cellStyle name="Vírgula 3 3 3 3 3" xfId="2122" xr:uid="{CB35C16B-C0C5-425A-A40E-AA0CB5FA07A0}"/>
    <cellStyle name="Vírgula 3 3 3 3 3 2" xfId="4188" xr:uid="{FA0F2B5A-CA8F-4951-9115-8C9F508C78EA}"/>
    <cellStyle name="Vírgula 3 3 3 3 4" xfId="2878" xr:uid="{03973996-2626-47AE-AC8B-D7F19C3AF568}"/>
    <cellStyle name="Vírgula 3 3 3 4" xfId="1157" xr:uid="{C5D458FE-56CA-41EE-A44C-ECBB92732500}"/>
    <cellStyle name="Vírgula 3 3 3 4 2" xfId="3268" xr:uid="{2FB8D564-1782-4863-8959-D7E0BDBEC61F}"/>
    <cellStyle name="Vírgula 3 3 3 5" xfId="1901" xr:uid="{B94BD672-C557-42B1-87CD-7FBBF8318132}"/>
    <cellStyle name="Vírgula 3 3 3 5 2" xfId="4002" xr:uid="{7295859E-030C-4B72-94CD-4483E2EE65D5}"/>
    <cellStyle name="Vírgula 3 3 3 6" xfId="2451" xr:uid="{6A7EFBD9-1A96-461F-A63E-0C5A68685748}"/>
    <cellStyle name="Vírgula 3 3 4" xfId="406" xr:uid="{AEBD7AFF-075B-4B48-B82B-6C34B0B526AD}"/>
    <cellStyle name="Vírgula 3 3 4 2" xfId="851" xr:uid="{703B154C-A9C7-430D-99C3-4540BC089CEC}"/>
    <cellStyle name="Vírgula 3 3 4 2 2" xfId="1680" xr:uid="{BCF3FDCE-714F-424B-BC63-07249733E60B}"/>
    <cellStyle name="Vírgula 3 3 4 2 2 2" xfId="3791" xr:uid="{C6E95720-C8DD-4901-ACC0-2AD1F55A511B}"/>
    <cellStyle name="Vírgula 3 3 4 2 3" xfId="2160" xr:uid="{A43494FA-D011-44D4-8394-EC388F435042}"/>
    <cellStyle name="Vírgula 3 3 4 2 3 2" xfId="4226" xr:uid="{0D1CB148-1D6C-4B1D-89F8-772FB865B68B}"/>
    <cellStyle name="Vírgula 3 3 4 2 4" xfId="2974" xr:uid="{922A2A06-A869-49AC-B979-B35C063DD3B8}"/>
    <cellStyle name="Vírgula 3 3 4 3" xfId="1253" xr:uid="{971E05EF-E0B6-41DE-9D71-53CF9015CA65}"/>
    <cellStyle name="Vírgula 3 3 4 3 2" xfId="3364" xr:uid="{8E049178-A18E-40CC-8332-5245EF96DB6F}"/>
    <cellStyle name="Vírgula 3 3 4 4" xfId="1946" xr:uid="{AB731099-BF0E-4DF4-A5AE-0EE8E3E17A70}"/>
    <cellStyle name="Vírgula 3 3 4 4 2" xfId="4040" xr:uid="{3943A44A-FF39-440C-9A68-61D5C94B568F}"/>
    <cellStyle name="Vírgula 3 3 4 5" xfId="2547" xr:uid="{531D7790-9651-4E1D-AED2-9223A4645325}"/>
    <cellStyle name="Vírgula 3 3 5" xfId="657" xr:uid="{A20FEA10-C740-4435-A887-331CBDC30A5F}"/>
    <cellStyle name="Vírgula 3 3 5 2" xfId="1488" xr:uid="{DE20DA66-B3B2-482A-9C36-20E0DE4C6C26}"/>
    <cellStyle name="Vírgula 3 3 5 2 2" xfId="2246" xr:uid="{8350A813-4521-4020-8C4D-B5FD5D1FB1EC}"/>
    <cellStyle name="Vírgula 3 3 5 2 2 2" xfId="4312" xr:uid="{11AE2FF6-599B-41DE-9FF0-471E8EE9B869}"/>
    <cellStyle name="Vírgula 3 3 5 2 3" xfId="3599" xr:uid="{D026A970-3F2D-4ADF-ACBF-016502F94D59}"/>
    <cellStyle name="Vírgula 3 3 5 3" xfId="2039" xr:uid="{01F80116-B592-42A7-8429-243FEC5D12D3}"/>
    <cellStyle name="Vírgula 3 3 5 3 2" xfId="4126" xr:uid="{1B4CC764-52BB-4134-83D0-E2FCAC716CB4}"/>
    <cellStyle name="Vírgula 3 3 5 4" xfId="2782" xr:uid="{FC2F0F3D-F7C3-4BBE-9A48-872DF18853BC}"/>
    <cellStyle name="Vírgula 3 3 6" xfId="581" xr:uid="{9122527F-32C9-4B3D-8E45-B6678014743C}"/>
    <cellStyle name="Vírgula 3 3 6 2" xfId="1428" xr:uid="{E9EBCA7A-5D5D-4A22-A00F-295AF74273A1}"/>
    <cellStyle name="Vírgula 3 3 6 2 2" xfId="3539" xr:uid="{123FFEC8-8150-4436-B381-E016711F7A2E}"/>
    <cellStyle name="Vírgula 3 3 6 3" xfId="2080" xr:uid="{DC308A47-F87C-4524-BE28-423ABA20205C}"/>
    <cellStyle name="Vírgula 3 3 6 3 2" xfId="4146" xr:uid="{D64C71B7-60BA-4BE1-8040-E7C59009580A}"/>
    <cellStyle name="Vírgula 3 3 6 4" xfId="2722" xr:uid="{80540417-1B47-4A08-8F45-06426ACCF2E5}"/>
    <cellStyle name="Vírgula 3 3 7" xfId="186" xr:uid="{BF0DAFE6-FA92-4A96-8E72-BAEB8FE418CD}"/>
    <cellStyle name="Vírgula 3 3 7 2" xfId="2356" xr:uid="{826AC5E8-82A9-449C-B7F2-6D6625A6AB9E}"/>
    <cellStyle name="Vírgula 3 3 8" xfId="1061" xr:uid="{1E89D318-64CC-487D-BA88-F9AC7AD80CAB}"/>
    <cellStyle name="Vírgula 3 3 8 2" xfId="3172" xr:uid="{70CBCE41-2B46-47DC-BBB7-870702641D81}"/>
    <cellStyle name="Vírgula 3 3 9" xfId="1850" xr:uid="{5A88E1A1-6895-46E6-B8D0-96DB8CB07AE2}"/>
    <cellStyle name="Vírgula 3 3 9 2" xfId="3960" xr:uid="{E5546417-3652-4F78-9126-D07ABE33228D}"/>
    <cellStyle name="Vírgula 3 4" xfId="68" xr:uid="{41D7780D-C8C9-4BF1-92B1-3D19E1C31B88}"/>
    <cellStyle name="Vírgula 3 4 2" xfId="110" xr:uid="{8E04CB97-C950-463D-959C-4A1BA08B7D52}"/>
    <cellStyle name="Vírgula 3 4 2 2" xfId="547" xr:uid="{7BADBD20-08E7-478D-82BB-9EC039688EA2}"/>
    <cellStyle name="Vírgula 3 4 2 2 2" xfId="992" xr:uid="{2BC30301-3D25-4CE3-A3BF-24FF2F843714}"/>
    <cellStyle name="Vírgula 3 4 2 2 2 2" xfId="1821" xr:uid="{7ABE39E6-F9CD-4BC1-B818-8E5088EF3C6E}"/>
    <cellStyle name="Vírgula 3 4 2 2 2 2 2" xfId="2213" xr:uid="{1B4C7FB7-A905-43DB-86EA-7D13743317FB}"/>
    <cellStyle name="Vírgula 3 4 2 2 2 2 2 2" xfId="4279" xr:uid="{58C1B8F2-5BDC-4F6B-9377-CEAE4EC46188}"/>
    <cellStyle name="Vírgula 3 4 2 2 2 2 3" xfId="3932" xr:uid="{EA3941FD-6A08-4A2D-BDDC-0FA5AE93F2A9}"/>
    <cellStyle name="Vírgula 3 4 2 2 2 3" xfId="1999" xr:uid="{0ABD61E5-86DD-451E-9560-C2DA09803C4F}"/>
    <cellStyle name="Vírgula 3 4 2 2 2 3 2" xfId="4093" xr:uid="{5E198813-73B9-41FB-AC62-6A46398729A0}"/>
    <cellStyle name="Vírgula 3 4 2 2 2 4" xfId="3115" xr:uid="{1CC26D38-2819-4787-90F4-B2F21B37BCFA}"/>
    <cellStyle name="Vírgula 3 4 2 2 3" xfId="1394" xr:uid="{55CACDA4-2A97-4474-A7DC-D9D3210DE4E0}"/>
    <cellStyle name="Vírgula 3 4 2 2 3 2" xfId="2133" xr:uid="{9BE41C41-4B90-48C2-AD27-8FCBAC717CBE}"/>
    <cellStyle name="Vírgula 3 4 2 2 3 2 2" xfId="4199" xr:uid="{A022C18E-D167-40A7-98C8-FC244014C870}"/>
    <cellStyle name="Vírgula 3 4 2 2 3 3" xfId="3505" xr:uid="{CCBC1EB1-923F-4798-84FB-00005CF4CD6F}"/>
    <cellStyle name="Vírgula 3 4 2 2 4" xfId="1914" xr:uid="{4B13AC42-29AB-4B57-926D-A34CA861845A}"/>
    <cellStyle name="Vírgula 3 4 2 2 4 2" xfId="4013" xr:uid="{71CA2A4D-3D29-43E2-A1C2-8396FA2CDC48}"/>
    <cellStyle name="Vírgula 3 4 2 2 5" xfId="2688" xr:uid="{16F403F7-65E3-4F1A-9DDE-74ED2B47A09F}"/>
    <cellStyle name="Vírgula 3 4 2 3" xfId="800" xr:uid="{37026DB9-4B28-49AF-B239-60E72ECF7862}"/>
    <cellStyle name="Vírgula 3 4 2 3 2" xfId="1629" xr:uid="{FE8B4E3F-98C3-4F65-8668-4F138DED6A47}"/>
    <cellStyle name="Vírgula 3 4 2 3 2 2" xfId="2171" xr:uid="{460E3EDF-1FB2-4168-8FCD-84994207A8C5}"/>
    <cellStyle name="Vírgula 3 4 2 3 2 2 2" xfId="4237" xr:uid="{0F261B4F-EAEF-4C8B-B745-A66681100467}"/>
    <cellStyle name="Vírgula 3 4 2 3 2 3" xfId="3740" xr:uid="{52AD148D-3754-4BF7-8D7D-C07FBD9F675E}"/>
    <cellStyle name="Vírgula 3 4 2 3 3" xfId="1957" xr:uid="{2E0686D5-A335-406E-B1F9-01F21D05E3DA}"/>
    <cellStyle name="Vírgula 3 4 2 3 3 2" xfId="4051" xr:uid="{EE1AE18E-B9E1-4623-B484-491C840778D4}"/>
    <cellStyle name="Vírgula 3 4 2 3 4" xfId="2923" xr:uid="{80CF6168-8B74-4607-AEC9-10F381AAA730}"/>
    <cellStyle name="Vírgula 3 4 2 4" xfId="592" xr:uid="{E13E5124-5915-44E6-B826-7A4170EED76E}"/>
    <cellStyle name="Vírgula 3 4 2 4 2" xfId="1439" xr:uid="{FF033D2B-17AE-4F67-A164-1E925EAC5E98}"/>
    <cellStyle name="Vírgula 3 4 2 4 2 2" xfId="3550" xr:uid="{92BBED1F-3308-4089-B7B6-1CA428D644E2}"/>
    <cellStyle name="Vírgula 3 4 2 4 3" xfId="2091" xr:uid="{89F4719C-D32B-4018-B831-B2904B89B270}"/>
    <cellStyle name="Vírgula 3 4 2 4 3 2" xfId="4157" xr:uid="{43E16E60-3A94-440B-A6AC-CC2E762574CE}"/>
    <cellStyle name="Vírgula 3 4 2 4 4" xfId="2733" xr:uid="{3F02B5D7-F0E7-4001-8B10-07F836E2D237}"/>
    <cellStyle name="Vírgula 3 4 2 5" xfId="355" xr:uid="{94838A2C-C09C-407F-B6B3-60C0C3193165}"/>
    <cellStyle name="Vírgula 3 4 2 5 2" xfId="2496" xr:uid="{C0916786-5C22-4DFA-808C-283A93667753}"/>
    <cellStyle name="Vírgula 3 4 2 6" xfId="1202" xr:uid="{4707A53C-E2D8-4257-94C6-8923E510D1AD}"/>
    <cellStyle name="Vírgula 3 4 2 6 2" xfId="3313" xr:uid="{30205D4A-939B-4740-9F5F-E5B5F47BF730}"/>
    <cellStyle name="Vírgula 3 4 2 7" xfId="1861" xr:uid="{B86B27E9-84A5-40C1-9F03-96EEC633F30F}"/>
    <cellStyle name="Vírgula 3 4 2 7 2" xfId="3971" xr:uid="{7D14566A-1910-42D2-AE59-3F16BC32C4B9}"/>
    <cellStyle name="Vírgula 3 4 2 8" xfId="2307" xr:uid="{7FCE080E-AB70-416D-A68C-AC0A270B3BD9}"/>
    <cellStyle name="Vírgula 3 4 3" xfId="451" xr:uid="{BFDC0930-A149-4287-801D-D04F7D8A77F9}"/>
    <cellStyle name="Vírgula 3 4 3 2" xfId="896" xr:uid="{F88436E7-0222-48A7-960E-D35D355BC248}"/>
    <cellStyle name="Vírgula 3 4 3 2 2" xfId="1725" xr:uid="{98CB8CC8-D76E-47E9-BA33-BFD182DA945B}"/>
    <cellStyle name="Vírgula 3 4 3 2 2 2" xfId="2194" xr:uid="{BD28A9A1-F24C-47A1-8024-9091F8F782C3}"/>
    <cellStyle name="Vírgula 3 4 3 2 2 2 2" xfId="4260" xr:uid="{69592065-8A9B-4455-92DF-FC59334DFC0F}"/>
    <cellStyle name="Vírgula 3 4 3 2 2 3" xfId="3836" xr:uid="{6D2A961A-06AC-494E-8039-4D33E387C967}"/>
    <cellStyle name="Vírgula 3 4 3 2 3" xfId="1980" xr:uid="{91FFD415-9B20-4A0F-9498-6B8D12367252}"/>
    <cellStyle name="Vírgula 3 4 3 2 3 2" xfId="4074" xr:uid="{6B4C0C4E-E876-4807-8A21-F73CBEB4D24A}"/>
    <cellStyle name="Vírgula 3 4 3 2 4" xfId="3019" xr:uid="{07D3DAC9-7D7F-45A7-A420-415ED01C54D9}"/>
    <cellStyle name="Vírgula 3 4 3 3" xfId="1298" xr:uid="{09FECD4B-ACC9-4341-AD9B-E8DAAF723BDC}"/>
    <cellStyle name="Vírgula 3 4 3 3 2" xfId="2114" xr:uid="{84E20B1C-AD78-4813-BD60-43298667F516}"/>
    <cellStyle name="Vírgula 3 4 3 3 2 2" xfId="4180" xr:uid="{E55E2CBD-7AE7-48EA-BB19-654A8B9CC64A}"/>
    <cellStyle name="Vírgula 3 4 3 3 3" xfId="3409" xr:uid="{8A3D3D1E-98E4-4CC6-9C95-6A8F690063CD}"/>
    <cellStyle name="Vírgula 3 4 3 4" xfId="1892" xr:uid="{DD5DB32C-A499-4C13-87D3-53274550CE54}"/>
    <cellStyle name="Vírgula 3 4 3 4 2" xfId="3994" xr:uid="{EABFE88B-0735-4F9A-90D4-B820A052E937}"/>
    <cellStyle name="Vírgula 3 4 3 5" xfId="2592" xr:uid="{19795B3D-C9B4-4F60-8DFB-C62B64E0F218}"/>
    <cellStyle name="Vírgula 3 4 4" xfId="704" xr:uid="{BEF155F4-D219-409F-8767-DBA22B83DF2C}"/>
    <cellStyle name="Vírgula 3 4 4 2" xfId="1533" xr:uid="{E89A7BB7-F820-4FC1-AC9B-869A2816C5AA}"/>
    <cellStyle name="Vírgula 3 4 4 2 2" xfId="2152" xr:uid="{F9D2CB81-086F-4992-96AF-9AFC1A116E79}"/>
    <cellStyle name="Vírgula 3 4 4 2 2 2" xfId="4218" xr:uid="{E79458EC-78A1-49D2-BD43-9F4484BF3850}"/>
    <cellStyle name="Vírgula 3 4 4 2 3" xfId="3644" xr:uid="{A4F57F0B-F0D6-40D7-908C-9934CF3D9D41}"/>
    <cellStyle name="Vírgula 3 4 4 3" xfId="1938" xr:uid="{506810F8-2C12-4C92-BABC-D61BA80C06AB}"/>
    <cellStyle name="Vírgula 3 4 4 3 2" xfId="4032" xr:uid="{DB2018D2-1F71-4D0D-817F-29CE7D7C30BE}"/>
    <cellStyle name="Vírgula 3 4 4 4" xfId="2827" xr:uid="{D3C304A1-D3C8-476E-AE81-223A8C8694DC}"/>
    <cellStyle name="Vírgula 3 4 5" xfId="573" xr:uid="{FBC36DAD-75A6-462A-8DBF-3164E8BA0547}"/>
    <cellStyle name="Vírgula 3 4 5 2" xfId="1420" xr:uid="{F5164D93-38AB-4184-B836-6F60465E33A0}"/>
    <cellStyle name="Vírgula 3 4 5 2 2" xfId="3531" xr:uid="{F52BBF33-3F22-4EAF-8BC1-5B0663FB424F}"/>
    <cellStyle name="Vírgula 3 4 5 3" xfId="2072" xr:uid="{F3D6595B-D2CD-4F89-8C7B-035026B78BC8}"/>
    <cellStyle name="Vírgula 3 4 5 3 2" xfId="4138" xr:uid="{1DEB6D48-BEF8-481D-A4F9-EF27C7FE8150}"/>
    <cellStyle name="Vírgula 3 4 5 4" xfId="2714" xr:uid="{F4A67AFA-5404-413C-9EC3-EA756701B7ED}"/>
    <cellStyle name="Vírgula 3 4 6" xfId="248" xr:uid="{2D4E7C4F-7B7E-4AFC-8A75-55D078E2D8C6}"/>
    <cellStyle name="Vírgula 3 4 6 2" xfId="2401" xr:uid="{60F47840-45F0-4A26-BD19-8633CE5C67F0}"/>
    <cellStyle name="Vírgula 3 4 7" xfId="1106" xr:uid="{7E862308-978D-4BD1-823A-05A247A0CEAA}"/>
    <cellStyle name="Vírgula 3 4 7 2" xfId="3217" xr:uid="{4573852A-FEEB-444E-B8A8-5C2BF1737384}"/>
    <cellStyle name="Vírgula 3 4 8" xfId="1842" xr:uid="{786D5CEB-C8B1-4804-86D4-B6DCF69E4027}"/>
    <cellStyle name="Vírgula 3 4 8 2" xfId="3952" xr:uid="{D073BA6A-CD8D-495C-9F23-EB5C68BCC451}"/>
    <cellStyle name="Vírgula 3 4 9" xfId="2288" xr:uid="{6E6BBDDC-A841-4EA4-96B3-F314EF59AB60}"/>
    <cellStyle name="Vírgula 3 5" xfId="235" xr:uid="{936F5321-645B-4935-B47B-6EBEDCE11006}"/>
    <cellStyle name="Vírgula 3 5 2" xfId="348" xr:uid="{31944FD3-6005-4057-8FBB-4466BCB17548}"/>
    <cellStyle name="Vírgula 3 5 2 2" xfId="540" xr:uid="{2D1966B5-8FDD-494A-B798-157C6D9B2D0C}"/>
    <cellStyle name="Vírgula 3 5 2 2 2" xfId="985" xr:uid="{A15ED60E-5FBE-42A9-A994-88A4FC31FAD3}"/>
    <cellStyle name="Vírgula 3 5 2 2 2 2" xfId="1814" xr:uid="{1085ACAA-62FE-4356-925B-A0FED6B5D1B3}"/>
    <cellStyle name="Vírgula 3 5 2 2 2 2 2" xfId="3925" xr:uid="{694EA38D-DD06-46E6-9585-31E893270D6A}"/>
    <cellStyle name="Vírgula 3 5 2 2 2 3" xfId="3108" xr:uid="{728C2E12-7365-4C1A-8B21-7E07CE172157}"/>
    <cellStyle name="Vírgula 3 5 2 2 3" xfId="1387" xr:uid="{7CD1A861-0251-4BF2-9DD5-A0FF151FE4C0}"/>
    <cellStyle name="Vírgula 3 5 2 2 3 2" xfId="3498" xr:uid="{0EA11206-6A38-4BF0-8886-957DD616F1BB}"/>
    <cellStyle name="Vírgula 3 5 2 2 4" xfId="2187" xr:uid="{65D03C81-CD01-44DB-8013-C3EB8FB7AB6F}"/>
    <cellStyle name="Vírgula 3 5 2 2 4 2" xfId="4253" xr:uid="{8A28E974-8A15-46D2-8417-FECD96AA8491}"/>
    <cellStyle name="Vírgula 3 5 2 2 5" xfId="2681" xr:uid="{0C5FE1FB-936E-4BFA-9FF8-CB9EE6699B40}"/>
    <cellStyle name="Vírgula 3 5 2 3" xfId="793" xr:uid="{23D3328E-66EA-4A6A-A762-4C5620160898}"/>
    <cellStyle name="Vírgula 3 5 2 3 2" xfId="1622" xr:uid="{AB93E838-677C-47D9-8AD4-092FB528BA96}"/>
    <cellStyle name="Vírgula 3 5 2 3 2 2" xfId="3733" xr:uid="{3D0E52F4-45C0-4616-AA80-D1624B92F672}"/>
    <cellStyle name="Vírgula 3 5 2 3 3" xfId="2916" xr:uid="{F7486ED7-3585-4E81-BBF6-4A8029701081}"/>
    <cellStyle name="Vírgula 3 5 2 4" xfId="1195" xr:uid="{099147C0-03AA-401E-9DB3-38FE99F5A6F5}"/>
    <cellStyle name="Vírgula 3 5 2 4 2" xfId="3306" xr:uid="{DEA0BC04-DAEB-43E4-9DDE-30A0A04EDE6F}"/>
    <cellStyle name="Vírgula 3 5 2 5" xfId="1973" xr:uid="{A983E21E-3F27-40CB-A3C8-65927EE0D67F}"/>
    <cellStyle name="Vírgula 3 5 2 5 2" xfId="4067" xr:uid="{AA80F147-223A-4115-BC46-82DF8E1663A6}"/>
    <cellStyle name="Vírgula 3 5 2 6" xfId="2489" xr:uid="{B007CAEC-3D7F-41EE-BDA1-9882A06D57EA}"/>
    <cellStyle name="Vírgula 3 5 3" xfId="444" xr:uid="{5EC28CA8-C6DD-497B-B76D-CD0A997C5025}"/>
    <cellStyle name="Vírgula 3 5 3 2" xfId="889" xr:uid="{AA7077FE-F905-4F3C-82E4-E09DFE148A98}"/>
    <cellStyle name="Vírgula 3 5 3 2 2" xfId="1718" xr:uid="{E42A1C1D-F88B-4233-9265-F08BF2DB5379}"/>
    <cellStyle name="Vírgula 3 5 3 2 2 2" xfId="3829" xr:uid="{F4590B19-DEBE-4024-A126-1E5022FC38CD}"/>
    <cellStyle name="Vírgula 3 5 3 2 3" xfId="3012" xr:uid="{57DD5AD1-90FB-4FC3-B677-54E7B14BBFC8}"/>
    <cellStyle name="Vírgula 3 5 3 3" xfId="1291" xr:uid="{09CFD85D-BC51-4847-88C4-96D802A7B311}"/>
    <cellStyle name="Vírgula 3 5 3 3 2" xfId="3402" xr:uid="{DA268434-EB84-4FD4-8321-8BB1D71D3AD0}"/>
    <cellStyle name="Vírgula 3 5 3 4" xfId="2107" xr:uid="{BA7B32E4-3294-4D42-B80C-8639DCC65700}"/>
    <cellStyle name="Vírgula 3 5 3 4 2" xfId="4173" xr:uid="{9E409135-5B55-4708-AA31-EE96B0DB870C}"/>
    <cellStyle name="Vírgula 3 5 3 5" xfId="2585" xr:uid="{ABF4084F-B49D-4557-A3AD-AF39E90A92D7}"/>
    <cellStyle name="Vírgula 3 5 4" xfId="697" xr:uid="{61137F01-6F17-4A65-A86B-DC4211E60F96}"/>
    <cellStyle name="Vírgula 3 5 4 2" xfId="1526" xr:uid="{54951C57-E756-4717-BFF7-EB9E69CDC32C}"/>
    <cellStyle name="Vírgula 3 5 4 2 2" xfId="3637" xr:uid="{060AF10F-22FB-49B3-AE6C-01CA41177635}"/>
    <cellStyle name="Vírgula 3 5 4 3" xfId="2820" xr:uid="{058F29C7-E7AC-4E06-A1D0-C911A7004B8B}"/>
    <cellStyle name="Vírgula 3 5 5" xfId="1099" xr:uid="{A17C91A5-7FA2-4A9A-AC2E-CF74A433726E}"/>
    <cellStyle name="Vírgula 3 5 5 2" xfId="3210" xr:uid="{E67C20F2-1737-4253-819D-663C3C59B5AF}"/>
    <cellStyle name="Vírgula 3 5 6" xfId="1885" xr:uid="{A73BC5A3-D8DB-4AAA-9931-26F745BC403A}"/>
    <cellStyle name="Vírgula 3 5 6 2" xfId="3987" xr:uid="{3A0F609C-AA1A-4F78-8682-48434CB2B108}"/>
    <cellStyle name="Vírgula 3 5 7" xfId="2394" xr:uid="{7EDC7C32-C34F-45A5-9A53-5B8C918585D6}"/>
    <cellStyle name="Vírgula 3 6" xfId="274" xr:uid="{46A94F07-90D2-4432-B209-859F90F870E8}"/>
    <cellStyle name="Vírgula 3 6 2" xfId="371" xr:uid="{06888274-24FB-4427-B282-599774F0B4A7}"/>
    <cellStyle name="Vírgula 3 6 2 2" xfId="563" xr:uid="{61C54F5E-EA02-4707-87EB-4A7D28134727}"/>
    <cellStyle name="Vírgula 3 6 2 2 2" xfId="1008" xr:uid="{8BC4706E-B075-41B4-920D-7707412C80FE}"/>
    <cellStyle name="Vírgula 3 6 2 2 2 2" xfId="1837" xr:uid="{57C9739E-FB70-45F9-A9DC-3AA98D375304}"/>
    <cellStyle name="Vírgula 3 6 2 2 2 2 2" xfId="3948" xr:uid="{5D2CF039-B2EF-43F8-B8F3-3882479F5336}"/>
    <cellStyle name="Vírgula 3 6 2 2 2 3" xfId="3131" xr:uid="{774BE38B-2875-4BBB-B1C2-55F5AEABE705}"/>
    <cellStyle name="Vírgula 3 6 2 2 3" xfId="1410" xr:uid="{11D74E72-3608-426A-A9B2-7155C98B64FD}"/>
    <cellStyle name="Vírgula 3 6 2 2 3 2" xfId="3521" xr:uid="{7E08806D-7F5F-404B-A85F-32BC64843E17}"/>
    <cellStyle name="Vírgula 3 6 2 2 4" xfId="2704" xr:uid="{944DA592-3B77-4DD7-867A-6E9CDF8AEFD0}"/>
    <cellStyle name="Vírgula 3 6 2 3" xfId="816" xr:uid="{192713BC-5E4F-42EA-831A-6A0798BD5ABC}"/>
    <cellStyle name="Vírgula 3 6 2 3 2" xfId="1645" xr:uid="{4F8DC490-5D3C-4118-9A75-B927E1954198}"/>
    <cellStyle name="Vírgula 3 6 2 3 2 2" xfId="3756" xr:uid="{B57A3AA9-2748-4A9B-ABDA-E2B54AB005BA}"/>
    <cellStyle name="Vírgula 3 6 2 3 3" xfId="2939" xr:uid="{2D6E72E4-B403-4DCB-9779-7150D450C674}"/>
    <cellStyle name="Vírgula 3 6 2 4" xfId="1218" xr:uid="{7C371ED9-F140-49CF-9D78-AD8545B5EBA5}"/>
    <cellStyle name="Vírgula 3 6 2 4 2" xfId="3329" xr:uid="{A8162763-26BB-4F8C-B784-B011EAFEFC73}"/>
    <cellStyle name="Vírgula 3 6 2 5" xfId="2229" xr:uid="{A3F29FFC-F005-4EB2-A601-7B05F8ADF8D5}"/>
    <cellStyle name="Vírgula 3 6 2 5 2" xfId="4295" xr:uid="{0FDE3361-4241-4B0A-B86B-942D953F1382}"/>
    <cellStyle name="Vírgula 3 6 2 6" xfId="2512" xr:uid="{B3AE8F67-C044-4D61-BB61-00CFE1A5C954}"/>
    <cellStyle name="Vírgula 3 6 3" xfId="467" xr:uid="{72855977-353B-4F94-A16B-B48F31ACF1E6}"/>
    <cellStyle name="Vírgula 3 6 3 2" xfId="912" xr:uid="{EE673A0C-03C8-4A25-BB4A-2A106B34037C}"/>
    <cellStyle name="Vírgula 3 6 3 2 2" xfId="1741" xr:uid="{83083438-86C8-445E-AA31-53D485805B1F}"/>
    <cellStyle name="Vírgula 3 6 3 2 2 2" xfId="3852" xr:uid="{6AB327C9-2B2E-47F4-AD56-5EBACB0D2F97}"/>
    <cellStyle name="Vírgula 3 6 3 2 3" xfId="3035" xr:uid="{9D463CFF-74A5-4F8F-B9CD-451057157837}"/>
    <cellStyle name="Vírgula 3 6 3 3" xfId="1314" xr:uid="{03A2E170-F406-4216-B40E-2A47B422CFAD}"/>
    <cellStyle name="Vírgula 3 6 3 3 2" xfId="3425" xr:uid="{21078CCB-1EF4-40C6-A67A-49BC80A56517}"/>
    <cellStyle name="Vírgula 3 6 3 4" xfId="2608" xr:uid="{8117BDEA-F773-4801-94E6-C8409A728FE7}"/>
    <cellStyle name="Vírgula 3 6 4" xfId="720" xr:uid="{A640DF19-613E-4751-9DAC-72E13E4E9727}"/>
    <cellStyle name="Vírgula 3 6 4 2" xfId="1549" xr:uid="{6F27A2CF-4C11-4747-A971-3E09EC3CB5CC}"/>
    <cellStyle name="Vírgula 3 6 4 2 2" xfId="3660" xr:uid="{E8732C35-F593-4701-AE4A-2B71BA6BEDE6}"/>
    <cellStyle name="Vírgula 3 6 4 3" xfId="2843" xr:uid="{D515D625-8808-404E-9DE4-5441B53A802B}"/>
    <cellStyle name="Vírgula 3 6 5" xfId="1122" xr:uid="{964C1AE4-B1C5-4372-A7E3-E14CA12F8E19}"/>
    <cellStyle name="Vírgula 3 6 5 2" xfId="3233" xr:uid="{8BBE6B6D-2153-42A9-86E5-7BC6A9F7AB04}"/>
    <cellStyle name="Vírgula 3 6 6" xfId="2020" xr:uid="{661E8049-DE66-4DCD-94F8-E5E5F74231AD}"/>
    <cellStyle name="Vírgula 3 6 6 2" xfId="4109" xr:uid="{B31F6492-AE5E-4C76-AFDB-D421190A48BA}"/>
    <cellStyle name="Vírgula 3 6 7" xfId="2416" xr:uid="{715B7E92-D14D-4A2F-9C93-0341F52A2C17}"/>
    <cellStyle name="Vírgula 3 7" xfId="277" xr:uid="{89ADC100-5DB5-400B-87DD-B58906F1D23D}"/>
    <cellStyle name="Vírgula 3 7 2" xfId="470" xr:uid="{B65C5988-10DD-45E0-9951-878A19EAC8A3}"/>
    <cellStyle name="Vírgula 3 7 2 2" xfId="915" xr:uid="{EEA75121-C25E-42D6-853C-0DEEA544D6CC}"/>
    <cellStyle name="Vírgula 3 7 2 2 2" xfId="1744" xr:uid="{677B7A9B-7233-4EC9-9C9D-6BFA728ECA1F}"/>
    <cellStyle name="Vírgula 3 7 2 2 2 2" xfId="3855" xr:uid="{3187491C-CC94-4566-8F05-14364D15D0C2}"/>
    <cellStyle name="Vírgula 3 7 2 2 3" xfId="3038" xr:uid="{126A257D-2842-4F4D-912B-10E3AE720962}"/>
    <cellStyle name="Vírgula 3 7 2 3" xfId="1317" xr:uid="{A6F822A9-F5A3-4386-AB67-355505F06062}"/>
    <cellStyle name="Vírgula 3 7 2 3 2" xfId="3428" xr:uid="{644E9BB4-41AE-47C8-B202-DAC7E0B092E8}"/>
    <cellStyle name="Vírgula 3 7 2 4" xfId="2611" xr:uid="{1F7547D9-E30A-4297-BFB7-B29F735DC4D7}"/>
    <cellStyle name="Vírgula 3 7 3" xfId="723" xr:uid="{8BA31F00-314F-47B4-9FA6-F14009D2778C}"/>
    <cellStyle name="Vírgula 3 7 3 2" xfId="1552" xr:uid="{8037CEC8-7628-48D9-AC82-59FBC5C86A6F}"/>
    <cellStyle name="Vírgula 3 7 3 2 2" xfId="3663" xr:uid="{4179C456-DCB7-447B-AFBB-C84E504CD4A1}"/>
    <cellStyle name="Vírgula 3 7 3 3" xfId="2846" xr:uid="{A802EBD4-A093-4652-B1C6-62F673F72629}"/>
    <cellStyle name="Vírgula 3 7 4" xfId="1125" xr:uid="{8B83F9B3-E464-4F5B-B5DD-D8A1AEAE08CD}"/>
    <cellStyle name="Vírgula 3 7 4 2" xfId="3236" xr:uid="{29A4E320-19C7-4265-BD69-DBB38942A066}"/>
    <cellStyle name="Vírgula 3 7 5" xfId="2065" xr:uid="{EBF73B03-291C-45D7-980A-9B4BB015B4B6}"/>
    <cellStyle name="Vírgula 3 7 5 2" xfId="4131" xr:uid="{77111461-F3C6-4AC2-979C-6C441B107494}"/>
    <cellStyle name="Vírgula 3 7 6" xfId="2419" xr:uid="{AE25BE2D-EAC2-4754-8F1D-D471F5527278}"/>
    <cellStyle name="Vírgula 3 8" xfId="374" xr:uid="{F8A7DE99-8F1C-4A7E-8B36-0C6B29CF7202}"/>
    <cellStyle name="Vírgula 3 8 2" xfId="819" xr:uid="{C70E3E36-4F71-4638-9BEB-77DA1A9C6142}"/>
    <cellStyle name="Vírgula 3 8 2 2" xfId="1648" xr:uid="{161716F6-AC04-43F1-AB28-26CCC72681B7}"/>
    <cellStyle name="Vírgula 3 8 2 2 2" xfId="3759" xr:uid="{13C9A4E7-C88E-479E-A622-5CA24470036B}"/>
    <cellStyle name="Vírgula 3 8 2 3" xfId="2942" xr:uid="{FEDB0481-6B7F-4937-ABC0-03EAB783131E}"/>
    <cellStyle name="Vírgula 3 8 3" xfId="1221" xr:uid="{25D01287-000C-4568-A089-A1EC60CDAB5C}"/>
    <cellStyle name="Vírgula 3 8 3 2" xfId="3332" xr:uid="{05811D84-3843-48E0-AC33-EE95B238BA9E}"/>
    <cellStyle name="Vírgula 3 8 4" xfId="2515" xr:uid="{AB08A687-C92F-4E5D-8FD3-F547BBB4D7FB}"/>
    <cellStyle name="Vírgula 3 9" xfId="619" xr:uid="{E49D7C7A-6D17-4E9E-A3DF-63F812777517}"/>
    <cellStyle name="Vírgula 3 9 2" xfId="1456" xr:uid="{1AFDA110-E413-488B-BCE0-7BBFEA464B58}"/>
    <cellStyle name="Vírgula 3 9 2 2" xfId="3567" xr:uid="{B5CD6878-A42A-458F-9A2D-E853B2F97A68}"/>
    <cellStyle name="Vírgula 3 9 3" xfId="2750" xr:uid="{836426C1-4002-496F-A3BF-18E95833133F}"/>
    <cellStyle name="Vírgula 4" xfId="58" xr:uid="{3D37D6C6-430E-4ADE-A069-14FDC9FD92A7}"/>
    <cellStyle name="Vírgula 4 10" xfId="1031" xr:uid="{1AE80D5C-E518-4EAA-8531-1D20DDCFD8AA}"/>
    <cellStyle name="Vírgula 4 10 2" xfId="3142" xr:uid="{AF12F926-A839-41E4-AB66-3A5144D68D64}"/>
    <cellStyle name="Vírgula 4 11" xfId="2275" xr:uid="{E312BE9C-6C56-4760-8E56-B6D3A555579D}"/>
    <cellStyle name="Vírgula 4 12" xfId="2284" xr:uid="{BD715F18-9373-4F4A-9ADF-EB89175A5003}"/>
    <cellStyle name="Vírgula 4 2" xfId="66" xr:uid="{BDF0F0AB-1CEC-40D1-B4C6-31CBC3FB09C4}"/>
    <cellStyle name="Vírgula 4 2 10" xfId="2286" xr:uid="{B6A2B627-5792-4704-8A81-B7E7319A046B}"/>
    <cellStyle name="Vírgula 4 2 2" xfId="108" xr:uid="{DE22B3BA-5429-4F23-8E16-81447D535068}"/>
    <cellStyle name="Vírgula 4 2 2 2" xfId="353" xr:uid="{DA5973DF-8F88-4476-B1DF-AC34490DC9CC}"/>
    <cellStyle name="Vírgula 4 2 2 2 2" xfId="545" xr:uid="{6D2E4A8D-DE74-4B5A-BE3C-69EE38A891D7}"/>
    <cellStyle name="Vírgula 4 2 2 2 2 2" xfId="990" xr:uid="{D146365F-4174-4CC2-8C68-DDC543070BC0}"/>
    <cellStyle name="Vírgula 4 2 2 2 2 2 2" xfId="1819" xr:uid="{7E78E530-D687-4C98-9A8C-756DDF690C5E}"/>
    <cellStyle name="Vírgula 4 2 2 2 2 2 2 2" xfId="3930" xr:uid="{88E1D80D-B80C-4FC8-B26C-A5B767F45123}"/>
    <cellStyle name="Vírgula 4 2 2 2 2 2 3" xfId="2211" xr:uid="{F6FA2A37-3C5F-4A5C-98FC-C1492F9CB379}"/>
    <cellStyle name="Vírgula 4 2 2 2 2 2 3 2" xfId="4277" xr:uid="{8DC498A0-83A5-49AB-9CE9-4EEFE0A7E6F1}"/>
    <cellStyle name="Vírgula 4 2 2 2 2 2 4" xfId="3113" xr:uid="{B2509CF3-008E-4B35-A369-A93603685EE2}"/>
    <cellStyle name="Vírgula 4 2 2 2 2 3" xfId="1392" xr:uid="{CDE77CE4-0F3D-41A8-8D4C-519D32B9E6B8}"/>
    <cellStyle name="Vírgula 4 2 2 2 2 3 2" xfId="3503" xr:uid="{B780E47B-DC93-4DFB-814D-1C973A72B74E}"/>
    <cellStyle name="Vírgula 4 2 2 2 2 4" xfId="1997" xr:uid="{73628F43-778B-4E7B-8857-38C6A853BEB4}"/>
    <cellStyle name="Vírgula 4 2 2 2 2 4 2" xfId="4091" xr:uid="{01B8E2B4-1D73-40BE-9200-1CB3FD1A4E1D}"/>
    <cellStyle name="Vírgula 4 2 2 2 2 5" xfId="2686" xr:uid="{B0ECA96A-851D-45BB-9194-C4985B07F917}"/>
    <cellStyle name="Vírgula 4 2 2 2 3" xfId="798" xr:uid="{D80538A7-A943-4405-80BB-64C6AF8F4A54}"/>
    <cellStyle name="Vírgula 4 2 2 2 3 2" xfId="1627" xr:uid="{1A5FF9D2-F0D5-4603-8098-1A006405F415}"/>
    <cellStyle name="Vírgula 4 2 2 2 3 2 2" xfId="3738" xr:uid="{A3A7CA73-44F4-41B8-A2AC-619D81588D7A}"/>
    <cellStyle name="Vírgula 4 2 2 2 3 3" xfId="2131" xr:uid="{FBC6F525-E7E7-4E7A-85BD-A4F67D8F9215}"/>
    <cellStyle name="Vírgula 4 2 2 2 3 3 2" xfId="4197" xr:uid="{90DD7C6F-9811-47AA-9B7B-73D1BEFA38DD}"/>
    <cellStyle name="Vírgula 4 2 2 2 3 4" xfId="2921" xr:uid="{EA7AA165-F13F-4C75-AACF-AC022AF7360B}"/>
    <cellStyle name="Vírgula 4 2 2 2 4" xfId="1200" xr:uid="{B7AC1800-C26F-4BBB-88A4-F2F928189EC6}"/>
    <cellStyle name="Vírgula 4 2 2 2 4 2" xfId="3311" xr:uid="{0E456F64-FF83-42C5-94B2-942D5D26DD3B}"/>
    <cellStyle name="Vírgula 4 2 2 2 5" xfId="1912" xr:uid="{11DA309E-059E-4930-BF8E-46DAC5AEB1DB}"/>
    <cellStyle name="Vírgula 4 2 2 2 5 2" xfId="4011" xr:uid="{D68B3F03-7DD5-4534-BD83-CF8045224659}"/>
    <cellStyle name="Vírgula 4 2 2 2 6" xfId="2494" xr:uid="{00EB2EA1-D9C4-4D5F-B9E6-27B8DB6261DA}"/>
    <cellStyle name="Vírgula 4 2 2 3" xfId="449" xr:uid="{1AC4645F-7DDB-41F4-988E-A70DD8299616}"/>
    <cellStyle name="Vírgula 4 2 2 3 2" xfId="894" xr:uid="{092A4DFD-B9AA-46A2-9BF4-EE17694DE7F9}"/>
    <cellStyle name="Vírgula 4 2 2 3 2 2" xfId="1723" xr:uid="{FD7BA0F8-6442-4C74-9F2C-A8391B667DCD}"/>
    <cellStyle name="Vírgula 4 2 2 3 2 2 2" xfId="3834" xr:uid="{D77B7F66-A504-423E-AFFA-E0AD2B5943E8}"/>
    <cellStyle name="Vírgula 4 2 2 3 2 3" xfId="2169" xr:uid="{DDFBC8E5-6751-4DBE-98F7-1E2788073DEE}"/>
    <cellStyle name="Vírgula 4 2 2 3 2 3 2" xfId="4235" xr:uid="{E99E4F77-C221-40BD-B9AB-778BC91A0275}"/>
    <cellStyle name="Vírgula 4 2 2 3 2 4" xfId="3017" xr:uid="{55865B23-1BDD-49A1-BC7B-DD5D3905BDF6}"/>
    <cellStyle name="Vírgula 4 2 2 3 3" xfId="1296" xr:uid="{64617327-22BA-41A1-801E-4DCAC07B11EE}"/>
    <cellStyle name="Vírgula 4 2 2 3 3 2" xfId="3407" xr:uid="{CC522B29-C431-46DF-BB70-9C6E26C4B456}"/>
    <cellStyle name="Vírgula 4 2 2 3 4" xfId="1955" xr:uid="{64383EA7-3B8D-452C-BFB7-901244D34AFD}"/>
    <cellStyle name="Vírgula 4 2 2 3 4 2" xfId="4049" xr:uid="{64E05FCF-CC4C-474A-869A-0568CB334070}"/>
    <cellStyle name="Vírgula 4 2 2 3 5" xfId="2590" xr:uid="{D36C136B-6A81-4288-9411-ED994219ECC5}"/>
    <cellStyle name="Vírgula 4 2 2 4" xfId="702" xr:uid="{CF71E9B2-A979-4F82-96B7-34C5CCCEA39E}"/>
    <cellStyle name="Vírgula 4 2 2 4 2" xfId="1531" xr:uid="{82AF7152-F928-4AF4-99C4-D21489B11F99}"/>
    <cellStyle name="Vírgula 4 2 2 4 2 2" xfId="3642" xr:uid="{6ECB2B65-AD50-4CC3-98FD-B76D62E93CE0}"/>
    <cellStyle name="Vírgula 4 2 2 4 3" xfId="2089" xr:uid="{13F2BDEE-6D5F-4682-ACBB-D62818500D2F}"/>
    <cellStyle name="Vírgula 4 2 2 4 3 2" xfId="4155" xr:uid="{448AE929-A261-4814-8962-6A57094B1058}"/>
    <cellStyle name="Vírgula 4 2 2 4 4" xfId="2825" xr:uid="{A1779602-6EF9-4A77-82C3-2C1D90E0B80F}"/>
    <cellStyle name="Vírgula 4 2 2 5" xfId="590" xr:uid="{1158F14B-B858-4A51-8ACB-1CA79C5F1D35}"/>
    <cellStyle name="Vírgula 4 2 2 5 2" xfId="1437" xr:uid="{477BE9A2-DE2A-4FFA-B00B-63D02F66C3AA}"/>
    <cellStyle name="Vírgula 4 2 2 5 2 2" xfId="3548" xr:uid="{CC94475C-7024-439D-B260-53EAF9A515C3}"/>
    <cellStyle name="Vírgula 4 2 2 5 3" xfId="2731" xr:uid="{F94C641D-E977-4E0E-B005-4915B5DD74F7}"/>
    <cellStyle name="Vírgula 4 2 2 6" xfId="246" xr:uid="{E6C653B6-7E30-4A5F-B389-274767C31426}"/>
    <cellStyle name="Vírgula 4 2 2 6 2" xfId="2399" xr:uid="{23520EF1-2357-4951-B272-5D5885B5A206}"/>
    <cellStyle name="Vírgula 4 2 2 7" xfId="1104" xr:uid="{E29EBFBA-B597-4ADA-BCAC-58F6DC15734E}"/>
    <cellStyle name="Vírgula 4 2 2 7 2" xfId="3215" xr:uid="{1A8A20F0-8B19-4813-AC85-7CB66F168B52}"/>
    <cellStyle name="Vírgula 4 2 2 8" xfId="1859" xr:uid="{E88C061B-F7F8-48EC-83C4-1BF709FFD36C}"/>
    <cellStyle name="Vírgula 4 2 2 8 2" xfId="3969" xr:uid="{F3A7CDD9-0C5E-486F-8CD1-FC6EC0E91C57}"/>
    <cellStyle name="Vírgula 4 2 2 9" xfId="2305" xr:uid="{52A4F6D1-4FA1-4230-A91C-7DB6E4F514F7}"/>
    <cellStyle name="Vírgula 4 2 3" xfId="311" xr:uid="{9174C245-F04D-4AE9-B750-511BE9DAF06D}"/>
    <cellStyle name="Vírgula 4 2 3 2" xfId="504" xr:uid="{0AC296D4-FF4D-442A-A2A7-1A9519A5AB65}"/>
    <cellStyle name="Vírgula 4 2 3 2 2" xfId="949" xr:uid="{F3734279-49EF-4157-9FC0-B770F7DCC04A}"/>
    <cellStyle name="Vírgula 4 2 3 2 2 2" xfId="1778" xr:uid="{536BA410-8185-431D-895D-16D5867FC162}"/>
    <cellStyle name="Vírgula 4 2 3 2 2 2 2" xfId="3889" xr:uid="{3915961F-804A-45FD-B3FA-4DD93A982A67}"/>
    <cellStyle name="Vírgula 4 2 3 2 2 3" xfId="2192" xr:uid="{6573A1E9-6F03-4512-B208-CB17C763DEFB}"/>
    <cellStyle name="Vírgula 4 2 3 2 2 3 2" xfId="4258" xr:uid="{256E5DE7-56A2-487C-B3F3-17CCC0059D57}"/>
    <cellStyle name="Vírgula 4 2 3 2 2 4" xfId="3072" xr:uid="{30EE39B9-9A3A-4DCA-9FDC-60049D609896}"/>
    <cellStyle name="Vírgula 4 2 3 2 3" xfId="1351" xr:uid="{444CE149-FC78-48FF-A3E3-3EB7EDC17A2D}"/>
    <cellStyle name="Vírgula 4 2 3 2 3 2" xfId="3462" xr:uid="{D7124509-8B1E-4EC6-909C-6FFA98F3A0DC}"/>
    <cellStyle name="Vírgula 4 2 3 2 4" xfId="1978" xr:uid="{520C4866-C433-4C4D-B790-AB8CC06BEFE6}"/>
    <cellStyle name="Vírgula 4 2 3 2 4 2" xfId="4072" xr:uid="{4F3FB548-B1DA-4AC7-A7CA-5AD8F2AEA086}"/>
    <cellStyle name="Vírgula 4 2 3 2 5" xfId="2645" xr:uid="{7AE6F49B-E1A4-4E94-B770-E069186D95AC}"/>
    <cellStyle name="Vírgula 4 2 3 3" xfId="757" xr:uid="{56BC27E8-D2C1-45C1-99FE-1770911D8BF7}"/>
    <cellStyle name="Vírgula 4 2 3 3 2" xfId="1586" xr:uid="{4A273F4C-FE0F-4C20-BF5C-F359AB3CCB9D}"/>
    <cellStyle name="Vírgula 4 2 3 3 2 2" xfId="3697" xr:uid="{C2E76463-28AE-42B7-A1DE-279D06F7D46A}"/>
    <cellStyle name="Vírgula 4 2 3 3 3" xfId="2112" xr:uid="{5EB08C22-43F2-4DED-BC9E-8FA06C08F5C7}"/>
    <cellStyle name="Vírgula 4 2 3 3 3 2" xfId="4178" xr:uid="{722D477D-AB9C-4D73-A93C-7EA845F1C0AF}"/>
    <cellStyle name="Vírgula 4 2 3 3 4" xfId="2880" xr:uid="{39BC0DB4-6792-4B97-A1FC-BA598A646238}"/>
    <cellStyle name="Vírgula 4 2 3 4" xfId="1159" xr:uid="{EAF5C187-E3E2-4D83-B64E-0B8DA282EDFA}"/>
    <cellStyle name="Vírgula 4 2 3 4 2" xfId="3270" xr:uid="{142F05AA-EF49-415F-B58E-0E380DC18279}"/>
    <cellStyle name="Vírgula 4 2 3 5" xfId="1890" xr:uid="{EBF04E54-5CD2-4693-9F7F-1FCCFEC7BBF8}"/>
    <cellStyle name="Vírgula 4 2 3 5 2" xfId="3992" xr:uid="{19C2CDDE-8162-4AEA-81F7-FE2FF5D0B8FC}"/>
    <cellStyle name="Vírgula 4 2 3 6" xfId="2453" xr:uid="{A8CDFC7A-68B4-4242-87C0-504D2AFAAE26}"/>
    <cellStyle name="Vírgula 4 2 4" xfId="408" xr:uid="{2047A2CD-878A-4F42-B4BD-E660583A076F}"/>
    <cellStyle name="Vírgula 4 2 4 2" xfId="853" xr:uid="{8714249B-30CA-445C-AA3C-AAF5703A9286}"/>
    <cellStyle name="Vírgula 4 2 4 2 2" xfId="1682" xr:uid="{B68E409E-388F-454C-AC32-C36846C2E743}"/>
    <cellStyle name="Vírgula 4 2 4 2 2 2" xfId="3793" xr:uid="{A7D6CC6F-FAFB-467B-B37C-C5D51BF1CBB7}"/>
    <cellStyle name="Vírgula 4 2 4 2 3" xfId="2150" xr:uid="{99521463-9C22-4538-827C-CA7D73AF03B2}"/>
    <cellStyle name="Vírgula 4 2 4 2 3 2" xfId="4216" xr:uid="{24F204D9-F96B-469F-A326-AC5512EED12D}"/>
    <cellStyle name="Vírgula 4 2 4 2 4" xfId="2976" xr:uid="{4C22E97D-046B-43EF-88EE-D1581778F938}"/>
    <cellStyle name="Vírgula 4 2 4 3" xfId="1255" xr:uid="{5CD5133E-E17E-4779-83C6-BB38DDC697AF}"/>
    <cellStyle name="Vírgula 4 2 4 3 2" xfId="3366" xr:uid="{14EA01E6-F5D9-4A9F-BAC7-D98F0A315756}"/>
    <cellStyle name="Vírgula 4 2 4 4" xfId="1936" xr:uid="{6D360369-92F4-4243-8AC4-012B6A2F201B}"/>
    <cellStyle name="Vírgula 4 2 4 4 2" xfId="4030" xr:uid="{0BE2D364-19D6-4B4A-919B-70A205F4A701}"/>
    <cellStyle name="Vírgula 4 2 4 5" xfId="2549" xr:uid="{4B1441B2-A144-4A21-BC1A-DEACFEA715A4}"/>
    <cellStyle name="Vírgula 4 2 5" xfId="659" xr:uid="{58F1CBB9-EE58-4615-B5A7-5FBC45F93FF6}"/>
    <cellStyle name="Vírgula 4 2 5 2" xfId="1490" xr:uid="{47D3CF05-2F20-464F-8385-47D9D6431395}"/>
    <cellStyle name="Vírgula 4 2 5 2 2" xfId="2244" xr:uid="{122189D7-09B0-4793-96C5-672599D5AB31}"/>
    <cellStyle name="Vírgula 4 2 5 2 2 2" xfId="4310" xr:uid="{35164280-F44D-42A3-A0CA-725DDA45D75A}"/>
    <cellStyle name="Vírgula 4 2 5 2 3" xfId="3601" xr:uid="{DEA785EC-8B98-4FCE-B748-D8C94D7091C5}"/>
    <cellStyle name="Vírgula 4 2 5 3" xfId="2037" xr:uid="{533770C2-968C-4A08-AC21-BDA8FA3C7199}"/>
    <cellStyle name="Vírgula 4 2 5 3 2" xfId="4124" xr:uid="{69D02C1A-A2F3-4245-AEE9-285D25699C5B}"/>
    <cellStyle name="Vírgula 4 2 5 4" xfId="2784" xr:uid="{7F5ECFBC-DB52-4E8B-B17E-EEC395C17DCE}"/>
    <cellStyle name="Vírgula 4 2 6" xfId="571" xr:uid="{4C902467-F1E9-4076-94AF-E67D7D555BAA}"/>
    <cellStyle name="Vírgula 4 2 6 2" xfId="1418" xr:uid="{CBF1EABD-54F8-4EA7-8CC0-797992A0B8AD}"/>
    <cellStyle name="Vírgula 4 2 6 2 2" xfId="3529" xr:uid="{53F0AE8C-0AC2-4884-B6C3-A6EA25267315}"/>
    <cellStyle name="Vírgula 4 2 6 3" xfId="2070" xr:uid="{5B49F696-EC59-46D1-8FED-B85C3BCF24BC}"/>
    <cellStyle name="Vírgula 4 2 6 3 2" xfId="4136" xr:uid="{421453CF-11A0-4886-8370-02F468694F5A}"/>
    <cellStyle name="Vírgula 4 2 6 4" xfId="2712" xr:uid="{D612C6EB-1206-4EAE-8A48-E9924627F254}"/>
    <cellStyle name="Vírgula 4 2 7" xfId="188" xr:uid="{59AAEA49-4388-40D1-B29C-9510C2D6441C}"/>
    <cellStyle name="Vírgula 4 2 7 2" xfId="2358" xr:uid="{8FD672D6-12C7-4816-8F6A-746A2D6928E8}"/>
    <cellStyle name="Vírgula 4 2 8" xfId="1063" xr:uid="{059933B4-10B6-4982-A790-CB241ABEEBBE}"/>
    <cellStyle name="Vírgula 4 2 8 2" xfId="3174" xr:uid="{8A4C2312-D5A2-46CD-8962-51E63946431D}"/>
    <cellStyle name="Vírgula 4 2 9" xfId="1840" xr:uid="{5DC1CAFA-8BE2-44BF-897F-3A5883B75525}"/>
    <cellStyle name="Vírgula 4 2 9 2" xfId="3950" xr:uid="{E38B8739-934D-48CB-B207-048CE68F0443}"/>
    <cellStyle name="Vírgula 4 3" xfId="271" xr:uid="{5CCA004A-A603-4695-B4F4-7F397A2E5C6A}"/>
    <cellStyle name="Vírgula 4 3 2" xfId="369" xr:uid="{481C8C1A-326F-4278-A178-6DDD5C18FB65}"/>
    <cellStyle name="Vírgula 4 3 2 2" xfId="561" xr:uid="{81FB97BE-2D82-4C1C-812E-246D739842D9}"/>
    <cellStyle name="Vírgula 4 3 2 2 2" xfId="1006" xr:uid="{9F0E8E7C-639B-40C1-9A1D-0E1AF8952472}"/>
    <cellStyle name="Vírgula 4 3 2 2 2 2" xfId="1835" xr:uid="{0E458043-C353-42A7-8EBA-F92E2DE9ADFB}"/>
    <cellStyle name="Vírgula 4 3 2 2 2 2 2" xfId="3946" xr:uid="{4121FA2E-8328-4CFC-824F-6A403F9A235D}"/>
    <cellStyle name="Vírgula 4 3 2 2 2 3" xfId="3129" xr:uid="{02D43209-0BF1-4D0B-BF2C-A82E94FACDC5}"/>
    <cellStyle name="Vírgula 4 3 2 2 3" xfId="1408" xr:uid="{33BDB5DF-8856-4095-B51E-F5720C933B46}"/>
    <cellStyle name="Vírgula 4 3 2 2 3 2" xfId="3519" xr:uid="{5E900136-02CE-47D8-B609-E5F49E00B78C}"/>
    <cellStyle name="Vírgula 4 3 2 2 4" xfId="2189" xr:uid="{41B39696-7D7B-4F43-B7DC-7C26FDB3BE3B}"/>
    <cellStyle name="Vírgula 4 3 2 2 4 2" xfId="4255" xr:uid="{9B4E4865-848C-4E9E-A416-263A2658DD58}"/>
    <cellStyle name="Vírgula 4 3 2 2 5" xfId="2702" xr:uid="{0347CC06-CDE2-4F2F-A6A5-6849604DE764}"/>
    <cellStyle name="Vírgula 4 3 2 3" xfId="814" xr:uid="{C91121FD-CD22-4399-831F-C134ADF4A1FB}"/>
    <cellStyle name="Vírgula 4 3 2 3 2" xfId="1643" xr:uid="{AACAA290-B0AE-45A6-93FF-B314D3DE76C7}"/>
    <cellStyle name="Vírgula 4 3 2 3 2 2" xfId="3754" xr:uid="{1A7D562C-B018-456D-B74F-D9F536AA6BB6}"/>
    <cellStyle name="Vírgula 4 3 2 3 3" xfId="2937" xr:uid="{64B2BD86-F8AF-40E1-9B9A-201AF2C3FE11}"/>
    <cellStyle name="Vírgula 4 3 2 4" xfId="1216" xr:uid="{4FA299A0-DD4D-430F-B4AC-6E517D59AAF3}"/>
    <cellStyle name="Vírgula 4 3 2 4 2" xfId="3327" xr:uid="{536E164F-B098-4E22-AE1E-677FA096EAA4}"/>
    <cellStyle name="Vírgula 4 3 2 5" xfId="1975" xr:uid="{22AE148C-CC9E-438E-9DA1-66AD32A63055}"/>
    <cellStyle name="Vírgula 4 3 2 5 2" xfId="4069" xr:uid="{DF547001-265C-4A48-B33C-E1BD7C45507C}"/>
    <cellStyle name="Vírgula 4 3 2 6" xfId="2510" xr:uid="{06F285BB-2D39-4731-8F2E-6A4B137C1283}"/>
    <cellStyle name="Vírgula 4 3 3" xfId="465" xr:uid="{E718CD7C-FDBD-4E73-AD50-EFC4D6A0B71B}"/>
    <cellStyle name="Vírgula 4 3 3 2" xfId="910" xr:uid="{9714CC71-D1E0-47F4-A01C-CA917F2B9396}"/>
    <cellStyle name="Vírgula 4 3 3 2 2" xfId="1739" xr:uid="{96D20BC4-357D-4F1B-8FE6-BCDB507D66C1}"/>
    <cellStyle name="Vírgula 4 3 3 2 2 2" xfId="3850" xr:uid="{D928711C-1CF0-4062-9F61-C9B14C52D9A3}"/>
    <cellStyle name="Vírgula 4 3 3 2 3" xfId="2247" xr:uid="{11522E13-ACFC-4483-A716-4C2A6EC2B924}"/>
    <cellStyle name="Vírgula 4 3 3 2 3 2" xfId="4313" xr:uid="{525273D6-5525-479E-8714-880D0BE9D1F8}"/>
    <cellStyle name="Vírgula 4 3 3 2 4" xfId="3033" xr:uid="{E2E32CCF-AA3C-4405-AD09-24394BB83FF9}"/>
    <cellStyle name="Vírgula 4 3 3 3" xfId="1312" xr:uid="{9CD46B88-6BF5-4DBD-A1BA-0E0C6BA410AA}"/>
    <cellStyle name="Vírgula 4 3 3 3 2" xfId="3423" xr:uid="{BBBA164D-A864-46A8-9AA3-1B775B45F373}"/>
    <cellStyle name="Vírgula 4 3 3 4" xfId="2040" xr:uid="{2C6981BA-E632-4386-8EEC-447BCBB4BC37}"/>
    <cellStyle name="Vírgula 4 3 3 4 2" xfId="4127" xr:uid="{930C56C5-A144-4099-9680-7053CB715E86}"/>
    <cellStyle name="Vírgula 4 3 3 5" xfId="2606" xr:uid="{748469ED-9FB5-4E97-8FF2-3B1EA0B1F3A8}"/>
    <cellStyle name="Vírgula 4 3 4" xfId="718" xr:uid="{07B1D30B-F8C5-4DF4-9EBD-4717F068B2ED}"/>
    <cellStyle name="Vírgula 4 3 4 2" xfId="1547" xr:uid="{893024F3-F402-415B-99C3-85A399622CCE}"/>
    <cellStyle name="Vírgula 4 3 4 2 2" xfId="3658" xr:uid="{00F7B1EA-9634-471D-9AD2-D191BB642953}"/>
    <cellStyle name="Vírgula 4 3 4 3" xfId="2109" xr:uid="{4933D192-2FB4-41BE-A00D-F4B59319B0CB}"/>
    <cellStyle name="Vírgula 4 3 4 3 2" xfId="4175" xr:uid="{550DD6E9-1010-4D1C-8D49-885748501244}"/>
    <cellStyle name="Vírgula 4 3 4 4" xfId="2841" xr:uid="{FE43D1D7-2FA4-40C3-A6E3-3C8BB929B261}"/>
    <cellStyle name="Vírgula 4 3 5" xfId="1120" xr:uid="{27AFE726-77FE-499F-B79D-58EF588C6589}"/>
    <cellStyle name="Vírgula 4 3 5 2" xfId="3231" xr:uid="{C866BF93-E796-40B1-B195-AB61A4CC5BE7}"/>
    <cellStyle name="Vírgula 4 3 6" xfId="1887" xr:uid="{3523C26A-0531-4019-B970-725AD7251BFC}"/>
    <cellStyle name="Vírgula 4 3 6 2" xfId="3989" xr:uid="{7FF8F19F-D57B-4637-91DE-0DF0F29E8676}"/>
    <cellStyle name="Vírgula 4 3 7" xfId="2414" xr:uid="{C9D5BC88-2710-4607-96B3-91D11D76AD04}"/>
    <cellStyle name="Vírgula 4 4" xfId="239" xr:uid="{D5622363-F43E-4CFB-86E5-818B39647005}"/>
    <cellStyle name="Vírgula 4 4 2" xfId="350" xr:uid="{CD498896-37B5-480C-B107-6846AE0F616B}"/>
    <cellStyle name="Vírgula 4 4 2 2" xfId="542" xr:uid="{5BFFCB33-FE2B-4EF7-BDDD-C23799A9837C}"/>
    <cellStyle name="Vírgula 4 4 2 2 2" xfId="987" xr:uid="{CA781B57-8828-470E-A2C7-2EAE3A830EE4}"/>
    <cellStyle name="Vírgula 4 4 2 2 2 2" xfId="1816" xr:uid="{98F44B85-AB63-4CC0-B037-BCA4D3247F11}"/>
    <cellStyle name="Vírgula 4 4 2 2 2 2 2" xfId="3927" xr:uid="{26D6DE75-BE9C-464B-A19F-87912814FCF5}"/>
    <cellStyle name="Vírgula 4 4 2 2 2 3" xfId="3110" xr:uid="{475E048E-C27C-4D37-B672-EB6855DC1100}"/>
    <cellStyle name="Vírgula 4 4 2 2 3" xfId="1389" xr:uid="{05F2A3E3-2798-46E2-BD9A-C4AD9CDC5193}"/>
    <cellStyle name="Vírgula 4 4 2 2 3 2" xfId="3500" xr:uid="{FC7FD576-4D4C-4D77-9D43-7C643DF1DB7E}"/>
    <cellStyle name="Vírgula 4 4 2 2 4" xfId="2683" xr:uid="{9E126BF7-0C3B-465A-9E8B-8F5D7B427B46}"/>
    <cellStyle name="Vírgula 4 4 2 3" xfId="795" xr:uid="{721E7364-49A7-4AFE-8FC0-FEF1F1C172D8}"/>
    <cellStyle name="Vírgula 4 4 2 3 2" xfId="1624" xr:uid="{0CBE253B-659B-414C-80EE-9AE092EAE81C}"/>
    <cellStyle name="Vírgula 4 4 2 3 2 2" xfId="3735" xr:uid="{2AB2CE38-556B-41A1-8B1D-3469F1995CFD}"/>
    <cellStyle name="Vírgula 4 4 2 3 3" xfId="2918" xr:uid="{0090B1E2-B82A-40CD-BBAE-FC7D33EA9FA2}"/>
    <cellStyle name="Vírgula 4 4 2 4" xfId="1197" xr:uid="{56199ED5-B5F6-4906-91FE-F69D25AEA4C1}"/>
    <cellStyle name="Vírgula 4 4 2 4 2" xfId="3308" xr:uid="{A7291AD3-86C2-421E-A74B-6348C3431108}"/>
    <cellStyle name="Vírgula 4 4 2 5" xfId="2237" xr:uid="{94FBEC70-07CF-4045-8C02-E8223E10D2CD}"/>
    <cellStyle name="Vírgula 4 4 2 5 2" xfId="4303" xr:uid="{AB05FEDE-FC8E-4FEB-B4D4-F13CE22B2FA8}"/>
    <cellStyle name="Vírgula 4 4 2 6" xfId="2491" xr:uid="{2FB92701-53C9-48C3-BBC4-92995594A990}"/>
    <cellStyle name="Vírgula 4 4 3" xfId="446" xr:uid="{DB28E247-1137-410E-8FC7-D5733CDB42F2}"/>
    <cellStyle name="Vírgula 4 4 3 2" xfId="891" xr:uid="{D925BFCC-D7E9-4A32-8495-571B48ECD3D0}"/>
    <cellStyle name="Vírgula 4 4 3 2 2" xfId="1720" xr:uid="{3A7285B4-C329-4B7B-905E-958886119F21}"/>
    <cellStyle name="Vírgula 4 4 3 2 2 2" xfId="3831" xr:uid="{2958373D-F5DC-40EF-B5AF-EB6B564860D8}"/>
    <cellStyle name="Vírgula 4 4 3 2 3" xfId="3014" xr:uid="{EC1097C2-A46B-4039-8D3B-04FECFCDEA10}"/>
    <cellStyle name="Vírgula 4 4 3 3" xfId="1293" xr:uid="{785BF956-9566-464B-BA6B-4C9CE06B527A}"/>
    <cellStyle name="Vírgula 4 4 3 3 2" xfId="3404" xr:uid="{CF4813A0-66EB-479B-A22C-FE814F10FA1F}"/>
    <cellStyle name="Vírgula 4 4 3 4" xfId="2587" xr:uid="{FDFC7D29-20AE-4766-BE5E-710F203D9A5D}"/>
    <cellStyle name="Vírgula 4 4 4" xfId="699" xr:uid="{18F2BB12-0619-4ECB-A0BB-01ADCF8D9354}"/>
    <cellStyle name="Vírgula 4 4 4 2" xfId="1528" xr:uid="{AB826837-D64A-498C-9208-B64C8DBD95C8}"/>
    <cellStyle name="Vírgula 4 4 4 2 2" xfId="3639" xr:uid="{5F9C3BAD-4448-4AD7-8DD1-DE03CA8B229D}"/>
    <cellStyle name="Vírgula 4 4 4 3" xfId="2822" xr:uid="{59816F65-4D33-4C01-8134-F2B2F17BC7F3}"/>
    <cellStyle name="Vírgula 4 4 5" xfId="1101" xr:uid="{D3F72DE3-A2F9-4511-AAEB-0542F5F96EAA}"/>
    <cellStyle name="Vírgula 4 4 5 2" xfId="3212" xr:uid="{19C39391-5007-4AE4-B0C4-491A52D0DA54}"/>
    <cellStyle name="Vírgula 4 4 6" xfId="2030" xr:uid="{57E0FF09-1ACC-4DAB-A370-7D931F6B4003}"/>
    <cellStyle name="Vírgula 4 4 6 2" xfId="4117" xr:uid="{AC5888C2-F1EF-4A1B-BA25-DD9C57351FE1}"/>
    <cellStyle name="Vírgula 4 4 7" xfId="2396" xr:uid="{F7CFA02A-544F-411C-91DB-8B256756360A}"/>
    <cellStyle name="Vírgula 4 5" xfId="279" xr:uid="{43D677CF-1D8D-46FC-9ED2-8C7E259ACA01}"/>
    <cellStyle name="Vírgula 4 5 2" xfId="472" xr:uid="{7945E3ED-CA24-47AE-BE28-606064F259F9}"/>
    <cellStyle name="Vírgula 4 5 2 2" xfId="917" xr:uid="{BD8D9DA3-652D-4A09-AB1B-313BE47F2347}"/>
    <cellStyle name="Vírgula 4 5 2 2 2" xfId="1746" xr:uid="{E1CF0007-AAB7-4BEF-9EF1-F166AC2C12DE}"/>
    <cellStyle name="Vírgula 4 5 2 2 2 2" xfId="3857" xr:uid="{C3E5E724-5682-448E-9604-9B0CD228958B}"/>
    <cellStyle name="Vírgula 4 5 2 2 3" xfId="3040" xr:uid="{86ACF9FA-D59C-4185-B0A4-B5EEF1ACEE9E}"/>
    <cellStyle name="Vírgula 4 5 2 3" xfId="1319" xr:uid="{93A20549-A442-4E6E-B97A-F5929FEE5313}"/>
    <cellStyle name="Vírgula 4 5 2 3 2" xfId="3430" xr:uid="{1CAEE20D-B5B8-494F-A75A-2EC37F0B0BB2}"/>
    <cellStyle name="Vírgula 4 5 2 4" xfId="2613" xr:uid="{ED1DCC88-B9E2-41ED-8D85-E335181A4C63}"/>
    <cellStyle name="Vírgula 4 5 3" xfId="725" xr:uid="{3144CCAA-2EB1-4A86-9C9E-EB2C8546EE88}"/>
    <cellStyle name="Vírgula 4 5 3 2" xfId="1554" xr:uid="{A6317250-DB04-45A8-99A6-2AAE4AB883E0}"/>
    <cellStyle name="Vírgula 4 5 3 2 2" xfId="3665" xr:uid="{26C55CC8-40A8-45BD-82AB-FA5CFB434534}"/>
    <cellStyle name="Vírgula 4 5 3 3" xfId="2848" xr:uid="{F126FC50-8B04-4F68-94F5-74D1E719EA8B}"/>
    <cellStyle name="Vírgula 4 5 4" xfId="1127" xr:uid="{7F0BFC76-C5FC-4FC1-817D-DC4F41030628}"/>
    <cellStyle name="Vírgula 4 5 4 2" xfId="3238" xr:uid="{AD2D2357-555C-4503-AA11-3C48D1F7CAF5}"/>
    <cellStyle name="Vírgula 4 5 5" xfId="2067" xr:uid="{EAEF3CEE-C829-4393-A343-629616F3FC71}"/>
    <cellStyle name="Vírgula 4 5 5 2" xfId="4133" xr:uid="{A6B97B1C-C235-4CA1-BFA5-554782278D37}"/>
    <cellStyle name="Vírgula 4 5 6" xfId="2421" xr:uid="{9330FFE2-A778-4984-ABDF-B60628BAF9F6}"/>
    <cellStyle name="Vírgula 4 6" xfId="376" xr:uid="{25DA65EE-C36D-41A3-84D1-559FF8EADB76}"/>
    <cellStyle name="Vírgula 4 6 2" xfId="821" xr:uid="{46E4A78B-4646-4441-BE33-B8AF3C453ED1}"/>
    <cellStyle name="Vírgula 4 6 2 2" xfId="1650" xr:uid="{35DAFCA4-342D-4D0C-B635-4D1FD1A2D6E8}"/>
    <cellStyle name="Vírgula 4 6 2 2 2" xfId="3761" xr:uid="{AFB22D1F-91A5-4AD0-BFB6-608F8237FEDD}"/>
    <cellStyle name="Vírgula 4 6 2 3" xfId="2944" xr:uid="{92CF1BE0-C4E9-4682-8828-338494CA628E}"/>
    <cellStyle name="Vírgula 4 6 3" xfId="1223" xr:uid="{9ADE9AC4-ACCA-4832-B103-72E66657296F}"/>
    <cellStyle name="Vírgula 4 6 3 2" xfId="3334" xr:uid="{B395FF9D-E656-4737-8FB3-91BA66500247}"/>
    <cellStyle name="Vírgula 4 6 4" xfId="2517" xr:uid="{3A055BDF-2FA0-475B-A6E9-D892AB31467F}"/>
    <cellStyle name="Vírgula 4 7" xfId="621" xr:uid="{87A207C6-70BB-454F-8D60-7D39219C95EE}"/>
    <cellStyle name="Vírgula 4 7 2" xfId="1458" xr:uid="{7CAF98D3-B04E-46D9-918E-7EEC61447063}"/>
    <cellStyle name="Vírgula 4 7 2 2" xfId="3569" xr:uid="{7D1650CC-8953-484E-8027-3E5324D41F06}"/>
    <cellStyle name="Vírgula 4 7 3" xfId="2752" xr:uid="{0E10FA7F-CC2D-427D-9552-9938332D173F}"/>
    <cellStyle name="Vírgula 4 8" xfId="568" xr:uid="{659B85D8-2301-40DD-ABB9-845BAC60A474}"/>
    <cellStyle name="Vírgula 4 8 2" xfId="1415" xr:uid="{84DFDF5E-54C6-4DC7-8FAA-9593451B931E}"/>
    <cellStyle name="Vírgula 4 8 2 2" xfId="3526" xr:uid="{F99C3EDE-3C71-414E-A1DF-146DA8B1B0A5}"/>
    <cellStyle name="Vírgula 4 8 3" xfId="2709" xr:uid="{4B671944-314D-46D1-A7B8-FA8BB1F58B56}"/>
    <cellStyle name="Vírgula 4 9" xfId="141" xr:uid="{AB0ECAA1-C06C-4342-B1EF-DA6F38653533}"/>
    <cellStyle name="Vírgula 4 9 2" xfId="2327" xr:uid="{FF20100D-40E8-4F46-83EB-62707615F6E1}"/>
    <cellStyle name="Vírgula 5" xfId="63" xr:uid="{C8D6B687-FD9F-45D1-8C9F-831A869AB947}"/>
    <cellStyle name="Vírgula 5 10" xfId="1839" xr:uid="{690FE243-FFCF-4A25-AC33-31FF8FFB1E80}"/>
    <cellStyle name="Vírgula 5 10 2" xfId="3949" xr:uid="{C52DA029-7E9E-4810-9561-D5782A3E8387}"/>
    <cellStyle name="Vírgula 5 11" xfId="2276" xr:uid="{089117C7-4155-4D57-82C5-72BD89954686}"/>
    <cellStyle name="Vírgula 5 2" xfId="107" xr:uid="{0089C256-66AC-422D-BAC9-35669FB7BB79}"/>
    <cellStyle name="Vírgula 5 2 2" xfId="307" xr:uid="{CD615783-10C9-4B88-A47D-092095723FD8}"/>
    <cellStyle name="Vírgula 5 2 2 2" xfId="500" xr:uid="{339A26AC-1036-43BE-B444-0D71D3FF4BDA}"/>
    <cellStyle name="Vírgula 5 2 2 2 2" xfId="945" xr:uid="{B97D42FB-CB9A-4AAA-8C9E-CB095C37B005}"/>
    <cellStyle name="Vírgula 5 2 2 2 2 2" xfId="1774" xr:uid="{E764B4EA-AFE5-4234-B11A-9155A05E222A}"/>
    <cellStyle name="Vírgula 5 2 2 2 2 2 2" xfId="3885" xr:uid="{65CCC0FF-DA95-4511-8657-F199288F9032}"/>
    <cellStyle name="Vírgula 5 2 2 2 2 3" xfId="2210" xr:uid="{3ED033CD-50C2-4CF6-B3BA-D56B02C3E041}"/>
    <cellStyle name="Vírgula 5 2 2 2 2 3 2" xfId="4276" xr:uid="{4196A983-F4A8-4CD0-8ED6-DC60E83F0B41}"/>
    <cellStyle name="Vírgula 5 2 2 2 2 4" xfId="3068" xr:uid="{CC89DE9D-6994-4A7B-BDE0-E69B22FC8DD7}"/>
    <cellStyle name="Vírgula 5 2 2 2 3" xfId="1347" xr:uid="{1C0110A2-DE29-47ED-BB1E-897A055B7216}"/>
    <cellStyle name="Vírgula 5 2 2 2 3 2" xfId="3458" xr:uid="{85975AD6-73B3-47B7-9302-68DEF533516B}"/>
    <cellStyle name="Vírgula 5 2 2 2 4" xfId="1996" xr:uid="{F6651533-4367-48E0-A148-DA66C9FBE159}"/>
    <cellStyle name="Vírgula 5 2 2 2 4 2" xfId="4090" xr:uid="{B8F760BF-CD04-4F35-99B2-9C501B0DBB83}"/>
    <cellStyle name="Vírgula 5 2 2 2 5" xfId="2641" xr:uid="{C7EFEDF2-09A2-4CBB-BF91-120811CC1AD0}"/>
    <cellStyle name="Vírgula 5 2 2 3" xfId="753" xr:uid="{4DDB3898-D7B0-490D-A5BC-147AFA530100}"/>
    <cellStyle name="Vírgula 5 2 2 3 2" xfId="1582" xr:uid="{6261453E-2F08-4289-BB27-F0982E8D81DD}"/>
    <cellStyle name="Vírgula 5 2 2 3 2 2" xfId="3693" xr:uid="{58187CCC-7D68-4833-BFCE-1C40DF39C604}"/>
    <cellStyle name="Vírgula 5 2 2 3 3" xfId="2130" xr:uid="{5EF3CA1A-55A5-4A05-9309-B45B05C6349F}"/>
    <cellStyle name="Vírgula 5 2 2 3 3 2" xfId="4196" xr:uid="{0B27A240-4ECF-404B-981A-91CE7D887FCA}"/>
    <cellStyle name="Vírgula 5 2 2 3 4" xfId="2876" xr:uid="{FB0705B7-0C82-4545-8236-F5585493DF20}"/>
    <cellStyle name="Vírgula 5 2 2 4" xfId="1155" xr:uid="{39C0913D-03CF-4731-A898-3CFEB7B84177}"/>
    <cellStyle name="Vírgula 5 2 2 4 2" xfId="3266" xr:uid="{E5250926-F455-427E-93C8-5559C812C252}"/>
    <cellStyle name="Vírgula 5 2 2 5" xfId="1911" xr:uid="{2E67E0D2-5341-4481-ABE6-367020953CF5}"/>
    <cellStyle name="Vírgula 5 2 2 5 2" xfId="4010" xr:uid="{8A6D0325-F617-4531-B09C-9BC0311FAA00}"/>
    <cellStyle name="Vírgula 5 2 2 6" xfId="2449" xr:uid="{C3364BCF-E875-4C63-8A01-0EF3C743F256}"/>
    <cellStyle name="Vírgula 5 2 3" xfId="404" xr:uid="{972A705E-8497-43A7-8CFD-B9FB6F8584E9}"/>
    <cellStyle name="Vírgula 5 2 3 2" xfId="849" xr:uid="{27B786A0-D042-4D12-ACFB-D0CD78FA93A5}"/>
    <cellStyle name="Vírgula 5 2 3 2 2" xfId="1678" xr:uid="{7CC3C7F1-17C0-4EB3-9A94-2D81F384718C}"/>
    <cellStyle name="Vírgula 5 2 3 2 2 2" xfId="3789" xr:uid="{02875A87-F0F1-441E-9326-0AE70CCC4920}"/>
    <cellStyle name="Vírgula 5 2 3 2 3" xfId="2168" xr:uid="{EFC6FD12-FCDC-4317-A405-D1D58616BE1C}"/>
    <cellStyle name="Vírgula 5 2 3 2 3 2" xfId="4234" xr:uid="{73D29252-C4A7-424F-8D4E-CA0BBB369AEC}"/>
    <cellStyle name="Vírgula 5 2 3 2 4" xfId="2972" xr:uid="{4B9B4D05-9642-4C17-801E-31FB2CD0D3F2}"/>
    <cellStyle name="Vírgula 5 2 3 3" xfId="1251" xr:uid="{2492962B-DDA8-47BD-8831-7B259F880E05}"/>
    <cellStyle name="Vírgula 5 2 3 3 2" xfId="3362" xr:uid="{E923F130-033B-4B57-9BF2-C5B8F33F4D2A}"/>
    <cellStyle name="Vírgula 5 2 3 4" xfId="1954" xr:uid="{7CB3CFED-AA64-4EE9-B357-03E238B5ADB2}"/>
    <cellStyle name="Vírgula 5 2 3 4 2" xfId="4048" xr:uid="{AE1EEBD0-6A5C-4128-ABA2-6ED5083AA0BB}"/>
    <cellStyle name="Vírgula 5 2 3 5" xfId="2545" xr:uid="{4CE6940F-9441-4274-8B43-C44463CF5579}"/>
    <cellStyle name="Vírgula 5 2 4" xfId="655" xr:uid="{74649055-1B44-4934-A2BD-1FFAE69A8D20}"/>
    <cellStyle name="Vírgula 5 2 4 2" xfId="1486" xr:uid="{08ADA629-DF4F-4005-9ACB-E9C175AF460B}"/>
    <cellStyle name="Vírgula 5 2 4 2 2" xfId="3597" xr:uid="{D22AF74B-B60E-481B-8F75-744E5CEC3CC1}"/>
    <cellStyle name="Vírgula 5 2 4 3" xfId="2088" xr:uid="{4C99FECF-F3ED-4FF1-8765-EEA6224D9C39}"/>
    <cellStyle name="Vírgula 5 2 4 3 2" xfId="4154" xr:uid="{3A5CCD69-49AD-4AC2-B505-A6CD7B377FC1}"/>
    <cellStyle name="Vírgula 5 2 4 4" xfId="2780" xr:uid="{2B3A356D-E646-46A7-9BA4-C1AEE5B56C69}"/>
    <cellStyle name="Vírgula 5 2 5" xfId="589" xr:uid="{869045D0-F29D-4761-BE56-91A91B09D8A7}"/>
    <cellStyle name="Vírgula 5 2 5 2" xfId="1436" xr:uid="{F01CC992-0B68-4CED-A878-263A2731A6A1}"/>
    <cellStyle name="Vírgula 5 2 5 2 2" xfId="3547" xr:uid="{6F754025-3A3C-4A83-AA5F-612CA72DBF19}"/>
    <cellStyle name="Vírgula 5 2 5 3" xfId="2730" xr:uid="{16295262-A68B-402F-8784-2211ECC49E10}"/>
    <cellStyle name="Vírgula 5 2 6" xfId="184" xr:uid="{3DC41D8A-3EC9-4830-AF0D-23E3D33F6490}"/>
    <cellStyle name="Vírgula 5 2 6 2" xfId="2354" xr:uid="{18B0302D-066E-47B7-8770-15DA9939424D}"/>
    <cellStyle name="Vírgula 5 2 7" xfId="1059" xr:uid="{6D66ED1F-C599-47A0-9D2E-3D81BB35550D}"/>
    <cellStyle name="Vírgula 5 2 7 2" xfId="3170" xr:uid="{F5FB9065-48FC-4D8F-99A3-7203F77D272F}"/>
    <cellStyle name="Vírgula 5 2 8" xfId="1858" xr:uid="{DA0A163E-DD27-4CD4-B719-F70564BA975A}"/>
    <cellStyle name="Vírgula 5 2 8 2" xfId="3968" xr:uid="{BD2EF0A3-BE0C-4E41-B0B4-C816475A7BF2}"/>
    <cellStyle name="Vírgula 5 2 9" xfId="2304" xr:uid="{42215088-6FDF-4D33-ABD7-A019A2BF8D01}"/>
    <cellStyle name="Vírgula 5 3" xfId="243" xr:uid="{4B767A50-0081-4DC5-9FA7-BBB250699B4A}"/>
    <cellStyle name="Vírgula 5 3 2" xfId="352" xr:uid="{E2D857EC-E8E7-4379-83DE-59D34B492A85}"/>
    <cellStyle name="Vírgula 5 3 2 2" xfId="544" xr:uid="{AFEED1A2-A1A4-436F-A58B-4A987BD02861}"/>
    <cellStyle name="Vírgula 5 3 2 2 2" xfId="989" xr:uid="{4160DCB3-0DC7-4FC9-BAEC-1A8C12A8C345}"/>
    <cellStyle name="Vírgula 5 3 2 2 2 2" xfId="1818" xr:uid="{7E85687A-CA73-4E82-9128-3784CDAB6F04}"/>
    <cellStyle name="Vírgula 5 3 2 2 2 2 2" xfId="3929" xr:uid="{5FE699E9-1BE8-4121-A9B3-958D8EFB5455}"/>
    <cellStyle name="Vírgula 5 3 2 2 2 3" xfId="3112" xr:uid="{512D2203-313D-434F-981E-7189F7E256F2}"/>
    <cellStyle name="Vírgula 5 3 2 2 3" xfId="1391" xr:uid="{F004457C-738D-40FB-814C-B43B34CD7502}"/>
    <cellStyle name="Vírgula 5 3 2 2 3 2" xfId="3502" xr:uid="{BB508560-2EB0-49E9-96D1-63B145F292CE}"/>
    <cellStyle name="Vírgula 5 3 2 2 4" xfId="2191" xr:uid="{75C9D117-479C-4797-B3A9-87A046ECD623}"/>
    <cellStyle name="Vírgula 5 3 2 2 4 2" xfId="4257" xr:uid="{6050C01E-2145-4569-9D64-6BA27069246A}"/>
    <cellStyle name="Vírgula 5 3 2 2 5" xfId="2685" xr:uid="{A2B9887F-D2E2-4A04-9B68-3D95BE3C0986}"/>
    <cellStyle name="Vírgula 5 3 2 3" xfId="797" xr:uid="{4EB000CA-B293-4EDA-9B5E-DAE85D9CAE4B}"/>
    <cellStyle name="Vírgula 5 3 2 3 2" xfId="1626" xr:uid="{8FFB5AC7-7487-44AF-89B8-D1F4E483DD3C}"/>
    <cellStyle name="Vírgula 5 3 2 3 2 2" xfId="3737" xr:uid="{0D5D46AA-2E65-461A-B75E-B0322198B3FA}"/>
    <cellStyle name="Vírgula 5 3 2 3 3" xfId="2920" xr:uid="{37D615C9-DE07-470C-84E6-4F437F57E77E}"/>
    <cellStyle name="Vírgula 5 3 2 4" xfId="1199" xr:uid="{ABD268E5-CFFD-424A-B76D-E79EFF2A05CB}"/>
    <cellStyle name="Vírgula 5 3 2 4 2" xfId="3310" xr:uid="{F8A7F6DE-6254-4D3A-93FF-4A8E6C1CCA63}"/>
    <cellStyle name="Vírgula 5 3 2 5" xfId="1977" xr:uid="{49E33365-937C-4EB4-BE93-CA51F70F886A}"/>
    <cellStyle name="Vírgula 5 3 2 5 2" xfId="4071" xr:uid="{23C28332-12C1-4788-BCD6-03812BE70A53}"/>
    <cellStyle name="Vírgula 5 3 2 6" xfId="2493" xr:uid="{E7A6DCB8-57E2-4BFB-BA89-FF0AE13EB355}"/>
    <cellStyle name="Vírgula 5 3 3" xfId="448" xr:uid="{69F76BB3-ADB6-4950-A73F-D120D06F68CD}"/>
    <cellStyle name="Vírgula 5 3 3 2" xfId="893" xr:uid="{B9647EDE-1BFF-403B-830E-4DD21746757E}"/>
    <cellStyle name="Vírgula 5 3 3 2 2" xfId="1722" xr:uid="{D1546318-5ECD-4028-8BA1-BD57F6B7A710}"/>
    <cellStyle name="Vírgula 5 3 3 2 2 2" xfId="3833" xr:uid="{4916A44F-F01E-4AF6-8928-FF243210913E}"/>
    <cellStyle name="Vírgula 5 3 3 2 3" xfId="3016" xr:uid="{A7C36B79-8161-4AE7-97D3-59F88F0EB00B}"/>
    <cellStyle name="Vírgula 5 3 3 3" xfId="1295" xr:uid="{93348E6E-C5FA-4EA5-AF29-A703F72FB59B}"/>
    <cellStyle name="Vírgula 5 3 3 3 2" xfId="3406" xr:uid="{A7FE0DA6-DA4E-4E0E-99CB-ABAE15BFBC24}"/>
    <cellStyle name="Vírgula 5 3 3 4" xfId="2111" xr:uid="{C33A8130-646C-44E9-B5BB-0C2F1ABD3DF2}"/>
    <cellStyle name="Vírgula 5 3 3 4 2" xfId="4177" xr:uid="{184CDBFC-460D-4924-A303-4C59D0FD35B5}"/>
    <cellStyle name="Vírgula 5 3 3 5" xfId="2589" xr:uid="{B07FF30E-A5CA-4E80-8AD3-740FF9C39350}"/>
    <cellStyle name="Vírgula 5 3 4" xfId="701" xr:uid="{A660001A-965C-4A83-81BE-9559AD39DCFB}"/>
    <cellStyle name="Vírgula 5 3 4 2" xfId="1530" xr:uid="{703B0207-3D66-4A47-BCBE-8F75854FA376}"/>
    <cellStyle name="Vírgula 5 3 4 2 2" xfId="3641" xr:uid="{1890E1E8-977D-4585-A8CA-93A264045109}"/>
    <cellStyle name="Vírgula 5 3 4 3" xfId="2824" xr:uid="{2BA977B0-E697-4893-BF00-D559FF2068A7}"/>
    <cellStyle name="Vírgula 5 3 5" xfId="1103" xr:uid="{DBED9F1E-34E3-409B-B919-CE3563C0E7A1}"/>
    <cellStyle name="Vírgula 5 3 5 2" xfId="3214" xr:uid="{828497F8-13AA-4F9B-906B-CB0759DC4C00}"/>
    <cellStyle name="Vírgula 5 3 6" xfId="1889" xr:uid="{3AFDBD6E-8F76-49FE-99E0-420B4ED954F3}"/>
    <cellStyle name="Vírgula 5 3 6 2" xfId="3991" xr:uid="{A6FCF1C4-FDE5-43EB-A176-1F2412DB0D0C}"/>
    <cellStyle name="Vírgula 5 3 7" xfId="2398" xr:uid="{36735A35-CA45-4FF6-8AD8-80B62709718D}"/>
    <cellStyle name="Vírgula 5 4" xfId="275" xr:uid="{B1074ED0-351F-418B-A09C-16D1A8EB7A14}"/>
    <cellStyle name="Vírgula 5 4 2" xfId="468" xr:uid="{5193B8AE-2254-42B0-ABC4-F1CFA59D65EA}"/>
    <cellStyle name="Vírgula 5 4 2 2" xfId="913" xr:uid="{B7AE61FA-63C6-455C-BB5C-147910EA664D}"/>
    <cellStyle name="Vírgula 5 4 2 2 2" xfId="1742" xr:uid="{283EA37C-04B9-4A63-BC3E-35481305AA08}"/>
    <cellStyle name="Vírgula 5 4 2 2 2 2" xfId="3853" xr:uid="{B3E786E0-4B81-43C1-84C5-C72831EC3F1F}"/>
    <cellStyle name="Vírgula 5 4 2 2 3" xfId="3036" xr:uid="{9554132D-131B-469F-B32B-3619AE16492E}"/>
    <cellStyle name="Vírgula 5 4 2 3" xfId="1315" xr:uid="{3629A41D-BDEF-4AEB-93C8-ACC7E1A750B5}"/>
    <cellStyle name="Vírgula 5 4 2 3 2" xfId="3426" xr:uid="{F14F65F9-0CE5-4058-861A-035D4BB02841}"/>
    <cellStyle name="Vírgula 5 4 2 4" xfId="2149" xr:uid="{B52F91C8-06D1-4633-82BE-913D9F125815}"/>
    <cellStyle name="Vírgula 5 4 2 4 2" xfId="4215" xr:uid="{B77EF92F-6FFD-4EC7-B8B1-AD789EF3F2AF}"/>
    <cellStyle name="Vírgula 5 4 2 5" xfId="2609" xr:uid="{3E3D68C6-D7E1-4A5C-89D2-333F3A459C48}"/>
    <cellStyle name="Vírgula 5 4 3" xfId="721" xr:uid="{E795D3CE-472A-4F07-AE91-B11A7C2C550D}"/>
    <cellStyle name="Vírgula 5 4 3 2" xfId="1550" xr:uid="{E037CFE4-D596-47B9-99BB-3A16A525BC27}"/>
    <cellStyle name="Vírgula 5 4 3 2 2" xfId="3661" xr:uid="{C82038FE-12AB-4046-95E7-C0B9D679EE5B}"/>
    <cellStyle name="Vírgula 5 4 3 3" xfId="2844" xr:uid="{DCEBBFB1-9C18-421F-BFCA-E332C05BAAF9}"/>
    <cellStyle name="Vírgula 5 4 4" xfId="1123" xr:uid="{BF317306-1BC4-4A8A-B521-03A04DC3792E}"/>
    <cellStyle name="Vírgula 5 4 4 2" xfId="3234" xr:uid="{6C81EDB1-182A-4AD0-97BC-A6D8AAAD9EE3}"/>
    <cellStyle name="Vírgula 5 4 5" xfId="1935" xr:uid="{A6F857B7-5C68-47F6-A0DE-61DDCEC8D43E}"/>
    <cellStyle name="Vírgula 5 4 5 2" xfId="4029" xr:uid="{C595CA42-0498-4F6A-B60C-FED643EDAAE6}"/>
    <cellStyle name="Vírgula 5 4 6" xfId="2417" xr:uid="{31716D8A-65CC-485F-A18D-DE99DEDC31B4}"/>
    <cellStyle name="Vírgula 5 5" xfId="372" xr:uid="{030724C7-6DF2-42A3-92EC-7C4AC599A0B6}"/>
    <cellStyle name="Vírgula 5 5 2" xfId="817" xr:uid="{3A065C6A-3375-4CA7-AB73-951899F4B5E2}"/>
    <cellStyle name="Vírgula 5 5 2 2" xfId="1646" xr:uid="{C6EA0F79-0E2E-4045-ACBF-4C0B34090410}"/>
    <cellStyle name="Vírgula 5 5 2 2 2" xfId="3757" xr:uid="{F7284B1D-6502-4CC4-99ED-52D82609AB87}"/>
    <cellStyle name="Vírgula 5 5 2 3" xfId="2940" xr:uid="{2B49513E-30A2-4E62-BCB6-25CA5F7A5892}"/>
    <cellStyle name="Vírgula 5 5 3" xfId="1219" xr:uid="{D84B2FA9-5676-4D3D-A4EF-531445119F19}"/>
    <cellStyle name="Vírgula 5 5 3 2" xfId="3330" xr:uid="{AD1009F5-CBD9-4A44-BDAE-E70861E89ACF}"/>
    <cellStyle name="Vírgula 5 5 4" xfId="2069" xr:uid="{C034A456-0849-41A5-A4F4-A2B2AA3D50F5}"/>
    <cellStyle name="Vírgula 5 5 4 2" xfId="4135" xr:uid="{98101B50-A1D0-4EEE-8A9B-D0C9F338BC1A}"/>
    <cellStyle name="Vírgula 5 5 5" xfId="2513" xr:uid="{DC99CBB6-429B-46C1-B051-AFFD053F9E12}"/>
    <cellStyle name="Vírgula 5 6" xfId="613" xr:uid="{6CDAC8C9-D4D3-4EBD-B076-C1BDB9C3F486}"/>
    <cellStyle name="Vírgula 5 6 2" xfId="1454" xr:uid="{CBABD6BF-A988-4501-A343-B02EC2FD0115}"/>
    <cellStyle name="Vírgula 5 6 2 2" xfId="3565" xr:uid="{18A3A47A-1458-4D6C-B4BB-D0F3F14AD5A2}"/>
    <cellStyle name="Vírgula 5 6 3" xfId="2748" xr:uid="{BBD865DF-45C5-4EEF-9221-19E92AF38790}"/>
    <cellStyle name="Vírgula 5 7" xfId="570" xr:uid="{37808966-3BCA-4B9D-9411-C375A9495D54}"/>
    <cellStyle name="Vírgula 5 7 2" xfId="1417" xr:uid="{115C8416-FEB3-4907-81EF-C3458F1A3580}"/>
    <cellStyle name="Vírgula 5 7 2 2" xfId="3528" xr:uid="{BB9D2D46-C2F7-4EB7-8124-CBE2305E1417}"/>
    <cellStyle name="Vírgula 5 7 3" xfId="2711" xr:uid="{51634115-AE65-4536-8E8D-6D4DC89B0EEB}"/>
    <cellStyle name="Vírgula 5 8" xfId="132" xr:uid="{F8BD47C7-E54B-464A-9BF6-7D9260F3BB8A}"/>
    <cellStyle name="Vírgula 5 8 2" xfId="2323" xr:uid="{97CCC810-F31B-4542-A83F-08550A7B4BF2}"/>
    <cellStyle name="Vírgula 5 9" xfId="1027" xr:uid="{2FDAFA40-9BE1-4C37-8DD7-70503F4D48F2}"/>
    <cellStyle name="Vírgula 5 9 2" xfId="3138" xr:uid="{1A78C921-64C3-4AEC-AAF5-EE94F1C5D52F}"/>
    <cellStyle name="Vírgula 6" xfId="103" xr:uid="{1B8BE821-9070-414C-82B1-84792356B417}"/>
    <cellStyle name="Vírgula 6 10" xfId="1854" xr:uid="{4A8D26B8-1756-4539-9BC0-D697BF246984}"/>
    <cellStyle name="Vírgula 6 10 2" xfId="3964" xr:uid="{9AAF84D1-6290-4414-970C-5636813AA337}"/>
    <cellStyle name="Vírgula 6 11" xfId="2277" xr:uid="{608CD754-E2FF-47EF-8D02-72367910AB49}"/>
    <cellStyle name="Vírgula 6 12" xfId="2300" xr:uid="{B526383E-77EA-4878-AC6D-350222656B20}"/>
    <cellStyle name="Vírgula 6 2" xfId="122" xr:uid="{EB0667E3-D84B-4DBA-BEA4-C723D9183CEC}"/>
    <cellStyle name="Vírgula 6 2 2" xfId="312" xr:uid="{FCD9FCCE-AB8A-4FCD-8CDD-040A0786BC36}"/>
    <cellStyle name="Vírgula 6 2 2 2" xfId="505" xr:uid="{07CE1D1E-01FA-4C7A-B303-FCA31BE85E0F}"/>
    <cellStyle name="Vírgula 6 2 2 2 2" xfId="950" xr:uid="{FA8CE78C-16F8-4F1F-B60B-E45FAB638DEF}"/>
    <cellStyle name="Vírgula 6 2 2 2 2 2" xfId="1779" xr:uid="{93DAFB43-2D5A-4A21-B281-65F65D6874E4}"/>
    <cellStyle name="Vírgula 6 2 2 2 2 2 2" xfId="3890" xr:uid="{5A2483E5-3A6A-4376-A13C-5F9ADD9F3EC1}"/>
    <cellStyle name="Vírgula 6 2 2 2 2 3" xfId="2225" xr:uid="{584E8D06-487E-4485-8A91-FCA9EFA3CE35}"/>
    <cellStyle name="Vírgula 6 2 2 2 2 3 2" xfId="4291" xr:uid="{D4AD9752-5E19-463A-AE3F-4F69F0188CFC}"/>
    <cellStyle name="Vírgula 6 2 2 2 2 4" xfId="3073" xr:uid="{2266BEA4-341C-4C72-90B2-1573518451F4}"/>
    <cellStyle name="Vírgula 6 2 2 2 3" xfId="1352" xr:uid="{3FF16D35-2702-47F3-BDA3-41D7DE929E5E}"/>
    <cellStyle name="Vírgula 6 2 2 2 3 2" xfId="3463" xr:uid="{1094491F-524C-499A-B58E-754E54388217}"/>
    <cellStyle name="Vírgula 6 2 2 2 4" xfId="2011" xr:uid="{2285C863-2A4D-47EB-8AAF-7C5FABE53A52}"/>
    <cellStyle name="Vírgula 6 2 2 2 4 2" xfId="4105" xr:uid="{77F9A4DE-761F-4800-ABD1-1D9CD13D8769}"/>
    <cellStyle name="Vírgula 6 2 2 2 5" xfId="2646" xr:uid="{A49F8A23-9193-4200-AFEE-AF113A87F5CC}"/>
    <cellStyle name="Vírgula 6 2 2 3" xfId="758" xr:uid="{15AE3DB2-1700-4440-90AC-617545206BD4}"/>
    <cellStyle name="Vírgula 6 2 2 3 2" xfId="1587" xr:uid="{51A0D73A-0108-4ABB-B7BE-E9E59ACDFCB8}"/>
    <cellStyle name="Vírgula 6 2 2 3 2 2" xfId="3698" xr:uid="{63C8CC4C-E044-4BBB-9A0C-7AE12E7C0570}"/>
    <cellStyle name="Vírgula 6 2 2 3 3" xfId="2145" xr:uid="{49CB025F-C508-4CE6-A154-8DD217EAAEF6}"/>
    <cellStyle name="Vírgula 6 2 2 3 3 2" xfId="4211" xr:uid="{2C3EB0EB-7647-44AB-9085-0A2986CF4943}"/>
    <cellStyle name="Vírgula 6 2 2 3 4" xfId="2881" xr:uid="{97B05A81-A72C-4106-9FB6-D84C9AD448F4}"/>
    <cellStyle name="Vírgula 6 2 2 4" xfId="1160" xr:uid="{8B057180-D9B0-43D4-94E0-4037C51B9B33}"/>
    <cellStyle name="Vírgula 6 2 2 4 2" xfId="3271" xr:uid="{F515D293-74DB-4F82-81B0-91909D6ECA6B}"/>
    <cellStyle name="Vírgula 6 2 2 5" xfId="1926" xr:uid="{487BAEDA-01ED-4E96-9A30-098E4FCD8FC2}"/>
    <cellStyle name="Vírgula 6 2 2 5 2" xfId="4025" xr:uid="{027AD8B6-CCDC-4010-9B3B-69B27FFCD5B2}"/>
    <cellStyle name="Vírgula 6 2 2 6" xfId="2454" xr:uid="{71D82B81-5203-4679-BE2A-8EB21AD76B53}"/>
    <cellStyle name="Vírgula 6 2 3" xfId="409" xr:uid="{786DC493-2876-4C63-9050-35670741F6CF}"/>
    <cellStyle name="Vírgula 6 2 3 2" xfId="854" xr:uid="{1B992964-F917-43E2-8811-BA616266D53D}"/>
    <cellStyle name="Vírgula 6 2 3 2 2" xfId="1683" xr:uid="{44E72B40-EE8D-4FED-B9A2-4C2546BB854A}"/>
    <cellStyle name="Vírgula 6 2 3 2 2 2" xfId="3794" xr:uid="{2629753B-5C62-4900-9306-6394E063EFA9}"/>
    <cellStyle name="Vírgula 6 2 3 2 3" xfId="2183" xr:uid="{5E1EFE60-6862-4AD2-9F45-D326C716C606}"/>
    <cellStyle name="Vírgula 6 2 3 2 3 2" xfId="4249" xr:uid="{62795370-36AB-4A43-825E-4ED4450CA4E4}"/>
    <cellStyle name="Vírgula 6 2 3 2 4" xfId="2977" xr:uid="{812B2FE6-1689-460E-966F-1DA30E881902}"/>
    <cellStyle name="Vírgula 6 2 3 3" xfId="1256" xr:uid="{ECED68FC-1E28-4A2A-8D45-35205960B6F3}"/>
    <cellStyle name="Vírgula 6 2 3 3 2" xfId="3367" xr:uid="{064634E8-EE1C-4A02-A28C-3B949AE43C8A}"/>
    <cellStyle name="Vírgula 6 2 3 4" xfId="1969" xr:uid="{2B210118-336D-4608-8DD9-5AF431974942}"/>
    <cellStyle name="Vírgula 6 2 3 4 2" xfId="4063" xr:uid="{09EA5B8E-5936-4DFD-AAF7-373D1F53E1E6}"/>
    <cellStyle name="Vírgula 6 2 3 5" xfId="2550" xr:uid="{AA612BAA-6223-4C8D-A30B-FE95807F7F97}"/>
    <cellStyle name="Vírgula 6 2 4" xfId="660" xr:uid="{5905EEA0-4510-4BBC-BF2E-55506679F622}"/>
    <cellStyle name="Vírgula 6 2 4 2" xfId="1491" xr:uid="{3F6F4D66-982A-41EF-8D19-0A5581C4462F}"/>
    <cellStyle name="Vírgula 6 2 4 2 2" xfId="3602" xr:uid="{1005592F-FE63-4F02-9913-C8955EBC1E0F}"/>
    <cellStyle name="Vírgula 6 2 4 3" xfId="2103" xr:uid="{9BB7FE32-8D29-4A2A-B65B-06D0E3E42755}"/>
    <cellStyle name="Vírgula 6 2 4 3 2" xfId="4169" xr:uid="{893724D8-974D-4E8A-9411-613E85517678}"/>
    <cellStyle name="Vírgula 6 2 4 4" xfId="2785" xr:uid="{1FF9A7BD-41C9-4C68-96DF-66A25090E09A}"/>
    <cellStyle name="Vírgula 6 2 5" xfId="604" xr:uid="{33390C8D-0BF2-465E-B3D9-57C564262F14}"/>
    <cellStyle name="Vírgula 6 2 5 2" xfId="1451" xr:uid="{64065B22-682D-46F1-A147-27C800F20AB0}"/>
    <cellStyle name="Vírgula 6 2 5 2 2" xfId="3562" xr:uid="{90D518B8-F683-40B4-8D4D-C655A9935678}"/>
    <cellStyle name="Vírgula 6 2 5 3" xfId="2745" xr:uid="{56363389-7EA0-4A8C-94B0-52E4449051AF}"/>
    <cellStyle name="Vírgula 6 2 6" xfId="191" xr:uid="{BE65C215-2458-400A-8364-4934718FF068}"/>
    <cellStyle name="Vírgula 6 2 6 2" xfId="2359" xr:uid="{192F64DA-AC68-4F9C-9BBC-529573765D0A}"/>
    <cellStyle name="Vírgula 6 2 7" xfId="1064" xr:uid="{283158F7-5476-485C-954B-2527669C7DB2}"/>
    <cellStyle name="Vírgula 6 2 7 2" xfId="3175" xr:uid="{81B2CC36-795B-4ADD-9D96-7B8F89260B95}"/>
    <cellStyle name="Vírgula 6 2 8" xfId="1873" xr:uid="{407D4CEF-3C7A-4616-9586-8B0ABBF49735}"/>
    <cellStyle name="Vírgula 6 2 8 2" xfId="3983" xr:uid="{A4EA0348-9BC3-4DD0-B2B8-AB61C2B4F19A}"/>
    <cellStyle name="Vírgula 6 2 9" xfId="2319" xr:uid="{0BA08DFE-C65D-420C-BB6F-82C96B365E38}"/>
    <cellStyle name="Vírgula 6 3" xfId="268" xr:uid="{DDBD91D0-F563-463D-A868-F4B48DE7FD6F}"/>
    <cellStyle name="Vírgula 6 3 2" xfId="367" xr:uid="{1F33B550-D7A8-4C2E-B8F1-76A85C72C991}"/>
    <cellStyle name="Vírgula 6 3 2 2" xfId="559" xr:uid="{2E561F62-BFF5-4884-B8DD-EF5D0B3AB730}"/>
    <cellStyle name="Vírgula 6 3 2 2 2" xfId="1004" xr:uid="{9E101F48-7C32-4D5E-992D-29B049D4AB2E}"/>
    <cellStyle name="Vírgula 6 3 2 2 2 2" xfId="1833" xr:uid="{D2AB8B7A-4C6E-4B7E-9F67-26AB7252A564}"/>
    <cellStyle name="Vírgula 6 3 2 2 2 2 2" xfId="3944" xr:uid="{2F65349F-7F8F-4130-B5E2-6F7BE4400581}"/>
    <cellStyle name="Vírgula 6 3 2 2 2 3" xfId="3127" xr:uid="{471B652C-EEBA-4226-BB18-A62CCE7E8F90}"/>
    <cellStyle name="Vírgula 6 3 2 2 3" xfId="1406" xr:uid="{F550F3EF-8BB1-4291-A62C-8737E88A27DE}"/>
    <cellStyle name="Vírgula 6 3 2 2 3 2" xfId="3517" xr:uid="{BDD7838A-0188-455E-BA5A-CC91B69C6F99}"/>
    <cellStyle name="Vírgula 6 3 2 2 4" xfId="2206" xr:uid="{B15B09DD-3135-4173-A4CE-BA28F5409FFB}"/>
    <cellStyle name="Vírgula 6 3 2 2 4 2" xfId="4272" xr:uid="{C60F1B77-0253-4F30-971E-209E56EB8E96}"/>
    <cellStyle name="Vírgula 6 3 2 2 5" xfId="2700" xr:uid="{274474B6-6D40-41FD-8366-5D754020C8DF}"/>
    <cellStyle name="Vírgula 6 3 2 3" xfId="812" xr:uid="{0FD5A8A8-59F0-4670-B919-C128BB001B6D}"/>
    <cellStyle name="Vírgula 6 3 2 3 2" xfId="1641" xr:uid="{4AA301E2-C717-46C7-9623-1EBD9E5C8E84}"/>
    <cellStyle name="Vírgula 6 3 2 3 2 2" xfId="3752" xr:uid="{F216C11C-B93A-487C-83C1-9E22E62A44B3}"/>
    <cellStyle name="Vírgula 6 3 2 3 3" xfId="2935" xr:uid="{55F2C1D9-A822-4993-849D-AB318E8678F3}"/>
    <cellStyle name="Vírgula 6 3 2 4" xfId="1214" xr:uid="{F25490EE-4630-4C8F-9521-049369E146BD}"/>
    <cellStyle name="Vírgula 6 3 2 4 2" xfId="3325" xr:uid="{A7E41A0D-A028-46C6-B69E-F82E4F37E44F}"/>
    <cellStyle name="Vírgula 6 3 2 5" xfId="1992" xr:uid="{DB71EF3E-20C0-444A-B267-BDE3B4B202E9}"/>
    <cellStyle name="Vírgula 6 3 2 5 2" xfId="4086" xr:uid="{CD49AF07-4E4C-4AA8-B234-8B3785A58317}"/>
    <cellStyle name="Vírgula 6 3 2 6" xfId="2508" xr:uid="{4A74410C-EE20-4498-9870-110EB7BDE232}"/>
    <cellStyle name="Vírgula 6 3 3" xfId="463" xr:uid="{196B2925-250F-4D88-AFB9-699B216BBED5}"/>
    <cellStyle name="Vírgula 6 3 3 2" xfId="908" xr:uid="{A6761550-0910-44C8-A953-539DB6E80A7B}"/>
    <cellStyle name="Vírgula 6 3 3 2 2" xfId="1737" xr:uid="{426C3A8E-FB3D-443D-9630-BCA5ACEAA24A}"/>
    <cellStyle name="Vírgula 6 3 3 2 2 2" xfId="3848" xr:uid="{7764E6C5-4FF7-4787-9DB7-F73276C7246A}"/>
    <cellStyle name="Vírgula 6 3 3 2 3" xfId="3031" xr:uid="{7C0050A9-5373-487F-893B-8CC4E24C47CE}"/>
    <cellStyle name="Vírgula 6 3 3 3" xfId="1310" xr:uid="{21DE0F25-A749-484B-AF84-18E0611E5C7F}"/>
    <cellStyle name="Vírgula 6 3 3 3 2" xfId="3421" xr:uid="{4BEBD8CC-FA28-4DB5-ADFE-B14289C7D72C}"/>
    <cellStyle name="Vírgula 6 3 3 4" xfId="2126" xr:uid="{10EDB4C7-2016-4894-B7FE-311DBE453CFC}"/>
    <cellStyle name="Vírgula 6 3 3 4 2" xfId="4192" xr:uid="{59C31D33-B876-431F-B0AE-5C6B784B8684}"/>
    <cellStyle name="Vírgula 6 3 3 5" xfId="2604" xr:uid="{7754D762-55DF-480E-8FCC-7C43EED42328}"/>
    <cellStyle name="Vírgula 6 3 4" xfId="716" xr:uid="{F1DDB2EE-37E5-4A63-B3A9-6EEF2B871BDF}"/>
    <cellStyle name="Vírgula 6 3 4 2" xfId="1545" xr:uid="{314B55D9-D21A-4ABA-9D1A-2B87914CEBDF}"/>
    <cellStyle name="Vírgula 6 3 4 2 2" xfId="3656" xr:uid="{5511105F-3DB4-44F8-BC7A-B59283E41C61}"/>
    <cellStyle name="Vírgula 6 3 4 3" xfId="2839" xr:uid="{EEA7462D-8DCC-4342-9EFA-5E95B8F2BF86}"/>
    <cellStyle name="Vírgula 6 3 5" xfId="1118" xr:uid="{7DAE2611-6DA5-4144-96B1-886AB15145C5}"/>
    <cellStyle name="Vírgula 6 3 5 2" xfId="3229" xr:uid="{EFE174FB-4CCB-4AEB-A72E-7ED779B7BB53}"/>
    <cellStyle name="Vírgula 6 3 6" xfId="1907" xr:uid="{04597133-51EA-40EF-97A9-DC895BC599D1}"/>
    <cellStyle name="Vírgula 6 3 6 2" xfId="4006" xr:uid="{91BC996C-E159-4AFD-AAEE-F2CEEEB78AAC}"/>
    <cellStyle name="Vírgula 6 3 7" xfId="2413" xr:uid="{F1F0F2D9-8AFC-45A3-9C72-D132B366AAA1}"/>
    <cellStyle name="Vírgula 6 4" xfId="280" xr:uid="{7637E63D-59AC-4D6A-BE4F-B9FA33E565E1}"/>
    <cellStyle name="Vírgula 6 4 2" xfId="473" xr:uid="{F5141AE6-0F64-4180-AD0B-4AB6347268E9}"/>
    <cellStyle name="Vírgula 6 4 2 2" xfId="918" xr:uid="{4E0833F4-D4E8-46AE-A19C-061223EDCEEF}"/>
    <cellStyle name="Vírgula 6 4 2 2 2" xfId="1747" xr:uid="{DD214989-B589-4E88-B3A6-AFC5C1B107BC}"/>
    <cellStyle name="Vírgula 6 4 2 2 2 2" xfId="3858" xr:uid="{5CEF0EB7-C3BF-4353-BA7F-B518800D88D4}"/>
    <cellStyle name="Vírgula 6 4 2 2 3" xfId="3041" xr:uid="{95D7AD38-8D5B-45DA-AA9A-98F92451B974}"/>
    <cellStyle name="Vírgula 6 4 2 3" xfId="1320" xr:uid="{081EC9C9-40E8-477E-A9EF-9BDD6BC55E13}"/>
    <cellStyle name="Vírgula 6 4 2 3 2" xfId="3431" xr:uid="{C9033BD6-1477-4DFB-A3BB-ADF39D72F68E}"/>
    <cellStyle name="Vírgula 6 4 2 4" xfId="2164" xr:uid="{6364E230-50E6-4CD8-BE15-94C5A4A6263F}"/>
    <cellStyle name="Vírgula 6 4 2 4 2" xfId="4230" xr:uid="{207AE2E6-5F8E-4A01-8CF0-C4F289A71CB9}"/>
    <cellStyle name="Vírgula 6 4 2 5" xfId="2614" xr:uid="{533B981E-FD4A-4709-A438-6AF6476DB2D6}"/>
    <cellStyle name="Vírgula 6 4 3" xfId="726" xr:uid="{8A354C37-A689-4758-865E-FC9F10C12199}"/>
    <cellStyle name="Vírgula 6 4 3 2" xfId="1555" xr:uid="{4DF219AA-0D18-40B1-B465-81376D52B264}"/>
    <cellStyle name="Vírgula 6 4 3 2 2" xfId="3666" xr:uid="{EC94048C-9984-4FA9-BA22-8D71579AD2B1}"/>
    <cellStyle name="Vírgula 6 4 3 3" xfId="2849" xr:uid="{5A6F7982-F374-428A-BDC5-9D0868DC3F0E}"/>
    <cellStyle name="Vírgula 6 4 4" xfId="1128" xr:uid="{DAB905D7-3583-46E5-A5A3-1ACFCFC2DD75}"/>
    <cellStyle name="Vírgula 6 4 4 2" xfId="3239" xr:uid="{32440A6D-2B86-4645-A5C2-7E2F1BDB1FD1}"/>
    <cellStyle name="Vírgula 6 4 5" xfId="1950" xr:uid="{9C2EF761-5A29-48BB-BE2E-7656A62B14D0}"/>
    <cellStyle name="Vírgula 6 4 5 2" xfId="4044" xr:uid="{B7135CBA-610A-4922-8A01-E2B50038850A}"/>
    <cellStyle name="Vírgula 6 4 6" xfId="2422" xr:uid="{362E1D34-B80D-4796-A984-891CF07626D5}"/>
    <cellStyle name="Vírgula 6 5" xfId="377" xr:uid="{047CFA77-3160-4858-9824-86D2B35C025D}"/>
    <cellStyle name="Vírgula 6 5 2" xfId="822" xr:uid="{584588E6-3EB7-4EF8-B969-476FD5D45527}"/>
    <cellStyle name="Vírgula 6 5 2 2" xfId="1651" xr:uid="{966766A8-944B-46C4-9200-5850AE0C2DEF}"/>
    <cellStyle name="Vírgula 6 5 2 2 2" xfId="3762" xr:uid="{0128F2FA-F527-46D6-AEA6-AC0FF12EC6B2}"/>
    <cellStyle name="Vírgula 6 5 2 3" xfId="2945" xr:uid="{D6589E81-7A29-4585-978C-FA12F8F95F97}"/>
    <cellStyle name="Vírgula 6 5 3" xfId="1224" xr:uid="{92B04C28-9C81-4E19-B4EE-8D3D3D16FBBD}"/>
    <cellStyle name="Vírgula 6 5 3 2" xfId="3335" xr:uid="{86530769-7F08-445B-A258-7979E77EB502}"/>
    <cellStyle name="Vírgula 6 5 4" xfId="2084" xr:uid="{1AF7B910-7EBF-4802-900B-44853C6EF6A4}"/>
    <cellStyle name="Vírgula 6 5 4 2" xfId="4150" xr:uid="{27361532-00A4-4B1D-9EA1-2B9087835398}"/>
    <cellStyle name="Vírgula 6 5 5" xfId="2518" xr:uid="{C6468F84-51D8-4A9F-9F2D-13776573C38E}"/>
    <cellStyle name="Vírgula 6 6" xfId="628" xr:uid="{DB204052-F8C6-4295-B5E9-CEBDCC825CC8}"/>
    <cellStyle name="Vírgula 6 6 2" xfId="1459" xr:uid="{7DD157E1-167C-4AA6-8F86-3065B694359C}"/>
    <cellStyle name="Vírgula 6 6 2 2" xfId="3570" xr:uid="{2478EBB7-E63F-4638-9A05-D2D1957C7C6D}"/>
    <cellStyle name="Vírgula 6 6 3" xfId="2753" xr:uid="{AF8D0773-0C80-463C-8F72-267F46122CA8}"/>
    <cellStyle name="Vírgula 6 7" xfId="585" xr:uid="{7A8E1B23-4AB4-4F25-8A08-BD4567602590}"/>
    <cellStyle name="Vírgula 6 7 2" xfId="1432" xr:uid="{620AFDF2-F13C-4B58-97F7-8FF7AED621CA}"/>
    <cellStyle name="Vírgula 6 7 2 2" xfId="3543" xr:uid="{9A5B851C-0EB3-4894-A1EE-2245446C4681}"/>
    <cellStyle name="Vírgula 6 7 3" xfId="2726" xr:uid="{CBE725B8-DF98-4B31-B98B-1A5CD46302A3}"/>
    <cellStyle name="Vírgula 6 8" xfId="150" xr:uid="{7BF47A63-1D38-40AD-B2BC-15CC04ADD35B}"/>
    <cellStyle name="Vírgula 6 8 2" xfId="2328" xr:uid="{DC54FDE8-2D0C-472B-8A69-2DC70ADDF0AA}"/>
    <cellStyle name="Vírgula 6 9" xfId="1032" xr:uid="{FBE8BDB9-63C6-413B-8BB8-7221866AD51C}"/>
    <cellStyle name="Vírgula 6 9 2" xfId="3143" xr:uid="{8CA260FA-D985-4888-81A3-FF23B7B9B81F}"/>
    <cellStyle name="Vírgula 7" xfId="124" xr:uid="{493BF5D5-D0DA-4437-A5B6-8156E814B837}"/>
    <cellStyle name="Vírgula 7 10" xfId="2320" xr:uid="{0322A776-A99C-4B80-8815-84782CB9CE9F}"/>
    <cellStyle name="Vírgula 7 2" xfId="345" xr:uid="{1DA7F951-51F9-487F-9891-9FC879FB36B6}"/>
    <cellStyle name="Vírgula 7 2 2" xfId="537" xr:uid="{B7DD08F2-283B-4849-B252-76A2284C93C4}"/>
    <cellStyle name="Vírgula 7 2 2 2" xfId="982" xr:uid="{A3343C09-A3E0-4123-9E9D-94D837D9431C}"/>
    <cellStyle name="Vírgula 7 2 2 2 2" xfId="1811" xr:uid="{57EFFFB9-4E46-4E76-BB5B-E4305DE740DC}"/>
    <cellStyle name="Vírgula 7 2 2 2 2 2" xfId="3922" xr:uid="{6516A2DC-7046-4D75-8AE0-D402DF2A1863}"/>
    <cellStyle name="Vírgula 7 2 2 2 3" xfId="2226" xr:uid="{1E8A101A-7335-4787-A0A7-0A18C50E8B23}"/>
    <cellStyle name="Vírgula 7 2 2 2 3 2" xfId="4292" xr:uid="{59F38339-9B3F-47BB-8160-90B7C10AD783}"/>
    <cellStyle name="Vírgula 7 2 2 2 4" xfId="3105" xr:uid="{6E16E1D2-A950-4E9B-AB00-A361DC2B53E5}"/>
    <cellStyle name="Vírgula 7 2 2 3" xfId="1384" xr:uid="{6041A65C-7162-47AD-8038-FC89FB7AF62F}"/>
    <cellStyle name="Vírgula 7 2 2 3 2" xfId="3495" xr:uid="{8A202390-9A11-4D9B-BBBF-1367488F4501}"/>
    <cellStyle name="Vírgula 7 2 2 4" xfId="2012" xr:uid="{1C70102F-9E82-42F5-8916-DEC9F4205101}"/>
    <cellStyle name="Vírgula 7 2 2 4 2" xfId="4106" xr:uid="{87A71ADB-77E9-4EFC-94F1-B4ED90D67AD5}"/>
    <cellStyle name="Vírgula 7 2 2 5" xfId="2678" xr:uid="{0A02C32A-F9B6-4E21-8487-3C39F62B4BF6}"/>
    <cellStyle name="Vírgula 7 2 3" xfId="790" xr:uid="{D7484EFC-77B8-4460-B00F-4AE1FE47C103}"/>
    <cellStyle name="Vírgula 7 2 3 2" xfId="1619" xr:uid="{4806EBEC-0508-4C72-9114-311541E13E91}"/>
    <cellStyle name="Vírgula 7 2 3 2 2" xfId="3730" xr:uid="{42B3B3DF-2330-4E37-B062-6C0B1709C040}"/>
    <cellStyle name="Vírgula 7 2 3 3" xfId="2146" xr:uid="{4A60B296-7679-4BC2-B0F6-FB804ED2F874}"/>
    <cellStyle name="Vírgula 7 2 3 3 2" xfId="4212" xr:uid="{F1EDD40D-CF38-432F-874B-D1D37FCE2FCA}"/>
    <cellStyle name="Vírgula 7 2 3 4" xfId="2913" xr:uid="{97130F3D-5B43-4F31-8E91-027A74503683}"/>
    <cellStyle name="Vírgula 7 2 4" xfId="1192" xr:uid="{5408F4ED-16C5-451D-BF63-CFD2B8A713F7}"/>
    <cellStyle name="Vírgula 7 2 4 2" xfId="3303" xr:uid="{0FFEFF36-4FD5-42BE-B29B-93861C7877CB}"/>
    <cellStyle name="Vírgula 7 2 5" xfId="1927" xr:uid="{9D8BE745-C05D-4A1E-A128-44CCFC068707}"/>
    <cellStyle name="Vírgula 7 2 5 2" xfId="4026" xr:uid="{8E7D2A59-6753-43B6-9BBB-CBA1F71DB0AE}"/>
    <cellStyle name="Vírgula 7 2 6" xfId="2486" xr:uid="{D24B1F81-202F-47D1-9CD6-4A8C20CB3798}"/>
    <cellStyle name="Vírgula 7 3" xfId="441" xr:uid="{BB59979B-DD6F-4BB3-9119-F36DDDF2A763}"/>
    <cellStyle name="Vírgula 7 3 2" xfId="886" xr:uid="{C156F49E-1166-4139-BDE7-821B9F91E9A3}"/>
    <cellStyle name="Vírgula 7 3 2 2" xfId="1715" xr:uid="{A73C3FA2-1984-457B-85E1-17E58E580291}"/>
    <cellStyle name="Vírgula 7 3 2 2 2" xfId="3826" xr:uid="{D31C6D9A-5E21-4546-ACC6-983F3F0E91AC}"/>
    <cellStyle name="Vírgula 7 3 2 3" xfId="2184" xr:uid="{36FFEA3E-3884-4DBA-B6A2-84F5601A3110}"/>
    <cellStyle name="Vírgula 7 3 2 3 2" xfId="4250" xr:uid="{1D7936BF-42F3-42FE-8E8A-19006646ADE4}"/>
    <cellStyle name="Vírgula 7 3 2 4" xfId="3009" xr:uid="{B5E0C44B-10FF-467B-992B-B424BCBBCFBC}"/>
    <cellStyle name="Vírgula 7 3 3" xfId="1288" xr:uid="{4305337D-1A10-4E52-91CC-73CAED4DD5AD}"/>
    <cellStyle name="Vírgula 7 3 3 2" xfId="3399" xr:uid="{1B3B45C3-0880-4469-9866-1D5905E28DD0}"/>
    <cellStyle name="Vírgula 7 3 4" xfId="1970" xr:uid="{A707ED3E-C961-472D-B84B-9F99DF5DBE29}"/>
    <cellStyle name="Vírgula 7 3 4 2" xfId="4064" xr:uid="{E65BF68E-445F-45D3-8C44-5203CBD61ACB}"/>
    <cellStyle name="Vírgula 7 3 5" xfId="2582" xr:uid="{5AF8F2E7-BCC3-44F6-A22A-5A61BEDA1B5E}"/>
    <cellStyle name="Vírgula 7 4" xfId="694" xr:uid="{60DE268C-0D38-4A85-BE7B-6A7178C6DCA2}"/>
    <cellStyle name="Vírgula 7 4 2" xfId="1523" xr:uid="{23A30EAA-6D78-49B4-9348-25F47633AFDA}"/>
    <cellStyle name="Vírgula 7 4 2 2" xfId="3634" xr:uid="{E6D094FF-2311-478F-8379-1E128F66C6CC}"/>
    <cellStyle name="Vírgula 7 4 3" xfId="2104" xr:uid="{8A6D73CD-36CE-4D5D-8E80-6F41E597535B}"/>
    <cellStyle name="Vírgula 7 4 3 2" xfId="4170" xr:uid="{C898370E-E58D-46A8-A126-3268CC3E09B0}"/>
    <cellStyle name="Vírgula 7 4 4" xfId="2817" xr:uid="{877688DA-ED30-42E2-B068-6F3510A0BD9E}"/>
    <cellStyle name="Vírgula 7 5" xfId="606" xr:uid="{F48BAAF6-784F-4AAB-AE81-A7206EF43640}"/>
    <cellStyle name="Vírgula 7 5 2" xfId="1452" xr:uid="{DFF0810C-0EFF-44BE-A05D-88F390F8CE1A}"/>
    <cellStyle name="Vírgula 7 5 2 2" xfId="3563" xr:uid="{45AA25E5-CE79-48E5-802F-BFD3CBE2AB75}"/>
    <cellStyle name="Vírgula 7 5 3" xfId="2746" xr:uid="{D075BFCB-4C54-4937-A94A-58941C6033DA}"/>
    <cellStyle name="Vírgula 7 6" xfId="225" xr:uid="{5E189534-2B9A-4E5A-8853-24B4B799B74E}"/>
    <cellStyle name="Vírgula 7 6 2" xfId="2391" xr:uid="{878951CE-DA84-4A94-96EE-9CE37CE046DF}"/>
    <cellStyle name="Vírgula 7 7" xfId="1096" xr:uid="{A5A48D9E-A09B-4174-BFCF-CA811DCF3D4B}"/>
    <cellStyle name="Vírgula 7 7 2" xfId="3207" xr:uid="{335C175B-710E-4F0D-B932-8D3564C7D6D9}"/>
    <cellStyle name="Vírgula 7 8" xfId="1874" xr:uid="{F41CE872-1E3B-4050-A483-51F14F5FB44D}"/>
    <cellStyle name="Vírgula 7 8 2" xfId="3984" xr:uid="{6E1A3DD1-25E8-4452-80F1-92F8325843F7}"/>
    <cellStyle name="Vírgula 7 9" xfId="2278" xr:uid="{BDF665A6-A426-4110-91A3-A2610F70C9C6}"/>
    <cellStyle name="Vírgula 8" xfId="269" xr:uid="{318B7018-41C7-4501-A317-8F5F56150666}"/>
    <cellStyle name="Vírgula 8 2" xfId="368" xr:uid="{BDEB9A06-0D07-46A5-90EF-2DACAF24EEE0}"/>
    <cellStyle name="Vírgula 8 2 2" xfId="560" xr:uid="{11CED180-E59C-43C7-96DD-2930ADC3E11C}"/>
    <cellStyle name="Vírgula 8 2 2 2" xfId="1005" xr:uid="{7C8F7994-03BF-419A-8C90-B17CA825A310}"/>
    <cellStyle name="Vírgula 8 2 2 2 2" xfId="1834" xr:uid="{E24DEAB2-1EDB-4B60-8B85-656CBCFC5D91}"/>
    <cellStyle name="Vírgula 8 2 2 2 2 2" xfId="3945" xr:uid="{FD611C6C-CE62-4002-BF40-351484B41B24}"/>
    <cellStyle name="Vírgula 8 2 2 2 3" xfId="3128" xr:uid="{7CE25503-943C-4EA0-8222-B87DE126A280}"/>
    <cellStyle name="Vírgula 8 2 2 3" xfId="1407" xr:uid="{065E9F23-EFDC-451A-A9BE-01B95DF98205}"/>
    <cellStyle name="Vírgula 8 2 2 3 2" xfId="3518" xr:uid="{CED98B2A-F407-4BC8-8FFF-6B9FE4ADA8B9}"/>
    <cellStyle name="Vírgula 8 2 2 4" xfId="2185" xr:uid="{377280E1-8A61-4562-AC85-7F61E78D502A}"/>
    <cellStyle name="Vírgula 8 2 2 4 2" xfId="4251" xr:uid="{20E9E806-28DE-46D4-8176-3525D10C6A6D}"/>
    <cellStyle name="Vírgula 8 2 2 5" xfId="2701" xr:uid="{2D31728F-FB26-49CA-9974-607DB7F2BA16}"/>
    <cellStyle name="Vírgula 8 2 3" xfId="813" xr:uid="{A6596B95-1BD5-4977-9586-7135F6A87640}"/>
    <cellStyle name="Vírgula 8 2 3 2" xfId="1642" xr:uid="{9FEB0353-7175-4B49-8C09-C07C4A2FCB61}"/>
    <cellStyle name="Vírgula 8 2 3 2 2" xfId="3753" xr:uid="{AF04826F-3BB3-405F-A5D7-501DEE7BB24C}"/>
    <cellStyle name="Vírgula 8 2 3 3" xfId="2936" xr:uid="{CEC0A3AE-AE46-4EB7-8478-E67872FD398D}"/>
    <cellStyle name="Vírgula 8 2 4" xfId="1215" xr:uid="{26983AE1-660D-4B80-AC44-8402C78575E7}"/>
    <cellStyle name="Vírgula 8 2 4 2" xfId="3326" xr:uid="{2DC2F7AF-BCE6-42C0-B91E-57BBF0F30CE8}"/>
    <cellStyle name="Vírgula 8 2 5" xfId="1971" xr:uid="{31E8C437-54BB-4EB7-9544-AF2B1CAA7C88}"/>
    <cellStyle name="Vírgula 8 2 5 2" xfId="4065" xr:uid="{854AB8A2-CD7C-4EB8-AA6D-A1433A2B0DE2}"/>
    <cellStyle name="Vírgula 8 2 6" xfId="2509" xr:uid="{B6FC10F0-5C6D-45C5-B8AC-317E84B8C277}"/>
    <cellStyle name="Vírgula 8 3" xfId="464" xr:uid="{F74BE508-1E88-457F-8586-7493E2537C2A}"/>
    <cellStyle name="Vírgula 8 3 2" xfId="909" xr:uid="{BC02497F-6AFF-431E-88F5-3793C13F8EE1}"/>
    <cellStyle name="Vírgula 8 3 2 2" xfId="1738" xr:uid="{76EBE686-34BF-47CB-B7C8-6224BDBED3ED}"/>
    <cellStyle name="Vírgula 8 3 2 2 2" xfId="3849" xr:uid="{2676CF2F-B04D-4983-93F5-B6E4147E7DED}"/>
    <cellStyle name="Vírgula 8 3 2 3" xfId="3032" xr:uid="{D004DCA2-D1DD-4C6E-8E70-0B4A33DA81C3}"/>
    <cellStyle name="Vírgula 8 3 3" xfId="1311" xr:uid="{EB22209F-70A6-448A-88A5-32DCEAE1F7BE}"/>
    <cellStyle name="Vírgula 8 3 3 2" xfId="3422" xr:uid="{9D31792B-0E1B-465A-86E3-269F18F893E8}"/>
    <cellStyle name="Vírgula 8 3 4" xfId="2105" xr:uid="{CBD2AC71-AEAF-4C4A-8988-3E4F83AC81A5}"/>
    <cellStyle name="Vírgula 8 3 4 2" xfId="4171" xr:uid="{794D03DA-F46C-494F-9437-5A7FBD9F557F}"/>
    <cellStyle name="Vírgula 8 3 5" xfId="2605" xr:uid="{1DCEC19F-A1DF-4614-AB79-785DCB5EBE88}"/>
    <cellStyle name="Vírgula 8 4" xfId="717" xr:uid="{9B97550A-6C5E-462A-9862-D0C3D991C00D}"/>
    <cellStyle name="Vírgula 8 4 2" xfId="1546" xr:uid="{965B96CB-85DC-4CFC-A674-F8A743F51A0A}"/>
    <cellStyle name="Vírgula 8 4 2 2" xfId="3657" xr:uid="{A4926CBD-6566-48B3-A507-FBBC7DF9F4CC}"/>
    <cellStyle name="Vírgula 8 4 3" xfId="2840" xr:uid="{489A937A-9C85-483C-9BAD-FBE45DA715A0}"/>
    <cellStyle name="Vírgula 8 5" xfId="1119" xr:uid="{2FDBCBF6-1E89-4E70-BBF6-FD66A9C96582}"/>
    <cellStyle name="Vírgula 8 5 2" xfId="3230" xr:uid="{50EE68E6-258A-4C8C-B808-6ABCFF487625}"/>
    <cellStyle name="Vírgula 8 6" xfId="1875" xr:uid="{4FC4CB6E-A81F-4583-896F-8125D279336B}"/>
    <cellStyle name="Vírgula 8 6 2" xfId="3985" xr:uid="{B6B2F68D-1576-4AA3-87BC-C257FF388E5D}"/>
    <cellStyle name="Vírgula 8 7" xfId="2279" xr:uid="{BF8C49B6-7C63-4BA6-A910-0A3F0E07F405}"/>
    <cellStyle name="Vírgula 9" xfId="564" xr:uid="{3BAFC2EE-3BE1-4D30-BB2D-B42FC7F7CC36}"/>
    <cellStyle name="Vírgula 9 2" xfId="1411" xr:uid="{CF28E3C6-C5F2-4524-9C85-A0FC974EDD1D}"/>
    <cellStyle name="Vírgula 9 2 2" xfId="2147" xr:uid="{41C4EF99-5013-40E5-BBCF-1983CE208BA0}"/>
    <cellStyle name="Vírgula 9 2 2 2" xfId="4213" xr:uid="{DA01068F-DB86-44BC-8CE0-B3E797E201D6}"/>
    <cellStyle name="Vírgula 9 2 3" xfId="3522" xr:uid="{7D2BBFF7-614C-4B8F-95D5-753649833A57}"/>
    <cellStyle name="Vírgula 9 3" xfId="1932" xr:uid="{9E89AE29-6D22-44DE-AD7C-E400919D0428}"/>
    <cellStyle name="Vírgula 9 3 2" xfId="4027" xr:uid="{14676949-E601-42B2-BA20-ADE83C264166}"/>
    <cellStyle name="Vírgula 9 4" xfId="2280" xr:uid="{0E54781B-B8A9-40AC-BFCF-77D502712A05}"/>
    <cellStyle name="Vírgula 9 5" xfId="2705" xr:uid="{9B16F63A-95AB-465F-962B-761F3FEB8F37}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4" defaultTableStyle="TableStyleMedium2" defaultPivotStyle="PivotStyleLight16">
    <tableStyle name="Estilo de Tabela 1" pivot="0" count="1" xr9:uid="{ECED0D75-507A-4B66-B32E-88F51EECF144}">
      <tableStyleElement type="wholeTable" dxfId="5"/>
    </tableStyle>
    <tableStyle name="Estilo de Tabela 2" pivot="0" count="1" xr9:uid="{F6610776-7C63-438B-B2B9-6790FCC023D0}">
      <tableStyleElement type="wholeTable" dxfId="4"/>
    </tableStyle>
    <tableStyle name="Estilo de Tabela 3" pivot="0" count="1" xr9:uid="{815C626E-FE12-48B9-9A97-95E17D9A9C02}">
      <tableStyleElement type="wholeTable" dxfId="3"/>
    </tableStyle>
    <tableStyle name="Base-style" pivot="0" count="3" xr9:uid="{B4B571DF-A262-4E7B-9CD7-1F70F1169EF6}">
      <tableStyleElement type="headerRow" dxfId="2"/>
      <tableStyleElement type="firstRowStripe" dxfId="1"/>
      <tableStyleElement type="secondRowStripe" dxfId="0"/>
    </tableStyle>
  </tableStyles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219076</xdr:colOff>
      <xdr:row>0</xdr:row>
      <xdr:rowOff>76200</xdr:rowOff>
    </xdr:from>
    <xdr:to>
      <xdr:col>18</xdr:col>
      <xdr:colOff>8283</xdr:colOff>
      <xdr:row>13</xdr:row>
      <xdr:rowOff>155179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8B16E00-A5ED-56D2-E693-BB7D766DF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16293" y="76200"/>
          <a:ext cx="6083990" cy="2555479"/>
        </a:xfrm>
        <a:prstGeom prst="rect">
          <a:avLst/>
        </a:prstGeom>
      </xdr:spPr>
    </xdr:pic>
    <xdr:clientData/>
  </xdr:twoCellAnchor>
  <xdr:twoCellAnchor editAs="oneCell">
    <xdr:from>
      <xdr:col>8</xdr:col>
      <xdr:colOff>216001</xdr:colOff>
      <xdr:row>13</xdr:row>
      <xdr:rowOff>144530</xdr:rowOff>
    </xdr:from>
    <xdr:to>
      <xdr:col>16</xdr:col>
      <xdr:colOff>91108</xdr:colOff>
      <xdr:row>24</xdr:row>
      <xdr:rowOff>65854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F10BA6E0-E92D-34FC-14D9-A397E81EC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13218" y="2621030"/>
          <a:ext cx="4944064" cy="2016824"/>
        </a:xfrm>
        <a:prstGeom prst="rect">
          <a:avLst/>
        </a:prstGeom>
      </xdr:spPr>
    </xdr:pic>
    <xdr:clientData/>
  </xdr:twoCellAnchor>
  <xdr:twoCellAnchor editAs="oneCell">
    <xdr:from>
      <xdr:col>0</xdr:col>
      <xdr:colOff>588819</xdr:colOff>
      <xdr:row>46</xdr:row>
      <xdr:rowOff>0</xdr:rowOff>
    </xdr:from>
    <xdr:to>
      <xdr:col>8</xdr:col>
      <xdr:colOff>429901</xdr:colOff>
      <xdr:row>61</xdr:row>
      <xdr:rowOff>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A50AF87B-DA40-CD70-9B67-7B5CEEC7C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8819" y="8763000"/>
          <a:ext cx="5729264" cy="2857500"/>
        </a:xfrm>
        <a:prstGeom prst="rect">
          <a:avLst/>
        </a:prstGeom>
      </xdr:spPr>
    </xdr:pic>
    <xdr:clientData/>
  </xdr:twoCellAnchor>
  <xdr:twoCellAnchor editAs="oneCell">
    <xdr:from>
      <xdr:col>0</xdr:col>
      <xdr:colOff>554182</xdr:colOff>
      <xdr:row>61</xdr:row>
      <xdr:rowOff>155864</xdr:rowOff>
    </xdr:from>
    <xdr:to>
      <xdr:col>8</xdr:col>
      <xdr:colOff>443683</xdr:colOff>
      <xdr:row>77</xdr:row>
      <xdr:rowOff>17319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23971F28-0057-09EA-5C0C-0C85BBDF4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4182" y="11776364"/>
          <a:ext cx="5777683" cy="2909455"/>
        </a:xfrm>
        <a:prstGeom prst="rect">
          <a:avLst/>
        </a:prstGeom>
      </xdr:spPr>
    </xdr:pic>
    <xdr:clientData/>
  </xdr:twoCellAnchor>
  <xdr:twoCellAnchor editAs="oneCell">
    <xdr:from>
      <xdr:col>0</xdr:col>
      <xdr:colOff>536864</xdr:colOff>
      <xdr:row>79</xdr:row>
      <xdr:rowOff>121226</xdr:rowOff>
    </xdr:from>
    <xdr:to>
      <xdr:col>8</xdr:col>
      <xdr:colOff>487916</xdr:colOff>
      <xdr:row>93</xdr:row>
      <xdr:rowOff>190499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51108BE6-899E-6E3C-67E8-99E333127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6864" y="15170726"/>
          <a:ext cx="5839234" cy="27362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98214</xdr:colOff>
      <xdr:row>1</xdr:row>
      <xdr:rowOff>98213</xdr:rowOff>
    </xdr:from>
    <xdr:to>
      <xdr:col>5</xdr:col>
      <xdr:colOff>645584</xdr:colOff>
      <xdr:row>1</xdr:row>
      <xdr:rowOff>98213</xdr:rowOff>
    </xdr:to>
    <xdr:cxnSp macro="">
      <xdr:nvCxnSpPr>
        <xdr:cNvPr id="3" name="Conector de Seta Reta 2">
          <a:extLst>
            <a:ext uri="{FF2B5EF4-FFF2-40B4-BE49-F238E27FC236}">
              <a16:creationId xmlns:a16="http://schemas.microsoft.com/office/drawing/2014/main" id="{96283527-9417-27BB-7E69-E5308D4FFB25}"/>
            </a:ext>
          </a:extLst>
        </xdr:cNvPr>
        <xdr:cNvCxnSpPr/>
      </xdr:nvCxnSpPr>
      <xdr:spPr>
        <a:xfrm>
          <a:off x="12618297" y="447463"/>
          <a:ext cx="54737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0</xdr:colOff>
      <xdr:row>2</xdr:row>
      <xdr:rowOff>31</xdr:rowOff>
    </xdr:from>
    <xdr:to>
      <xdr:col>18</xdr:col>
      <xdr:colOff>266000</xdr:colOff>
      <xdr:row>19</xdr:row>
      <xdr:rowOff>97035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DF85E1-BEB0-FA3D-D506-ABF74A2F5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0333" y="529198"/>
          <a:ext cx="7632000" cy="3155587"/>
        </a:xfrm>
        <a:prstGeom prst="rect">
          <a:avLst/>
        </a:prstGeom>
      </xdr:spPr>
    </xdr:pic>
    <xdr:clientData/>
  </xdr:twoCellAnchor>
  <xdr:twoCellAnchor>
    <xdr:from>
      <xdr:col>4</xdr:col>
      <xdr:colOff>2277534</xdr:colOff>
      <xdr:row>9</xdr:row>
      <xdr:rowOff>42333</xdr:rowOff>
    </xdr:from>
    <xdr:to>
      <xdr:col>6</xdr:col>
      <xdr:colOff>203200</xdr:colOff>
      <xdr:row>20</xdr:row>
      <xdr:rowOff>76200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148BCCA1-ACCE-9FBC-60CD-CFCA4D46DBD6}"/>
            </a:ext>
          </a:extLst>
        </xdr:cNvPr>
        <xdr:cNvCxnSpPr/>
      </xdr:nvCxnSpPr>
      <xdr:spPr>
        <a:xfrm>
          <a:off x="12505267" y="1879600"/>
          <a:ext cx="939800" cy="2082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0</xdr:colOff>
      <xdr:row>22</xdr:row>
      <xdr:rowOff>0</xdr:rowOff>
    </xdr:from>
    <xdr:to>
      <xdr:col>18</xdr:col>
      <xdr:colOff>352800</xdr:colOff>
      <xdr:row>35</xdr:row>
      <xdr:rowOff>83413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BE0C30B-EC5B-7641-B13C-30C604F45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41867" y="4258733"/>
          <a:ext cx="7668000" cy="25048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387246</xdr:colOff>
      <xdr:row>25</xdr:row>
      <xdr:rowOff>71156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4B8607C-E1F9-EFA1-2A82-EE4554B74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590902" cy="4536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01/Vers&#227;o%20Final/2026_01%20P&amp;L.xlsx" TargetMode="External"/><Relationship Id="rId2" Type="http://schemas.openxmlformats.org/officeDocument/2006/relationships/externalLinkPath" Target="file:///G:\Drives%20compartilhados\Area%20-%20FPA\FPA\29.%20Checks%20Contabilidade\2026\01\Vers&#227;o%20Final\2026_01%20P&amp;L.xlsx" TargetMode="External"/><Relationship Id="rId1" Type="http://schemas.openxmlformats.org/officeDocument/2006/relationships/externalLinkPath" Target="/Drives%20compartilhados/Area%20-%20FPA/FPA/29.%20Checks%20Contabilidade/2026/01/Vers&#227;o%20Final/2026_01%20P&amp;L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10.%20Or&#231;amento/Or&#231;amento%202026/Vers&#227;o%20Final/Orcamento_Conglomerado_Bari%202026_2028.xlsm" TargetMode="External"/><Relationship Id="rId2" Type="http://schemas.openxmlformats.org/officeDocument/2006/relationships/externalLinkPath" Target="file:///G:\Drives%20compartilhados\Area%20-%20FPA\FPA\10.%20Or&#231;amento\Or&#231;amento%202026\Vers&#227;o%20Final\Orcamento_Conglomerado_Bari%202026_2028.xlsm" TargetMode="External"/><Relationship Id="rId1" Type="http://schemas.openxmlformats.org/officeDocument/2006/relationships/externalLinkPath" Target="/Drives%20compartilhados/Area%20-%20FPA/FPA/10.%20Or&#231;amento/Or&#231;amento%202026/Vers&#227;o%20Final/Orcamento_Conglomerado_Bari%202026_202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sso a Passo"/>
      <sheetName val="Premissas"/>
      <sheetName val="RESULTADO"/>
      <sheetName val="P&amp;L Mensal"/>
      <sheetName val="P&amp;L Acumulado"/>
      <sheetName val="Orçado "/>
      <sheetName val="Realizado"/>
      <sheetName val="Base comparativo - Desp Admin"/>
      <sheetName val="Destaques"/>
      <sheetName val="Organização P&amp;L"/>
      <sheetName val="DRE Simplificado"/>
      <sheetName val="Evolução PDD Imobiliário"/>
      <sheetName val="Despesas"/>
      <sheetName val="Margem Financeira"/>
      <sheetName val="Lista de data para filtro"/>
    </sheetNames>
    <sheetDataSet>
      <sheetData sheetId="0"/>
      <sheetData sheetId="1"/>
      <sheetData sheetId="2"/>
      <sheetData sheetId="3"/>
      <sheetData sheetId="4"/>
      <sheetData sheetId="5">
        <row r="125">
          <cell r="AN125">
            <v>4206375.1311047599</v>
          </cell>
          <cell r="AO125">
            <v>4890079.1595291719</v>
          </cell>
          <cell r="AP125">
            <v>6312897.7173873112</v>
          </cell>
          <cell r="AQ125">
            <v>6729376.2234870158</v>
          </cell>
          <cell r="AR125">
            <v>5884314.6924281418</v>
          </cell>
          <cell r="AS125">
            <v>6283884.4123663129</v>
          </cell>
          <cell r="AT125">
            <v>4964087.6843384253</v>
          </cell>
          <cell r="AU125">
            <v>6326808.8007465899</v>
          </cell>
          <cell r="AV125">
            <v>6337900.1930499552</v>
          </cell>
          <cell r="AW125">
            <v>6771560.9076011591</v>
          </cell>
          <cell r="AX125">
            <v>8003371.3468792625</v>
          </cell>
          <cell r="AY125">
            <v>6717627.009010477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trl Alterações"/>
      <sheetName val="Inicio"/>
      <sheetName val="Balancete Inicial Banco"/>
      <sheetName val="Balancete Inicial Hipotecaria"/>
      <sheetName val="Premissas de Crédito"/>
      <sheetName val="Fluxo"/>
      <sheetName val="Balanço"/>
      <sheetName val="Lalur_IR_Mensal"/>
      <sheetName val="DRE"/>
      <sheetName val="DRE por produto"/>
      <sheetName val="P&amp;L Acumulado"/>
      <sheetName val="Orçado "/>
      <sheetName val="Apoio"/>
      <sheetName val="Rating Imobiliário"/>
      <sheetName val="Base Despesas"/>
      <sheetName val="Rating Consignado"/>
      <sheetName val="Indices Economicos"/>
      <sheetName val="TJEO"/>
      <sheetName val="Tabelas"/>
      <sheetName val="Captação"/>
      <sheetName val="Receitas (Fees)"/>
      <sheetName val="Feriados"/>
      <sheetName val="Swaps"/>
      <sheetName val="Despesa"/>
      <sheetName val="TD_Despesas"/>
      <sheetName val="Resumo Despesas"/>
      <sheetName val="TD_Despesa Comissão"/>
      <sheetName val="Despesa_Comissão"/>
      <sheetName val="Planejamento 2025"/>
      <sheetName val="Despesa Adm"/>
      <sheetName val="Rateio"/>
      <sheetName val="PDD por Faixa"/>
      <sheetName val="Dados Cartão"/>
      <sheetName val="Securitização"/>
      <sheetName val="cálculo basiléia"/>
      <sheetName val="Apresentação"/>
      <sheetName val="BaseDoConsignado"/>
      <sheetName val="Planilha1"/>
      <sheetName val="TJEO Consignado"/>
      <sheetName val="INSS"/>
      <sheetName val="Estado PR"/>
      <sheetName val="Prefeituras"/>
      <sheetName val="Cartão Benefício PR"/>
      <sheetName val="BaseDoImobiliario"/>
      <sheetName val="TJEO Imobiliário"/>
      <sheetName val="Home Equity"/>
      <sheetName val="Cartão"/>
      <sheetName val="Compra De Recebível"/>
      <sheetName val="Aquisiçã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3">
          <cell r="BA3">
            <v>5107034.8236111198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  <wetp:taskpane dockstate="right" visibility="0" width="502" row="8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268387A8-016B-44D8-8B77-713543F3B89D}">
  <we:reference id="WA200010215" version="1.0.0.0" store="Omex" storeType="OMEX"/>
  <we:alternateReferences>
    <we:reference id="WA200010215" version="1.0.0.0" store="WA200010215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53D6BAF3-A24E-4F5F-9D85-91C06067C6DD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921f731d-3f76-4efd-9e18-893888ec7c1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9BD12-8EA0-48F8-9526-5689CE4CEF32}">
  <sheetPr codeName="Planilha2">
    <tabColor theme="2" tint="-9.9978637043366805E-2"/>
  </sheetPr>
  <dimension ref="A3:AP97"/>
  <sheetViews>
    <sheetView showGridLines="0" zoomScale="115" zoomScaleNormal="115" workbookViewId="0">
      <selection activeCell="B28" sqref="B28:O43"/>
    </sheetView>
  </sheetViews>
  <sheetFormatPr defaultRowHeight="15" x14ac:dyDescent="0.25"/>
  <cols>
    <col min="1" max="1" width="9" customWidth="1"/>
    <col min="2" max="2" width="12" customWidth="1"/>
    <col min="3" max="3" width="7.85546875" bestFit="1" customWidth="1"/>
    <col min="4" max="4" width="8.140625" bestFit="1" customWidth="1"/>
    <col min="5" max="5" width="12.7109375" customWidth="1"/>
    <col min="7" max="7" width="21.7109375" bestFit="1" customWidth="1"/>
    <col min="8" max="8" width="7.85546875" bestFit="1" customWidth="1"/>
    <col min="9" max="9" width="8.140625" bestFit="1" customWidth="1"/>
    <col min="10" max="10" width="12.7109375" customWidth="1"/>
  </cols>
  <sheetData>
    <row r="3" spans="1:2" x14ac:dyDescent="0.25">
      <c r="A3" s="110">
        <v>1</v>
      </c>
      <c r="B3" s="26" t="s">
        <v>488</v>
      </c>
    </row>
    <row r="4" spans="1:2" x14ac:dyDescent="0.25">
      <c r="A4" s="202" t="s">
        <v>489</v>
      </c>
      <c r="B4" t="s">
        <v>490</v>
      </c>
    </row>
    <row r="5" spans="1:2" x14ac:dyDescent="0.25">
      <c r="A5" s="202" t="s">
        <v>491</v>
      </c>
      <c r="B5" t="s">
        <v>492</v>
      </c>
    </row>
    <row r="6" spans="1:2" x14ac:dyDescent="0.25">
      <c r="A6" s="202" t="s">
        <v>493</v>
      </c>
      <c r="B6" t="s">
        <v>494</v>
      </c>
    </row>
    <row r="7" spans="1:2" x14ac:dyDescent="0.25">
      <c r="A7" s="202" t="s">
        <v>495</v>
      </c>
      <c r="B7" t="s">
        <v>496</v>
      </c>
    </row>
    <row r="8" spans="1:2" x14ac:dyDescent="0.25">
      <c r="A8" s="110"/>
    </row>
    <row r="9" spans="1:2" x14ac:dyDescent="0.25">
      <c r="A9" s="110"/>
    </row>
    <row r="10" spans="1:2" x14ac:dyDescent="0.25">
      <c r="A10" s="110">
        <v>2</v>
      </c>
      <c r="B10" s="26" t="s">
        <v>497</v>
      </c>
    </row>
    <row r="11" spans="1:2" x14ac:dyDescent="0.25">
      <c r="A11" s="202" t="s">
        <v>499</v>
      </c>
      <c r="B11" t="s">
        <v>500</v>
      </c>
    </row>
    <row r="12" spans="1:2" x14ac:dyDescent="0.25">
      <c r="A12" s="202" t="s">
        <v>501</v>
      </c>
      <c r="B12" t="s">
        <v>502</v>
      </c>
    </row>
    <row r="13" spans="1:2" x14ac:dyDescent="0.25">
      <c r="A13" s="202" t="s">
        <v>503</v>
      </c>
      <c r="B13" t="s">
        <v>504</v>
      </c>
    </row>
    <row r="15" spans="1:2" x14ac:dyDescent="0.25">
      <c r="A15" s="110"/>
    </row>
    <row r="16" spans="1:2" x14ac:dyDescent="0.25">
      <c r="A16" s="110">
        <v>3</v>
      </c>
      <c r="B16" s="26" t="s">
        <v>506</v>
      </c>
    </row>
    <row r="17" spans="1:15" x14ac:dyDescent="0.25">
      <c r="A17" s="202" t="s">
        <v>505</v>
      </c>
      <c r="B17" t="s">
        <v>507</v>
      </c>
    </row>
    <row r="18" spans="1:15" x14ac:dyDescent="0.25">
      <c r="A18" s="110"/>
    </row>
    <row r="19" spans="1:15" x14ac:dyDescent="0.25">
      <c r="A19" s="110"/>
    </row>
    <row r="20" spans="1:15" x14ac:dyDescent="0.25">
      <c r="A20" s="110">
        <v>4</v>
      </c>
      <c r="B20" t="s">
        <v>508</v>
      </c>
    </row>
    <row r="21" spans="1:15" x14ac:dyDescent="0.25">
      <c r="A21" s="202" t="s">
        <v>509</v>
      </c>
      <c r="B21" t="s">
        <v>510</v>
      </c>
    </row>
    <row r="22" spans="1:15" x14ac:dyDescent="0.25">
      <c r="A22" s="202" t="s">
        <v>511</v>
      </c>
      <c r="B22" t="s">
        <v>512</v>
      </c>
    </row>
    <row r="25" spans="1:15" x14ac:dyDescent="0.25">
      <c r="A25" s="110">
        <v>5</v>
      </c>
      <c r="B25" s="26" t="s">
        <v>513</v>
      </c>
    </row>
    <row r="26" spans="1:15" ht="15" customHeight="1" x14ac:dyDescent="0.25">
      <c r="A26" s="202" t="s">
        <v>0</v>
      </c>
      <c r="B26" t="s">
        <v>515</v>
      </c>
      <c r="F26" s="593"/>
      <c r="G26" s="593"/>
      <c r="H26" s="593"/>
      <c r="I26" s="593"/>
    </row>
    <row r="27" spans="1:15" ht="15.75" thickBot="1" x14ac:dyDescent="0.3">
      <c r="A27" s="202" t="s">
        <v>516</v>
      </c>
      <c r="B27" t="s">
        <v>514</v>
      </c>
      <c r="F27" s="593"/>
      <c r="G27" s="593"/>
      <c r="H27" s="593"/>
      <c r="I27" s="593"/>
    </row>
    <row r="28" spans="1:15" ht="15" customHeight="1" x14ac:dyDescent="0.25">
      <c r="A28" s="110"/>
      <c r="B28" s="799" t="s">
        <v>575</v>
      </c>
      <c r="C28" s="800"/>
      <c r="D28" s="800"/>
      <c r="E28" s="800"/>
      <c r="F28" s="800"/>
      <c r="G28" s="800"/>
      <c r="H28" s="800"/>
      <c r="I28" s="800"/>
      <c r="J28" s="800"/>
      <c r="K28" s="800"/>
      <c r="L28" s="800"/>
      <c r="M28" s="800"/>
      <c r="N28" s="800"/>
      <c r="O28" s="801"/>
    </row>
    <row r="29" spans="1:15" x14ac:dyDescent="0.25">
      <c r="A29" s="110"/>
      <c r="B29" s="802"/>
      <c r="C29" s="803"/>
      <c r="D29" s="803"/>
      <c r="E29" s="803"/>
      <c r="F29" s="803"/>
      <c r="G29" s="803"/>
      <c r="H29" s="803"/>
      <c r="I29" s="803"/>
      <c r="J29" s="803"/>
      <c r="K29" s="803"/>
      <c r="L29" s="803"/>
      <c r="M29" s="803"/>
      <c r="N29" s="803"/>
      <c r="O29" s="804"/>
    </row>
    <row r="30" spans="1:15" x14ac:dyDescent="0.25">
      <c r="A30" s="110"/>
      <c r="B30" s="802"/>
      <c r="C30" s="803"/>
      <c r="D30" s="803"/>
      <c r="E30" s="803"/>
      <c r="F30" s="803"/>
      <c r="G30" s="803"/>
      <c r="H30" s="803"/>
      <c r="I30" s="803"/>
      <c r="J30" s="803"/>
      <c r="K30" s="803"/>
      <c r="L30" s="803"/>
      <c r="M30" s="803"/>
      <c r="N30" s="803"/>
      <c r="O30" s="804"/>
    </row>
    <row r="31" spans="1:15" x14ac:dyDescent="0.25">
      <c r="A31" s="110"/>
      <c r="B31" s="802"/>
      <c r="C31" s="803"/>
      <c r="D31" s="803"/>
      <c r="E31" s="803"/>
      <c r="F31" s="803"/>
      <c r="G31" s="803"/>
      <c r="H31" s="803"/>
      <c r="I31" s="803"/>
      <c r="J31" s="803"/>
      <c r="K31" s="803"/>
      <c r="L31" s="803"/>
      <c r="M31" s="803"/>
      <c r="N31" s="803"/>
      <c r="O31" s="804"/>
    </row>
    <row r="32" spans="1:15" x14ac:dyDescent="0.25">
      <c r="A32" s="110"/>
      <c r="B32" s="802"/>
      <c r="C32" s="803"/>
      <c r="D32" s="803"/>
      <c r="E32" s="803"/>
      <c r="F32" s="803"/>
      <c r="G32" s="803"/>
      <c r="H32" s="803"/>
      <c r="I32" s="803"/>
      <c r="J32" s="803"/>
      <c r="K32" s="803"/>
      <c r="L32" s="803"/>
      <c r="M32" s="803"/>
      <c r="N32" s="803"/>
      <c r="O32" s="804"/>
    </row>
    <row r="33" spans="1:42" x14ac:dyDescent="0.25">
      <c r="A33" s="110"/>
      <c r="B33" s="802"/>
      <c r="C33" s="803"/>
      <c r="D33" s="803"/>
      <c r="E33" s="803"/>
      <c r="F33" s="803"/>
      <c r="G33" s="803"/>
      <c r="H33" s="803"/>
      <c r="I33" s="803"/>
      <c r="J33" s="803"/>
      <c r="K33" s="803"/>
      <c r="L33" s="803"/>
      <c r="M33" s="803"/>
      <c r="N33" s="803"/>
      <c r="O33" s="804"/>
    </row>
    <row r="34" spans="1:42" x14ac:dyDescent="0.25">
      <c r="A34" s="110"/>
      <c r="B34" s="802"/>
      <c r="C34" s="803"/>
      <c r="D34" s="803"/>
      <c r="E34" s="803"/>
      <c r="F34" s="803"/>
      <c r="G34" s="803"/>
      <c r="H34" s="803"/>
      <c r="I34" s="803"/>
      <c r="J34" s="803"/>
      <c r="K34" s="803"/>
      <c r="L34" s="803"/>
      <c r="M34" s="803"/>
      <c r="N34" s="803"/>
      <c r="O34" s="804"/>
    </row>
    <row r="35" spans="1:42" x14ac:dyDescent="0.25">
      <c r="A35" s="110"/>
      <c r="B35" s="802"/>
      <c r="C35" s="803"/>
      <c r="D35" s="803"/>
      <c r="E35" s="803"/>
      <c r="F35" s="803"/>
      <c r="G35" s="803"/>
      <c r="H35" s="803"/>
      <c r="I35" s="803"/>
      <c r="J35" s="803"/>
      <c r="K35" s="803"/>
      <c r="L35" s="803"/>
      <c r="M35" s="803"/>
      <c r="N35" s="803"/>
      <c r="O35" s="804"/>
    </row>
    <row r="36" spans="1:42" x14ac:dyDescent="0.25">
      <c r="A36" s="110"/>
      <c r="B36" s="802"/>
      <c r="C36" s="803"/>
      <c r="D36" s="803"/>
      <c r="E36" s="803"/>
      <c r="F36" s="803"/>
      <c r="G36" s="803"/>
      <c r="H36" s="803"/>
      <c r="I36" s="803"/>
      <c r="J36" s="803"/>
      <c r="K36" s="803"/>
      <c r="L36" s="803"/>
      <c r="M36" s="803"/>
      <c r="N36" s="803"/>
      <c r="O36" s="804"/>
    </row>
    <row r="37" spans="1:42" x14ac:dyDescent="0.25">
      <c r="A37" s="110"/>
      <c r="B37" s="802"/>
      <c r="C37" s="803"/>
      <c r="D37" s="803"/>
      <c r="E37" s="803"/>
      <c r="F37" s="803"/>
      <c r="G37" s="803"/>
      <c r="H37" s="803"/>
      <c r="I37" s="803"/>
      <c r="J37" s="803"/>
      <c r="K37" s="803"/>
      <c r="L37" s="803"/>
      <c r="M37" s="803"/>
      <c r="N37" s="803"/>
      <c r="O37" s="804"/>
    </row>
    <row r="38" spans="1:42" x14ac:dyDescent="0.25">
      <c r="A38" s="110"/>
      <c r="B38" s="802"/>
      <c r="C38" s="803"/>
      <c r="D38" s="803"/>
      <c r="E38" s="803"/>
      <c r="F38" s="803"/>
      <c r="G38" s="803"/>
      <c r="H38" s="803"/>
      <c r="I38" s="803"/>
      <c r="J38" s="803"/>
      <c r="K38" s="803"/>
      <c r="L38" s="803"/>
      <c r="M38" s="803"/>
      <c r="N38" s="803"/>
      <c r="O38" s="804"/>
    </row>
    <row r="39" spans="1:42" x14ac:dyDescent="0.25">
      <c r="A39" s="110"/>
      <c r="B39" s="802"/>
      <c r="C39" s="803"/>
      <c r="D39" s="803"/>
      <c r="E39" s="803"/>
      <c r="F39" s="803"/>
      <c r="G39" s="803"/>
      <c r="H39" s="803"/>
      <c r="I39" s="803"/>
      <c r="J39" s="803"/>
      <c r="K39" s="803"/>
      <c r="L39" s="803"/>
      <c r="M39" s="803"/>
      <c r="N39" s="803"/>
      <c r="O39" s="804"/>
    </row>
    <row r="40" spans="1:42" x14ac:dyDescent="0.25">
      <c r="A40" s="110"/>
      <c r="B40" s="802"/>
      <c r="C40" s="803"/>
      <c r="D40" s="803"/>
      <c r="E40" s="803"/>
      <c r="F40" s="803"/>
      <c r="G40" s="803"/>
      <c r="H40" s="803"/>
      <c r="I40" s="803"/>
      <c r="J40" s="803"/>
      <c r="K40" s="803"/>
      <c r="L40" s="803"/>
      <c r="M40" s="803"/>
      <c r="N40" s="803"/>
      <c r="O40" s="804"/>
    </row>
    <row r="41" spans="1:42" x14ac:dyDescent="0.25">
      <c r="A41" s="110"/>
      <c r="B41" s="802"/>
      <c r="C41" s="803"/>
      <c r="D41" s="803"/>
      <c r="E41" s="803"/>
      <c r="F41" s="803"/>
      <c r="G41" s="803"/>
      <c r="H41" s="803"/>
      <c r="I41" s="803"/>
      <c r="J41" s="803"/>
      <c r="K41" s="803"/>
      <c r="L41" s="803"/>
      <c r="M41" s="803"/>
      <c r="N41" s="803"/>
      <c r="O41" s="804"/>
    </row>
    <row r="42" spans="1:42" x14ac:dyDescent="0.25">
      <c r="A42" s="110"/>
      <c r="B42" s="802"/>
      <c r="C42" s="803"/>
      <c r="D42" s="803"/>
      <c r="E42" s="803"/>
      <c r="F42" s="803"/>
      <c r="G42" s="803"/>
      <c r="H42" s="803"/>
      <c r="I42" s="803"/>
      <c r="J42" s="803"/>
      <c r="K42" s="803"/>
      <c r="L42" s="803"/>
      <c r="M42" s="803"/>
      <c r="N42" s="803"/>
      <c r="O42" s="804"/>
    </row>
    <row r="43" spans="1:42" ht="15.75" thickBot="1" x14ac:dyDescent="0.3">
      <c r="A43" s="175"/>
      <c r="B43" s="805"/>
      <c r="C43" s="806"/>
      <c r="D43" s="806"/>
      <c r="E43" s="806"/>
      <c r="F43" s="806"/>
      <c r="G43" s="806"/>
      <c r="H43" s="806"/>
      <c r="I43" s="806"/>
      <c r="J43" s="806"/>
      <c r="K43" s="806"/>
      <c r="L43" s="806"/>
      <c r="M43" s="806"/>
      <c r="N43" s="806"/>
      <c r="O43" s="807"/>
      <c r="P43" s="175"/>
      <c r="Q43" s="175"/>
      <c r="R43" s="175"/>
      <c r="S43" s="175"/>
      <c r="T43" s="175"/>
      <c r="U43" s="175"/>
      <c r="V43" s="175"/>
      <c r="W43" s="175"/>
      <c r="X43" s="175"/>
      <c r="Y43" s="175"/>
      <c r="Z43" s="175"/>
      <c r="AA43" s="175"/>
      <c r="AB43" s="175"/>
      <c r="AC43" s="175"/>
      <c r="AD43" s="175"/>
      <c r="AE43" s="175"/>
      <c r="AF43" s="175"/>
      <c r="AG43" s="175"/>
      <c r="AH43" s="175"/>
      <c r="AI43" s="175"/>
      <c r="AJ43" s="175"/>
      <c r="AK43" s="175"/>
      <c r="AL43" s="175"/>
      <c r="AM43" s="175"/>
      <c r="AN43" s="175"/>
      <c r="AO43" s="175"/>
      <c r="AP43" s="175"/>
    </row>
    <row r="44" spans="1:42" x14ac:dyDescent="0.25">
      <c r="C44" s="175"/>
      <c r="D44" s="175"/>
      <c r="E44" s="175"/>
      <c r="F44" s="175"/>
      <c r="G44" s="175"/>
      <c r="H44" s="175"/>
      <c r="I44" s="175"/>
      <c r="J44" s="175"/>
      <c r="K44" s="175"/>
      <c r="L44" s="175"/>
      <c r="M44" s="175"/>
      <c r="N44" s="175"/>
      <c r="O44" s="175"/>
      <c r="P44" s="175"/>
      <c r="Q44" s="175"/>
      <c r="R44" s="175"/>
      <c r="S44" s="175"/>
      <c r="T44" s="175"/>
      <c r="U44" s="175"/>
      <c r="V44" s="175"/>
      <c r="W44" s="175"/>
      <c r="X44" s="175"/>
      <c r="Y44" s="175"/>
      <c r="Z44" s="175"/>
      <c r="AA44" s="175"/>
      <c r="AB44" s="175"/>
      <c r="AC44" s="175"/>
      <c r="AD44" s="175"/>
      <c r="AE44" s="175"/>
      <c r="AF44" s="175"/>
      <c r="AG44" s="175"/>
      <c r="AH44" s="175"/>
      <c r="AI44" s="175"/>
      <c r="AJ44" s="175"/>
      <c r="AK44" s="175"/>
      <c r="AL44" s="175"/>
      <c r="AM44" s="175"/>
      <c r="AN44" s="175"/>
      <c r="AO44" s="175"/>
      <c r="AP44" s="175"/>
    </row>
    <row r="45" spans="1:42" x14ac:dyDescent="0.25">
      <c r="A45" s="595" t="s">
        <v>517</v>
      </c>
      <c r="B45" s="594" t="s">
        <v>518</v>
      </c>
      <c r="C45" s="175"/>
      <c r="D45" s="175"/>
      <c r="E45" s="175"/>
      <c r="F45" s="175"/>
      <c r="G45" s="175"/>
      <c r="H45" s="175"/>
      <c r="I45" s="175"/>
      <c r="J45" s="175"/>
      <c r="K45" s="175"/>
      <c r="L45" s="175"/>
      <c r="M45" s="175"/>
      <c r="N45" s="175"/>
      <c r="O45" s="175"/>
      <c r="P45" s="175"/>
      <c r="Q45" s="175"/>
      <c r="R45" s="175"/>
      <c r="S45" s="175"/>
      <c r="T45" s="175"/>
      <c r="U45" s="175"/>
      <c r="V45" s="175"/>
      <c r="W45" s="175"/>
      <c r="X45" s="175"/>
      <c r="Y45" s="175"/>
      <c r="Z45" s="175"/>
      <c r="AA45" s="175"/>
      <c r="AB45" s="175"/>
      <c r="AC45" s="175"/>
      <c r="AD45" s="175"/>
      <c r="AE45" s="175"/>
      <c r="AF45" s="175"/>
      <c r="AG45" s="175"/>
      <c r="AH45" s="175"/>
      <c r="AI45" s="175"/>
      <c r="AJ45" s="175"/>
      <c r="AK45" s="175"/>
      <c r="AL45" s="175"/>
      <c r="AM45" s="175"/>
      <c r="AN45" s="175"/>
      <c r="AO45" s="175"/>
      <c r="AP45" s="175"/>
    </row>
    <row r="46" spans="1:42" x14ac:dyDescent="0.25">
      <c r="A46" s="175"/>
      <c r="B46" s="175"/>
      <c r="C46" s="175"/>
      <c r="D46" s="175"/>
      <c r="E46" s="175"/>
      <c r="F46" s="175"/>
      <c r="G46" s="175"/>
      <c r="H46" s="175"/>
      <c r="I46" s="175"/>
      <c r="J46" s="175"/>
      <c r="K46" s="175"/>
      <c r="L46" s="175"/>
      <c r="M46" s="175"/>
      <c r="N46" s="175"/>
      <c r="O46" s="175"/>
      <c r="P46" s="175"/>
      <c r="Q46" s="175"/>
      <c r="R46" s="175"/>
      <c r="S46" s="175"/>
      <c r="T46" s="175"/>
      <c r="U46" s="175"/>
      <c r="V46" s="175"/>
      <c r="W46" s="175"/>
      <c r="X46" s="175"/>
      <c r="Y46" s="175"/>
      <c r="Z46" s="175"/>
      <c r="AA46" s="175"/>
      <c r="AB46" s="175"/>
      <c r="AC46" s="175"/>
      <c r="AD46" s="175"/>
      <c r="AE46" s="175"/>
      <c r="AF46" s="175"/>
      <c r="AG46" s="175"/>
      <c r="AH46" s="175"/>
      <c r="AI46" s="175"/>
      <c r="AJ46" s="175"/>
      <c r="AK46" s="175"/>
      <c r="AL46" s="175"/>
      <c r="AM46" s="175"/>
      <c r="AN46" s="175"/>
      <c r="AO46" s="175"/>
      <c r="AP46" s="175"/>
    </row>
    <row r="47" spans="1:42" x14ac:dyDescent="0.25">
      <c r="A47" s="176" t="s">
        <v>522</v>
      </c>
      <c r="B47" s="175"/>
      <c r="C47" s="175"/>
      <c r="D47" s="175"/>
      <c r="E47" s="175"/>
      <c r="F47" s="175"/>
      <c r="G47" s="175"/>
      <c r="H47" s="175"/>
      <c r="I47" s="175"/>
      <c r="J47" s="175"/>
      <c r="K47" s="175"/>
      <c r="L47" s="175"/>
      <c r="M47" s="175"/>
      <c r="N47" s="175"/>
      <c r="O47" s="175"/>
      <c r="P47" s="175"/>
      <c r="Q47" s="175"/>
      <c r="R47" s="175"/>
      <c r="S47" s="175"/>
      <c r="T47" s="175"/>
      <c r="U47" s="175"/>
      <c r="V47" s="175"/>
      <c r="W47" s="175"/>
      <c r="X47" s="175"/>
      <c r="Y47" s="175"/>
      <c r="Z47" s="175"/>
      <c r="AA47" s="175"/>
      <c r="AB47" s="175"/>
      <c r="AC47" s="175"/>
      <c r="AD47" s="175"/>
      <c r="AE47" s="175"/>
      <c r="AF47" s="175"/>
      <c r="AG47" s="175"/>
      <c r="AH47" s="175"/>
      <c r="AI47" s="175"/>
      <c r="AJ47" s="175"/>
      <c r="AK47" s="175"/>
      <c r="AL47" s="175"/>
      <c r="AM47" s="175"/>
      <c r="AN47" s="175"/>
      <c r="AO47" s="175"/>
      <c r="AP47" s="175"/>
    </row>
    <row r="48" spans="1:42" x14ac:dyDescent="0.25">
      <c r="A48" s="175"/>
      <c r="B48" s="175"/>
      <c r="C48" s="175"/>
      <c r="D48" s="175"/>
      <c r="E48" s="175"/>
      <c r="F48" s="175"/>
      <c r="G48" s="175"/>
      <c r="H48" s="175"/>
      <c r="I48" s="175"/>
      <c r="J48" s="175"/>
      <c r="K48" s="175"/>
      <c r="L48" s="175"/>
      <c r="M48" s="175"/>
      <c r="N48" s="175"/>
      <c r="O48" s="175"/>
      <c r="P48" s="175"/>
      <c r="Q48" s="175"/>
      <c r="R48" s="175"/>
      <c r="S48" s="175"/>
      <c r="T48" s="175"/>
      <c r="U48" s="175"/>
      <c r="V48" s="175"/>
      <c r="W48" s="175"/>
      <c r="X48" s="175"/>
      <c r="Y48" s="175"/>
      <c r="Z48" s="175"/>
      <c r="AA48" s="175"/>
      <c r="AB48" s="175"/>
      <c r="AC48" s="175"/>
      <c r="AD48" s="175"/>
      <c r="AE48" s="175"/>
      <c r="AF48" s="175"/>
      <c r="AG48" s="175"/>
      <c r="AH48" s="175"/>
      <c r="AI48" s="175"/>
      <c r="AJ48" s="175"/>
      <c r="AK48" s="175"/>
      <c r="AL48" s="175"/>
      <c r="AM48" s="175"/>
      <c r="AN48" s="175"/>
      <c r="AO48" s="175"/>
      <c r="AP48" s="175"/>
    </row>
    <row r="49" spans="1:42" x14ac:dyDescent="0.25">
      <c r="A49" s="175"/>
      <c r="B49" s="175"/>
      <c r="C49" s="175"/>
      <c r="D49" s="175"/>
      <c r="E49" s="175"/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5"/>
      <c r="T49" s="175"/>
      <c r="U49" s="175"/>
      <c r="V49" s="175"/>
      <c r="W49" s="175"/>
      <c r="X49" s="175"/>
      <c r="Y49" s="175"/>
      <c r="Z49" s="175"/>
      <c r="AA49" s="175"/>
      <c r="AB49" s="175"/>
      <c r="AC49" s="175"/>
      <c r="AD49" s="175"/>
      <c r="AE49" s="175"/>
      <c r="AF49" s="175"/>
      <c r="AG49" s="175"/>
      <c r="AH49" s="175"/>
      <c r="AI49" s="175"/>
      <c r="AJ49" s="175"/>
      <c r="AK49" s="175"/>
      <c r="AL49" s="175"/>
      <c r="AM49" s="175"/>
      <c r="AN49" s="175"/>
      <c r="AO49" s="175"/>
      <c r="AP49" s="175"/>
    </row>
    <row r="50" spans="1:42" x14ac:dyDescent="0.25">
      <c r="A50" s="175"/>
      <c r="B50" s="175"/>
      <c r="C50" s="175"/>
      <c r="D50" s="175"/>
      <c r="E50" s="175"/>
      <c r="F50" s="175"/>
      <c r="G50" s="175"/>
      <c r="H50" s="175"/>
      <c r="I50" s="175"/>
      <c r="J50" s="175"/>
      <c r="K50" s="175"/>
      <c r="L50" s="175"/>
      <c r="M50" s="175"/>
      <c r="N50" s="175"/>
      <c r="O50" s="175"/>
      <c r="P50" s="175"/>
      <c r="Q50" s="175"/>
      <c r="R50" s="175"/>
      <c r="S50" s="175"/>
      <c r="T50" s="175"/>
      <c r="U50" s="175"/>
      <c r="V50" s="175"/>
      <c r="W50" s="175"/>
      <c r="X50" s="175"/>
      <c r="Y50" s="175"/>
      <c r="Z50" s="175"/>
      <c r="AA50" s="175"/>
      <c r="AB50" s="175"/>
      <c r="AC50" s="175"/>
      <c r="AD50" s="175"/>
      <c r="AE50" s="175"/>
      <c r="AF50" s="175"/>
      <c r="AG50" s="175"/>
      <c r="AH50" s="175"/>
      <c r="AI50" s="175"/>
      <c r="AJ50" s="175"/>
      <c r="AK50" s="175"/>
      <c r="AL50" s="175"/>
      <c r="AM50" s="175"/>
      <c r="AN50" s="175"/>
      <c r="AO50" s="175"/>
      <c r="AP50" s="175"/>
    </row>
    <row r="51" spans="1:42" x14ac:dyDescent="0.25">
      <c r="A51" s="175"/>
      <c r="B51" s="175"/>
      <c r="C51" s="175"/>
      <c r="D51" s="175"/>
      <c r="E51" s="175"/>
      <c r="F51" s="175"/>
      <c r="G51" s="175"/>
      <c r="H51" s="175"/>
      <c r="I51" s="175"/>
      <c r="J51" s="175"/>
      <c r="K51" s="175"/>
      <c r="L51" s="175"/>
      <c r="M51" s="175"/>
      <c r="N51" s="175"/>
      <c r="O51" s="175"/>
      <c r="P51" s="175"/>
      <c r="Q51" s="175"/>
      <c r="R51" s="175"/>
      <c r="S51" s="175"/>
      <c r="T51" s="175"/>
      <c r="U51" s="175"/>
      <c r="V51" s="175"/>
      <c r="W51" s="175"/>
      <c r="X51" s="175"/>
      <c r="Y51" s="175"/>
      <c r="Z51" s="175"/>
      <c r="AA51" s="175"/>
      <c r="AB51" s="175"/>
      <c r="AC51" s="175"/>
      <c r="AD51" s="175"/>
      <c r="AE51" s="175"/>
      <c r="AF51" s="175"/>
      <c r="AG51" s="175"/>
      <c r="AH51" s="175"/>
      <c r="AI51" s="175"/>
      <c r="AJ51" s="175"/>
      <c r="AK51" s="175"/>
      <c r="AL51" s="175"/>
      <c r="AM51" s="175"/>
      <c r="AN51" s="175"/>
      <c r="AO51" s="175"/>
      <c r="AP51" s="175"/>
    </row>
    <row r="52" spans="1:42" x14ac:dyDescent="0.25">
      <c r="A52" s="175"/>
      <c r="B52" s="175"/>
      <c r="C52" s="175"/>
      <c r="D52" s="175"/>
      <c r="E52" s="175"/>
      <c r="F52" s="175"/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175"/>
      <c r="Z52" s="175"/>
      <c r="AA52" s="175"/>
      <c r="AB52" s="175"/>
      <c r="AC52" s="175"/>
      <c r="AD52" s="175"/>
      <c r="AE52" s="175"/>
      <c r="AF52" s="175"/>
      <c r="AG52" s="175"/>
      <c r="AH52" s="175"/>
      <c r="AI52" s="175"/>
      <c r="AJ52" s="175"/>
      <c r="AK52" s="175"/>
      <c r="AL52" s="175"/>
      <c r="AM52" s="175"/>
      <c r="AN52" s="175"/>
      <c r="AO52" s="175"/>
      <c r="AP52" s="175"/>
    </row>
    <row r="53" spans="1:42" x14ac:dyDescent="0.25">
      <c r="A53" s="175"/>
      <c r="B53" s="175"/>
      <c r="C53" s="175"/>
      <c r="D53" s="175"/>
      <c r="E53" s="175"/>
      <c r="F53" s="175"/>
      <c r="G53" s="175"/>
      <c r="H53" s="175"/>
      <c r="I53" s="175"/>
      <c r="J53" s="175"/>
      <c r="K53" s="175"/>
      <c r="L53" s="175"/>
      <c r="M53" s="175"/>
      <c r="N53" s="175"/>
      <c r="O53" s="175"/>
      <c r="P53" s="175"/>
      <c r="Q53" s="175"/>
      <c r="R53" s="175"/>
      <c r="S53" s="175"/>
      <c r="T53" s="175"/>
      <c r="U53" s="175"/>
      <c r="V53" s="175"/>
      <c r="W53" s="175"/>
      <c r="X53" s="175"/>
      <c r="Y53" s="175"/>
      <c r="Z53" s="175"/>
      <c r="AA53" s="175"/>
      <c r="AB53" s="175"/>
      <c r="AC53" s="175"/>
      <c r="AD53" s="175"/>
      <c r="AE53" s="175"/>
      <c r="AF53" s="175"/>
      <c r="AG53" s="175"/>
      <c r="AH53" s="175"/>
      <c r="AI53" s="175"/>
      <c r="AJ53" s="175"/>
      <c r="AK53" s="175"/>
      <c r="AL53" s="175"/>
      <c r="AM53" s="175"/>
      <c r="AN53" s="175"/>
      <c r="AO53" s="175"/>
      <c r="AP53" s="175"/>
    </row>
    <row r="54" spans="1:42" x14ac:dyDescent="0.25">
      <c r="A54" s="175"/>
      <c r="B54" s="175"/>
      <c r="C54" s="175"/>
      <c r="D54" s="175"/>
      <c r="E54" s="175"/>
      <c r="F54" s="175"/>
      <c r="G54" s="175"/>
      <c r="H54" s="175"/>
      <c r="I54" s="175"/>
      <c r="J54" s="175"/>
      <c r="K54" s="175"/>
      <c r="L54" s="175"/>
      <c r="M54" s="175"/>
      <c r="N54" s="175"/>
      <c r="O54" s="175"/>
      <c r="P54" s="175"/>
      <c r="Q54" s="175"/>
      <c r="R54" s="175"/>
      <c r="S54" s="175"/>
      <c r="T54" s="175"/>
      <c r="U54" s="175"/>
      <c r="V54" s="175"/>
      <c r="W54" s="175"/>
      <c r="X54" s="175"/>
      <c r="Y54" s="175"/>
      <c r="Z54" s="175"/>
      <c r="AA54" s="175"/>
      <c r="AB54" s="175"/>
      <c r="AC54" s="175"/>
      <c r="AD54" s="175"/>
      <c r="AE54" s="175"/>
      <c r="AF54" s="175"/>
      <c r="AG54" s="175"/>
      <c r="AH54" s="175"/>
      <c r="AI54" s="175"/>
      <c r="AJ54" s="175"/>
      <c r="AK54" s="175"/>
      <c r="AL54" s="175"/>
      <c r="AM54" s="175"/>
      <c r="AN54" s="175"/>
      <c r="AO54" s="175"/>
      <c r="AP54" s="175"/>
    </row>
    <row r="55" spans="1:42" x14ac:dyDescent="0.25">
      <c r="A55" s="175"/>
      <c r="B55" s="175"/>
      <c r="C55" s="175"/>
      <c r="D55" s="175"/>
      <c r="E55" s="175"/>
      <c r="F55" s="175"/>
      <c r="G55" s="175"/>
      <c r="H55" s="175"/>
      <c r="I55" s="175"/>
      <c r="J55" s="175"/>
      <c r="K55" s="175"/>
      <c r="L55" s="175"/>
      <c r="M55" s="175"/>
      <c r="N55" s="175"/>
      <c r="O55" s="175"/>
      <c r="P55" s="175"/>
      <c r="Q55" s="175"/>
      <c r="R55" s="175"/>
      <c r="S55" s="175"/>
      <c r="T55" s="175"/>
      <c r="U55" s="175"/>
      <c r="V55" s="175"/>
      <c r="W55" s="175"/>
      <c r="X55" s="175"/>
      <c r="Y55" s="175"/>
      <c r="Z55" s="175"/>
      <c r="AA55" s="175"/>
      <c r="AB55" s="175"/>
      <c r="AC55" s="175"/>
      <c r="AD55" s="175"/>
      <c r="AE55" s="175"/>
      <c r="AF55" s="175"/>
      <c r="AG55" s="175"/>
      <c r="AH55" s="175"/>
      <c r="AI55" s="175"/>
      <c r="AJ55" s="175"/>
      <c r="AK55" s="175"/>
      <c r="AL55" s="175"/>
      <c r="AM55" s="175"/>
      <c r="AN55" s="175"/>
      <c r="AO55" s="175"/>
      <c r="AP55" s="175"/>
    </row>
    <row r="56" spans="1:42" x14ac:dyDescent="0.25">
      <c r="A56" s="175"/>
      <c r="B56" s="175"/>
      <c r="C56" s="175"/>
      <c r="D56" s="175"/>
      <c r="E56" s="175"/>
      <c r="F56" s="175"/>
      <c r="G56" s="175"/>
      <c r="H56" s="175"/>
      <c r="I56" s="175"/>
      <c r="J56" s="175"/>
      <c r="K56" s="175"/>
      <c r="L56" s="175"/>
      <c r="M56" s="175"/>
      <c r="N56" s="175"/>
      <c r="O56" s="175"/>
      <c r="P56" s="175"/>
      <c r="Q56" s="175"/>
      <c r="R56" s="175"/>
      <c r="S56" s="175"/>
      <c r="T56" s="175"/>
      <c r="U56" s="175"/>
      <c r="V56" s="175"/>
      <c r="W56" s="175"/>
      <c r="X56" s="175"/>
      <c r="Y56" s="175"/>
      <c r="Z56" s="175"/>
      <c r="AA56" s="175"/>
      <c r="AB56" s="175"/>
      <c r="AC56" s="175"/>
      <c r="AD56" s="175"/>
      <c r="AE56" s="175"/>
      <c r="AF56" s="175"/>
      <c r="AG56" s="175"/>
      <c r="AH56" s="175"/>
      <c r="AI56" s="175"/>
      <c r="AJ56" s="175"/>
      <c r="AK56" s="175"/>
      <c r="AL56" s="175"/>
      <c r="AM56" s="175"/>
      <c r="AN56" s="175"/>
      <c r="AO56" s="175"/>
      <c r="AP56" s="175"/>
    </row>
    <row r="57" spans="1:42" x14ac:dyDescent="0.25">
      <c r="A57" s="175"/>
      <c r="B57" s="175"/>
      <c r="C57" s="175"/>
      <c r="D57" s="175"/>
      <c r="E57" s="175"/>
      <c r="F57" s="175"/>
      <c r="G57" s="175"/>
      <c r="H57" s="175"/>
      <c r="I57" s="175"/>
      <c r="J57" s="175"/>
      <c r="K57" s="175"/>
      <c r="L57" s="175"/>
      <c r="M57" s="175"/>
      <c r="N57" s="175"/>
      <c r="O57" s="175"/>
      <c r="P57" s="175"/>
      <c r="Q57" s="175"/>
      <c r="R57" s="175"/>
      <c r="S57" s="175"/>
      <c r="T57" s="175"/>
      <c r="U57" s="175"/>
      <c r="V57" s="175"/>
      <c r="W57" s="175"/>
      <c r="X57" s="175"/>
      <c r="Y57" s="175"/>
      <c r="Z57" s="175"/>
      <c r="AA57" s="175"/>
      <c r="AB57" s="175"/>
      <c r="AC57" s="175"/>
      <c r="AD57" s="175"/>
      <c r="AE57" s="175"/>
      <c r="AF57" s="175"/>
      <c r="AG57" s="175"/>
      <c r="AH57" s="175"/>
      <c r="AI57" s="175"/>
      <c r="AJ57" s="175"/>
      <c r="AK57" s="175"/>
      <c r="AL57" s="175"/>
      <c r="AM57" s="175"/>
      <c r="AN57" s="175"/>
      <c r="AO57" s="175"/>
      <c r="AP57" s="175"/>
    </row>
    <row r="58" spans="1:42" x14ac:dyDescent="0.25">
      <c r="A58" s="175"/>
      <c r="B58" s="175"/>
      <c r="C58" s="175"/>
      <c r="D58" s="175"/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175"/>
      <c r="P58" s="175"/>
      <c r="Q58" s="175"/>
      <c r="R58" s="175"/>
      <c r="S58" s="175"/>
      <c r="T58" s="175"/>
      <c r="U58" s="175"/>
      <c r="V58" s="175"/>
      <c r="W58" s="175"/>
      <c r="X58" s="175"/>
      <c r="Y58" s="175"/>
      <c r="Z58" s="175"/>
      <c r="AA58" s="175"/>
      <c r="AB58" s="175"/>
      <c r="AC58" s="175"/>
      <c r="AD58" s="175"/>
      <c r="AE58" s="175"/>
      <c r="AF58" s="175"/>
      <c r="AG58" s="175"/>
      <c r="AH58" s="175"/>
      <c r="AI58" s="175"/>
      <c r="AJ58" s="175"/>
      <c r="AK58" s="175"/>
      <c r="AL58" s="175"/>
      <c r="AM58" s="175"/>
      <c r="AN58" s="175"/>
      <c r="AO58" s="175"/>
      <c r="AP58" s="175"/>
    </row>
    <row r="59" spans="1:42" x14ac:dyDescent="0.25">
      <c r="A59" s="175"/>
      <c r="B59" s="175"/>
      <c r="C59" s="175"/>
      <c r="D59" s="175"/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75"/>
      <c r="R59" s="175"/>
      <c r="S59" s="175"/>
      <c r="T59" s="175"/>
      <c r="U59" s="175"/>
      <c r="V59" s="175"/>
      <c r="W59" s="175"/>
      <c r="X59" s="175"/>
      <c r="Y59" s="175"/>
      <c r="Z59" s="175"/>
      <c r="AA59" s="175"/>
      <c r="AB59" s="175"/>
      <c r="AC59" s="175"/>
      <c r="AD59" s="175"/>
      <c r="AE59" s="175"/>
      <c r="AF59" s="175"/>
      <c r="AG59" s="175"/>
      <c r="AH59" s="175"/>
      <c r="AI59" s="175"/>
      <c r="AJ59" s="175"/>
      <c r="AK59" s="175"/>
      <c r="AL59" s="175"/>
      <c r="AM59" s="175"/>
      <c r="AN59" s="175"/>
      <c r="AO59" s="175"/>
      <c r="AP59" s="175"/>
    </row>
    <row r="60" spans="1:42" x14ac:dyDescent="0.25">
      <c r="A60" s="175"/>
      <c r="B60" s="175"/>
      <c r="C60" s="175"/>
      <c r="D60" s="175"/>
      <c r="E60" s="175"/>
      <c r="F60" s="175"/>
      <c r="G60" s="175"/>
      <c r="H60" s="175"/>
      <c r="I60" s="175"/>
      <c r="J60" s="175"/>
      <c r="K60" s="175"/>
      <c r="L60" s="175"/>
      <c r="M60" s="175"/>
      <c r="N60" s="175"/>
      <c r="O60" s="175"/>
      <c r="P60" s="175"/>
      <c r="Q60" s="175"/>
      <c r="R60" s="175"/>
      <c r="S60" s="175"/>
      <c r="T60" s="175"/>
      <c r="U60" s="175"/>
      <c r="V60" s="175"/>
      <c r="W60" s="175"/>
      <c r="X60" s="175"/>
      <c r="Y60" s="175"/>
      <c r="Z60" s="175"/>
      <c r="AA60" s="175"/>
      <c r="AB60" s="175"/>
      <c r="AC60" s="175"/>
      <c r="AD60" s="175"/>
      <c r="AE60" s="175"/>
      <c r="AF60" s="175"/>
      <c r="AG60" s="175"/>
      <c r="AH60" s="175"/>
      <c r="AI60" s="175"/>
      <c r="AJ60" s="175"/>
      <c r="AK60" s="175"/>
      <c r="AL60" s="175"/>
      <c r="AM60" s="175"/>
      <c r="AN60" s="175"/>
      <c r="AO60" s="175"/>
      <c r="AP60" s="175"/>
    </row>
    <row r="61" spans="1:42" x14ac:dyDescent="0.25">
      <c r="A61" s="175"/>
      <c r="B61" s="175"/>
      <c r="C61" s="175"/>
      <c r="D61" s="175"/>
      <c r="E61" s="175"/>
      <c r="F61" s="175"/>
      <c r="G61" s="175"/>
      <c r="H61" s="175"/>
      <c r="I61" s="175"/>
      <c r="J61" s="175"/>
      <c r="K61" s="175"/>
      <c r="L61" s="175"/>
      <c r="M61" s="175"/>
      <c r="N61" s="175"/>
      <c r="O61" s="175"/>
      <c r="P61" s="175"/>
      <c r="Q61" s="175"/>
      <c r="R61" s="175"/>
      <c r="S61" s="175"/>
      <c r="T61" s="175"/>
      <c r="U61" s="175"/>
      <c r="V61" s="175"/>
      <c r="W61" s="175"/>
      <c r="X61" s="175"/>
      <c r="Y61" s="175"/>
      <c r="Z61" s="175"/>
      <c r="AA61" s="175"/>
      <c r="AB61" s="175"/>
      <c r="AC61" s="175"/>
      <c r="AD61" s="175"/>
      <c r="AE61" s="175"/>
      <c r="AF61" s="175"/>
      <c r="AG61" s="175"/>
      <c r="AH61" s="175"/>
      <c r="AI61" s="175"/>
      <c r="AJ61" s="175"/>
      <c r="AK61" s="175"/>
      <c r="AL61" s="175"/>
      <c r="AM61" s="175"/>
      <c r="AN61" s="175"/>
      <c r="AO61" s="175"/>
      <c r="AP61" s="175"/>
    </row>
    <row r="62" spans="1:42" x14ac:dyDescent="0.25">
      <c r="A62" s="175"/>
      <c r="B62" s="175"/>
      <c r="C62" s="175"/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175"/>
      <c r="P62" s="175"/>
      <c r="Q62" s="175"/>
      <c r="R62" s="175"/>
      <c r="S62" s="175"/>
      <c r="T62" s="175"/>
      <c r="U62" s="175"/>
      <c r="V62" s="175"/>
      <c r="W62" s="175"/>
      <c r="X62" s="175"/>
      <c r="Y62" s="175"/>
      <c r="Z62" s="175"/>
      <c r="AA62" s="175"/>
      <c r="AB62" s="175"/>
      <c r="AC62" s="175"/>
      <c r="AD62" s="175"/>
      <c r="AE62" s="175"/>
      <c r="AF62" s="175"/>
      <c r="AG62" s="175"/>
      <c r="AH62" s="175"/>
      <c r="AI62" s="175"/>
      <c r="AJ62" s="175"/>
      <c r="AK62" s="175"/>
      <c r="AL62" s="175"/>
      <c r="AM62" s="175"/>
      <c r="AN62" s="175"/>
      <c r="AO62" s="175"/>
      <c r="AP62" s="175"/>
    </row>
    <row r="63" spans="1:42" x14ac:dyDescent="0.25">
      <c r="A63" s="175"/>
      <c r="B63" s="175"/>
      <c r="C63" s="175"/>
      <c r="D63" s="175"/>
      <c r="E63" s="175"/>
      <c r="F63" s="175"/>
      <c r="G63" s="175"/>
      <c r="H63" s="175"/>
      <c r="I63" s="175"/>
      <c r="J63" s="175"/>
      <c r="K63" s="175"/>
      <c r="L63" s="175"/>
      <c r="M63" s="175"/>
      <c r="N63" s="175"/>
      <c r="O63" s="175"/>
      <c r="P63" s="175"/>
      <c r="Q63" s="175"/>
      <c r="R63" s="175"/>
      <c r="S63" s="175"/>
      <c r="T63" s="175"/>
      <c r="U63" s="175"/>
      <c r="V63" s="175"/>
      <c r="W63" s="175"/>
      <c r="X63" s="175"/>
      <c r="Y63" s="175"/>
      <c r="Z63" s="175"/>
      <c r="AA63" s="175"/>
      <c r="AB63" s="175"/>
      <c r="AC63" s="175"/>
      <c r="AD63" s="175"/>
      <c r="AE63" s="175"/>
      <c r="AF63" s="175"/>
      <c r="AG63" s="175"/>
      <c r="AH63" s="175"/>
      <c r="AI63" s="175"/>
      <c r="AJ63" s="175"/>
      <c r="AK63" s="175"/>
      <c r="AL63" s="175"/>
      <c r="AM63" s="175"/>
      <c r="AN63" s="175"/>
      <c r="AO63" s="175"/>
      <c r="AP63" s="175"/>
    </row>
    <row r="64" spans="1:42" x14ac:dyDescent="0.25">
      <c r="A64" s="176" t="s">
        <v>523</v>
      </c>
      <c r="B64" s="175"/>
      <c r="C64" s="175"/>
      <c r="D64" s="175"/>
      <c r="E64" s="175"/>
      <c r="F64" s="175"/>
      <c r="G64" s="175"/>
      <c r="H64" s="175"/>
      <c r="I64" s="175"/>
      <c r="J64" s="175"/>
      <c r="K64" s="175"/>
      <c r="L64" s="175"/>
      <c r="M64" s="175"/>
      <c r="N64" s="175"/>
      <c r="O64" s="175"/>
      <c r="P64" s="175"/>
      <c r="Q64" s="175"/>
      <c r="R64" s="175"/>
      <c r="S64" s="175"/>
      <c r="T64" s="175"/>
      <c r="U64" s="175"/>
      <c r="V64" s="175"/>
      <c r="W64" s="175"/>
      <c r="X64" s="175"/>
      <c r="Y64" s="175"/>
      <c r="Z64" s="175"/>
      <c r="AA64" s="175"/>
      <c r="AB64" s="175"/>
      <c r="AC64" s="175"/>
      <c r="AD64" s="175"/>
      <c r="AE64" s="175"/>
      <c r="AF64" s="175"/>
      <c r="AG64" s="175"/>
      <c r="AH64" s="175"/>
      <c r="AI64" s="175"/>
      <c r="AJ64" s="175"/>
      <c r="AK64" s="175"/>
      <c r="AL64" s="175"/>
      <c r="AM64" s="175"/>
      <c r="AN64" s="175"/>
      <c r="AO64" s="175"/>
      <c r="AP64" s="175"/>
    </row>
    <row r="65" spans="1:42" x14ac:dyDescent="0.25">
      <c r="A65" s="175"/>
      <c r="B65" s="175"/>
      <c r="C65" s="175"/>
      <c r="D65" s="175"/>
      <c r="E65" s="175"/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5"/>
      <c r="R65" s="175"/>
      <c r="S65" s="175"/>
      <c r="T65" s="175"/>
      <c r="U65" s="175"/>
      <c r="V65" s="175"/>
      <c r="W65" s="175"/>
      <c r="X65" s="175"/>
      <c r="Y65" s="175"/>
      <c r="Z65" s="175"/>
      <c r="AA65" s="175"/>
      <c r="AB65" s="175"/>
      <c r="AC65" s="175"/>
      <c r="AD65" s="175"/>
      <c r="AE65" s="175"/>
      <c r="AF65" s="175"/>
      <c r="AG65" s="175"/>
      <c r="AH65" s="175"/>
      <c r="AI65" s="175"/>
      <c r="AJ65" s="175"/>
      <c r="AK65" s="175"/>
      <c r="AL65" s="175"/>
      <c r="AM65" s="175"/>
      <c r="AN65" s="175"/>
      <c r="AO65" s="175"/>
      <c r="AP65" s="175"/>
    </row>
    <row r="66" spans="1:42" x14ac:dyDescent="0.25">
      <c r="A66" s="175"/>
      <c r="B66" s="175"/>
      <c r="C66" s="175"/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5"/>
      <c r="R66" s="175"/>
      <c r="S66" s="175"/>
      <c r="T66" s="175"/>
      <c r="U66" s="175"/>
      <c r="V66" s="175"/>
      <c r="W66" s="175"/>
      <c r="X66" s="175"/>
      <c r="Y66" s="175"/>
      <c r="Z66" s="175"/>
      <c r="AA66" s="175"/>
      <c r="AB66" s="175"/>
      <c r="AC66" s="175"/>
      <c r="AD66" s="175"/>
      <c r="AE66" s="175"/>
      <c r="AF66" s="175"/>
      <c r="AG66" s="175"/>
      <c r="AH66" s="175"/>
      <c r="AI66" s="175"/>
      <c r="AJ66" s="175"/>
      <c r="AK66" s="175"/>
      <c r="AL66" s="175"/>
      <c r="AM66" s="175"/>
      <c r="AN66" s="175"/>
      <c r="AO66" s="175"/>
      <c r="AP66" s="175"/>
    </row>
    <row r="67" spans="1:42" x14ac:dyDescent="0.25">
      <c r="A67" s="175"/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5"/>
      <c r="Q67" s="175"/>
      <c r="R67" s="175"/>
      <c r="S67" s="175"/>
      <c r="T67" s="175"/>
      <c r="U67" s="175"/>
      <c r="V67" s="175"/>
      <c r="W67" s="175"/>
      <c r="X67" s="175"/>
      <c r="Y67" s="175"/>
      <c r="Z67" s="175"/>
      <c r="AA67" s="175"/>
      <c r="AB67" s="175"/>
      <c r="AC67" s="175"/>
      <c r="AD67" s="175"/>
      <c r="AE67" s="175"/>
      <c r="AF67" s="175"/>
      <c r="AG67" s="175"/>
      <c r="AH67" s="175"/>
      <c r="AI67" s="175"/>
      <c r="AJ67" s="175"/>
      <c r="AK67" s="175"/>
      <c r="AL67" s="175"/>
      <c r="AM67" s="175"/>
      <c r="AN67" s="175"/>
      <c r="AO67" s="175"/>
      <c r="AP67" s="175"/>
    </row>
    <row r="68" spans="1:42" x14ac:dyDescent="0.25">
      <c r="A68" s="175"/>
      <c r="B68" s="175"/>
      <c r="C68" s="175"/>
      <c r="D68" s="175"/>
      <c r="E68" s="175"/>
      <c r="F68" s="175"/>
      <c r="G68" s="175"/>
      <c r="H68" s="175"/>
      <c r="I68" s="175"/>
      <c r="J68" s="175"/>
      <c r="K68" s="175"/>
      <c r="L68" s="175"/>
      <c r="M68" s="175"/>
      <c r="N68" s="175"/>
      <c r="O68" s="175"/>
      <c r="P68" s="175"/>
      <c r="Q68" s="175"/>
      <c r="R68" s="175"/>
      <c r="S68" s="175"/>
      <c r="T68" s="175"/>
      <c r="U68" s="175"/>
      <c r="V68" s="175"/>
      <c r="W68" s="175"/>
      <c r="X68" s="175"/>
      <c r="Y68" s="175"/>
      <c r="Z68" s="175"/>
      <c r="AA68" s="175"/>
      <c r="AB68" s="175"/>
      <c r="AC68" s="175"/>
      <c r="AD68" s="175"/>
      <c r="AE68" s="175"/>
      <c r="AF68" s="175"/>
      <c r="AG68" s="175"/>
      <c r="AH68" s="175"/>
      <c r="AI68" s="175"/>
      <c r="AJ68" s="175"/>
      <c r="AK68" s="175"/>
      <c r="AL68" s="175"/>
      <c r="AM68" s="175"/>
      <c r="AN68" s="175"/>
      <c r="AO68" s="175"/>
      <c r="AP68" s="175"/>
    </row>
    <row r="69" spans="1:42" x14ac:dyDescent="0.25">
      <c r="A69" s="175"/>
      <c r="B69" s="175"/>
      <c r="C69" s="175"/>
      <c r="D69" s="175"/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5"/>
      <c r="Y69" s="175"/>
      <c r="Z69" s="175"/>
      <c r="AA69" s="175"/>
      <c r="AB69" s="175"/>
      <c r="AC69" s="175"/>
      <c r="AD69" s="175"/>
      <c r="AE69" s="175"/>
      <c r="AF69" s="175"/>
      <c r="AG69" s="175"/>
      <c r="AH69" s="175"/>
      <c r="AI69" s="175"/>
      <c r="AJ69" s="175"/>
      <c r="AK69" s="175"/>
      <c r="AL69" s="175"/>
      <c r="AM69" s="175"/>
      <c r="AN69" s="175"/>
      <c r="AO69" s="175"/>
      <c r="AP69" s="175"/>
    </row>
    <row r="70" spans="1:42" x14ac:dyDescent="0.25">
      <c r="A70" s="175"/>
      <c r="B70" s="175"/>
      <c r="C70" s="175"/>
      <c r="D70" s="175"/>
      <c r="E70" s="175"/>
      <c r="F70" s="175"/>
      <c r="G70" s="175"/>
      <c r="H70" s="175"/>
      <c r="I70" s="175"/>
      <c r="J70" s="175"/>
      <c r="K70" s="175"/>
      <c r="L70" s="175"/>
      <c r="M70" s="175"/>
      <c r="N70" s="175"/>
      <c r="O70" s="175"/>
      <c r="P70" s="175"/>
      <c r="Q70" s="175"/>
      <c r="R70" s="175"/>
      <c r="S70" s="175"/>
      <c r="T70" s="175"/>
      <c r="U70" s="175"/>
      <c r="V70" s="175"/>
      <c r="W70" s="175"/>
      <c r="X70" s="175"/>
      <c r="Y70" s="175"/>
      <c r="Z70" s="175"/>
      <c r="AA70" s="175"/>
      <c r="AB70" s="175"/>
      <c r="AC70" s="175"/>
      <c r="AD70" s="175"/>
      <c r="AE70" s="175"/>
      <c r="AF70" s="175"/>
      <c r="AG70" s="175"/>
      <c r="AH70" s="175"/>
      <c r="AI70" s="175"/>
      <c r="AJ70" s="175"/>
      <c r="AK70" s="175"/>
      <c r="AL70" s="175"/>
      <c r="AM70" s="175"/>
      <c r="AN70" s="175"/>
      <c r="AO70" s="175"/>
      <c r="AP70" s="175"/>
    </row>
    <row r="71" spans="1:42" x14ac:dyDescent="0.25">
      <c r="A71" s="110"/>
    </row>
    <row r="72" spans="1:42" x14ac:dyDescent="0.25">
      <c r="A72" s="110"/>
    </row>
    <row r="73" spans="1:42" x14ac:dyDescent="0.25">
      <c r="A73" s="110"/>
    </row>
    <row r="74" spans="1:42" x14ac:dyDescent="0.25">
      <c r="A74" s="110"/>
    </row>
    <row r="75" spans="1:42" x14ac:dyDescent="0.25">
      <c r="A75" s="110"/>
    </row>
    <row r="76" spans="1:42" x14ac:dyDescent="0.25">
      <c r="A76" s="110"/>
    </row>
    <row r="77" spans="1:42" x14ac:dyDescent="0.25">
      <c r="A77" s="110"/>
    </row>
    <row r="78" spans="1:42" x14ac:dyDescent="0.25">
      <c r="A78" s="110"/>
    </row>
    <row r="79" spans="1:42" x14ac:dyDescent="0.25">
      <c r="A79" s="110"/>
    </row>
    <row r="81" spans="1:2" x14ac:dyDescent="0.25">
      <c r="A81" s="112" t="s">
        <v>524</v>
      </c>
    </row>
    <row r="96" spans="1:2" x14ac:dyDescent="0.25">
      <c r="A96" s="202" t="s">
        <v>519</v>
      </c>
      <c r="B96" t="s">
        <v>520</v>
      </c>
    </row>
    <row r="97" spans="2:2" x14ac:dyDescent="0.25">
      <c r="B97" t="s">
        <v>521</v>
      </c>
    </row>
  </sheetData>
  <mergeCells count="1">
    <mergeCell ref="B28:O4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83E7A-12EE-45BC-A4FA-47C3E1745777}">
  <sheetPr codeName="Planilha8"/>
  <dimension ref="A2:S108"/>
  <sheetViews>
    <sheetView showGridLines="0" topLeftCell="A37" workbookViewId="0">
      <selection activeCell="B7" sqref="B7:R7"/>
    </sheetView>
  </sheetViews>
  <sheetFormatPr defaultRowHeight="15" x14ac:dyDescent="0.25"/>
  <cols>
    <col min="1" max="1" width="9.140625" customWidth="1"/>
    <col min="2" max="2" width="12" customWidth="1"/>
    <col min="3" max="3" width="10.140625" customWidth="1"/>
    <col min="4" max="4" width="14.28515625" customWidth="1"/>
    <col min="11" max="11" width="16.5703125" bestFit="1" customWidth="1"/>
  </cols>
  <sheetData>
    <row r="2" spans="2:19" x14ac:dyDescent="0.25">
      <c r="B2" s="26" t="s">
        <v>3</v>
      </c>
    </row>
    <row r="3" spans="2:19" x14ac:dyDescent="0.25">
      <c r="B3" t="s">
        <v>4</v>
      </c>
    </row>
    <row r="4" spans="2:19" x14ac:dyDescent="0.25">
      <c r="B4" t="s">
        <v>5</v>
      </c>
    </row>
    <row r="6" spans="2:19" x14ac:dyDescent="0.25">
      <c r="B6" s="26" t="s">
        <v>6</v>
      </c>
    </row>
    <row r="7" spans="2:19" ht="28.9" customHeight="1" x14ac:dyDescent="0.25">
      <c r="B7" s="809" t="s">
        <v>260</v>
      </c>
      <c r="C7" s="809"/>
      <c r="D7" s="809"/>
      <c r="E7" s="809"/>
      <c r="F7" s="809"/>
      <c r="G7" s="809"/>
      <c r="H7" s="809"/>
      <c r="I7" s="809"/>
      <c r="J7" s="809"/>
      <c r="K7" s="809"/>
      <c r="L7" s="809"/>
      <c r="M7" s="809"/>
      <c r="N7" s="809"/>
      <c r="O7" s="809"/>
      <c r="P7" s="809"/>
      <c r="Q7" s="809"/>
      <c r="R7" s="809"/>
    </row>
    <row r="8" spans="2:19" ht="19.149999999999999" customHeight="1" x14ac:dyDescent="0.25">
      <c r="B8" s="810" t="s">
        <v>7</v>
      </c>
      <c r="C8" s="810"/>
      <c r="D8" s="810"/>
      <c r="E8" s="810"/>
      <c r="F8" s="810"/>
      <c r="G8" s="810"/>
      <c r="H8" s="810"/>
      <c r="I8" s="810"/>
      <c r="J8" s="810"/>
      <c r="K8" s="810"/>
      <c r="L8" s="810"/>
      <c r="M8" s="810"/>
      <c r="N8" s="810"/>
      <c r="O8" s="810"/>
      <c r="P8" s="810"/>
      <c r="Q8" s="810"/>
      <c r="R8" s="810"/>
      <c r="S8" s="810"/>
    </row>
    <row r="9" spans="2:19" ht="30" customHeight="1" x14ac:dyDescent="0.25">
      <c r="B9" s="810" t="s">
        <v>269</v>
      </c>
      <c r="C9" s="810"/>
      <c r="D9" s="810"/>
      <c r="E9" s="810"/>
      <c r="F9" s="810"/>
      <c r="G9" s="810"/>
      <c r="H9" s="810"/>
      <c r="I9" s="810"/>
      <c r="J9" s="810"/>
      <c r="K9" s="810"/>
      <c r="L9" s="810"/>
      <c r="M9" s="810"/>
      <c r="N9" s="810"/>
      <c r="O9" s="810"/>
      <c r="P9" s="810"/>
      <c r="Q9" s="810"/>
      <c r="R9" s="193"/>
      <c r="S9" s="193"/>
    </row>
    <row r="10" spans="2:19" ht="14.45" customHeight="1" x14ac:dyDescent="0.25"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7"/>
      <c r="R10" s="177"/>
    </row>
    <row r="11" spans="2:19" x14ac:dyDescent="0.25">
      <c r="B11" s="26" t="s">
        <v>8</v>
      </c>
    </row>
    <row r="12" spans="2:19" x14ac:dyDescent="0.25">
      <c r="B12" t="s">
        <v>9</v>
      </c>
    </row>
    <row r="13" spans="2:19" x14ac:dyDescent="0.25">
      <c r="B13" t="s">
        <v>252</v>
      </c>
    </row>
    <row r="14" spans="2:19" x14ac:dyDescent="0.25">
      <c r="B14" t="s">
        <v>253</v>
      </c>
    </row>
    <row r="16" spans="2:19" x14ac:dyDescent="0.25">
      <c r="B16" s="26" t="s">
        <v>10</v>
      </c>
    </row>
    <row r="17" spans="2:16" x14ac:dyDescent="0.25">
      <c r="B17" t="s">
        <v>11</v>
      </c>
    </row>
    <row r="19" spans="2:16" x14ac:dyDescent="0.25">
      <c r="B19" s="26" t="s">
        <v>12</v>
      </c>
    </row>
    <row r="20" spans="2:16" x14ac:dyDescent="0.25">
      <c r="B20" t="s">
        <v>254</v>
      </c>
    </row>
    <row r="23" spans="2:16" x14ac:dyDescent="0.25">
      <c r="B23" s="26" t="s">
        <v>13</v>
      </c>
    </row>
    <row r="24" spans="2:16" x14ac:dyDescent="0.25">
      <c r="B24" t="s">
        <v>14</v>
      </c>
    </row>
    <row r="25" spans="2:16" x14ac:dyDescent="0.25">
      <c r="B25" t="s">
        <v>15</v>
      </c>
    </row>
    <row r="26" spans="2:16" x14ac:dyDescent="0.25">
      <c r="B26" t="s">
        <v>16</v>
      </c>
    </row>
    <row r="27" spans="2:16" x14ac:dyDescent="0.25">
      <c r="B27" t="s">
        <v>255</v>
      </c>
    </row>
    <row r="28" spans="2:16" ht="14.45" customHeight="1" x14ac:dyDescent="0.25">
      <c r="B28" s="810" t="s">
        <v>257</v>
      </c>
      <c r="C28" s="810"/>
      <c r="D28" s="810"/>
      <c r="E28" s="810"/>
      <c r="F28" s="810"/>
      <c r="G28" s="810"/>
      <c r="H28" s="810"/>
      <c r="I28" s="810"/>
      <c r="J28" s="810"/>
      <c r="K28" s="810"/>
      <c r="L28" s="810"/>
      <c r="M28" s="810"/>
      <c r="N28" s="810"/>
      <c r="O28" s="810"/>
      <c r="P28" s="810"/>
    </row>
    <row r="29" spans="2:16" x14ac:dyDescent="0.25">
      <c r="B29" t="s">
        <v>256</v>
      </c>
    </row>
    <row r="31" spans="2:16" x14ac:dyDescent="0.25">
      <c r="B31" s="26" t="s">
        <v>17</v>
      </c>
    </row>
    <row r="32" spans="2:16" x14ac:dyDescent="0.25">
      <c r="B32" t="s">
        <v>18</v>
      </c>
    </row>
    <row r="33" spans="2:12" x14ac:dyDescent="0.25">
      <c r="B33" t="s">
        <v>19</v>
      </c>
    </row>
    <row r="34" spans="2:12" x14ac:dyDescent="0.25">
      <c r="B34" t="s">
        <v>20</v>
      </c>
    </row>
    <row r="36" spans="2:12" x14ac:dyDescent="0.25">
      <c r="B36" s="26" t="s">
        <v>21</v>
      </c>
    </row>
    <row r="37" spans="2:12" x14ac:dyDescent="0.25">
      <c r="B37" t="s">
        <v>22</v>
      </c>
    </row>
    <row r="38" spans="2:12" x14ac:dyDescent="0.25">
      <c r="B38" t="s">
        <v>259</v>
      </c>
      <c r="K38" s="85"/>
      <c r="L38" s="50"/>
    </row>
    <row r="39" spans="2:12" x14ac:dyDescent="0.25">
      <c r="B39" t="s">
        <v>23</v>
      </c>
      <c r="K39" s="85"/>
      <c r="L39" s="50"/>
    </row>
    <row r="40" spans="2:12" x14ac:dyDescent="0.25">
      <c r="K40" s="4"/>
    </row>
    <row r="41" spans="2:12" x14ac:dyDescent="0.25">
      <c r="B41" s="26" t="s">
        <v>24</v>
      </c>
    </row>
    <row r="42" spans="2:12" x14ac:dyDescent="0.25">
      <c r="B42" t="s">
        <v>25</v>
      </c>
    </row>
    <row r="43" spans="2:12" x14ac:dyDescent="0.25">
      <c r="B43" t="s">
        <v>26</v>
      </c>
    </row>
    <row r="44" spans="2:12" x14ac:dyDescent="0.25">
      <c r="B44" t="s">
        <v>27</v>
      </c>
    </row>
    <row r="45" spans="2:12" x14ac:dyDescent="0.25">
      <c r="B45" t="s">
        <v>258</v>
      </c>
    </row>
    <row r="47" spans="2:12" x14ac:dyDescent="0.25">
      <c r="B47" s="26" t="s">
        <v>28</v>
      </c>
    </row>
    <row r="48" spans="2:12" x14ac:dyDescent="0.25">
      <c r="B48" t="s">
        <v>29</v>
      </c>
    </row>
    <row r="49" spans="2:2" x14ac:dyDescent="0.25">
      <c r="B49" t="s">
        <v>30</v>
      </c>
    </row>
    <row r="50" spans="2:2" x14ac:dyDescent="0.25">
      <c r="B50" t="s">
        <v>31</v>
      </c>
    </row>
    <row r="51" spans="2:2" x14ac:dyDescent="0.25">
      <c r="B51" t="s">
        <v>32</v>
      </c>
    </row>
    <row r="53" spans="2:2" x14ac:dyDescent="0.25">
      <c r="B53" s="26" t="s">
        <v>33</v>
      </c>
    </row>
    <row r="54" spans="2:2" x14ac:dyDescent="0.25">
      <c r="B54" t="s">
        <v>29</v>
      </c>
    </row>
    <row r="55" spans="2:2" x14ac:dyDescent="0.25">
      <c r="B55" t="s">
        <v>34</v>
      </c>
    </row>
    <row r="57" spans="2:2" x14ac:dyDescent="0.25">
      <c r="B57" s="26" t="s">
        <v>35</v>
      </c>
    </row>
    <row r="58" spans="2:2" x14ac:dyDescent="0.25">
      <c r="B58" t="s">
        <v>29</v>
      </c>
    </row>
    <row r="59" spans="2:2" x14ac:dyDescent="0.25">
      <c r="B59" t="s">
        <v>36</v>
      </c>
    </row>
    <row r="60" spans="2:2" x14ac:dyDescent="0.25">
      <c r="B60" t="s">
        <v>37</v>
      </c>
    </row>
    <row r="62" spans="2:2" x14ac:dyDescent="0.25">
      <c r="B62" s="26" t="s">
        <v>38</v>
      </c>
    </row>
    <row r="63" spans="2:2" x14ac:dyDescent="0.25">
      <c r="B63" t="s">
        <v>29</v>
      </c>
    </row>
    <row r="64" spans="2:2" x14ac:dyDescent="0.25">
      <c r="B64" t="s">
        <v>39</v>
      </c>
    </row>
    <row r="65" spans="1:16" x14ac:dyDescent="0.25">
      <c r="B65" t="s">
        <v>40</v>
      </c>
    </row>
    <row r="66" spans="1:16" x14ac:dyDescent="0.25">
      <c r="B66" t="s">
        <v>41</v>
      </c>
    </row>
    <row r="68" spans="1:16" x14ac:dyDescent="0.25">
      <c r="B68" s="26" t="s">
        <v>42</v>
      </c>
    </row>
    <row r="69" spans="1:16" x14ac:dyDescent="0.25">
      <c r="B69" t="s">
        <v>29</v>
      </c>
    </row>
    <row r="70" spans="1:16" x14ac:dyDescent="0.25">
      <c r="B70" t="s">
        <v>43</v>
      </c>
    </row>
    <row r="71" spans="1:16" x14ac:dyDescent="0.25">
      <c r="B71" t="s">
        <v>44</v>
      </c>
    </row>
    <row r="72" spans="1:16" x14ac:dyDescent="0.25">
      <c r="B72" t="s">
        <v>45</v>
      </c>
    </row>
    <row r="74" spans="1:16" x14ac:dyDescent="0.25">
      <c r="B74" s="26" t="s">
        <v>265</v>
      </c>
    </row>
    <row r="75" spans="1:16" x14ac:dyDescent="0.25">
      <c r="B75" t="s">
        <v>266</v>
      </c>
    </row>
    <row r="76" spans="1:16" x14ac:dyDescent="0.25">
      <c r="B76" t="s">
        <v>267</v>
      </c>
    </row>
    <row r="77" spans="1:16" x14ac:dyDescent="0.25">
      <c r="B77" t="s">
        <v>268</v>
      </c>
    </row>
    <row r="79" spans="1:16" x14ac:dyDescent="0.25">
      <c r="A79" s="808" t="s">
        <v>46</v>
      </c>
      <c r="B79" s="808"/>
      <c r="C79" s="808"/>
      <c r="D79" s="808"/>
      <c r="E79" s="808"/>
      <c r="F79" s="808"/>
      <c r="G79" s="808"/>
      <c r="H79" s="808"/>
      <c r="I79" s="808"/>
      <c r="J79" s="808"/>
      <c r="K79" s="808"/>
      <c r="L79" s="808"/>
      <c r="M79" s="808"/>
      <c r="N79" s="808"/>
      <c r="O79" s="808"/>
      <c r="P79" s="808"/>
    </row>
    <row r="81" spans="2:9" x14ac:dyDescent="0.25">
      <c r="B81" s="26" t="s">
        <v>47</v>
      </c>
    </row>
    <row r="82" spans="2:9" x14ac:dyDescent="0.25">
      <c r="B82" t="s">
        <v>48</v>
      </c>
    </row>
    <row r="84" spans="2:9" x14ac:dyDescent="0.25">
      <c r="B84" s="25" t="s">
        <v>49</v>
      </c>
    </row>
    <row r="85" spans="2:9" x14ac:dyDescent="0.25">
      <c r="B85" s="107" t="s">
        <v>50</v>
      </c>
    </row>
    <row r="86" spans="2:9" x14ac:dyDescent="0.25">
      <c r="B86" s="106" t="s">
        <v>51</v>
      </c>
    </row>
    <row r="87" spans="2:9" x14ac:dyDescent="0.25">
      <c r="B87" s="106" t="s">
        <v>52</v>
      </c>
    </row>
    <row r="88" spans="2:9" x14ac:dyDescent="0.25">
      <c r="B88" s="106" t="s">
        <v>53</v>
      </c>
    </row>
    <row r="89" spans="2:9" x14ac:dyDescent="0.25">
      <c r="B89" s="106" t="s">
        <v>54</v>
      </c>
    </row>
    <row r="90" spans="2:9" x14ac:dyDescent="0.25">
      <c r="B90" s="107" t="s">
        <v>55</v>
      </c>
    </row>
    <row r="91" spans="2:9" x14ac:dyDescent="0.25">
      <c r="B91" t="s">
        <v>56</v>
      </c>
    </row>
    <row r="92" spans="2:9" x14ac:dyDescent="0.25">
      <c r="B92" t="s">
        <v>57</v>
      </c>
    </row>
    <row r="93" spans="2:9" x14ac:dyDescent="0.25">
      <c r="B93" t="s">
        <v>58</v>
      </c>
      <c r="E93" s="38"/>
      <c r="F93" s="38"/>
      <c r="G93" s="38"/>
      <c r="H93" s="38"/>
      <c r="I93" s="38"/>
    </row>
    <row r="94" spans="2:9" x14ac:dyDescent="0.25">
      <c r="B94" t="s">
        <v>54</v>
      </c>
      <c r="E94" s="38"/>
      <c r="F94" s="38"/>
      <c r="G94" s="38"/>
      <c r="H94" s="38"/>
      <c r="I94" s="38"/>
    </row>
    <row r="95" spans="2:9" x14ac:dyDescent="0.25">
      <c r="E95" s="38"/>
      <c r="F95" s="38"/>
      <c r="G95" s="38"/>
      <c r="H95" s="38"/>
      <c r="I95" s="38"/>
    </row>
    <row r="96" spans="2:9" x14ac:dyDescent="0.25">
      <c r="B96" s="26" t="s">
        <v>59</v>
      </c>
      <c r="E96" s="38"/>
      <c r="F96" s="38"/>
      <c r="G96" s="38"/>
      <c r="H96" s="38"/>
      <c r="I96" s="38"/>
    </row>
    <row r="97" spans="2:9" x14ac:dyDescent="0.25">
      <c r="B97" s="34" t="s">
        <v>60</v>
      </c>
      <c r="C97" s="38"/>
      <c r="D97" s="38"/>
      <c r="E97" s="38"/>
      <c r="F97" s="38"/>
      <c r="G97" s="38"/>
      <c r="H97" s="38"/>
      <c r="I97" s="38"/>
    </row>
    <row r="98" spans="2:9" ht="13.5" customHeight="1" x14ac:dyDescent="0.25">
      <c r="E98" s="38"/>
      <c r="F98" s="38"/>
      <c r="G98" s="38"/>
      <c r="H98" s="38"/>
      <c r="I98" s="38"/>
    </row>
    <row r="99" spans="2:9" x14ac:dyDescent="0.25">
      <c r="B99" s="26" t="s">
        <v>61</v>
      </c>
      <c r="E99" s="38"/>
      <c r="F99" s="38"/>
      <c r="G99" s="38"/>
      <c r="H99" s="38"/>
      <c r="I99" s="38"/>
    </row>
    <row r="100" spans="2:9" x14ac:dyDescent="0.25">
      <c r="B100" s="34" t="s">
        <v>62</v>
      </c>
      <c r="E100" s="38"/>
      <c r="F100" s="38"/>
      <c r="G100" s="38"/>
      <c r="H100" s="38"/>
      <c r="I100" s="38"/>
    </row>
    <row r="101" spans="2:9" x14ac:dyDescent="0.25">
      <c r="B101" s="34" t="s">
        <v>63</v>
      </c>
      <c r="E101" s="38"/>
      <c r="F101" s="38"/>
      <c r="G101" s="38"/>
      <c r="H101" s="38"/>
      <c r="I101" s="38"/>
    </row>
    <row r="102" spans="2:9" x14ac:dyDescent="0.25">
      <c r="B102" s="34" t="s">
        <v>64</v>
      </c>
    </row>
    <row r="104" spans="2:9" x14ac:dyDescent="0.25">
      <c r="B104" s="26" t="s">
        <v>65</v>
      </c>
    </row>
    <row r="105" spans="2:9" x14ac:dyDescent="0.25">
      <c r="B105" t="s">
        <v>66</v>
      </c>
    </row>
    <row r="106" spans="2:9" x14ac:dyDescent="0.25">
      <c r="B106" t="s">
        <v>67</v>
      </c>
    </row>
    <row r="107" spans="2:9" x14ac:dyDescent="0.25">
      <c r="B107" t="s">
        <v>68</v>
      </c>
    </row>
    <row r="108" spans="2:9" x14ac:dyDescent="0.25">
      <c r="B108" t="s">
        <v>69</v>
      </c>
    </row>
  </sheetData>
  <mergeCells count="5">
    <mergeCell ref="A79:P79"/>
    <mergeCell ref="B7:R7"/>
    <mergeCell ref="B8:S8"/>
    <mergeCell ref="B9:Q9"/>
    <mergeCell ref="B28:P2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38D6-7664-476C-85C5-9249A6271823}">
  <sheetPr codeName="Planilha1">
    <pageSetUpPr fitToPage="1"/>
  </sheetPr>
  <dimension ref="B1:CK29"/>
  <sheetViews>
    <sheetView showGridLines="0" zoomScale="90" zoomScaleNormal="90" workbookViewId="0">
      <selection activeCell="CK27" sqref="CK27"/>
    </sheetView>
  </sheetViews>
  <sheetFormatPr defaultColWidth="9.28515625" defaultRowHeight="15" x14ac:dyDescent="0.25"/>
  <cols>
    <col min="1" max="1" width="3.85546875" customWidth="1"/>
    <col min="2" max="2" width="37.7109375" customWidth="1"/>
    <col min="3" max="5" width="12.140625" hidden="1" customWidth="1"/>
    <col min="6" max="6" width="10.7109375" hidden="1" customWidth="1"/>
    <col min="7" max="7" width="13.42578125" hidden="1" customWidth="1"/>
    <col min="8" max="8" width="1.28515625" hidden="1" customWidth="1"/>
    <col min="9" max="9" width="11.28515625" hidden="1" customWidth="1"/>
    <col min="10" max="11" width="10.7109375" hidden="1" customWidth="1"/>
    <col min="12" max="12" width="1.28515625" hidden="1" customWidth="1"/>
    <col min="13" max="13" width="13.42578125" hidden="1" customWidth="1"/>
    <col min="14" max="14" width="1.42578125" hidden="1" customWidth="1"/>
    <col min="15" max="15" width="13.5703125" hidden="1" customWidth="1"/>
    <col min="16" max="16" width="1.28515625" customWidth="1"/>
    <col min="17" max="17" width="10.42578125" hidden="1" customWidth="1"/>
    <col min="18" max="18" width="11.140625" hidden="1" customWidth="1"/>
    <col min="19" max="19" width="10.42578125" hidden="1" customWidth="1"/>
    <col min="20" max="20" width="1.42578125" hidden="1" customWidth="1"/>
    <col min="21" max="21" width="11.140625" hidden="1" customWidth="1"/>
    <col min="22" max="22" width="1.42578125" hidden="1" customWidth="1"/>
    <col min="23" max="24" width="10.42578125" hidden="1" customWidth="1"/>
    <col min="25" max="25" width="11.140625" hidden="1" customWidth="1"/>
    <col min="26" max="26" width="1.42578125" hidden="1" customWidth="1"/>
    <col min="27" max="27" width="18.28515625" hidden="1" customWidth="1"/>
    <col min="28" max="28" width="1.5703125" hidden="1" customWidth="1"/>
    <col min="29" max="29" width="15.42578125" hidden="1" customWidth="1"/>
    <col min="30" max="30" width="1.85546875" hidden="1" customWidth="1"/>
    <col min="31" max="31" width="13.5703125" hidden="1" customWidth="1"/>
    <col min="32" max="32" width="1.42578125" hidden="1" customWidth="1"/>
    <col min="33" max="34" width="12.140625" hidden="1" customWidth="1"/>
    <col min="35" max="35" width="10.7109375" hidden="1" customWidth="1"/>
    <col min="36" max="36" width="1.28515625" hidden="1" customWidth="1"/>
    <col min="37" max="37" width="13.42578125" hidden="1" customWidth="1"/>
    <col min="38" max="38" width="1.28515625" hidden="1" customWidth="1"/>
    <col min="39" max="39" width="11.28515625" hidden="1" customWidth="1"/>
    <col min="40" max="41" width="10.7109375" hidden="1" customWidth="1"/>
    <col min="42" max="42" width="1.28515625" hidden="1" customWidth="1"/>
    <col min="43" max="43" width="13.42578125" hidden="1" customWidth="1"/>
    <col min="44" max="44" width="1.42578125" hidden="1" customWidth="1"/>
    <col min="45" max="45" width="13.5703125" hidden="1" customWidth="1"/>
    <col min="46" max="46" width="1.28515625" hidden="1" customWidth="1"/>
    <col min="47" max="47" width="10.42578125" hidden="1" customWidth="1"/>
    <col min="48" max="48" width="11.140625" hidden="1" customWidth="1"/>
    <col min="49" max="49" width="10.42578125" hidden="1" customWidth="1"/>
    <col min="50" max="50" width="1.42578125" hidden="1" customWidth="1"/>
    <col min="51" max="51" width="11.140625" hidden="1" customWidth="1"/>
    <col min="52" max="52" width="1.42578125" hidden="1" customWidth="1"/>
    <col min="53" max="54" width="10.42578125" hidden="1" customWidth="1"/>
    <col min="55" max="55" width="11.140625" hidden="1" customWidth="1"/>
    <col min="56" max="56" width="1.42578125" hidden="1" customWidth="1"/>
    <col min="57" max="57" width="11" hidden="1" customWidth="1"/>
    <col min="58" max="58" width="1.7109375" hidden="1" customWidth="1"/>
    <col min="59" max="59" width="11.28515625" hidden="1" customWidth="1"/>
    <col min="60" max="60" width="1.85546875" hidden="1" customWidth="1"/>
    <col min="61" max="61" width="10.7109375" hidden="1" customWidth="1"/>
    <col min="62" max="62" width="14.140625" hidden="1" customWidth="1"/>
    <col min="63" max="73" width="12.85546875" hidden="1" customWidth="1"/>
    <col min="74" max="74" width="1.7109375" hidden="1" customWidth="1"/>
    <col min="75" max="75" width="12.85546875" hidden="1" customWidth="1"/>
    <col min="76" max="76" width="1.7109375" hidden="1" customWidth="1"/>
    <col min="77" max="77" width="12.85546875" hidden="1" customWidth="1"/>
    <col min="78" max="78" width="1.7109375" hidden="1" customWidth="1"/>
    <col min="79" max="79" width="11.42578125" hidden="1" customWidth="1"/>
    <col min="80" max="80" width="1.7109375" hidden="1" customWidth="1"/>
    <col min="81" max="88" width="14.140625" customWidth="1"/>
    <col min="89" max="89" width="10.7109375" bestFit="1" customWidth="1"/>
  </cols>
  <sheetData>
    <row r="1" spans="2:89" ht="14.45" customHeight="1" x14ac:dyDescent="0.25"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</row>
    <row r="2" spans="2:89" x14ac:dyDescent="0.25">
      <c r="B2" s="1" t="s">
        <v>1</v>
      </c>
      <c r="C2" s="6">
        <f>EOMONTH(D2,-1)</f>
        <v>44926</v>
      </c>
      <c r="D2" s="6">
        <v>44957</v>
      </c>
      <c r="E2" s="6">
        <v>44985</v>
      </c>
      <c r="F2" s="6">
        <v>45016</v>
      </c>
      <c r="G2" s="2" t="s">
        <v>70</v>
      </c>
      <c r="H2" s="11"/>
      <c r="I2" s="6">
        <f>EOMONTH(F2:F2,1)</f>
        <v>45046</v>
      </c>
      <c r="J2" s="6">
        <f>EOMONTH(I2:I2,1)</f>
        <v>45077</v>
      </c>
      <c r="K2" s="6">
        <f>EOMONTH(J2:J2,1)</f>
        <v>45107</v>
      </c>
      <c r="L2" s="10"/>
      <c r="M2" s="2" t="s">
        <v>71</v>
      </c>
      <c r="N2" s="11"/>
      <c r="O2" s="2" t="s">
        <v>72</v>
      </c>
      <c r="P2" s="11"/>
      <c r="Q2" s="6">
        <f>EOMONTH(K2,1)</f>
        <v>45138</v>
      </c>
      <c r="R2" s="6">
        <f>EOMONTH(Q2:Q2,1)</f>
        <v>45169</v>
      </c>
      <c r="S2" s="6">
        <f>EOMONTH(R2:R2,1)</f>
        <v>45199</v>
      </c>
      <c r="T2" s="10"/>
      <c r="U2" s="2" t="s">
        <v>73</v>
      </c>
      <c r="V2" s="11"/>
      <c r="W2" s="6">
        <f>EOMONTH(S2:S2,1)</f>
        <v>45230</v>
      </c>
      <c r="X2" s="6">
        <v>45260</v>
      </c>
      <c r="Y2" s="6">
        <f>EOMONTH(X2:X2,1)</f>
        <v>45291</v>
      </c>
      <c r="Z2" s="10"/>
      <c r="AA2" s="2" t="s">
        <v>74</v>
      </c>
      <c r="AB2" s="11"/>
      <c r="AC2" s="2" t="s">
        <v>75</v>
      </c>
      <c r="AD2" s="11"/>
      <c r="AE2" s="5">
        <v>2023</v>
      </c>
      <c r="AG2" s="6">
        <v>45322</v>
      </c>
      <c r="AH2" s="6">
        <f>EOMONTH(AG2,1)</f>
        <v>45351</v>
      </c>
      <c r="AI2" s="6">
        <f>EOMONTH(AH2,1)</f>
        <v>45382</v>
      </c>
      <c r="AJ2" s="10"/>
      <c r="AK2" s="2" t="s">
        <v>70</v>
      </c>
      <c r="AL2" s="11"/>
      <c r="AM2" s="6">
        <f>EOMONTH(AI2:AI2,1)</f>
        <v>45412</v>
      </c>
      <c r="AN2" s="6">
        <f>EOMONTH(AM2:AM2,1)</f>
        <v>45443</v>
      </c>
      <c r="AO2" s="6">
        <f>EOMONTH(AN2:AN2,1)</f>
        <v>45473</v>
      </c>
      <c r="AP2" s="10"/>
      <c r="AQ2" s="2" t="s">
        <v>71</v>
      </c>
      <c r="AR2" s="11"/>
      <c r="AS2" s="2" t="s">
        <v>72</v>
      </c>
      <c r="AT2" s="11"/>
      <c r="AU2" s="6">
        <f>EOMONTH(AO2,1)</f>
        <v>45504</v>
      </c>
      <c r="AV2" s="6">
        <f>EOMONTH(AU2:AU2,1)</f>
        <v>45535</v>
      </c>
      <c r="AW2" s="6">
        <f>EOMONTH(AV2:AV2,1)</f>
        <v>45565</v>
      </c>
      <c r="AX2" s="10"/>
      <c r="AY2" s="2" t="s">
        <v>73</v>
      </c>
      <c r="AZ2" s="11"/>
      <c r="BA2" s="6">
        <f>EOMONTH(AW2:AW2,1)</f>
        <v>45596</v>
      </c>
      <c r="BB2" s="6">
        <f>EOMONTH(BA2:BA2,1)</f>
        <v>45626</v>
      </c>
      <c r="BC2" s="6">
        <f>EOMONTH(BB2:BB2,1)</f>
        <v>45657</v>
      </c>
      <c r="BD2" s="10"/>
      <c r="BE2" s="2" t="s">
        <v>74</v>
      </c>
      <c r="BF2" s="11"/>
      <c r="BG2" s="2" t="s">
        <v>75</v>
      </c>
      <c r="BH2" s="11"/>
      <c r="BI2" s="5">
        <v>2024</v>
      </c>
      <c r="BJ2" s="6">
        <f>EOMONTH(BC2,1)</f>
        <v>45688</v>
      </c>
      <c r="BK2" s="6">
        <f>EOMONTH(BJ2,1)</f>
        <v>45716</v>
      </c>
      <c r="BL2" s="6">
        <f>EOMONTH(BK2,1)</f>
        <v>45747</v>
      </c>
      <c r="BM2" s="6">
        <f>EOMONTH(BL2:BL2,1)</f>
        <v>45777</v>
      </c>
      <c r="BN2" s="6">
        <f>EOMONTH(BM2:BM2,1)</f>
        <v>45808</v>
      </c>
      <c r="BO2" s="6">
        <f>EOMONTH(BN2:BN2,1)</f>
        <v>45838</v>
      </c>
      <c r="BP2" s="6">
        <f>EOMONTH(BO2,1)</f>
        <v>45869</v>
      </c>
      <c r="BQ2" s="6">
        <f>EOMONTH(BP2:BP2,1)</f>
        <v>45900</v>
      </c>
      <c r="BR2" s="6">
        <v>45930</v>
      </c>
      <c r="BS2" s="6">
        <f>EOMONTH(BR2:BR2,1)</f>
        <v>45961</v>
      </c>
      <c r="BT2" s="6">
        <f>EOMONTH(BS2,1)</f>
        <v>45991</v>
      </c>
      <c r="BU2" s="6">
        <f>EOMONTH(BT2,1)</f>
        <v>46022</v>
      </c>
      <c r="BV2" s="10"/>
      <c r="BW2" s="2" t="s">
        <v>74</v>
      </c>
      <c r="BX2" s="11"/>
      <c r="BY2" s="2" t="s">
        <v>75</v>
      </c>
      <c r="BZ2" s="11"/>
      <c r="CA2" s="5" t="s">
        <v>76</v>
      </c>
      <c r="CB2" s="112"/>
      <c r="CC2" s="6">
        <f>EOMONTH(BU2,1)</f>
        <v>46053</v>
      </c>
      <c r="CD2" s="6">
        <f>EOMONTH(CC2,1)</f>
        <v>46081</v>
      </c>
      <c r="CE2" s="6">
        <f>EOMONTH(CD2,1)</f>
        <v>46112</v>
      </c>
      <c r="CF2" s="6">
        <f>EOMONTH(CE2,1)</f>
        <v>46142</v>
      </c>
      <c r="CG2" s="6">
        <f>EOMONTH(CF2,1)</f>
        <v>46173</v>
      </c>
      <c r="CH2" s="6">
        <f>EOMONTH(CG2,1)</f>
        <v>46203</v>
      </c>
      <c r="CI2" s="6">
        <v>46234</v>
      </c>
      <c r="CJ2" s="6">
        <v>46265</v>
      </c>
    </row>
    <row r="3" spans="2:89" x14ac:dyDescent="0.25">
      <c r="B3" t="s">
        <v>77</v>
      </c>
      <c r="C3" s="64">
        <v>-1225882.6699998882</v>
      </c>
      <c r="D3" s="64">
        <v>-2256281.7699999893</v>
      </c>
      <c r="E3" s="64">
        <v>-551555.87000001082</v>
      </c>
      <c r="F3" s="64">
        <v>6437130.7699999325</v>
      </c>
      <c r="G3" s="64">
        <f t="shared" ref="G3:G8" si="0">SUM(D3:F3)</f>
        <v>3629293.1299999324</v>
      </c>
      <c r="H3" s="54"/>
      <c r="I3" s="64">
        <v>-1840435.6999999522</v>
      </c>
      <c r="J3" s="64">
        <v>471919.39000007138</v>
      </c>
      <c r="K3" s="64">
        <v>2444762.5399999674</v>
      </c>
      <c r="L3" s="54"/>
      <c r="M3" s="64">
        <f t="shared" ref="M3:M8" si="1">SUM(I3:K3)</f>
        <v>1076246.2300000866</v>
      </c>
      <c r="N3" s="54"/>
      <c r="O3" s="64">
        <f>SUM(I3:K3,D3:F3)</f>
        <v>4705539.360000019</v>
      </c>
      <c r="P3" s="54"/>
      <c r="Q3" s="64">
        <v>-13238.560000047088</v>
      </c>
      <c r="R3" s="64">
        <v>-260697.35000004806</v>
      </c>
      <c r="S3" s="64">
        <v>5983559.5900000893</v>
      </c>
      <c r="T3" s="54"/>
      <c r="U3" s="64">
        <f t="shared" ref="U3:U8" si="2">SUM(Q3:S3)</f>
        <v>5709623.6799999941</v>
      </c>
      <c r="V3" s="54"/>
      <c r="W3" s="64">
        <v>2301934.5599999763</v>
      </c>
      <c r="X3" s="64">
        <v>2390376.43999983</v>
      </c>
      <c r="Y3" s="64">
        <v>7139953.0600001402</v>
      </c>
      <c r="Z3" s="54"/>
      <c r="AA3" s="64">
        <f t="shared" ref="AA3:AA8" si="3">SUM(W3:Y3)</f>
        <v>11832264.059999947</v>
      </c>
      <c r="AB3" s="54"/>
      <c r="AC3" s="64">
        <f>SUM(W3:Y3,Q3:S3)</f>
        <v>17541887.739999942</v>
      </c>
      <c r="AD3" s="54"/>
      <c r="AE3" s="64">
        <f>O3+AC3</f>
        <v>22247427.099999961</v>
      </c>
      <c r="AG3" s="64">
        <v>135333.07999999577</v>
      </c>
      <c r="AH3" s="64">
        <v>1351348.1199999861</v>
      </c>
      <c r="AI3" s="64">
        <v>1607493.5900000306</v>
      </c>
      <c r="AJ3" s="54"/>
      <c r="AK3" s="64">
        <f t="shared" ref="AK3:AK8" si="4">SUM(AG3:AI3)</f>
        <v>3094174.7900000126</v>
      </c>
      <c r="AL3" s="54"/>
      <c r="AM3" s="64">
        <v>1778241.1600000192</v>
      </c>
      <c r="AN3" s="64">
        <v>668906.42999999225</v>
      </c>
      <c r="AO3" s="64">
        <v>4951864.8099998655</v>
      </c>
      <c r="AP3" s="54"/>
      <c r="AQ3" s="64">
        <f t="shared" ref="AQ3:AQ8" si="5">SUM(AM3:AO3)</f>
        <v>7399012.3999998774</v>
      </c>
      <c r="AR3" s="54"/>
      <c r="AS3" s="64">
        <f>SUM(AM3:AO3,AG3:AI3)</f>
        <v>10493187.18999989</v>
      </c>
      <c r="AT3" s="54"/>
      <c r="AU3" s="64">
        <v>1208517.5900001563</v>
      </c>
      <c r="AV3" s="64">
        <v>1317888.2699999399</v>
      </c>
      <c r="AW3" s="64">
        <v>3497672.9800000694</v>
      </c>
      <c r="AX3" s="54"/>
      <c r="AY3" s="64">
        <f t="shared" ref="AY3:AY8" si="6">SUM(AU3:AW3)</f>
        <v>6024078.8400001656</v>
      </c>
      <c r="AZ3" s="54"/>
      <c r="BA3" s="64">
        <v>407091.30000005104</v>
      </c>
      <c r="BB3" s="64">
        <v>2060889.330000028</v>
      </c>
      <c r="BC3" s="64">
        <v>9185197.4700000025</v>
      </c>
      <c r="BD3" s="54"/>
      <c r="BE3" s="64">
        <f t="shared" ref="BE3:BE8" si="7">SUM(BA3:BC3)</f>
        <v>11653178.100000082</v>
      </c>
      <c r="BF3" s="54"/>
      <c r="BG3" s="64">
        <f>SUM(BA3:BC3,AU3:AW3)</f>
        <v>17677256.940000247</v>
      </c>
      <c r="BH3" s="54"/>
      <c r="BI3" s="64">
        <f>AS3+BG3</f>
        <v>28170444.130000137</v>
      </c>
      <c r="BJ3" s="65">
        <v>1184337.9900000021</v>
      </c>
      <c r="BK3" s="65">
        <v>476737.51999999955</v>
      </c>
      <c r="BL3" s="65">
        <v>5719093.1700000018</v>
      </c>
      <c r="BM3" s="65">
        <v>4177224.8000000007</v>
      </c>
      <c r="BN3" s="65">
        <v>2356700.6700000018</v>
      </c>
      <c r="BO3" s="65">
        <v>4784053.5199999996</v>
      </c>
      <c r="BP3" s="65">
        <v>2422631.34</v>
      </c>
      <c r="BQ3" s="65">
        <v>2180652.950000003</v>
      </c>
      <c r="BR3" s="65">
        <v>3140838.2899999991</v>
      </c>
      <c r="BS3" s="65">
        <v>462356.73000000045</v>
      </c>
      <c r="BT3" s="65">
        <v>3972262.0400000028</v>
      </c>
      <c r="BU3" s="65">
        <v>4603577</v>
      </c>
      <c r="BV3" s="54"/>
      <c r="BW3" s="64">
        <f t="shared" ref="BW3:BW8" si="8">SUM(BS3:BU3)</f>
        <v>9038195.7700000033</v>
      </c>
      <c r="BX3" s="54"/>
      <c r="BY3" s="64">
        <f>SUM(BS3:BU3,BP3:BR3)</f>
        <v>16782318.350000005</v>
      </c>
      <c r="BZ3" s="54"/>
      <c r="CA3" s="65">
        <f>SUM(BJ3:BU3)</f>
        <v>35480466.020000011</v>
      </c>
      <c r="CB3" s="233"/>
      <c r="CC3" s="64">
        <v>1868086.0500000007</v>
      </c>
      <c r="CD3" s="64">
        <v>2667098.7399999984</v>
      </c>
      <c r="CE3" s="64">
        <v>4416073.4199999981</v>
      </c>
      <c r="CF3" s="65">
        <v>8042710.4400000004</v>
      </c>
      <c r="CG3" s="65">
        <f>6557176.22</f>
        <v>6557176.2199999997</v>
      </c>
      <c r="CH3" s="65">
        <v>5852018.7600000016</v>
      </c>
      <c r="CI3" s="65">
        <v>5038945.7899999917</v>
      </c>
      <c r="CJ3" s="65">
        <v>4569526.2599999942</v>
      </c>
    </row>
    <row r="4" spans="2:89" x14ac:dyDescent="0.25">
      <c r="B4" t="s">
        <v>78</v>
      </c>
      <c r="C4" s="65">
        <v>453185.31999999797</v>
      </c>
      <c r="D4" s="65">
        <v>771628.33000000007</v>
      </c>
      <c r="E4" s="65">
        <v>1431454.9</v>
      </c>
      <c r="F4" s="65">
        <v>2102188.9200000004</v>
      </c>
      <c r="G4" s="65">
        <f t="shared" si="0"/>
        <v>4305272.1500000004</v>
      </c>
      <c r="H4" s="54"/>
      <c r="I4" s="65">
        <v>436785.39999999944</v>
      </c>
      <c r="J4" s="65">
        <v>417689.25</v>
      </c>
      <c r="K4" s="65">
        <v>2852792.9799999995</v>
      </c>
      <c r="L4" s="54"/>
      <c r="M4" s="65">
        <f t="shared" si="1"/>
        <v>3707267.629999999</v>
      </c>
      <c r="N4" s="54"/>
      <c r="O4" s="65">
        <f>SUM(I4:K4,D4:F4)</f>
        <v>8012539.7799999993</v>
      </c>
      <c r="P4" s="54"/>
      <c r="Q4" s="65">
        <v>554506.76999999955</v>
      </c>
      <c r="R4" s="65">
        <v>852807.66999999993</v>
      </c>
      <c r="S4" s="65">
        <v>-43758.079999998212</v>
      </c>
      <c r="T4" s="54"/>
      <c r="U4" s="65">
        <f t="shared" si="2"/>
        <v>1363556.3600000013</v>
      </c>
      <c r="V4" s="54"/>
      <c r="W4" s="65">
        <v>944140.65000000037</v>
      </c>
      <c r="X4" s="65">
        <v>1170510.5899999999</v>
      </c>
      <c r="Y4" s="65">
        <v>-2091085.0800000019</v>
      </c>
      <c r="Z4" s="54"/>
      <c r="AA4" s="65">
        <f t="shared" si="3"/>
        <v>23566.159999998286</v>
      </c>
      <c r="AB4" s="54"/>
      <c r="AC4" s="65">
        <f>SUM(W4:Y4,Q4:S4)</f>
        <v>1387122.5199999996</v>
      </c>
      <c r="AD4" s="54"/>
      <c r="AE4" s="65">
        <f>O4+AC4</f>
        <v>9399662.2999999989</v>
      </c>
      <c r="AG4" s="65">
        <v>172056.15</v>
      </c>
      <c r="AH4" s="65">
        <v>533427.26</v>
      </c>
      <c r="AI4" s="65">
        <v>444797.30999999994</v>
      </c>
      <c r="AJ4" s="54"/>
      <c r="AK4" s="65">
        <f t="shared" si="4"/>
        <v>1150280.72</v>
      </c>
      <c r="AL4" s="54"/>
      <c r="AM4" s="65">
        <v>485176.53</v>
      </c>
      <c r="AN4" s="65">
        <v>762992.45000000019</v>
      </c>
      <c r="AO4" s="65">
        <v>512552.19999999972</v>
      </c>
      <c r="AP4" s="54"/>
      <c r="AQ4" s="65">
        <f t="shared" si="5"/>
        <v>1760721.18</v>
      </c>
      <c r="AR4" s="54"/>
      <c r="AS4" s="65">
        <f>SUM(AM4:AO4,AG4:AI4)</f>
        <v>2911001.9</v>
      </c>
      <c r="AT4" s="54"/>
      <c r="AU4" s="65">
        <v>754648.10000000009</v>
      </c>
      <c r="AV4" s="65">
        <v>477878.87000000011</v>
      </c>
      <c r="AW4" s="65">
        <v>-268578.25</v>
      </c>
      <c r="AX4" s="54"/>
      <c r="AY4" s="65">
        <f t="shared" si="6"/>
        <v>963948.7200000002</v>
      </c>
      <c r="AZ4" s="54"/>
      <c r="BA4" s="65">
        <v>-655785.64000000013</v>
      </c>
      <c r="BB4" s="65">
        <v>745429.73</v>
      </c>
      <c r="BC4" s="65">
        <v>1669542.0999999996</v>
      </c>
      <c r="BD4" s="54"/>
      <c r="BE4" s="65">
        <f t="shared" si="7"/>
        <v>1759186.1899999995</v>
      </c>
      <c r="BF4" s="54"/>
      <c r="BG4" s="65">
        <f>SUM(BA4:BC4,AU4:AW4)</f>
        <v>2723134.9099999997</v>
      </c>
      <c r="BH4" s="54"/>
      <c r="BI4" s="65">
        <f>AS4+BG4</f>
        <v>5634136.8099999996</v>
      </c>
      <c r="BJ4" s="65">
        <v>541079.53</v>
      </c>
      <c r="BK4" s="65">
        <v>991900.92</v>
      </c>
      <c r="BL4" s="65">
        <v>1442485.32</v>
      </c>
      <c r="BM4" s="65">
        <v>1665618.34</v>
      </c>
      <c r="BN4" s="65">
        <v>1190816.49</v>
      </c>
      <c r="BO4" s="65">
        <v>1675707.89</v>
      </c>
      <c r="BP4" s="65">
        <v>1137988.6499999999</v>
      </c>
      <c r="BQ4" s="65">
        <v>322307.46000000002</v>
      </c>
      <c r="BR4" s="65">
        <v>869987.47</v>
      </c>
      <c r="BS4" s="65">
        <v>382306.92</v>
      </c>
      <c r="BT4" s="65">
        <v>1854232.88</v>
      </c>
      <c r="BU4" s="65">
        <v>1765324.53</v>
      </c>
      <c r="BV4" s="54"/>
      <c r="BW4" s="65">
        <f t="shared" si="8"/>
        <v>4001864.33</v>
      </c>
      <c r="BX4" s="54"/>
      <c r="BY4" s="65">
        <f>SUM(BS4:BU4,BP4:BR4)</f>
        <v>6332147.9100000001</v>
      </c>
      <c r="BZ4" s="54"/>
      <c r="CA4" s="65">
        <f t="shared" ref="CA4:CA7" si="9">SUM(BJ4:BU4)</f>
        <v>13839756.4</v>
      </c>
      <c r="CC4" s="65">
        <v>1404277.8</v>
      </c>
      <c r="CD4" s="65">
        <v>1441916.58</v>
      </c>
      <c r="CE4" s="65">
        <v>1955492.36</v>
      </c>
      <c r="CF4" s="65">
        <v>3042605.58</v>
      </c>
      <c r="CG4" s="65">
        <v>1756796.84</v>
      </c>
      <c r="CH4" s="65">
        <v>3257355.85</v>
      </c>
      <c r="CI4" s="65">
        <v>2265684.75</v>
      </c>
      <c r="CJ4" s="65">
        <v>1860242.3199999998</v>
      </c>
    </row>
    <row r="5" spans="2:89" hidden="1" x14ac:dyDescent="0.25">
      <c r="B5" t="s">
        <v>79</v>
      </c>
      <c r="C5" s="65">
        <v>191960.20999999903</v>
      </c>
      <c r="D5" s="65">
        <v>0</v>
      </c>
      <c r="E5" s="65">
        <v>0</v>
      </c>
      <c r="F5" s="65">
        <v>0</v>
      </c>
      <c r="G5" s="65">
        <f t="shared" si="0"/>
        <v>0</v>
      </c>
      <c r="H5" s="54"/>
      <c r="I5" s="65">
        <v>0</v>
      </c>
      <c r="J5" s="65">
        <v>0</v>
      </c>
      <c r="K5" s="65">
        <v>0</v>
      </c>
      <c r="L5" s="54"/>
      <c r="M5" s="65">
        <f t="shared" si="1"/>
        <v>0</v>
      </c>
      <c r="N5" s="54"/>
      <c r="O5" s="65">
        <f>SUM(I5:K5,D5:F5)</f>
        <v>0</v>
      </c>
      <c r="P5" s="54"/>
      <c r="Q5" s="65">
        <v>0</v>
      </c>
      <c r="R5" s="65">
        <v>0</v>
      </c>
      <c r="S5" s="65">
        <v>0</v>
      </c>
      <c r="T5" s="54"/>
      <c r="U5" s="65">
        <f t="shared" si="2"/>
        <v>0</v>
      </c>
      <c r="V5" s="54"/>
      <c r="W5" s="65">
        <v>0</v>
      </c>
      <c r="X5" s="65">
        <v>0</v>
      </c>
      <c r="Y5" s="65">
        <v>4864009.92</v>
      </c>
      <c r="Z5" s="54"/>
      <c r="AA5" s="65">
        <f t="shared" si="3"/>
        <v>4864009.92</v>
      </c>
      <c r="AB5" s="54"/>
      <c r="AC5" s="65">
        <f>SUM(W5:Y5,Q5:S5)</f>
        <v>4864009.92</v>
      </c>
      <c r="AD5" s="54"/>
      <c r="AE5" s="65">
        <f>O5+AC5</f>
        <v>4864009.92</v>
      </c>
      <c r="AG5" s="65">
        <v>0</v>
      </c>
      <c r="AH5" s="65">
        <v>0</v>
      </c>
      <c r="AI5" s="65">
        <v>0</v>
      </c>
      <c r="AJ5" s="54"/>
      <c r="AK5" s="65">
        <f t="shared" si="4"/>
        <v>0</v>
      </c>
      <c r="AL5" s="54"/>
      <c r="AM5" s="65">
        <v>0</v>
      </c>
      <c r="AN5" s="65">
        <v>0</v>
      </c>
      <c r="AO5" s="65">
        <v>1018230.3</v>
      </c>
      <c r="AP5" s="54"/>
      <c r="AQ5" s="65">
        <f t="shared" si="5"/>
        <v>1018230.3</v>
      </c>
      <c r="AR5" s="54"/>
      <c r="AS5" s="65">
        <f>SUM(AM5:AO5,AG5:AI5)</f>
        <v>1018230.3</v>
      </c>
      <c r="AT5" s="54"/>
      <c r="AU5" s="65">
        <v>0</v>
      </c>
      <c r="AV5" s="65">
        <v>0</v>
      </c>
      <c r="AW5" s="65">
        <v>0</v>
      </c>
      <c r="AX5" s="54"/>
      <c r="AY5" s="65">
        <f t="shared" si="6"/>
        <v>0</v>
      </c>
      <c r="AZ5" s="54"/>
      <c r="BA5" s="65">
        <v>0</v>
      </c>
      <c r="BB5" s="65">
        <v>0</v>
      </c>
      <c r="BC5" s="65">
        <v>683065.85999999987</v>
      </c>
      <c r="BD5" s="54"/>
      <c r="BE5" s="65">
        <f t="shared" si="7"/>
        <v>683065.85999999987</v>
      </c>
      <c r="BF5" s="54"/>
      <c r="BG5" s="65">
        <f>SUM(BA5:BC5,AU5:AW5)</f>
        <v>683065.85999999987</v>
      </c>
      <c r="BH5" s="54"/>
      <c r="BI5" s="65">
        <f>AS5+BG5</f>
        <v>1701296.16</v>
      </c>
      <c r="BJ5" s="65">
        <v>0</v>
      </c>
      <c r="BK5" s="65">
        <v>0</v>
      </c>
      <c r="BL5" s="65">
        <v>0</v>
      </c>
      <c r="BM5" s="65">
        <v>0</v>
      </c>
      <c r="BN5" s="65">
        <v>0</v>
      </c>
      <c r="BO5" s="65">
        <v>0</v>
      </c>
      <c r="BP5" s="65">
        <v>0</v>
      </c>
      <c r="BQ5" s="65">
        <v>0</v>
      </c>
      <c r="BR5" s="65">
        <v>0</v>
      </c>
      <c r="BS5" s="65">
        <v>0</v>
      </c>
      <c r="BT5" s="65">
        <v>0</v>
      </c>
      <c r="BU5" s="65">
        <v>0</v>
      </c>
      <c r="BV5" s="54"/>
      <c r="BW5" s="65">
        <f t="shared" si="8"/>
        <v>0</v>
      </c>
      <c r="BX5" s="54"/>
      <c r="BY5" s="65">
        <f>SUM(BS5:BU5,BP5:BR5)</f>
        <v>0</v>
      </c>
      <c r="BZ5" s="54"/>
      <c r="CA5" s="65">
        <f t="shared" si="9"/>
        <v>0</v>
      </c>
      <c r="CC5" s="65">
        <v>0</v>
      </c>
      <c r="CD5" s="65">
        <v>0</v>
      </c>
      <c r="CE5" s="65">
        <v>0</v>
      </c>
      <c r="CF5" s="65">
        <v>0</v>
      </c>
      <c r="CG5" s="65">
        <v>0</v>
      </c>
      <c r="CH5" s="65"/>
      <c r="CI5" s="65"/>
      <c r="CJ5" s="65"/>
    </row>
    <row r="6" spans="2:89" x14ac:dyDescent="0.25">
      <c r="B6" t="s">
        <v>80</v>
      </c>
      <c r="C6" s="66">
        <v>-1871028.1999998852</v>
      </c>
      <c r="D6" s="124">
        <f>D3-D4-D5</f>
        <v>-3027910.0999999894</v>
      </c>
      <c r="E6" s="124">
        <f>E3-E4-E5</f>
        <v>-1983010.7700000107</v>
      </c>
      <c r="F6" s="124">
        <f>F3-F4-F5</f>
        <v>4334941.8499999326</v>
      </c>
      <c r="G6" s="66">
        <f t="shared" si="0"/>
        <v>-675979.02000006754</v>
      </c>
      <c r="H6" s="54"/>
      <c r="I6" s="124">
        <f>I3-I4-I5</f>
        <v>-2277221.0999999517</v>
      </c>
      <c r="J6" s="124">
        <f>J3-J4-J5</f>
        <v>54230.140000071377</v>
      </c>
      <c r="K6" s="124">
        <f>K3-K4-K5</f>
        <v>-408030.44000003207</v>
      </c>
      <c r="L6" s="54"/>
      <c r="M6" s="66">
        <f t="shared" si="1"/>
        <v>-2631021.3999999124</v>
      </c>
      <c r="N6" s="54"/>
      <c r="O6" s="124">
        <f>O3-O4-O5</f>
        <v>-3307000.4199999804</v>
      </c>
      <c r="P6" s="54"/>
      <c r="Q6" s="124">
        <f>Q3-Q4-Q5</f>
        <v>-567745.33000004664</v>
      </c>
      <c r="R6" s="124">
        <f>R3-R4-R5</f>
        <v>-1113505.020000048</v>
      </c>
      <c r="S6" s="124">
        <f>S3-S4-S5</f>
        <v>6027317.6700000875</v>
      </c>
      <c r="T6" s="54"/>
      <c r="U6" s="66">
        <f t="shared" si="2"/>
        <v>4346067.3199999928</v>
      </c>
      <c r="V6" s="54"/>
      <c r="W6" s="124">
        <v>1357793.9099999759</v>
      </c>
      <c r="X6" s="124">
        <v>1219865.8499998301</v>
      </c>
      <c r="Y6" s="124">
        <v>4367028.2200001422</v>
      </c>
      <c r="Z6" s="54"/>
      <c r="AA6" s="66">
        <f t="shared" si="3"/>
        <v>6944687.9799999483</v>
      </c>
      <c r="AB6" s="54"/>
      <c r="AC6" s="124">
        <f>AC3-AC4-AC5</f>
        <v>11290755.299999943</v>
      </c>
      <c r="AD6" s="54"/>
      <c r="AE6" s="124">
        <f>AE3-AE4-AE5</f>
        <v>7983754.8799999617</v>
      </c>
      <c r="AG6" s="124">
        <v>-36723.070000004227</v>
      </c>
      <c r="AH6" s="124">
        <v>817920.85999998613</v>
      </c>
      <c r="AI6" s="124">
        <v>1162696.2800000305</v>
      </c>
      <c r="AJ6" s="54"/>
      <c r="AK6" s="66">
        <f t="shared" si="4"/>
        <v>1943894.0700000124</v>
      </c>
      <c r="AL6" s="54"/>
      <c r="AM6" s="124">
        <v>1293064.6300000192</v>
      </c>
      <c r="AN6" s="124">
        <v>-94086.020000007935</v>
      </c>
      <c r="AO6" s="124">
        <v>3421082.3099998655</v>
      </c>
      <c r="AP6" s="54"/>
      <c r="AQ6" s="66">
        <f t="shared" si="5"/>
        <v>4620060.919999877</v>
      </c>
      <c r="AR6" s="54"/>
      <c r="AS6" s="124">
        <f>AS3-AS4-AS5</f>
        <v>6563954.9899998894</v>
      </c>
      <c r="AT6" s="54"/>
      <c r="AU6" s="124">
        <v>453869.49000015622</v>
      </c>
      <c r="AV6" s="124">
        <v>840009.39999993984</v>
      </c>
      <c r="AW6" s="124">
        <v>3766251.2300000694</v>
      </c>
      <c r="AX6" s="54"/>
      <c r="AY6" s="66">
        <f t="shared" si="6"/>
        <v>5060130.120000165</v>
      </c>
      <c r="AZ6" s="54"/>
      <c r="BA6" s="124">
        <v>1062876.9400000512</v>
      </c>
      <c r="BB6" s="124">
        <v>1315459.600000028</v>
      </c>
      <c r="BC6" s="124">
        <v>6832589.5100000035</v>
      </c>
      <c r="BD6" s="54"/>
      <c r="BE6" s="66">
        <f t="shared" si="7"/>
        <v>9210926.0500000827</v>
      </c>
      <c r="BF6" s="54"/>
      <c r="BG6" s="124">
        <f>BG3-BG4-BG5</f>
        <v>14271056.170000248</v>
      </c>
      <c r="BH6" s="54"/>
      <c r="BI6" s="124">
        <f>BI3-BI4-BI5</f>
        <v>20835011.160000138</v>
      </c>
      <c r="BJ6" s="65">
        <v>643258.46000000206</v>
      </c>
      <c r="BK6" s="65">
        <v>-515163.40000000049</v>
      </c>
      <c r="BL6" s="65">
        <v>4276607.8500000015</v>
      </c>
      <c r="BM6" s="65">
        <v>2511606.4600000009</v>
      </c>
      <c r="BN6" s="65">
        <v>1165884.1800000018</v>
      </c>
      <c r="BO6" s="65">
        <v>3108345.63</v>
      </c>
      <c r="BP6" s="65">
        <v>1284642.69</v>
      </c>
      <c r="BQ6" s="65">
        <v>1858345.490000003</v>
      </c>
      <c r="BR6" s="65">
        <v>2270850.8199999994</v>
      </c>
      <c r="BS6" s="65">
        <v>80049.810000000463</v>
      </c>
      <c r="BT6" s="65">
        <v>2118029.1600000029</v>
      </c>
      <c r="BU6" s="65">
        <v>2838252.4699999997</v>
      </c>
      <c r="BV6" s="54"/>
      <c r="BW6" s="65">
        <f t="shared" si="8"/>
        <v>5036331.4400000032</v>
      </c>
      <c r="BX6" s="54"/>
      <c r="BY6" s="264">
        <f>BY3-BY4-BY5</f>
        <v>10450170.440000005</v>
      </c>
      <c r="BZ6" s="54"/>
      <c r="CA6" s="65">
        <f t="shared" si="9"/>
        <v>21640709.620000008</v>
      </c>
      <c r="CB6" s="54"/>
      <c r="CC6" s="264">
        <v>463808.2500000007</v>
      </c>
      <c r="CD6" s="264">
        <v>1225182.1599999983</v>
      </c>
      <c r="CE6" s="264">
        <f>CE3-CE4</f>
        <v>2460581.0599999977</v>
      </c>
      <c r="CF6" s="65">
        <f>CF3-CF4-CF5</f>
        <v>5000104.8600000003</v>
      </c>
      <c r="CG6" s="65">
        <f>CG3-CG4-CG5</f>
        <v>4800379.38</v>
      </c>
      <c r="CH6" s="65">
        <f>CH3-CH4</f>
        <v>2594662.9100000015</v>
      </c>
      <c r="CI6" s="65">
        <v>2773261.0399999917</v>
      </c>
      <c r="CJ6" s="65">
        <v>2709283.9399999944</v>
      </c>
    </row>
    <row r="7" spans="2:89" x14ac:dyDescent="0.25">
      <c r="B7" t="s">
        <v>81</v>
      </c>
      <c r="C7" s="66">
        <v>569477.66000006348</v>
      </c>
      <c r="D7" s="66">
        <v>184324.92000000132</v>
      </c>
      <c r="E7" s="66">
        <v>1250477.1299999971</v>
      </c>
      <c r="F7" s="66">
        <v>2071688.5200000009</v>
      </c>
      <c r="G7" s="66">
        <f t="shared" si="0"/>
        <v>3506490.5699999994</v>
      </c>
      <c r="H7" s="54"/>
      <c r="I7" s="66">
        <v>411267.59999999963</v>
      </c>
      <c r="J7" s="66">
        <v>-80452.380000001285</v>
      </c>
      <c r="K7" s="66">
        <v>2556900.1100000148</v>
      </c>
      <c r="L7" s="54"/>
      <c r="M7" s="66">
        <f t="shared" si="1"/>
        <v>2887715.3300000131</v>
      </c>
      <c r="N7" s="54"/>
      <c r="O7" s="66">
        <f>SUM(I7:K7,D7:F7)</f>
        <v>6394205.9000000134</v>
      </c>
      <c r="P7" s="54"/>
      <c r="Q7" s="66">
        <v>370274.89999999385</v>
      </c>
      <c r="R7" s="66">
        <v>507165.18000000063</v>
      </c>
      <c r="S7" s="66">
        <v>-90122.920000001788</v>
      </c>
      <c r="T7" s="54"/>
      <c r="U7" s="66">
        <f t="shared" si="2"/>
        <v>787317.1599999927</v>
      </c>
      <c r="V7" s="54"/>
      <c r="W7" s="66">
        <v>886582.59999999218</v>
      </c>
      <c r="X7" s="66">
        <v>857060.11999997962</v>
      </c>
      <c r="Y7" s="66">
        <v>2345408.5100000501</v>
      </c>
      <c r="Z7" s="54"/>
      <c r="AA7" s="66">
        <f t="shared" si="3"/>
        <v>4089051.2300000219</v>
      </c>
      <c r="AB7" s="54"/>
      <c r="AC7" s="66">
        <f>SUM(W7:Y7,Q7:S7)</f>
        <v>4876368.3900000146</v>
      </c>
      <c r="AD7" s="54"/>
      <c r="AE7" s="66">
        <f>O7+AC7</f>
        <v>11270574.290000029</v>
      </c>
      <c r="AG7" s="66">
        <v>110976.48999999999</v>
      </c>
      <c r="AH7" s="66">
        <v>411297.69000000082</v>
      </c>
      <c r="AI7" s="66">
        <v>236500.30999999674</v>
      </c>
      <c r="AJ7" s="54"/>
      <c r="AK7" s="66">
        <f t="shared" si="4"/>
        <v>758774.48999999755</v>
      </c>
      <c r="AL7" s="54"/>
      <c r="AM7" s="66">
        <v>434611.58999999228</v>
      </c>
      <c r="AN7" s="66">
        <v>404507.76000001328</v>
      </c>
      <c r="AO7" s="66">
        <v>1338115.8500000103</v>
      </c>
      <c r="AP7" s="54"/>
      <c r="AQ7" s="66">
        <f t="shared" si="5"/>
        <v>2177235.200000016</v>
      </c>
      <c r="AR7" s="54"/>
      <c r="AS7" s="66">
        <f>SUM(AM7:AO7,AG7:AI7)</f>
        <v>2936009.6900000139</v>
      </c>
      <c r="AT7" s="54"/>
      <c r="AU7" s="66">
        <v>617707.8499999661</v>
      </c>
      <c r="AV7" s="66">
        <v>430066.94000003347</v>
      </c>
      <c r="AW7" s="66">
        <v>-305419.29000000888</v>
      </c>
      <c r="AX7" s="54"/>
      <c r="AY7" s="66">
        <f t="shared" si="6"/>
        <v>742355.49999999069</v>
      </c>
      <c r="AZ7" s="54"/>
      <c r="BA7" s="66">
        <v>-811427.31000000844</v>
      </c>
      <c r="BB7" s="66">
        <v>850419.33000000101</v>
      </c>
      <c r="BC7" s="66">
        <v>1712350.6899999776</v>
      </c>
      <c r="BD7" s="54"/>
      <c r="BE7" s="66">
        <f t="shared" si="7"/>
        <v>1751342.7099999702</v>
      </c>
      <c r="BF7" s="54"/>
      <c r="BG7" s="66">
        <f>SUM(BA7:BC7,AU7:AW7)</f>
        <v>2493698.2099999608</v>
      </c>
      <c r="BH7" s="54"/>
      <c r="BI7" s="66">
        <f>AS7+BG7</f>
        <v>5429707.8999999743</v>
      </c>
      <c r="BJ7" s="65">
        <v>464703.12000000011</v>
      </c>
      <c r="BK7" s="65">
        <v>871800.97000000067</v>
      </c>
      <c r="BL7" s="65">
        <v>1249780.1099999994</v>
      </c>
      <c r="BM7" s="65">
        <v>1592797.8899999997</v>
      </c>
      <c r="BN7" s="65">
        <v>1100442.5099999998</v>
      </c>
      <c r="BO7" s="65">
        <v>1636029.5099999998</v>
      </c>
      <c r="BP7" s="65">
        <v>1078640.2199999997</v>
      </c>
      <c r="BQ7" s="65">
        <v>108896.66000000015</v>
      </c>
      <c r="BR7" s="65">
        <v>685150.93000000063</v>
      </c>
      <c r="BS7" s="65">
        <v>198757.09000000078</v>
      </c>
      <c r="BT7" s="65">
        <v>1665017.25</v>
      </c>
      <c r="BU7" s="65">
        <v>1403074.8000000007</v>
      </c>
      <c r="BV7" s="54"/>
      <c r="BW7" s="65">
        <f t="shared" si="8"/>
        <v>3266849.1400000015</v>
      </c>
      <c r="BX7" s="54"/>
      <c r="BY7" s="65">
        <f>SUM(BS7:BU7,BP7:BR7)</f>
        <v>5139536.950000002</v>
      </c>
      <c r="BZ7" s="54"/>
      <c r="CA7" s="65">
        <f t="shared" si="9"/>
        <v>12055091.060000002</v>
      </c>
      <c r="CB7" s="54"/>
      <c r="CC7" s="65">
        <v>1359401.8800000008</v>
      </c>
      <c r="CD7" s="65">
        <v>1158533.5500000007</v>
      </c>
      <c r="CE7" s="65">
        <v>2104762.6700000018</v>
      </c>
      <c r="CF7" s="65">
        <v>1998240.16</v>
      </c>
      <c r="CG7" s="65">
        <f>1774617.16</f>
        <v>1774617.16</v>
      </c>
      <c r="CH7" s="65">
        <v>2199968.1399999987</v>
      </c>
      <c r="CI7" s="65">
        <v>1782672.4199999962</v>
      </c>
      <c r="CJ7" s="65">
        <v>1028611.3799999971</v>
      </c>
    </row>
    <row r="8" spans="2:89" x14ac:dyDescent="0.25">
      <c r="B8" s="9" t="s">
        <v>82</v>
      </c>
      <c r="C8" s="67">
        <v>-1301550.5399998217</v>
      </c>
      <c r="D8" s="67">
        <v>-2843585.1799999881</v>
      </c>
      <c r="E8" s="67">
        <v>-732533.64000001363</v>
      </c>
      <c r="F8" s="67">
        <v>6406630.369999934</v>
      </c>
      <c r="G8" s="67">
        <f t="shared" si="0"/>
        <v>2830511.5499999323</v>
      </c>
      <c r="H8" s="54"/>
      <c r="I8" s="67">
        <v>-1865953.499999952</v>
      </c>
      <c r="J8" s="67">
        <v>-26222.239999929909</v>
      </c>
      <c r="K8" s="67">
        <v>2148869.6699999827</v>
      </c>
      <c r="L8" s="54"/>
      <c r="M8" s="67">
        <f t="shared" si="1"/>
        <v>256693.93000010075</v>
      </c>
      <c r="N8" s="54"/>
      <c r="O8" s="67">
        <f>SUM(I8:K8,D8:F8)</f>
        <v>3087205.480000033</v>
      </c>
      <c r="P8" s="54"/>
      <c r="Q8" s="67">
        <v>-197470.43000005279</v>
      </c>
      <c r="R8" s="67">
        <v>-606339.84000004735</v>
      </c>
      <c r="S8" s="67">
        <v>5937194.7500000857</v>
      </c>
      <c r="T8" s="54"/>
      <c r="U8" s="67">
        <f t="shared" si="2"/>
        <v>5133384.4799999855</v>
      </c>
      <c r="V8" s="54"/>
      <c r="W8" s="67">
        <v>2244376.5099999681</v>
      </c>
      <c r="X8" s="67">
        <v>2076925.9699998097</v>
      </c>
      <c r="Y8" s="67">
        <v>6712436.7300001923</v>
      </c>
      <c r="Z8" s="54"/>
      <c r="AA8" s="67">
        <f t="shared" si="3"/>
        <v>11033739.209999971</v>
      </c>
      <c r="AB8" s="54"/>
      <c r="AC8" s="67">
        <f>SUM(W8:Y8,Q8:S8)</f>
        <v>16167123.689999957</v>
      </c>
      <c r="AD8" s="54"/>
      <c r="AE8" s="67">
        <f>O8+AC8</f>
        <v>19254329.169999991</v>
      </c>
      <c r="AG8" s="67">
        <v>74253.419999995764</v>
      </c>
      <c r="AH8" s="67">
        <v>1229218.549999987</v>
      </c>
      <c r="AI8" s="67">
        <v>1399196.5900000273</v>
      </c>
      <c r="AJ8" s="54"/>
      <c r="AK8" s="67">
        <f t="shared" si="4"/>
        <v>2702668.5600000098</v>
      </c>
      <c r="AL8" s="54"/>
      <c r="AM8" s="67">
        <v>1727676.2200000114</v>
      </c>
      <c r="AN8" s="67">
        <v>310421.74000000535</v>
      </c>
      <c r="AO8" s="67">
        <v>4759198.1599998754</v>
      </c>
      <c r="AP8" s="54"/>
      <c r="AQ8" s="67">
        <f t="shared" si="5"/>
        <v>6797296.1199998921</v>
      </c>
      <c r="AR8" s="54"/>
      <c r="AS8" s="67">
        <f>SUM(AM8:AO8,AG8:AI8)</f>
        <v>9499964.6799999028</v>
      </c>
      <c r="AT8" s="54"/>
      <c r="AU8" s="67">
        <v>1071577.3400001223</v>
      </c>
      <c r="AV8" s="67">
        <v>1270076.3399999733</v>
      </c>
      <c r="AW8" s="67">
        <v>3460831.9400000605</v>
      </c>
      <c r="AX8" s="54"/>
      <c r="AY8" s="67">
        <f t="shared" si="6"/>
        <v>5802485.6200001556</v>
      </c>
      <c r="AZ8" s="54"/>
      <c r="BA8" s="67">
        <v>251449.63000004273</v>
      </c>
      <c r="BB8" s="67">
        <v>2165878.930000029</v>
      </c>
      <c r="BC8" s="67">
        <v>8544940.1999999806</v>
      </c>
      <c r="BD8" s="54"/>
      <c r="BE8" s="67">
        <f t="shared" si="7"/>
        <v>10962268.760000052</v>
      </c>
      <c r="BF8" s="54"/>
      <c r="BG8" s="67">
        <f>SUM(BA8:BC8,AU8:AW8)</f>
        <v>16764754.380000209</v>
      </c>
      <c r="BH8" s="54"/>
      <c r="BI8" s="67">
        <f>AS8+BG8</f>
        <v>26264719.060000114</v>
      </c>
      <c r="BJ8" s="67">
        <f>SUM(BJ6:BJ7)</f>
        <v>1107961.5800000022</v>
      </c>
      <c r="BK8" s="67">
        <f t="shared" ref="BK8:BL8" si="10">SUM(BK6:BK7)</f>
        <v>356637.57000000018</v>
      </c>
      <c r="BL8" s="67">
        <f t="shared" si="10"/>
        <v>5526387.9600000009</v>
      </c>
      <c r="BM8" s="67">
        <f t="shared" ref="BM8" si="11">SUM(BM6:BM7)</f>
        <v>4104404.3500000006</v>
      </c>
      <c r="BN8" s="67">
        <f t="shared" ref="BN8" si="12">SUM(BN6:BN7)</f>
        <v>2266326.6900000013</v>
      </c>
      <c r="BO8" s="67">
        <f t="shared" ref="BO8" si="13">SUM(BO6:BO7)</f>
        <v>4744375.1399999997</v>
      </c>
      <c r="BP8" s="67">
        <f t="shared" ref="BP8" si="14">SUM(BP6:BP7)</f>
        <v>2363282.9099999997</v>
      </c>
      <c r="BQ8" s="67">
        <f t="shared" ref="BQ8" si="15">SUM(BQ6:BQ7)</f>
        <v>1967242.1500000032</v>
      </c>
      <c r="BR8" s="67">
        <f t="shared" ref="BR8" si="16">SUM(BR6:BR7)</f>
        <v>2956001.75</v>
      </c>
      <c r="BS8" s="67">
        <f t="shared" ref="BS8" si="17">SUM(BS6:BS7)</f>
        <v>278806.90000000125</v>
      </c>
      <c r="BT8" s="67">
        <f t="shared" ref="BT8" si="18">SUM(BT6:BT7)</f>
        <v>3783046.4100000029</v>
      </c>
      <c r="BU8" s="67">
        <f t="shared" ref="BU8" si="19">SUM(BU6:BU7)</f>
        <v>4241327.2700000005</v>
      </c>
      <c r="BV8" s="54"/>
      <c r="BW8" s="67">
        <f t="shared" si="8"/>
        <v>8303180.5800000047</v>
      </c>
      <c r="BX8" s="54"/>
      <c r="BY8" s="67">
        <f>SUM(BS8:BU8,BP8:BR8)</f>
        <v>15589707.390000008</v>
      </c>
      <c r="BZ8" s="54"/>
      <c r="CA8" s="67">
        <f>SUM(CA6:CA7)</f>
        <v>33695800.680000007</v>
      </c>
      <c r="CB8" s="54"/>
      <c r="CC8" s="67">
        <f>CC6+CC7</f>
        <v>1823210.1300000015</v>
      </c>
      <c r="CD8" s="67">
        <f>CD6+CD7</f>
        <v>2383715.709999999</v>
      </c>
      <c r="CE8" s="67">
        <f>CE6+CE7</f>
        <v>4565343.7299999995</v>
      </c>
      <c r="CF8" s="67">
        <f>CF6+CF7</f>
        <v>6998345.0200000005</v>
      </c>
      <c r="CG8" s="67">
        <f>CG6+CG7</f>
        <v>6574996.54</v>
      </c>
      <c r="CH8" s="67">
        <f t="shared" ref="CH8" si="20">CH6+CH7</f>
        <v>4794631.0500000007</v>
      </c>
      <c r="CI8" s="67">
        <v>4555933.4599999879</v>
      </c>
      <c r="CJ8" s="67">
        <v>3737895.3199999915</v>
      </c>
      <c r="CK8" s="537">
        <f>(CJ8/CI8)-1</f>
        <v>-0.17955445293092553</v>
      </c>
    </row>
    <row r="9" spans="2:89" ht="6.75" customHeight="1" x14ac:dyDescent="0.25">
      <c r="C9" s="64"/>
      <c r="D9" s="64"/>
      <c r="E9" s="64"/>
      <c r="F9" s="64"/>
      <c r="G9" s="64"/>
      <c r="H9" s="54"/>
      <c r="I9" s="64"/>
      <c r="J9" s="64"/>
      <c r="K9" s="64"/>
      <c r="L9" s="54"/>
      <c r="M9" s="64"/>
      <c r="N9" s="54"/>
      <c r="O9" s="64"/>
      <c r="P9" s="54"/>
      <c r="Q9" s="64"/>
      <c r="R9" s="64"/>
      <c r="S9" s="64"/>
      <c r="T9" s="54"/>
      <c r="U9" s="64"/>
      <c r="V9" s="54"/>
      <c r="W9" s="64"/>
      <c r="X9" s="64"/>
      <c r="Y9" s="64"/>
      <c r="Z9" s="54"/>
      <c r="AA9" s="64"/>
      <c r="AB9" s="54"/>
      <c r="AC9" s="64"/>
      <c r="AD9" s="54"/>
      <c r="AE9" s="64"/>
      <c r="AG9" s="64"/>
      <c r="AH9" s="64"/>
      <c r="AI9" s="64"/>
      <c r="AJ9" s="54"/>
      <c r="AK9" s="64"/>
      <c r="AL9" s="54"/>
      <c r="AM9" s="64"/>
      <c r="AN9" s="64"/>
      <c r="AO9" s="64"/>
      <c r="AP9" s="54"/>
      <c r="AQ9" s="64"/>
      <c r="AR9" s="54"/>
      <c r="AS9" s="64"/>
      <c r="AT9" s="54"/>
      <c r="AU9" s="64"/>
      <c r="AV9" s="64"/>
      <c r="AW9" s="64"/>
      <c r="AX9" s="54"/>
      <c r="AY9" s="64"/>
      <c r="AZ9" s="54"/>
      <c r="BA9" s="64"/>
      <c r="BB9" s="64"/>
      <c r="BC9" s="64"/>
      <c r="BD9" s="54"/>
      <c r="BE9" s="64"/>
      <c r="BF9" s="54"/>
      <c r="BG9" s="64"/>
      <c r="BH9" s="54"/>
      <c r="BI9" s="64"/>
      <c r="BJ9" s="64"/>
      <c r="BK9" s="64"/>
      <c r="BL9" s="64"/>
      <c r="BM9" s="64"/>
      <c r="BN9" s="64"/>
      <c r="BO9" s="64"/>
      <c r="BP9" s="64"/>
      <c r="BQ9" s="64"/>
      <c r="BR9" s="64"/>
      <c r="BS9" s="64"/>
      <c r="BT9" s="64"/>
      <c r="BU9" s="64"/>
      <c r="BV9" s="54"/>
      <c r="BW9" s="64"/>
      <c r="BX9" s="54"/>
      <c r="BY9" s="64"/>
      <c r="BZ9" s="54"/>
      <c r="CA9" s="64"/>
      <c r="CC9" s="64"/>
      <c r="CD9" s="64"/>
      <c r="CE9" s="64"/>
      <c r="CF9" s="64"/>
      <c r="CG9" s="64"/>
      <c r="CH9" s="64"/>
      <c r="CI9" s="64"/>
      <c r="CJ9" s="64"/>
    </row>
    <row r="10" spans="2:89" x14ac:dyDescent="0.25">
      <c r="B10" t="s">
        <v>83</v>
      </c>
      <c r="C10" s="64">
        <v>3097.0599999986589</v>
      </c>
      <c r="D10" s="64">
        <v>45761.359999999841</v>
      </c>
      <c r="E10" s="64">
        <v>41357.8400000002</v>
      </c>
      <c r="F10" s="64">
        <v>179237.57000000033</v>
      </c>
      <c r="G10" s="64">
        <f t="shared" ref="G10:G17" si="21">SUM(D10:F10)</f>
        <v>266356.77000000037</v>
      </c>
      <c r="H10" s="54"/>
      <c r="I10" s="64">
        <v>-41623.050000000047</v>
      </c>
      <c r="J10" s="64">
        <v>187462.07000000152</v>
      </c>
      <c r="K10" s="64">
        <v>-169417.15999999913</v>
      </c>
      <c r="L10" s="54"/>
      <c r="M10" s="64">
        <f t="shared" ref="M10:M19" si="22">SUM(I10:K10)</f>
        <v>-23578.139999997657</v>
      </c>
      <c r="N10" s="54"/>
      <c r="O10" s="64">
        <f t="shared" ref="O10:O17" si="23">SUM(I10:K10,D10:F10)</f>
        <v>242778.63000000271</v>
      </c>
      <c r="P10" s="54"/>
      <c r="Q10" s="64">
        <v>63133.630000002478</v>
      </c>
      <c r="R10" s="64">
        <v>-208725.82999999693</v>
      </c>
      <c r="S10" s="64">
        <v>-304926.61000000202</v>
      </c>
      <c r="T10" s="54"/>
      <c r="U10" s="64">
        <f t="shared" ref="U10:U19" si="24">SUM(Q10:S10)</f>
        <v>-450518.80999999645</v>
      </c>
      <c r="V10" s="54"/>
      <c r="W10" s="64">
        <v>64962.489999994927</v>
      </c>
      <c r="X10" s="64">
        <v>-408320.49999999849</v>
      </c>
      <c r="Y10" s="64">
        <v>-388305.65999999549</v>
      </c>
      <c r="Z10" s="54"/>
      <c r="AA10" s="64">
        <f t="shared" ref="AA10:AA19" si="25">SUM(W10:Y10)</f>
        <v>-731663.66999999899</v>
      </c>
      <c r="AB10" s="54"/>
      <c r="AC10" s="64">
        <f t="shared" ref="AC10:AC19" si="26">SUM(W10:Y10,Q10:S10)</f>
        <v>-1182182.4799999956</v>
      </c>
      <c r="AD10" s="54"/>
      <c r="AE10" s="64">
        <f t="shared" ref="AE10:AE19" si="27">O10+AC10</f>
        <v>-939403.84999999288</v>
      </c>
      <c r="AG10" s="64">
        <v>97102.96000000037</v>
      </c>
      <c r="AH10" s="64">
        <v>301216.36000000051</v>
      </c>
      <c r="AI10" s="64">
        <v>-88491.620000000286</v>
      </c>
      <c r="AJ10" s="54"/>
      <c r="AK10" s="64">
        <f t="shared" ref="AK10:AK19" si="28">SUM(AG10:AI10)</f>
        <v>309827.70000000059</v>
      </c>
      <c r="AL10" s="54"/>
      <c r="AM10" s="64">
        <v>113308.81999999826</v>
      </c>
      <c r="AN10" s="64">
        <v>67062.170000000799</v>
      </c>
      <c r="AO10" s="64">
        <v>-111222.35999999911</v>
      </c>
      <c r="AP10" s="54"/>
      <c r="AQ10" s="64">
        <f t="shared" ref="AQ10:AQ19" si="29">SUM(AM10:AO10)</f>
        <v>69148.629999999946</v>
      </c>
      <c r="AR10" s="54"/>
      <c r="AS10" s="64">
        <f t="shared" ref="AS10:AS19" si="30">SUM(AM10:AO10,AG10:AI10)</f>
        <v>378976.33000000054</v>
      </c>
      <c r="AT10" s="54"/>
      <c r="AU10" s="64">
        <v>103829.46999999799</v>
      </c>
      <c r="AV10" s="64">
        <v>-140484.95999999874</v>
      </c>
      <c r="AW10" s="64">
        <v>170123.98999999714</v>
      </c>
      <c r="AX10" s="54"/>
      <c r="AY10" s="64">
        <f t="shared" ref="AY10:AY19" si="31">SUM(AU10:AW10)</f>
        <v>133468.49999999639</v>
      </c>
      <c r="AZ10" s="54"/>
      <c r="BA10" s="64">
        <v>-220088.02000000223</v>
      </c>
      <c r="BB10" s="64">
        <v>900.53000000561588</v>
      </c>
      <c r="BC10" s="64">
        <v>94783.979999999166</v>
      </c>
      <c r="BD10" s="54"/>
      <c r="BE10" s="64">
        <f t="shared" ref="BE10:BE19" si="32">SUM(BA10:BC10)</f>
        <v>-124403.50999999745</v>
      </c>
      <c r="BF10" s="54"/>
      <c r="BG10" s="64">
        <f t="shared" ref="BG10:BG19" si="33">SUM(BA10:BC10,AU10:AW10)</f>
        <v>9064.9899999989429</v>
      </c>
      <c r="BH10" s="54"/>
      <c r="BI10" s="64">
        <f t="shared" ref="BI10:BI19" si="34">AS10+BG10</f>
        <v>388041.31999999948</v>
      </c>
      <c r="BJ10" s="65">
        <v>8662.4000000001397</v>
      </c>
      <c r="BK10" s="65">
        <v>-46398.020000000019</v>
      </c>
      <c r="BL10" s="65">
        <v>-198223.76</v>
      </c>
      <c r="BM10" s="65">
        <v>286595.94999999995</v>
      </c>
      <c r="BN10" s="65">
        <v>250051.97999999998</v>
      </c>
      <c r="BO10" s="65">
        <v>454587.93000000017</v>
      </c>
      <c r="BP10" s="65">
        <v>531355.3899999999</v>
      </c>
      <c r="BQ10" s="65">
        <v>457762.4700000002</v>
      </c>
      <c r="BR10" s="65">
        <v>267242.21999999997</v>
      </c>
      <c r="BS10" s="65">
        <v>668876.32000000007</v>
      </c>
      <c r="BT10" s="65">
        <v>368998.70999999973</v>
      </c>
      <c r="BU10" s="65">
        <v>-137032.85000000009</v>
      </c>
      <c r="BV10" s="54"/>
      <c r="BW10" s="64">
        <f t="shared" ref="BW10:BW19" si="35">SUM(BS10:BU10)</f>
        <v>900842.1799999997</v>
      </c>
      <c r="BX10" s="54"/>
      <c r="BY10" s="64">
        <f t="shared" ref="BY10:BY19" si="36">SUM(BS10:BU10,BP10:BR10)</f>
        <v>2157202.2599999998</v>
      </c>
      <c r="BZ10" s="54"/>
      <c r="CA10" s="65">
        <f>SUM(BJ10:BL10)+SUM(BM10:BO10)+SUM(BP10:BR10)+SUM(BS10:BU10)</f>
        <v>2912478.74</v>
      </c>
      <c r="CB10" s="54"/>
      <c r="CC10" s="65">
        <v>-67205.14000000013</v>
      </c>
      <c r="CD10" s="65">
        <v>307562.98</v>
      </c>
      <c r="CE10" s="65">
        <v>558365.80999999982</v>
      </c>
      <c r="CF10" s="65">
        <v>-249369.60000000001</v>
      </c>
      <c r="CG10" s="65">
        <f>209420.16</f>
        <v>209420.16</v>
      </c>
      <c r="CH10" s="65">
        <f>438606.58</f>
        <v>438606.58</v>
      </c>
      <c r="CI10" s="65">
        <v>191269.85999999987</v>
      </c>
      <c r="CJ10" s="65">
        <v>394267.68000000017</v>
      </c>
      <c r="CK10" s="85"/>
    </row>
    <row r="11" spans="2:89" x14ac:dyDescent="0.25">
      <c r="B11" t="s">
        <v>84</v>
      </c>
      <c r="C11" s="64">
        <v>-682901.30000000249</v>
      </c>
      <c r="D11" s="64">
        <v>992683.36</v>
      </c>
      <c r="E11" s="64">
        <v>-497496.40000000084</v>
      </c>
      <c r="F11" s="64">
        <v>560056.26000000106</v>
      </c>
      <c r="G11" s="64">
        <f t="shared" si="21"/>
        <v>1055243.2200000002</v>
      </c>
      <c r="H11" s="54"/>
      <c r="I11" s="64">
        <v>50069.999999999767</v>
      </c>
      <c r="J11" s="64">
        <v>52449.679999999469</v>
      </c>
      <c r="K11" s="64">
        <v>-58278.4300000004</v>
      </c>
      <c r="L11" s="54"/>
      <c r="M11" s="64">
        <f t="shared" si="22"/>
        <v>44241.249999998836</v>
      </c>
      <c r="N11" s="54"/>
      <c r="O11" s="64">
        <f t="shared" si="23"/>
        <v>1099484.469999999</v>
      </c>
      <c r="P11" s="54"/>
      <c r="Q11" s="64">
        <v>-107595.77999999677</v>
      </c>
      <c r="R11" s="64">
        <v>-143340.37000000093</v>
      </c>
      <c r="S11" s="64">
        <v>-49664.579999999958</v>
      </c>
      <c r="T11" s="54"/>
      <c r="U11" s="64">
        <f t="shared" si="24"/>
        <v>-300600.72999999765</v>
      </c>
      <c r="V11" s="54"/>
      <c r="W11" s="64">
        <v>-83197.010000000591</v>
      </c>
      <c r="X11" s="64">
        <v>-191600.35999999708</v>
      </c>
      <c r="Y11" s="64">
        <v>-144210.21000000439</v>
      </c>
      <c r="Z11" s="54"/>
      <c r="AA11" s="64">
        <f t="shared" si="25"/>
        <v>-419007.58000000205</v>
      </c>
      <c r="AB11" s="54"/>
      <c r="AC11" s="64">
        <f t="shared" si="26"/>
        <v>-719608.30999999971</v>
      </c>
      <c r="AD11" s="54"/>
      <c r="AE11" s="64">
        <f t="shared" si="27"/>
        <v>379876.15999999933</v>
      </c>
      <c r="AG11" s="64">
        <v>-132549.6399999999</v>
      </c>
      <c r="AH11" s="64">
        <v>-53812.189999999828</v>
      </c>
      <c r="AI11" s="64">
        <v>-164625.97000000067</v>
      </c>
      <c r="AJ11" s="54"/>
      <c r="AK11" s="64">
        <f t="shared" si="28"/>
        <v>-350987.8000000004</v>
      </c>
      <c r="AL11" s="54"/>
      <c r="AM11" s="64">
        <v>-198315.58999999973</v>
      </c>
      <c r="AN11" s="64">
        <v>-50199.640000002575</v>
      </c>
      <c r="AO11" s="64">
        <v>12376.660000002361</v>
      </c>
      <c r="AP11" s="54"/>
      <c r="AQ11" s="64">
        <f t="shared" si="29"/>
        <v>-236138.56999999995</v>
      </c>
      <c r="AR11" s="54"/>
      <c r="AS11" s="64">
        <f t="shared" si="30"/>
        <v>-587126.37000000034</v>
      </c>
      <c r="AT11" s="54"/>
      <c r="AU11" s="64">
        <v>-117486.71999999916</v>
      </c>
      <c r="AV11" s="64">
        <v>-47222.000000000349</v>
      </c>
      <c r="AW11" s="64">
        <v>7254.5600000031991</v>
      </c>
      <c r="AX11" s="54"/>
      <c r="AY11" s="64">
        <f t="shared" si="31"/>
        <v>-157454.15999999631</v>
      </c>
      <c r="AZ11" s="54"/>
      <c r="BA11" s="64">
        <v>-74550.020000009215</v>
      </c>
      <c r="BB11" s="64">
        <v>-39497.449999995646</v>
      </c>
      <c r="BC11" s="64">
        <v>46645.509999999311</v>
      </c>
      <c r="BD11" s="54"/>
      <c r="BE11" s="64">
        <f t="shared" si="32"/>
        <v>-67401.960000005551</v>
      </c>
      <c r="BF11" s="54"/>
      <c r="BG11" s="64">
        <f t="shared" si="33"/>
        <v>-224856.12000000186</v>
      </c>
      <c r="BH11" s="54"/>
      <c r="BI11" s="64">
        <f t="shared" si="34"/>
        <v>-811982.4900000022</v>
      </c>
      <c r="BJ11" s="65">
        <v>21886.980000000098</v>
      </c>
      <c r="BK11" s="65">
        <v>-131785.62</v>
      </c>
      <c r="BL11" s="65">
        <v>92197.889999999898</v>
      </c>
      <c r="BM11" s="65">
        <v>39268.279999999912</v>
      </c>
      <c r="BN11" s="65">
        <v>324440.39999999991</v>
      </c>
      <c r="BO11" s="65">
        <v>182046.22999999998</v>
      </c>
      <c r="BP11" s="65">
        <v>167219.5</v>
      </c>
      <c r="BQ11" s="65">
        <v>129182.02000000002</v>
      </c>
      <c r="BR11" s="65">
        <v>203916.29000000004</v>
      </c>
      <c r="BS11" s="65">
        <v>245380.68999999994</v>
      </c>
      <c r="BT11" s="65">
        <v>172928.84000000008</v>
      </c>
      <c r="BU11" s="65">
        <v>212227.37000000011</v>
      </c>
      <c r="BV11" s="54"/>
      <c r="BW11" s="64">
        <f t="shared" si="35"/>
        <v>630536.90000000014</v>
      </c>
      <c r="BX11" s="54"/>
      <c r="BY11" s="64">
        <f t="shared" si="36"/>
        <v>1130854.7100000002</v>
      </c>
      <c r="BZ11" s="54"/>
      <c r="CA11" s="65">
        <f>SUM(BJ11:BL11)+SUM(BM11:BO11)+SUM(BP11:BR11)+SUM(BS11:BU11)</f>
        <v>1658908.87</v>
      </c>
      <c r="CB11" s="54"/>
      <c r="CC11" s="65">
        <v>336620.5</v>
      </c>
      <c r="CD11" s="65">
        <v>238788.29999999981</v>
      </c>
      <c r="CE11" s="65">
        <v>348085</v>
      </c>
      <c r="CF11" s="65">
        <v>319657.08</v>
      </c>
      <c r="CG11" s="65">
        <f>341150.66</f>
        <v>341150.66</v>
      </c>
      <c r="CH11" s="65">
        <f>377910.27</f>
        <v>377910.27</v>
      </c>
      <c r="CI11" s="65">
        <v>470112.91000000015</v>
      </c>
      <c r="CJ11" s="65">
        <v>327634.99</v>
      </c>
    </row>
    <row r="12" spans="2:89" ht="14.45" customHeight="1" x14ac:dyDescent="0.25">
      <c r="B12" t="s">
        <v>85</v>
      </c>
      <c r="C12" s="65">
        <v>-117389.37000000011</v>
      </c>
      <c r="D12" s="65">
        <v>403864.17</v>
      </c>
      <c r="E12" s="65">
        <v>37532.650000000023</v>
      </c>
      <c r="F12" s="65">
        <v>35087.870000000054</v>
      </c>
      <c r="G12" s="65">
        <f t="shared" si="21"/>
        <v>476484.69000000006</v>
      </c>
      <c r="H12" s="54"/>
      <c r="I12" s="65">
        <v>20981.689999999944</v>
      </c>
      <c r="J12" s="65">
        <v>302749.9500000003</v>
      </c>
      <c r="K12" s="65">
        <v>24903.449999999721</v>
      </c>
      <c r="L12" s="54"/>
      <c r="M12" s="65">
        <f t="shared" si="22"/>
        <v>348635.08999999997</v>
      </c>
      <c r="N12" s="54"/>
      <c r="O12" s="65">
        <f t="shared" si="23"/>
        <v>825119.78</v>
      </c>
      <c r="P12" s="54"/>
      <c r="Q12" s="65">
        <v>22459.150000000373</v>
      </c>
      <c r="R12" s="65">
        <v>373949.40999999945</v>
      </c>
      <c r="S12" s="65">
        <v>92606.790000000037</v>
      </c>
      <c r="T12" s="54"/>
      <c r="U12" s="65">
        <f t="shared" si="24"/>
        <v>489015.34999999986</v>
      </c>
      <c r="V12" s="54"/>
      <c r="W12" s="65">
        <v>96234.810000001453</v>
      </c>
      <c r="X12" s="65">
        <v>284203.71000000089</v>
      </c>
      <c r="Y12" s="65">
        <v>192942.87999999896</v>
      </c>
      <c r="Z12" s="54"/>
      <c r="AA12" s="65">
        <f t="shared" si="25"/>
        <v>573381.4000000013</v>
      </c>
      <c r="AB12" s="54"/>
      <c r="AC12" s="65">
        <f t="shared" si="26"/>
        <v>1062396.7500000012</v>
      </c>
      <c r="AD12" s="54"/>
      <c r="AE12" s="65">
        <f t="shared" si="27"/>
        <v>1887516.5300000012</v>
      </c>
      <c r="AG12" s="65">
        <v>93813.739999999962</v>
      </c>
      <c r="AH12" s="65">
        <v>135265.85000000018</v>
      </c>
      <c r="AI12" s="65">
        <v>219542.37000000005</v>
      </c>
      <c r="AJ12" s="54"/>
      <c r="AK12" s="65">
        <f t="shared" si="28"/>
        <v>448621.9600000002</v>
      </c>
      <c r="AL12" s="54"/>
      <c r="AM12" s="65">
        <v>114837.0199999999</v>
      </c>
      <c r="AN12" s="65">
        <v>356560.24999999988</v>
      </c>
      <c r="AO12" s="65">
        <v>208072.75000000047</v>
      </c>
      <c r="AP12" s="54"/>
      <c r="AQ12" s="65">
        <f t="shared" si="29"/>
        <v>679470.02000000025</v>
      </c>
      <c r="AR12" s="54"/>
      <c r="AS12" s="65">
        <f t="shared" si="30"/>
        <v>1128091.9800000004</v>
      </c>
      <c r="AT12" s="54"/>
      <c r="AU12" s="65">
        <v>123558.81999999937</v>
      </c>
      <c r="AV12" s="65">
        <v>40796.910000000848</v>
      </c>
      <c r="AW12" s="65">
        <v>65236.659999999218</v>
      </c>
      <c r="AX12" s="54"/>
      <c r="AY12" s="65">
        <f t="shared" si="31"/>
        <v>229592.38999999943</v>
      </c>
      <c r="AZ12" s="54"/>
      <c r="BA12" s="65">
        <v>171614.11999999988</v>
      </c>
      <c r="BB12" s="65">
        <v>-77824.699999999721</v>
      </c>
      <c r="BC12" s="65">
        <v>584288.66000000108</v>
      </c>
      <c r="BD12" s="54"/>
      <c r="BE12" s="65">
        <f t="shared" si="32"/>
        <v>678078.08000000124</v>
      </c>
      <c r="BF12" s="54"/>
      <c r="BG12" s="65">
        <f t="shared" si="33"/>
        <v>907670.47000000067</v>
      </c>
      <c r="BH12" s="54"/>
      <c r="BI12" s="65">
        <f t="shared" si="34"/>
        <v>2035762.4500000011</v>
      </c>
      <c r="BJ12" s="65">
        <v>55268.020000000019</v>
      </c>
      <c r="BK12" s="65">
        <v>91252.76999999996</v>
      </c>
      <c r="BL12" s="65">
        <v>263356.18</v>
      </c>
      <c r="BM12" s="65">
        <v>62767.150000000023</v>
      </c>
      <c r="BN12" s="65">
        <v>98598.139999999985</v>
      </c>
      <c r="BO12" s="65">
        <v>54470.739999999991</v>
      </c>
      <c r="BP12" s="65">
        <v>91139.910000000033</v>
      </c>
      <c r="BQ12" s="65">
        <v>214580.78000000003</v>
      </c>
      <c r="BR12" s="65">
        <v>198117.49000000005</v>
      </c>
      <c r="BS12" s="65">
        <v>178204.24999999994</v>
      </c>
      <c r="BT12" s="65">
        <v>188001.86000000004</v>
      </c>
      <c r="BU12" s="65">
        <v>387325.02999999991</v>
      </c>
      <c r="BV12" s="54"/>
      <c r="BW12" s="65">
        <f t="shared" si="35"/>
        <v>753531.1399999999</v>
      </c>
      <c r="BX12" s="54"/>
      <c r="BY12" s="65">
        <f t="shared" si="36"/>
        <v>1257369.32</v>
      </c>
      <c r="BZ12" s="54"/>
      <c r="CA12" s="65">
        <f>SUM(BJ12:BL12)+SUM(BM12:BO12)+SUM(BP12:BR12)+SUM(BS12:BU12)</f>
        <v>1883082.32</v>
      </c>
      <c r="CB12" s="54"/>
      <c r="CC12" s="65">
        <v>56226.369999999995</v>
      </c>
      <c r="CD12" s="65">
        <v>243037.75</v>
      </c>
      <c r="CE12" s="65">
        <v>521291.11</v>
      </c>
      <c r="CF12" s="65">
        <v>483457.04</v>
      </c>
      <c r="CG12" s="65">
        <v>491462.47</v>
      </c>
      <c r="CH12" s="65">
        <v>1118794.25</v>
      </c>
      <c r="CI12" s="65">
        <v>499564.42000000086</v>
      </c>
      <c r="CJ12" s="65">
        <v>838499.33999999985</v>
      </c>
    </row>
    <row r="13" spans="2:89" x14ac:dyDescent="0.25">
      <c r="B13" t="s">
        <v>86</v>
      </c>
      <c r="C13" s="64">
        <v>156241.10000000009</v>
      </c>
      <c r="D13" s="64">
        <v>251871.20999999996</v>
      </c>
      <c r="E13" s="64">
        <v>45403.030000000028</v>
      </c>
      <c r="F13" s="64">
        <v>327936.66999999981</v>
      </c>
      <c r="G13" s="64">
        <f t="shared" si="21"/>
        <v>625210.9099999998</v>
      </c>
      <c r="H13" s="54"/>
      <c r="I13" s="64">
        <v>138298.78000000014</v>
      </c>
      <c r="J13" s="64">
        <v>144880.25</v>
      </c>
      <c r="K13" s="64">
        <v>186119.58000000031</v>
      </c>
      <c r="L13" s="54"/>
      <c r="M13" s="64">
        <f t="shared" si="22"/>
        <v>469298.61000000045</v>
      </c>
      <c r="N13" s="54"/>
      <c r="O13" s="64">
        <f t="shared" si="23"/>
        <v>1094509.5200000003</v>
      </c>
      <c r="P13" s="54"/>
      <c r="Q13" s="64">
        <v>141568.09999999916</v>
      </c>
      <c r="R13" s="64">
        <v>89515.939999999944</v>
      </c>
      <c r="S13" s="64">
        <v>134228.25999999978</v>
      </c>
      <c r="T13" s="54"/>
      <c r="U13" s="64">
        <f t="shared" si="24"/>
        <v>365312.29999999888</v>
      </c>
      <c r="V13" s="54"/>
      <c r="W13" s="64">
        <v>216658.49999999953</v>
      </c>
      <c r="X13" s="64">
        <v>190560.57000000123</v>
      </c>
      <c r="Y13" s="64">
        <v>195389.67999999993</v>
      </c>
      <c r="Z13" s="54"/>
      <c r="AA13" s="64">
        <f t="shared" si="25"/>
        <v>602608.7500000007</v>
      </c>
      <c r="AB13" s="54"/>
      <c r="AC13" s="64">
        <f t="shared" si="26"/>
        <v>967921.04999999958</v>
      </c>
      <c r="AD13" s="54"/>
      <c r="AE13" s="64">
        <f t="shared" si="27"/>
        <v>2062430.5699999998</v>
      </c>
      <c r="AG13" s="64">
        <v>281362.26000000007</v>
      </c>
      <c r="AH13" s="64">
        <v>228173.22999999992</v>
      </c>
      <c r="AI13" s="64">
        <v>367935.4800000001</v>
      </c>
      <c r="AJ13" s="54"/>
      <c r="AK13" s="64">
        <f t="shared" si="28"/>
        <v>877470.97000000009</v>
      </c>
      <c r="AL13" s="54"/>
      <c r="AM13" s="64">
        <v>416560.48999999987</v>
      </c>
      <c r="AN13" s="64">
        <v>493559.8899999999</v>
      </c>
      <c r="AO13" s="64">
        <v>254753.6100000001</v>
      </c>
      <c r="AP13" s="54"/>
      <c r="AQ13" s="64">
        <f t="shared" si="29"/>
        <v>1164873.9899999998</v>
      </c>
      <c r="AR13" s="54"/>
      <c r="AS13" s="64">
        <f t="shared" si="30"/>
        <v>2042344.96</v>
      </c>
      <c r="AT13" s="54"/>
      <c r="AU13" s="64">
        <v>414080.85000000009</v>
      </c>
      <c r="AV13" s="64">
        <v>435825.79000000004</v>
      </c>
      <c r="AW13" s="64">
        <v>431763.55999999959</v>
      </c>
      <c r="AX13" s="54"/>
      <c r="AY13" s="64">
        <f t="shared" si="31"/>
        <v>1281670.1999999997</v>
      </c>
      <c r="AZ13" s="54"/>
      <c r="BA13" s="64">
        <v>305013.56999999983</v>
      </c>
      <c r="BB13" s="64">
        <v>298152.99999999953</v>
      </c>
      <c r="BC13" s="64">
        <v>244333.20000000019</v>
      </c>
      <c r="BD13" s="54"/>
      <c r="BE13" s="64">
        <f t="shared" si="32"/>
        <v>847499.76999999955</v>
      </c>
      <c r="BF13" s="54"/>
      <c r="BG13" s="64">
        <f t="shared" si="33"/>
        <v>2129169.9699999993</v>
      </c>
      <c r="BH13" s="54"/>
      <c r="BI13" s="64">
        <f t="shared" si="34"/>
        <v>4171514.9299999992</v>
      </c>
      <c r="BJ13" s="65">
        <v>383753.36</v>
      </c>
      <c r="BK13" s="65">
        <v>247766.94</v>
      </c>
      <c r="BL13" s="65">
        <v>197344.81000000006</v>
      </c>
      <c r="BM13" s="65">
        <v>348062.44999999995</v>
      </c>
      <c r="BN13" s="65">
        <v>323628.40999999997</v>
      </c>
      <c r="BO13" s="65">
        <v>296101.84000000003</v>
      </c>
      <c r="BP13" s="65">
        <v>214279.3</v>
      </c>
      <c r="BQ13" s="65">
        <v>295074.06</v>
      </c>
      <c r="BR13" s="65">
        <v>255574.77000000002</v>
      </c>
      <c r="BS13" s="65">
        <v>270061.93</v>
      </c>
      <c r="BT13" s="65">
        <v>196618.28999999998</v>
      </c>
      <c r="BU13" s="65">
        <v>334510.67000000004</v>
      </c>
      <c r="BV13" s="54"/>
      <c r="BW13" s="64">
        <f t="shared" si="35"/>
        <v>801190.89</v>
      </c>
      <c r="BX13" s="54"/>
      <c r="BY13" s="64">
        <f t="shared" si="36"/>
        <v>1566119.02</v>
      </c>
      <c r="BZ13" s="54"/>
      <c r="CA13" s="65">
        <f>SUM(BJ13:BL13)+SUM(BM13:BO13)+SUM(BP13:BR13)+SUM(BS13:BU13)</f>
        <v>3362776.83</v>
      </c>
      <c r="CB13" s="54"/>
      <c r="CC13" s="65">
        <v>294487.17</v>
      </c>
      <c r="CD13" s="65">
        <v>193404.44</v>
      </c>
      <c r="CE13" s="65">
        <v>504122.76000000007</v>
      </c>
      <c r="CF13" s="65">
        <v>345912.66</v>
      </c>
      <c r="CG13" s="65">
        <f>361593.45</f>
        <v>361593.45</v>
      </c>
      <c r="CH13" s="65">
        <f>441809.41</f>
        <v>441809.41</v>
      </c>
      <c r="CI13" s="65">
        <v>363630.38</v>
      </c>
      <c r="CJ13" s="65">
        <v>357928.67</v>
      </c>
    </row>
    <row r="14" spans="2:89" x14ac:dyDescent="0.25">
      <c r="B14" t="s">
        <v>87</v>
      </c>
      <c r="C14" s="64">
        <v>-10022.489999999991</v>
      </c>
      <c r="D14" s="64">
        <v>6101.14</v>
      </c>
      <c r="E14" s="64">
        <v>5599.87</v>
      </c>
      <c r="F14" s="64">
        <v>8798.99</v>
      </c>
      <c r="G14" s="64">
        <f t="shared" si="21"/>
        <v>20500</v>
      </c>
      <c r="H14" s="54"/>
      <c r="I14" s="64">
        <v>7479.119999999999</v>
      </c>
      <c r="J14" s="64">
        <v>9028.8200000000033</v>
      </c>
      <c r="K14" s="64">
        <v>91166.22</v>
      </c>
      <c r="L14" s="54"/>
      <c r="M14" s="64">
        <f t="shared" si="22"/>
        <v>107674.16</v>
      </c>
      <c r="N14" s="54"/>
      <c r="O14" s="64">
        <f t="shared" si="23"/>
        <v>128174.16</v>
      </c>
      <c r="P14" s="54"/>
      <c r="Q14" s="64">
        <v>-80984.460000000006</v>
      </c>
      <c r="R14" s="64">
        <v>6475.4599999999991</v>
      </c>
      <c r="S14" s="64">
        <v>-102983.23</v>
      </c>
      <c r="T14" s="54"/>
      <c r="U14" s="64">
        <f t="shared" si="24"/>
        <v>-177492.22999999998</v>
      </c>
      <c r="V14" s="54"/>
      <c r="W14" s="64">
        <v>5833.5800000000017</v>
      </c>
      <c r="X14" s="64">
        <v>5190.32</v>
      </c>
      <c r="Y14" s="64">
        <v>4246.43</v>
      </c>
      <c r="Z14" s="54"/>
      <c r="AA14" s="64">
        <f t="shared" si="25"/>
        <v>15270.330000000002</v>
      </c>
      <c r="AB14" s="54"/>
      <c r="AC14" s="64">
        <f t="shared" si="26"/>
        <v>-162221.9</v>
      </c>
      <c r="AD14" s="54"/>
      <c r="AE14" s="64">
        <f t="shared" si="27"/>
        <v>-34047.739999999991</v>
      </c>
      <c r="AG14" s="64">
        <v>4972.24</v>
      </c>
      <c r="AH14" s="64">
        <v>4496.1999999999989</v>
      </c>
      <c r="AI14" s="64">
        <v>-90847.58</v>
      </c>
      <c r="AJ14" s="54"/>
      <c r="AK14" s="64">
        <f t="shared" si="28"/>
        <v>-81379.14</v>
      </c>
      <c r="AL14" s="54"/>
      <c r="AM14" s="64">
        <v>4208.7599999999948</v>
      </c>
      <c r="AN14" s="64">
        <v>328.11000000000058</v>
      </c>
      <c r="AO14" s="64">
        <v>2786.929999999993</v>
      </c>
      <c r="AP14" s="54"/>
      <c r="AQ14" s="64">
        <f t="shared" si="29"/>
        <v>7323.7999999999884</v>
      </c>
      <c r="AR14" s="54"/>
      <c r="AS14" s="64">
        <f t="shared" si="30"/>
        <v>-74055.340000000011</v>
      </c>
      <c r="AT14" s="54"/>
      <c r="AU14" s="64">
        <v>-74768.800000000003</v>
      </c>
      <c r="AV14" s="64">
        <v>-131095.45000000001</v>
      </c>
      <c r="AW14" s="64">
        <v>3837.140000000014</v>
      </c>
      <c r="AX14" s="54"/>
      <c r="AY14" s="64">
        <f t="shared" si="31"/>
        <v>-202027.11</v>
      </c>
      <c r="AZ14" s="54"/>
      <c r="BA14" s="64">
        <v>-100170.10000000003</v>
      </c>
      <c r="BB14" s="64">
        <v>-1819.1699999999837</v>
      </c>
      <c r="BC14" s="64">
        <v>-2292.539999999979</v>
      </c>
      <c r="BD14" s="54"/>
      <c r="BE14" s="64">
        <f t="shared" si="32"/>
        <v>-104281.81</v>
      </c>
      <c r="BF14" s="54"/>
      <c r="BG14" s="64">
        <f t="shared" si="33"/>
        <v>-306308.92</v>
      </c>
      <c r="BH14" s="54"/>
      <c r="BI14" s="64">
        <f t="shared" si="34"/>
        <v>-380364.26</v>
      </c>
      <c r="BJ14" s="65">
        <v>-2520.5999999999995</v>
      </c>
      <c r="BK14" s="65">
        <v>-3154.3399999999992</v>
      </c>
      <c r="BL14" s="65">
        <v>-2221.5399999999991</v>
      </c>
      <c r="BM14" s="65">
        <v>-1911.0700000000015</v>
      </c>
      <c r="BN14" s="65">
        <v>-1765.3199999999997</v>
      </c>
      <c r="BO14" s="65">
        <v>-13358.989999999998</v>
      </c>
      <c r="BP14" s="65">
        <v>-12817.430000000002</v>
      </c>
      <c r="BQ14" s="65">
        <v>-13598.600000000002</v>
      </c>
      <c r="BR14" s="65">
        <v>-13542.269999999999</v>
      </c>
      <c r="BS14" s="65">
        <v>-13644.72</v>
      </c>
      <c r="BT14" s="65">
        <v>-15611.279999999999</v>
      </c>
      <c r="BU14" s="65">
        <v>-14857.27</v>
      </c>
      <c r="BV14" s="54"/>
      <c r="BW14" s="64">
        <f t="shared" si="35"/>
        <v>-44113.270000000004</v>
      </c>
      <c r="BX14" s="54"/>
      <c r="BY14" s="64">
        <f t="shared" si="36"/>
        <v>-84071.57</v>
      </c>
      <c r="BZ14" s="54"/>
      <c r="CA14" s="65">
        <f>SUM(BJ14:BL14)+SUM(BM14:BO14)+SUM(BP14:BR14)+SUM(BS14:BU14)</f>
        <v>-109003.43</v>
      </c>
      <c r="CB14" s="54"/>
      <c r="CC14" s="65">
        <v>-17113.780000000002</v>
      </c>
      <c r="CD14" s="65">
        <v>-14676.510000000002</v>
      </c>
      <c r="CE14" s="65">
        <v>-115574.2</v>
      </c>
      <c r="CF14" s="65">
        <v>-20243.740000000002</v>
      </c>
      <c r="CG14" s="65">
        <v>-19919.309999999998</v>
      </c>
      <c r="CH14" s="65">
        <v>-28424.199999999997</v>
      </c>
      <c r="CI14" s="65">
        <v>-82721.05</v>
      </c>
      <c r="CJ14" s="65">
        <v>-28038.71</v>
      </c>
    </row>
    <row r="15" spans="2:89" x14ac:dyDescent="0.25">
      <c r="B15" t="s">
        <v>88</v>
      </c>
      <c r="C15" s="64">
        <v>-791480.17999999784</v>
      </c>
      <c r="D15" s="64">
        <v>731451.37000000023</v>
      </c>
      <c r="E15" s="64">
        <v>-308631.00000000029</v>
      </c>
      <c r="F15" s="64">
        <v>199923.46999999968</v>
      </c>
      <c r="G15" s="64">
        <f t="shared" si="21"/>
        <v>622743.83999999962</v>
      </c>
      <c r="H15" s="54"/>
      <c r="I15" s="64">
        <v>-21687.429999998189</v>
      </c>
      <c r="J15" s="64">
        <v>10700.659999998636</v>
      </c>
      <c r="K15" s="64">
        <v>-2039.3299999996088</v>
      </c>
      <c r="L15" s="54"/>
      <c r="M15" s="64">
        <f t="shared" si="22"/>
        <v>-13026.099999999162</v>
      </c>
      <c r="N15" s="54"/>
      <c r="O15" s="64">
        <f t="shared" si="23"/>
        <v>609717.74000000046</v>
      </c>
      <c r="P15" s="54"/>
      <c r="Q15" s="64">
        <v>-20611.619999999879</v>
      </c>
      <c r="R15" s="64">
        <v>3981.7099999974016</v>
      </c>
      <c r="S15" s="64">
        <v>13111.090000000666</v>
      </c>
      <c r="T15" s="54"/>
      <c r="U15" s="64">
        <f t="shared" si="24"/>
        <v>-3518.8200000018114</v>
      </c>
      <c r="V15" s="54"/>
      <c r="W15" s="64">
        <v>-79586.879999997676</v>
      </c>
      <c r="X15" s="64">
        <v>-148771.41999999841</v>
      </c>
      <c r="Y15" s="64">
        <v>-71492.450000002515</v>
      </c>
      <c r="Z15" s="54"/>
      <c r="AA15" s="64">
        <f t="shared" si="25"/>
        <v>-299850.7499999986</v>
      </c>
      <c r="AB15" s="54"/>
      <c r="AC15" s="64">
        <f t="shared" si="26"/>
        <v>-303369.57000000041</v>
      </c>
      <c r="AD15" s="54"/>
      <c r="AE15" s="64">
        <f t="shared" si="27"/>
        <v>306348.17000000004</v>
      </c>
      <c r="AF15" s="45"/>
      <c r="AG15" s="64">
        <v>-26043.139999999919</v>
      </c>
      <c r="AH15" s="64">
        <v>8362.0699999999379</v>
      </c>
      <c r="AI15" s="64">
        <v>168585.7699999992</v>
      </c>
      <c r="AJ15" s="54"/>
      <c r="AK15" s="64">
        <f t="shared" si="28"/>
        <v>150904.69999999923</v>
      </c>
      <c r="AL15" s="54"/>
      <c r="AM15" s="64">
        <v>-24037.350000001374</v>
      </c>
      <c r="AN15" s="64">
        <v>-16277.969999997775</v>
      </c>
      <c r="AO15" s="64">
        <v>1932.079999998954</v>
      </c>
      <c r="AP15" s="54"/>
      <c r="AQ15" s="64">
        <f t="shared" si="29"/>
        <v>-38383.240000000194</v>
      </c>
      <c r="AR15" s="54"/>
      <c r="AS15" s="64">
        <f t="shared" si="30"/>
        <v>112521.45999999903</v>
      </c>
      <c r="AT15" s="54"/>
      <c r="AU15" s="64">
        <v>45009.270000000775</v>
      </c>
      <c r="AV15" s="64">
        <v>-19884.460000002553</v>
      </c>
      <c r="AW15" s="64">
        <v>-1861.7799999967974</v>
      </c>
      <c r="AX15" s="54"/>
      <c r="AY15" s="64">
        <f t="shared" si="31"/>
        <v>23263.030000001425</v>
      </c>
      <c r="AZ15" s="54"/>
      <c r="BA15" s="64">
        <v>-67172.129999998811</v>
      </c>
      <c r="BB15" s="64">
        <v>-2038.3300000036543</v>
      </c>
      <c r="BC15" s="64">
        <v>-6070.2799999985873</v>
      </c>
      <c r="BD15" s="54"/>
      <c r="BE15" s="64">
        <f t="shared" si="32"/>
        <v>-75280.740000001053</v>
      </c>
      <c r="BF15" s="54"/>
      <c r="BG15" s="64">
        <f t="shared" si="33"/>
        <v>-52017.709999999628</v>
      </c>
      <c r="BH15" s="54"/>
      <c r="BI15" s="64">
        <f t="shared" si="34"/>
        <v>60503.749999999403</v>
      </c>
      <c r="BJ15" s="65">
        <v>-40549.829999999958</v>
      </c>
      <c r="BK15" s="65">
        <v>-34014.339999999967</v>
      </c>
      <c r="BL15" s="65">
        <v>2298.890000000014</v>
      </c>
      <c r="BM15" s="65">
        <v>253236.47000000009</v>
      </c>
      <c r="BN15" s="65">
        <v>-91675.209999999963</v>
      </c>
      <c r="BO15" s="65">
        <v>-113088.47999999998</v>
      </c>
      <c r="BP15" s="65">
        <v>-139859.02000000002</v>
      </c>
      <c r="BQ15" s="65">
        <v>-10120.059999999939</v>
      </c>
      <c r="BR15" s="65">
        <v>-59334.210000000079</v>
      </c>
      <c r="BS15" s="65">
        <v>186513.89999999991</v>
      </c>
      <c r="BT15" s="65">
        <v>-75603.340000000084</v>
      </c>
      <c r="BU15" s="65">
        <v>32313.390000000014</v>
      </c>
      <c r="BV15" s="54"/>
      <c r="BW15" s="64">
        <f t="shared" si="35"/>
        <v>143223.94999999984</v>
      </c>
      <c r="BX15" s="54"/>
      <c r="BY15" s="64">
        <f t="shared" si="36"/>
        <v>-66089.3400000002</v>
      </c>
      <c r="BZ15" s="54"/>
      <c r="CA15" s="65">
        <f>SUM(BJ15:BU15)</f>
        <v>-89881.839999999967</v>
      </c>
      <c r="CB15" s="54"/>
      <c r="CC15" s="65">
        <v>6528.2700000000186</v>
      </c>
      <c r="CD15" s="65">
        <v>-37526.589999999967</v>
      </c>
      <c r="CE15" s="65">
        <v>76283.559999999939</v>
      </c>
      <c r="CF15" s="65">
        <v>249.65</v>
      </c>
      <c r="CG15" s="65">
        <f>31564.18</f>
        <v>31564.18</v>
      </c>
      <c r="CH15" s="65">
        <f>38995.65</f>
        <v>38995.65</v>
      </c>
      <c r="CI15" s="65">
        <v>52818.069999999832</v>
      </c>
      <c r="CJ15" s="65">
        <v>31684.849999998696</v>
      </c>
    </row>
    <row r="16" spans="2:89" x14ac:dyDescent="0.25">
      <c r="B16" t="s">
        <v>89</v>
      </c>
      <c r="C16" s="64">
        <v>384459.98999999976</v>
      </c>
      <c r="D16" s="64">
        <v>392200.68</v>
      </c>
      <c r="E16" s="64">
        <v>398056.12000000005</v>
      </c>
      <c r="F16" s="64">
        <v>375279.67999999993</v>
      </c>
      <c r="G16" s="64">
        <f t="shared" si="21"/>
        <v>1165536.48</v>
      </c>
      <c r="H16" s="54"/>
      <c r="I16" s="64">
        <v>-14816.539999999804</v>
      </c>
      <c r="J16" s="64">
        <v>-10398.999999999767</v>
      </c>
      <c r="K16" s="64">
        <v>-2698.559999999823</v>
      </c>
      <c r="L16" s="54"/>
      <c r="M16" s="64">
        <f t="shared" si="22"/>
        <v>-27914.099999999395</v>
      </c>
      <c r="N16" s="54"/>
      <c r="O16" s="64">
        <f t="shared" si="23"/>
        <v>1137622.3800000006</v>
      </c>
      <c r="P16" s="54"/>
      <c r="Q16" s="64">
        <v>-1222.4200000001583</v>
      </c>
      <c r="R16" s="64">
        <v>13842.240000000689</v>
      </c>
      <c r="S16" s="64">
        <v>56539.339999999152</v>
      </c>
      <c r="T16" s="54"/>
      <c r="U16" s="64">
        <f t="shared" si="24"/>
        <v>69159.159999999683</v>
      </c>
      <c r="V16" s="54"/>
      <c r="W16" s="64">
        <v>31595.859999998473</v>
      </c>
      <c r="X16" s="64">
        <v>25703.990000002319</v>
      </c>
      <c r="Y16" s="64">
        <v>-205781.68000000017</v>
      </c>
      <c r="Z16" s="54"/>
      <c r="AA16" s="64">
        <f t="shared" si="25"/>
        <v>-148481.82999999938</v>
      </c>
      <c r="AB16" s="54"/>
      <c r="AC16" s="64">
        <f t="shared" si="26"/>
        <v>-79322.669999999693</v>
      </c>
      <c r="AD16" s="54"/>
      <c r="AE16" s="64">
        <f t="shared" si="27"/>
        <v>1058299.7100000009</v>
      </c>
      <c r="AG16" s="64">
        <v>57666.950000000157</v>
      </c>
      <c r="AH16" s="64">
        <v>27904.339999999938</v>
      </c>
      <c r="AI16" s="64">
        <v>66053.480000000476</v>
      </c>
      <c r="AJ16" s="54"/>
      <c r="AK16" s="64">
        <f t="shared" si="28"/>
        <v>151624.77000000057</v>
      </c>
      <c r="AL16" s="54"/>
      <c r="AM16" s="64">
        <v>89488.389999998704</v>
      </c>
      <c r="AN16" s="64">
        <v>112473.41999999987</v>
      </c>
      <c r="AO16" s="64">
        <v>112826.47000000067</v>
      </c>
      <c r="AP16" s="54"/>
      <c r="AQ16" s="64">
        <f t="shared" si="29"/>
        <v>314788.27999999921</v>
      </c>
      <c r="AR16" s="54"/>
      <c r="AS16" s="64">
        <f t="shared" si="30"/>
        <v>466413.04999999981</v>
      </c>
      <c r="AT16" s="54"/>
      <c r="AU16" s="64">
        <v>105280.43999999925</v>
      </c>
      <c r="AV16" s="64">
        <v>143270.29000000039</v>
      </c>
      <c r="AW16" s="65">
        <v>159460.56999999902</v>
      </c>
      <c r="AX16" s="54"/>
      <c r="AY16" s="64">
        <f t="shared" si="31"/>
        <v>408011.29999999865</v>
      </c>
      <c r="AZ16" s="54"/>
      <c r="BA16" s="64">
        <v>151077.12999999989</v>
      </c>
      <c r="BB16" s="64">
        <v>187338.62000000291</v>
      </c>
      <c r="BC16" s="64">
        <v>197245.08999999845</v>
      </c>
      <c r="BD16" s="54"/>
      <c r="BE16" s="64">
        <f t="shared" si="32"/>
        <v>535660.84000000125</v>
      </c>
      <c r="BF16" s="54"/>
      <c r="BG16" s="64">
        <f t="shared" si="33"/>
        <v>943672.1399999999</v>
      </c>
      <c r="BH16" s="54"/>
      <c r="BI16" s="64">
        <f t="shared" si="34"/>
        <v>1410085.1899999997</v>
      </c>
      <c r="BJ16" s="65">
        <v>207239.05999999994</v>
      </c>
      <c r="BK16" s="65">
        <v>195013.07999999996</v>
      </c>
      <c r="BL16" s="65">
        <v>144849.37</v>
      </c>
      <c r="BM16" s="65">
        <v>714727.3</v>
      </c>
      <c r="BN16" s="65">
        <v>777002.52</v>
      </c>
      <c r="BO16" s="65">
        <v>744540.08000000007</v>
      </c>
      <c r="BP16" s="65">
        <v>672727.21</v>
      </c>
      <c r="BQ16" s="65">
        <v>726660.72</v>
      </c>
      <c r="BR16" s="65">
        <v>786885.56</v>
      </c>
      <c r="BS16" s="65">
        <v>1080237.8399999999</v>
      </c>
      <c r="BT16" s="65">
        <v>791082.67999999993</v>
      </c>
      <c r="BU16" s="65">
        <v>885803.25</v>
      </c>
      <c r="BV16" s="54"/>
      <c r="BW16" s="64">
        <f t="shared" si="35"/>
        <v>2757123.7699999996</v>
      </c>
      <c r="BX16" s="54"/>
      <c r="BY16" s="64">
        <f t="shared" si="36"/>
        <v>4943397.26</v>
      </c>
      <c r="BZ16" s="54"/>
      <c r="CA16" s="65">
        <f>SUM(BJ16:BU16)</f>
        <v>7726768.6699999999</v>
      </c>
      <c r="CB16" s="54"/>
      <c r="CC16" s="65">
        <v>828615.88</v>
      </c>
      <c r="CD16" s="65">
        <v>743112.13</v>
      </c>
      <c r="CE16" s="65">
        <v>853652.17</v>
      </c>
      <c r="CF16" s="65">
        <v>814124.26</v>
      </c>
      <c r="CG16" s="65">
        <f>855737.79</f>
        <v>855737.79</v>
      </c>
      <c r="CH16" s="65">
        <f>869844.14</f>
        <v>869844.14</v>
      </c>
      <c r="CI16" s="65">
        <v>855755.83000000007</v>
      </c>
      <c r="CJ16" s="65">
        <v>922828.38000000024</v>
      </c>
    </row>
    <row r="17" spans="2:89" x14ac:dyDescent="0.25">
      <c r="B17" t="s">
        <v>90</v>
      </c>
      <c r="C17" s="64">
        <v>109356.41999999993</v>
      </c>
      <c r="D17" s="64">
        <v>301296.69</v>
      </c>
      <c r="E17" s="64">
        <v>139257.79999999993</v>
      </c>
      <c r="F17" s="64">
        <v>232489.40999999986</v>
      </c>
      <c r="G17" s="64">
        <f t="shared" si="21"/>
        <v>673043.89999999979</v>
      </c>
      <c r="H17" s="54"/>
      <c r="I17" s="54">
        <v>263989.08000000019</v>
      </c>
      <c r="J17" s="64">
        <v>49350.589999999967</v>
      </c>
      <c r="K17" s="64">
        <v>39650.019999999786</v>
      </c>
      <c r="L17" s="54"/>
      <c r="M17" s="64">
        <f t="shared" si="22"/>
        <v>352989.68999999994</v>
      </c>
      <c r="N17" s="54"/>
      <c r="O17" s="64">
        <f t="shared" si="23"/>
        <v>1026033.5899999996</v>
      </c>
      <c r="P17" s="54"/>
      <c r="Q17" s="64">
        <v>112270.0199999999</v>
      </c>
      <c r="R17" s="64">
        <v>124876.76000000024</v>
      </c>
      <c r="S17" s="64">
        <v>45239.830000000307</v>
      </c>
      <c r="T17" s="54"/>
      <c r="U17" s="64">
        <f t="shared" si="24"/>
        <v>282386.61000000045</v>
      </c>
      <c r="V17" s="54"/>
      <c r="W17" s="54">
        <v>134299.49999999977</v>
      </c>
      <c r="X17" s="64">
        <v>83571.060000000056</v>
      </c>
      <c r="Y17" s="64">
        <v>57294.260000000242</v>
      </c>
      <c r="Z17" s="54"/>
      <c r="AA17" s="64">
        <f t="shared" si="25"/>
        <v>275164.82000000007</v>
      </c>
      <c r="AB17" s="54"/>
      <c r="AC17" s="64">
        <f t="shared" si="26"/>
        <v>557551.43000000052</v>
      </c>
      <c r="AD17" s="54"/>
      <c r="AE17" s="64">
        <f t="shared" si="27"/>
        <v>1583585.02</v>
      </c>
      <c r="AG17" s="64">
        <v>466252.25999999995</v>
      </c>
      <c r="AH17" s="64">
        <v>248335.25000000006</v>
      </c>
      <c r="AI17" s="64">
        <v>203476.79999999993</v>
      </c>
      <c r="AJ17" s="54"/>
      <c r="AK17" s="64">
        <f t="shared" si="28"/>
        <v>918064.30999999994</v>
      </c>
      <c r="AL17" s="54"/>
      <c r="AM17" s="54">
        <v>282459.25999999989</v>
      </c>
      <c r="AN17" s="64">
        <v>245432.29000000004</v>
      </c>
      <c r="AO17" s="64">
        <v>206602.15999999992</v>
      </c>
      <c r="AP17" s="54"/>
      <c r="AQ17" s="64">
        <f t="shared" si="29"/>
        <v>734493.70999999985</v>
      </c>
      <c r="AR17" s="54"/>
      <c r="AS17" s="64">
        <f t="shared" si="30"/>
        <v>1652558.0199999996</v>
      </c>
      <c r="AT17" s="54"/>
      <c r="AU17" s="64">
        <v>270758.64000000013</v>
      </c>
      <c r="AV17" s="64">
        <v>266385.46999999997</v>
      </c>
      <c r="AW17" s="64">
        <v>271784.93000000063</v>
      </c>
      <c r="AX17" s="54"/>
      <c r="AY17" s="64">
        <f t="shared" si="31"/>
        <v>808929.04000000074</v>
      </c>
      <c r="AZ17" s="54"/>
      <c r="BA17" s="54">
        <v>249579.28000000026</v>
      </c>
      <c r="BB17" s="64">
        <v>275812.1099999994</v>
      </c>
      <c r="BC17" s="64">
        <v>211510.14000000013</v>
      </c>
      <c r="BD17" s="54"/>
      <c r="BE17" s="64">
        <f t="shared" si="32"/>
        <v>736901.5299999998</v>
      </c>
      <c r="BF17" s="54"/>
      <c r="BG17" s="64">
        <f t="shared" si="33"/>
        <v>1545830.5700000005</v>
      </c>
      <c r="BH17" s="54"/>
      <c r="BI17" s="64">
        <f t="shared" si="34"/>
        <v>3198388.59</v>
      </c>
      <c r="BJ17" s="65">
        <v>240407.82000000004</v>
      </c>
      <c r="BK17" s="65">
        <v>411839.17000000004</v>
      </c>
      <c r="BL17" s="65">
        <v>279665.81000000006</v>
      </c>
      <c r="BM17" s="65">
        <v>373531.62999999995</v>
      </c>
      <c r="BN17" s="65">
        <v>295129.33999999997</v>
      </c>
      <c r="BO17" s="65">
        <v>298405.15999999997</v>
      </c>
      <c r="BP17" s="65">
        <v>423635.39</v>
      </c>
      <c r="BQ17" s="65">
        <v>406830.35</v>
      </c>
      <c r="BR17" s="65">
        <v>414584.86</v>
      </c>
      <c r="BS17" s="65">
        <v>503719.17</v>
      </c>
      <c r="BT17" s="65">
        <v>349160.14</v>
      </c>
      <c r="BU17" s="65">
        <v>326824.55000000005</v>
      </c>
      <c r="BV17" s="54"/>
      <c r="BW17" s="64">
        <f t="shared" si="35"/>
        <v>1179703.8600000001</v>
      </c>
      <c r="BX17" s="54"/>
      <c r="BY17" s="64">
        <f t="shared" si="36"/>
        <v>2424754.46</v>
      </c>
      <c r="BZ17" s="54"/>
      <c r="CA17" s="65">
        <f>SUM(BJ17:BU17)</f>
        <v>4323733.3899999997</v>
      </c>
      <c r="CB17" s="54"/>
      <c r="CC17" s="65">
        <v>397092.06000000006</v>
      </c>
      <c r="CD17" s="65">
        <v>252933.85</v>
      </c>
      <c r="CE17" s="65">
        <v>478274.25</v>
      </c>
      <c r="CF17" s="65">
        <v>370838.59</v>
      </c>
      <c r="CG17" s="65">
        <f>527546.49</f>
        <v>527546.49</v>
      </c>
      <c r="CH17" s="65">
        <f>546825.31</f>
        <v>546825.31000000006</v>
      </c>
      <c r="CI17" s="65">
        <v>488496.5199999999</v>
      </c>
      <c r="CJ17" s="65">
        <v>466122.93000000005</v>
      </c>
    </row>
    <row r="18" spans="2:89" x14ac:dyDescent="0.25">
      <c r="B18" t="s">
        <v>91</v>
      </c>
      <c r="C18" s="64"/>
      <c r="D18" s="64"/>
      <c r="E18" s="64"/>
      <c r="F18" s="64"/>
      <c r="G18" s="64"/>
      <c r="H18" s="54"/>
      <c r="I18" s="54"/>
      <c r="J18" s="64"/>
      <c r="K18" s="64"/>
      <c r="L18" s="54"/>
      <c r="M18" s="64"/>
      <c r="N18" s="54"/>
      <c r="O18" s="64"/>
      <c r="P18" s="54"/>
      <c r="Q18" s="64"/>
      <c r="R18" s="64"/>
      <c r="S18" s="64"/>
      <c r="T18" s="54"/>
      <c r="U18" s="64"/>
      <c r="V18" s="54"/>
      <c r="W18" s="54"/>
      <c r="X18" s="64"/>
      <c r="Y18" s="64"/>
      <c r="Z18" s="54"/>
      <c r="AA18" s="64"/>
      <c r="AB18" s="54"/>
      <c r="AC18" s="64"/>
      <c r="AD18" s="54"/>
      <c r="AE18" s="64"/>
      <c r="AG18" s="64"/>
      <c r="AH18" s="64"/>
      <c r="AI18" s="64"/>
      <c r="AJ18" s="54"/>
      <c r="AK18" s="64"/>
      <c r="AL18" s="54"/>
      <c r="AM18" s="54"/>
      <c r="AN18" s="64"/>
      <c r="AO18" s="64"/>
      <c r="AP18" s="54"/>
      <c r="AQ18" s="64"/>
      <c r="AR18" s="54"/>
      <c r="AS18" s="64"/>
      <c r="AT18" s="54"/>
      <c r="AU18" s="64"/>
      <c r="AV18" s="64"/>
      <c r="AW18" s="64"/>
      <c r="AX18" s="54"/>
      <c r="AY18" s="64"/>
      <c r="AZ18" s="54"/>
      <c r="BA18" s="54"/>
      <c r="BB18" s="64"/>
      <c r="BC18" s="64"/>
      <c r="BD18" s="54"/>
      <c r="BE18" s="64"/>
      <c r="BF18" s="54"/>
      <c r="BG18" s="64"/>
      <c r="BH18" s="54"/>
      <c r="BI18" s="64"/>
      <c r="BJ18" s="65">
        <v>25293.190000000002</v>
      </c>
      <c r="BK18" s="65">
        <v>19767.84</v>
      </c>
      <c r="BL18" s="65">
        <v>20060.589999999997</v>
      </c>
      <c r="BM18" s="65">
        <v>30800.68</v>
      </c>
      <c r="BN18" s="65">
        <v>15422.580000000002</v>
      </c>
      <c r="BO18" s="65">
        <v>26663.53</v>
      </c>
      <c r="BP18" s="65">
        <v>51975.090000000011</v>
      </c>
      <c r="BQ18" s="65">
        <v>44285.86</v>
      </c>
      <c r="BR18" s="65">
        <v>86107.31</v>
      </c>
      <c r="BS18" s="65">
        <v>79295.220000000016</v>
      </c>
      <c r="BT18" s="65">
        <v>68143.259999999995</v>
      </c>
      <c r="BU18" s="65">
        <v>77136.359999999986</v>
      </c>
      <c r="BV18" s="54"/>
      <c r="BW18" s="64">
        <f t="shared" si="35"/>
        <v>224574.84</v>
      </c>
      <c r="BX18" s="54"/>
      <c r="BY18" s="64">
        <f t="shared" si="36"/>
        <v>406943.1</v>
      </c>
      <c r="BZ18" s="54"/>
      <c r="CA18" s="65">
        <f>SUM(BJ18:BU18)</f>
        <v>544951.51</v>
      </c>
      <c r="CB18" s="54"/>
      <c r="CC18" s="64">
        <v>113327.58999999998</v>
      </c>
      <c r="CD18" s="64">
        <v>-629.71999999999116</v>
      </c>
      <c r="CE18" s="64">
        <v>-202789.07</v>
      </c>
      <c r="CF18" s="65">
        <v>23664.61</v>
      </c>
      <c r="CG18" s="65">
        <v>-87553.01</v>
      </c>
      <c r="CH18" s="65">
        <v>15935.410000000003</v>
      </c>
      <c r="CI18" s="65">
        <v>24659.559999999998</v>
      </c>
      <c r="CJ18" s="65">
        <v>16626.199999999997</v>
      </c>
    </row>
    <row r="19" spans="2:89" x14ac:dyDescent="0.25">
      <c r="B19" s="8" t="s">
        <v>92</v>
      </c>
      <c r="C19" s="68">
        <v>-647967.51000000117</v>
      </c>
      <c r="D19" s="68">
        <v>3413438.71</v>
      </c>
      <c r="E19" s="68">
        <v>76555.929999999062</v>
      </c>
      <c r="F19" s="68">
        <v>1854471.8800000006</v>
      </c>
      <c r="G19" s="68">
        <f>SUM(D19:F19)</f>
        <v>5344466.5199999996</v>
      </c>
      <c r="H19" s="54"/>
      <c r="I19" s="68">
        <v>947786.42000000202</v>
      </c>
      <c r="J19" s="68">
        <v>1044795.2700000001</v>
      </c>
      <c r="K19" s="68">
        <v>383120.0900000009</v>
      </c>
      <c r="L19" s="54"/>
      <c r="M19" s="68">
        <f t="shared" si="22"/>
        <v>2375701.7800000031</v>
      </c>
      <c r="N19" s="54"/>
      <c r="O19" s="68">
        <f>SUM(I19:K19,D19:F19)</f>
        <v>7720168.3000000026</v>
      </c>
      <c r="P19" s="54"/>
      <c r="Q19" s="68">
        <v>370689.56000000506</v>
      </c>
      <c r="R19" s="68">
        <v>260575.31999999986</v>
      </c>
      <c r="S19" s="68">
        <v>-115849.11000000202</v>
      </c>
      <c r="T19" s="54"/>
      <c r="U19" s="68">
        <f t="shared" si="24"/>
        <v>515415.77000000287</v>
      </c>
      <c r="V19" s="54"/>
      <c r="W19" s="68">
        <v>386800.8499999959</v>
      </c>
      <c r="X19" s="68">
        <v>-159462.62999998947</v>
      </c>
      <c r="Y19" s="68">
        <v>-359916.75000000343</v>
      </c>
      <c r="Z19" s="54"/>
      <c r="AA19" s="68">
        <f t="shared" si="25"/>
        <v>-132578.529999997</v>
      </c>
      <c r="AB19" s="54"/>
      <c r="AC19" s="68">
        <f t="shared" si="26"/>
        <v>382837.24000000587</v>
      </c>
      <c r="AD19" s="54"/>
      <c r="AE19" s="68">
        <f t="shared" si="27"/>
        <v>8103005.5400000084</v>
      </c>
      <c r="AG19" s="68">
        <v>842577.63000000082</v>
      </c>
      <c r="AH19" s="68">
        <v>899941.11000000057</v>
      </c>
      <c r="AI19" s="68">
        <v>681628.72999999882</v>
      </c>
      <c r="AJ19" s="54"/>
      <c r="AK19" s="68">
        <f t="shared" si="28"/>
        <v>2424147.4700000002</v>
      </c>
      <c r="AL19" s="54"/>
      <c r="AM19" s="68">
        <v>798509.79999999551</v>
      </c>
      <c r="AN19" s="68">
        <v>1208938.5200000003</v>
      </c>
      <c r="AO19" s="68">
        <v>688128.30000000331</v>
      </c>
      <c r="AP19" s="54"/>
      <c r="AQ19" s="68">
        <f t="shared" si="29"/>
        <v>2695576.6199999992</v>
      </c>
      <c r="AR19" s="54"/>
      <c r="AS19" s="68">
        <f t="shared" si="30"/>
        <v>5119724.0899999989</v>
      </c>
      <c r="AT19" s="54"/>
      <c r="AU19" s="68">
        <v>870261.96999999846</v>
      </c>
      <c r="AV19" s="68">
        <v>547591.58999999962</v>
      </c>
      <c r="AW19" s="68">
        <v>1107599.630000002</v>
      </c>
      <c r="AX19" s="54"/>
      <c r="AY19" s="68">
        <f t="shared" si="31"/>
        <v>2525453.1900000004</v>
      </c>
      <c r="AZ19" s="54"/>
      <c r="BA19" s="68">
        <v>415303.8299999896</v>
      </c>
      <c r="BB19" s="68">
        <v>641024.61000000848</v>
      </c>
      <c r="BC19" s="68">
        <v>1370443.7599999998</v>
      </c>
      <c r="BD19" s="54"/>
      <c r="BE19" s="68">
        <f t="shared" si="32"/>
        <v>2426772.1999999979</v>
      </c>
      <c r="BF19" s="54"/>
      <c r="BG19" s="68">
        <f t="shared" si="33"/>
        <v>4952225.3899999978</v>
      </c>
      <c r="BH19" s="54"/>
      <c r="BI19" s="68">
        <f t="shared" si="34"/>
        <v>10071949.479999997</v>
      </c>
      <c r="BJ19" s="68">
        <f t="shared" ref="BJ19:BU19" si="37">SUM(BJ10:BJ18)</f>
        <v>899440.40000000037</v>
      </c>
      <c r="BK19" s="68">
        <f t="shared" si="37"/>
        <v>750287.48</v>
      </c>
      <c r="BL19" s="68">
        <f t="shared" si="37"/>
        <v>799328.24</v>
      </c>
      <c r="BM19" s="68">
        <f t="shared" si="37"/>
        <v>2107078.84</v>
      </c>
      <c r="BN19" s="68">
        <f t="shared" si="37"/>
        <v>1990832.8399999999</v>
      </c>
      <c r="BO19" s="68">
        <f t="shared" si="37"/>
        <v>1930368.0400000003</v>
      </c>
      <c r="BP19" s="68">
        <f t="shared" si="37"/>
        <v>1999655.34</v>
      </c>
      <c r="BQ19" s="68">
        <f t="shared" si="37"/>
        <v>2250657.6</v>
      </c>
      <c r="BR19" s="68">
        <f t="shared" si="37"/>
        <v>2139552.02</v>
      </c>
      <c r="BS19" s="68">
        <f t="shared" si="37"/>
        <v>3198644.6</v>
      </c>
      <c r="BT19" s="68">
        <f t="shared" si="37"/>
        <v>2043719.16</v>
      </c>
      <c r="BU19" s="68">
        <f t="shared" si="37"/>
        <v>2104250.5</v>
      </c>
      <c r="BV19" s="54"/>
      <c r="BW19" s="68">
        <f t="shared" si="35"/>
        <v>7346614.2599999998</v>
      </c>
      <c r="BX19" s="54"/>
      <c r="BY19" s="68">
        <f t="shared" si="36"/>
        <v>13736479.219999999</v>
      </c>
      <c r="BZ19" s="54"/>
      <c r="CA19" s="68">
        <f>SUM(CA10:CA18)</f>
        <v>22213815.060000006</v>
      </c>
      <c r="CB19" s="54"/>
      <c r="CC19" s="68">
        <f>SUM(CC10:CC18)</f>
        <v>1948578.9200000002</v>
      </c>
      <c r="CD19" s="68">
        <f>SUM(CD10:CD18)</f>
        <v>1926006.63</v>
      </c>
      <c r="CE19" s="68">
        <f>SUM(CE10:CE18)</f>
        <v>3021711.39</v>
      </c>
      <c r="CF19" s="68">
        <f>SUM(CF10:CF18)</f>
        <v>2088290.5500000003</v>
      </c>
      <c r="CG19" s="68">
        <f>SUM(CG10:CG18)</f>
        <v>2711002.88</v>
      </c>
      <c r="CH19" s="68">
        <f t="shared" ref="CH19" si="38">SUM(CH10:CH18)</f>
        <v>3820296.8200000003</v>
      </c>
      <c r="CI19" s="68">
        <v>2863586.5000000009</v>
      </c>
      <c r="CJ19" s="68">
        <v>3327554.3299999991</v>
      </c>
      <c r="CK19" s="537">
        <f>(CJ19/CI19)-1</f>
        <v>0.16202333332693053</v>
      </c>
    </row>
    <row r="20" spans="2:89" ht="6.75" customHeight="1" x14ac:dyDescent="0.25">
      <c r="C20" s="64"/>
      <c r="D20" s="64"/>
      <c r="E20" s="64"/>
      <c r="F20" s="64"/>
      <c r="G20" s="64"/>
      <c r="H20" s="54"/>
      <c r="I20" s="64"/>
      <c r="J20" s="64"/>
      <c r="K20" s="64"/>
      <c r="L20" s="54"/>
      <c r="M20" s="64"/>
      <c r="N20" s="54"/>
      <c r="O20" s="64"/>
      <c r="P20" s="54"/>
      <c r="Q20" s="64"/>
      <c r="R20" s="64"/>
      <c r="S20" s="64"/>
      <c r="T20" s="54"/>
      <c r="U20" s="64"/>
      <c r="V20" s="54"/>
      <c r="W20" s="64"/>
      <c r="X20" s="64"/>
      <c r="Y20" s="64"/>
      <c r="Z20" s="54"/>
      <c r="AA20" s="64"/>
      <c r="AB20" s="54"/>
      <c r="AC20" s="64"/>
      <c r="AD20" s="54"/>
      <c r="AE20" s="64"/>
      <c r="AG20" s="64"/>
      <c r="AH20" s="64"/>
      <c r="AI20" s="64"/>
      <c r="AJ20" s="54"/>
      <c r="AK20" s="64"/>
      <c r="AL20" s="54"/>
      <c r="AM20" s="64"/>
      <c r="AN20" s="64"/>
      <c r="AO20" s="64"/>
      <c r="AP20" s="54"/>
      <c r="AQ20" s="64"/>
      <c r="AR20" s="54"/>
      <c r="AS20" s="64"/>
      <c r="AT20" s="54"/>
      <c r="AU20" s="64"/>
      <c r="AV20" s="64"/>
      <c r="AW20" s="64"/>
      <c r="AX20" s="54"/>
      <c r="AY20" s="64"/>
      <c r="AZ20" s="54"/>
      <c r="BA20" s="64"/>
      <c r="BB20" s="64"/>
      <c r="BC20" s="64"/>
      <c r="BD20" s="54"/>
      <c r="BE20" s="64"/>
      <c r="BF20" s="54"/>
      <c r="BG20" s="64"/>
      <c r="BH20" s="54"/>
      <c r="BI20" s="64"/>
      <c r="BJ20" s="64"/>
      <c r="BK20" s="64"/>
      <c r="BL20" s="64"/>
      <c r="BM20" s="64"/>
      <c r="BN20" s="64"/>
      <c r="BO20" s="64"/>
      <c r="BP20" s="64"/>
      <c r="BQ20" s="64"/>
      <c r="BR20" s="64"/>
      <c r="BS20" s="64"/>
      <c r="BT20" s="64"/>
      <c r="BU20" s="64"/>
      <c r="BV20" s="54"/>
      <c r="BW20" s="64"/>
      <c r="BX20" s="54"/>
      <c r="BY20" s="64"/>
      <c r="BZ20" s="54"/>
      <c r="CA20" s="64"/>
      <c r="CC20" s="64"/>
      <c r="CD20" s="64"/>
      <c r="CE20" s="64"/>
      <c r="CF20" s="64"/>
      <c r="CG20" s="64"/>
      <c r="CH20" s="64"/>
      <c r="CI20" s="64"/>
      <c r="CJ20" s="64"/>
    </row>
    <row r="21" spans="2:89" x14ac:dyDescent="0.25">
      <c r="B21" s="7" t="s">
        <v>93</v>
      </c>
      <c r="C21" s="69">
        <v>-1949518.0499998229</v>
      </c>
      <c r="D21" s="69">
        <v>569853.5300000119</v>
      </c>
      <c r="E21" s="69">
        <v>-655977.71000001463</v>
      </c>
      <c r="F21" s="69">
        <v>8261102.2499999348</v>
      </c>
      <c r="G21" s="69">
        <f>SUM(D21:F21)</f>
        <v>8174978.0699999323</v>
      </c>
      <c r="H21" s="54"/>
      <c r="I21" s="69">
        <v>-918167.07999995002</v>
      </c>
      <c r="J21" s="69">
        <v>1018573.0300000702</v>
      </c>
      <c r="K21" s="69">
        <v>2531989.7599999835</v>
      </c>
      <c r="L21" s="54"/>
      <c r="M21" s="69">
        <f>SUM(I21:K21)</f>
        <v>2632395.7100001038</v>
      </c>
      <c r="N21" s="54"/>
      <c r="O21" s="69">
        <f>SUM(I21:K21,D21:F21)</f>
        <v>10807373.780000035</v>
      </c>
      <c r="P21" s="54"/>
      <c r="Q21" s="69">
        <v>173219.12999995227</v>
      </c>
      <c r="R21" s="69">
        <v>-345764.52000004752</v>
      </c>
      <c r="S21" s="69">
        <v>5821345.6400000835</v>
      </c>
      <c r="T21" s="54"/>
      <c r="U21" s="69">
        <f>SUM(Q21:S21)</f>
        <v>5648800.2499999879</v>
      </c>
      <c r="V21" s="54"/>
      <c r="W21" s="69">
        <v>2631177.359999964</v>
      </c>
      <c r="X21" s="69">
        <v>1917463.3399998203</v>
      </c>
      <c r="Y21" s="69">
        <v>6352519.9800001886</v>
      </c>
      <c r="Z21" s="54"/>
      <c r="AA21" s="69">
        <f>SUM(W21:Y21)</f>
        <v>10901160.679999974</v>
      </c>
      <c r="AB21" s="54"/>
      <c r="AC21" s="69">
        <f>SUM(W21:Y21,Q21:S21)</f>
        <v>16549960.929999962</v>
      </c>
      <c r="AD21" s="54"/>
      <c r="AE21" s="69">
        <f>O21+AC21</f>
        <v>27357334.709999997</v>
      </c>
      <c r="AG21" s="69">
        <v>916831.04999999655</v>
      </c>
      <c r="AH21" s="69">
        <v>2129159.6599999876</v>
      </c>
      <c r="AI21" s="69">
        <v>2080825.3200000261</v>
      </c>
      <c r="AJ21" s="54"/>
      <c r="AK21" s="69">
        <f>SUM(AG21:AI21)</f>
        <v>5126816.0300000105</v>
      </c>
      <c r="AL21" s="54"/>
      <c r="AM21" s="69">
        <v>2526186.020000007</v>
      </c>
      <c r="AN21" s="69">
        <v>1519360.2600000056</v>
      </c>
      <c r="AO21" s="69">
        <v>5447326.4599998789</v>
      </c>
      <c r="AP21" s="54"/>
      <c r="AQ21" s="69">
        <f>SUM(AM21:AO21)</f>
        <v>9492872.7399998903</v>
      </c>
      <c r="AR21" s="54"/>
      <c r="AS21" s="69">
        <f>SUM(AM21:AO21,AG21:AI21)</f>
        <v>14619688.769999901</v>
      </c>
      <c r="AT21" s="54"/>
      <c r="AU21" s="69">
        <v>1941839.3100001207</v>
      </c>
      <c r="AV21" s="69">
        <v>1817667.9299999729</v>
      </c>
      <c r="AW21" s="69">
        <v>4568431.5700000627</v>
      </c>
      <c r="AX21" s="54"/>
      <c r="AY21" s="69">
        <f>SUM(AU21:AW21)</f>
        <v>8327938.8100001561</v>
      </c>
      <c r="AZ21" s="54"/>
      <c r="BA21" s="69">
        <v>666753.46000003233</v>
      </c>
      <c r="BB21" s="69">
        <v>2806903.5400000373</v>
      </c>
      <c r="BC21" s="69">
        <v>9915383.9599999804</v>
      </c>
      <c r="BD21" s="54"/>
      <c r="BE21" s="69">
        <f>SUM(BA21:BC21)</f>
        <v>13389040.960000049</v>
      </c>
      <c r="BF21" s="54"/>
      <c r="BG21" s="69">
        <f>SUM(BA21:BC21,AU21:AW21)</f>
        <v>21716979.770000208</v>
      </c>
      <c r="BH21" s="54"/>
      <c r="BI21" s="69">
        <f>AS21+BG21</f>
        <v>36336668.540000111</v>
      </c>
      <c r="BJ21" s="69">
        <f t="shared" ref="BJ21:BU21" si="39">BJ8+BJ19</f>
        <v>2007401.9800000025</v>
      </c>
      <c r="BK21" s="69">
        <f t="shared" si="39"/>
        <v>1106925.0500000003</v>
      </c>
      <c r="BL21" s="69">
        <f t="shared" si="39"/>
        <v>6325716.2000000011</v>
      </c>
      <c r="BM21" s="69">
        <f t="shared" si="39"/>
        <v>6211483.1900000004</v>
      </c>
      <c r="BN21" s="69">
        <f t="shared" si="39"/>
        <v>4257159.5300000012</v>
      </c>
      <c r="BO21" s="69">
        <f t="shared" si="39"/>
        <v>6674743.1799999997</v>
      </c>
      <c r="BP21" s="69">
        <f t="shared" si="39"/>
        <v>4362938.25</v>
      </c>
      <c r="BQ21" s="69">
        <f t="shared" si="39"/>
        <v>4217899.7500000037</v>
      </c>
      <c r="BR21" s="69">
        <f t="shared" si="39"/>
        <v>5095553.7699999996</v>
      </c>
      <c r="BS21" s="69">
        <f t="shared" si="39"/>
        <v>3477451.5000000014</v>
      </c>
      <c r="BT21" s="69">
        <f t="shared" si="39"/>
        <v>5826765.5700000031</v>
      </c>
      <c r="BU21" s="69">
        <f t="shared" si="39"/>
        <v>6345577.7700000005</v>
      </c>
      <c r="BV21" s="54"/>
      <c r="BW21" s="69">
        <f>SUM(BS21:BU21)</f>
        <v>15649794.840000004</v>
      </c>
      <c r="BX21" s="54"/>
      <c r="BY21" s="69">
        <f>SUM(BS21:BU21,BP21:BR21)</f>
        <v>29326186.610000007</v>
      </c>
      <c r="BZ21" s="54"/>
      <c r="CA21" s="69">
        <f>CA19+CA8</f>
        <v>55909615.74000001</v>
      </c>
      <c r="CB21" s="54"/>
      <c r="CC21" s="69">
        <f>CC8+CC19</f>
        <v>3771789.0500000017</v>
      </c>
      <c r="CD21" s="69">
        <f>CD8+CD19</f>
        <v>4309722.3399999989</v>
      </c>
      <c r="CE21" s="69">
        <f>CE8+CE19</f>
        <v>7587055.1199999992</v>
      </c>
      <c r="CF21" s="69">
        <f>CF8+CF19</f>
        <v>9086635.5700000003</v>
      </c>
      <c r="CG21" s="69">
        <f>CG8+CG19</f>
        <v>9285999.4199999999</v>
      </c>
      <c r="CH21" s="69">
        <f t="shared" ref="CH21" si="40">CH8+CH19</f>
        <v>8614927.870000001</v>
      </c>
      <c r="CI21" s="69">
        <v>7419519.9599999888</v>
      </c>
      <c r="CJ21" s="69">
        <v>7065449.6499999911</v>
      </c>
      <c r="CK21" s="537">
        <f>(CJ21/CI21)-1</f>
        <v>-4.7721457979607362E-2</v>
      </c>
    </row>
    <row r="22" spans="2:89" ht="6.75" customHeight="1" x14ac:dyDescent="0.25">
      <c r="C22" s="64"/>
      <c r="D22" s="64"/>
      <c r="E22" s="64"/>
      <c r="F22" s="64"/>
      <c r="G22" s="64"/>
      <c r="H22" s="54"/>
      <c r="I22" s="64"/>
      <c r="J22" s="64"/>
      <c r="K22" s="64"/>
      <c r="L22" s="54"/>
      <c r="M22" s="64"/>
      <c r="N22" s="54"/>
      <c r="O22" s="64"/>
      <c r="P22" s="54"/>
      <c r="Q22" s="64"/>
      <c r="R22" s="64"/>
      <c r="S22" s="64"/>
      <c r="T22" s="54"/>
      <c r="U22" s="64"/>
      <c r="V22" s="54"/>
      <c r="W22" s="64"/>
      <c r="X22" s="64"/>
      <c r="Y22" s="64"/>
      <c r="Z22" s="54"/>
      <c r="AA22" s="64"/>
      <c r="AB22" s="54"/>
      <c r="AC22" s="64"/>
      <c r="AD22" s="54"/>
      <c r="AE22" s="64"/>
      <c r="AG22" s="64"/>
      <c r="AH22" s="64"/>
      <c r="AI22" s="64"/>
      <c r="AJ22" s="54"/>
      <c r="AK22" s="64"/>
      <c r="AL22" s="54"/>
      <c r="AM22" s="64"/>
      <c r="AN22" s="64"/>
      <c r="AO22" s="64"/>
      <c r="AP22" s="54"/>
      <c r="AQ22" s="64"/>
      <c r="AR22" s="54"/>
      <c r="AS22" s="64"/>
      <c r="AT22" s="54"/>
      <c r="AU22" s="64"/>
      <c r="AV22" s="64"/>
      <c r="AW22" s="64"/>
      <c r="AX22" s="54"/>
      <c r="AY22" s="64"/>
      <c r="AZ22" s="54"/>
      <c r="BA22" s="64"/>
      <c r="BB22" s="64"/>
      <c r="BC22" s="64"/>
      <c r="BD22" s="54"/>
      <c r="BE22" s="64"/>
      <c r="BF22" s="54"/>
      <c r="BG22" s="64"/>
      <c r="BH22" s="54"/>
      <c r="BI22" s="64"/>
      <c r="BJ22" s="64"/>
      <c r="BK22" s="64"/>
      <c r="BL22" s="64"/>
      <c r="BM22" s="64"/>
      <c r="BN22" s="64"/>
      <c r="BO22" s="64"/>
      <c r="BP22" s="64"/>
      <c r="BQ22" s="64"/>
      <c r="BR22" s="64"/>
      <c r="BS22" s="64"/>
      <c r="BT22" s="64"/>
      <c r="BU22" s="64"/>
      <c r="BV22" s="54"/>
      <c r="BW22" s="64"/>
      <c r="BX22" s="54"/>
      <c r="BY22" s="64"/>
      <c r="BZ22" s="54"/>
      <c r="CA22" s="64"/>
      <c r="CC22" s="64"/>
      <c r="CD22" s="64"/>
      <c r="CE22" s="64"/>
      <c r="CF22" s="64"/>
      <c r="CG22" s="64"/>
      <c r="CH22" s="64"/>
      <c r="CI22" s="64"/>
      <c r="CJ22" s="64"/>
    </row>
    <row r="23" spans="2:89" x14ac:dyDescent="0.25">
      <c r="B23" t="s">
        <v>94</v>
      </c>
      <c r="C23" s="64">
        <v>-744679.00999999978</v>
      </c>
      <c r="D23" s="64">
        <v>2842467.48</v>
      </c>
      <c r="E23" s="64">
        <v>-84774.049999999814</v>
      </c>
      <c r="F23" s="64">
        <v>1734470.0799999996</v>
      </c>
      <c r="G23" s="64">
        <f>SUM(D23:F23)</f>
        <v>4492163.51</v>
      </c>
      <c r="H23" s="54"/>
      <c r="I23" s="64">
        <v>336223.28000000026</v>
      </c>
      <c r="J23" s="64">
        <v>424533.91999999993</v>
      </c>
      <c r="K23" s="64">
        <v>146560.61000000034</v>
      </c>
      <c r="L23" s="54"/>
      <c r="M23" s="64">
        <f>SUM(I23:K23)</f>
        <v>907317.81000000052</v>
      </c>
      <c r="N23" s="54"/>
      <c r="O23" s="64">
        <f>SUM(I23:K23,D23:F23)</f>
        <v>5399481.3200000003</v>
      </c>
      <c r="P23" s="54"/>
      <c r="Q23" s="64">
        <v>91429.049999999814</v>
      </c>
      <c r="R23" s="64">
        <v>-137973.28000000026</v>
      </c>
      <c r="S23" s="64">
        <v>-239435.30999999959</v>
      </c>
      <c r="T23" s="54"/>
      <c r="U23" s="64">
        <f>SUM(Q23:S23)</f>
        <v>-285979.54000000004</v>
      </c>
      <c r="V23" s="54"/>
      <c r="W23" s="64">
        <v>273119.43999999948</v>
      </c>
      <c r="X23" s="64">
        <v>-431524.45000000019</v>
      </c>
      <c r="Y23" s="64">
        <v>-600734.71999999974</v>
      </c>
      <c r="Z23" s="54"/>
      <c r="AA23" s="64">
        <f>SUM(W23:Y23)</f>
        <v>-759139.73000000045</v>
      </c>
      <c r="AB23" s="54"/>
      <c r="AC23" s="64">
        <f>SUM(W23:Y23,Q23:S23)</f>
        <v>-1045119.2700000005</v>
      </c>
      <c r="AD23" s="54"/>
      <c r="AE23" s="64">
        <f>O23+AC23</f>
        <v>4354362.05</v>
      </c>
      <c r="AG23" s="64">
        <v>767440.02</v>
      </c>
      <c r="AH23" s="64">
        <v>750979.89999999991</v>
      </c>
      <c r="AI23" s="64">
        <v>432757.06000000006</v>
      </c>
      <c r="AJ23" s="54"/>
      <c r="AK23" s="64">
        <f>SUM(AG23:AI23)</f>
        <v>1951176.98</v>
      </c>
      <c r="AL23" s="54"/>
      <c r="AM23" s="64">
        <v>662524.89000000013</v>
      </c>
      <c r="AN23" s="64">
        <v>842029.62000000011</v>
      </c>
      <c r="AO23" s="64">
        <v>593382.21</v>
      </c>
      <c r="AP23" s="54"/>
      <c r="AQ23" s="64">
        <f>SUM(AM23:AO23)</f>
        <v>2097936.7200000002</v>
      </c>
      <c r="AR23" s="54"/>
      <c r="AS23" s="64">
        <f>SUM(AM23:AO23,AG23:AI23)</f>
        <v>4049113.7</v>
      </c>
      <c r="AT23" s="54"/>
      <c r="AU23" s="64">
        <v>744180.93000000063</v>
      </c>
      <c r="AV23" s="64">
        <v>486306.51999999862</v>
      </c>
      <c r="AW23" s="64">
        <v>1014721.4400000004</v>
      </c>
      <c r="AX23" s="54"/>
      <c r="AY23" s="64">
        <f>SUM(AU23:AW23)</f>
        <v>2245208.8899999997</v>
      </c>
      <c r="AZ23" s="54"/>
      <c r="BA23" s="64">
        <v>214691.41000000015</v>
      </c>
      <c r="BB23" s="64">
        <v>875982.28000000119</v>
      </c>
      <c r="BC23" s="64">
        <v>798970.01999999955</v>
      </c>
      <c r="BD23" s="54"/>
      <c r="BE23" s="64">
        <f>SUM(BA23:BC23)</f>
        <v>1889643.7100000009</v>
      </c>
      <c r="BF23" s="54"/>
      <c r="BG23" s="64">
        <f>SUM(BA23:BC23,AU23:AW23)</f>
        <v>4134852.6000000006</v>
      </c>
      <c r="BH23" s="54"/>
      <c r="BI23" s="64">
        <f>AS23+BG23</f>
        <v>8183966.3000000007</v>
      </c>
      <c r="BJ23" s="65">
        <v>828965.29</v>
      </c>
      <c r="BK23" s="65">
        <v>642854.07999999996</v>
      </c>
      <c r="BL23" s="65">
        <v>537859.73</v>
      </c>
      <c r="BM23" s="65">
        <v>2092438.7100000002</v>
      </c>
      <c r="BN23" s="65">
        <v>1856223.51</v>
      </c>
      <c r="BO23" s="65">
        <v>1915228.42</v>
      </c>
      <c r="BP23" s="65">
        <v>1829491.13</v>
      </c>
      <c r="BQ23" s="65">
        <v>2018509.0799999998</v>
      </c>
      <c r="BR23" s="65">
        <v>2651795.33</v>
      </c>
      <c r="BS23" s="65">
        <v>2635218.7999999998</v>
      </c>
      <c r="BT23" s="65">
        <v>1724928.0999999999</v>
      </c>
      <c r="BU23" s="65">
        <v>1816891.28</v>
      </c>
      <c r="BV23" s="54"/>
      <c r="BW23" s="65">
        <f>SUM(BS23:BU23)</f>
        <v>6177038.1799999997</v>
      </c>
      <c r="BX23" s="54"/>
      <c r="BY23" s="65">
        <f>SUM(BS23:BU23,BP23:BR23)</f>
        <v>12676833.719999999</v>
      </c>
      <c r="BZ23" s="54"/>
      <c r="CA23" s="65">
        <v>21120254.859999999</v>
      </c>
      <c r="CC23" s="65">
        <v>1918146.65</v>
      </c>
      <c r="CD23" s="65">
        <v>1655618.97</v>
      </c>
      <c r="CE23" s="65">
        <v>2648896.4</v>
      </c>
      <c r="CF23" s="65">
        <v>1615034.5999999999</v>
      </c>
      <c r="CG23" s="65">
        <f>2312442.5</f>
        <v>2312442.5</v>
      </c>
      <c r="CH23" s="65">
        <v>2732955.23</v>
      </c>
      <c r="CI23" s="65">
        <v>2399904.19</v>
      </c>
      <c r="CJ23" s="65">
        <v>2485882.9999999981</v>
      </c>
    </row>
    <row r="24" spans="2:89" x14ac:dyDescent="0.25">
      <c r="B24" t="s">
        <v>473</v>
      </c>
      <c r="C24" s="64"/>
      <c r="D24" s="64"/>
      <c r="E24" s="64"/>
      <c r="F24" s="64"/>
      <c r="G24" s="64"/>
      <c r="H24" s="54"/>
      <c r="I24" s="64"/>
      <c r="J24" s="64"/>
      <c r="K24" s="64"/>
      <c r="L24" s="54"/>
      <c r="M24" s="64"/>
      <c r="N24" s="54"/>
      <c r="O24" s="64"/>
      <c r="P24" s="54"/>
      <c r="Q24" s="64"/>
      <c r="R24" s="64"/>
      <c r="S24" s="64"/>
      <c r="T24" s="54"/>
      <c r="U24" s="64"/>
      <c r="V24" s="54"/>
      <c r="W24" s="64"/>
      <c r="X24" s="64"/>
      <c r="Y24" s="64"/>
      <c r="Z24" s="54"/>
      <c r="AA24" s="64"/>
      <c r="AB24" s="54"/>
      <c r="AC24" s="64"/>
      <c r="AD24" s="54"/>
      <c r="AE24" s="64"/>
      <c r="AG24" s="64"/>
      <c r="AH24" s="64"/>
      <c r="AI24" s="64"/>
      <c r="AJ24" s="54"/>
      <c r="AK24" s="64"/>
      <c r="AL24" s="54"/>
      <c r="AM24" s="64"/>
      <c r="AN24" s="64"/>
      <c r="AO24" s="64"/>
      <c r="AP24" s="54"/>
      <c r="AQ24" s="64"/>
      <c r="AR24" s="54"/>
      <c r="AS24" s="64"/>
      <c r="AT24" s="54"/>
      <c r="AU24" s="64"/>
      <c r="AV24" s="64"/>
      <c r="AW24" s="64"/>
      <c r="AX24" s="54"/>
      <c r="AY24" s="64"/>
      <c r="AZ24" s="54"/>
      <c r="BA24" s="64"/>
      <c r="BB24" s="64"/>
      <c r="BC24" s="64"/>
      <c r="BD24" s="54"/>
      <c r="BE24" s="64"/>
      <c r="BF24" s="54"/>
      <c r="BG24" s="64"/>
      <c r="BH24" s="54"/>
      <c r="BI24" s="64"/>
      <c r="BJ24" s="65"/>
      <c r="BK24" s="65"/>
      <c r="BL24" s="65"/>
      <c r="BM24" s="65"/>
      <c r="BN24" s="65"/>
      <c r="BO24" s="65"/>
      <c r="BP24" s="65"/>
      <c r="BQ24" s="65"/>
      <c r="BR24" s="65"/>
      <c r="BS24" s="65"/>
      <c r="BT24" s="65"/>
      <c r="BU24" s="65"/>
      <c r="BV24" s="54"/>
      <c r="BW24" s="65"/>
      <c r="BX24" s="54"/>
      <c r="BY24" s="65"/>
      <c r="BZ24" s="54"/>
      <c r="CA24" s="65"/>
      <c r="CC24" s="65">
        <v>1872781.9</v>
      </c>
      <c r="CD24" s="65">
        <v>1605888.7000000002</v>
      </c>
      <c r="CE24" s="65">
        <v>2563268.6300000004</v>
      </c>
      <c r="CF24" s="65">
        <v>1553760.0899999999</v>
      </c>
      <c r="CG24" s="65">
        <v>2289452.13</v>
      </c>
      <c r="CH24" s="65">
        <v>2650413.1799999997</v>
      </c>
      <c r="CI24" s="65">
        <v>2316461.25</v>
      </c>
      <c r="CJ24" s="65">
        <v>2453169.12</v>
      </c>
    </row>
    <row r="25" spans="2:89" ht="14.45" customHeight="1" x14ac:dyDescent="0.25">
      <c r="B25" t="s">
        <v>297</v>
      </c>
      <c r="C25" s="58"/>
      <c r="D25" s="58"/>
      <c r="E25" s="58"/>
      <c r="F25" s="58"/>
      <c r="G25" s="64"/>
      <c r="H25" s="58"/>
      <c r="I25" s="58"/>
      <c r="J25" s="58"/>
      <c r="K25" s="58"/>
      <c r="L25" s="58"/>
      <c r="M25" s="64"/>
      <c r="N25" s="58"/>
      <c r="O25" s="64"/>
      <c r="P25" s="58"/>
      <c r="Q25" s="58"/>
      <c r="R25" s="58"/>
      <c r="S25" s="58"/>
      <c r="T25" s="58"/>
      <c r="U25" s="64"/>
      <c r="V25" s="58"/>
      <c r="W25" s="58"/>
      <c r="X25" s="58"/>
      <c r="Y25" s="58"/>
      <c r="Z25" s="58"/>
      <c r="AA25" s="64"/>
      <c r="AB25" s="58"/>
      <c r="AC25" s="64"/>
      <c r="AD25" s="58"/>
      <c r="AE25" s="64"/>
      <c r="AG25" s="58"/>
      <c r="AH25" s="58"/>
      <c r="AI25" s="58"/>
      <c r="AJ25" s="58"/>
      <c r="AK25" s="64"/>
      <c r="AL25" s="58"/>
      <c r="AM25" s="58"/>
      <c r="AN25" s="58"/>
      <c r="AO25" s="58"/>
      <c r="AP25" s="58"/>
      <c r="AQ25" s="64"/>
      <c r="AR25" s="58"/>
      <c r="AS25" s="64"/>
      <c r="AT25" s="58"/>
      <c r="AU25" s="58"/>
      <c r="AV25" s="58"/>
      <c r="AW25" s="58"/>
      <c r="AX25" s="58"/>
      <c r="AY25" s="64"/>
      <c r="AZ25" s="58"/>
      <c r="BA25" s="58"/>
      <c r="BB25" s="58"/>
      <c r="BC25" s="58"/>
      <c r="BD25" s="58"/>
      <c r="BE25" s="64"/>
      <c r="BF25" s="58"/>
      <c r="BG25" s="64"/>
      <c r="BH25" s="58"/>
      <c r="BI25" s="64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58"/>
      <c r="BU25" s="58"/>
      <c r="BV25" s="58"/>
      <c r="BW25" s="64"/>
      <c r="BX25" s="58"/>
      <c r="BY25" s="64"/>
      <c r="BZ25" s="58"/>
      <c r="CA25" s="58" t="e">
        <f>CA23-#REF!-#REF!</f>
        <v>#REF!</v>
      </c>
      <c r="CC25" s="58">
        <v>45364.750000000015</v>
      </c>
      <c r="CD25" s="58">
        <v>49730.269999999829</v>
      </c>
      <c r="CE25" s="58">
        <f>CE23-CE24</f>
        <v>85627.769999999553</v>
      </c>
      <c r="CF25" s="58">
        <f>CF23-CF24</f>
        <v>61274.510000000009</v>
      </c>
      <c r="CG25" s="58">
        <f>CG23-CG24</f>
        <v>22990.370000000112</v>
      </c>
      <c r="CH25" s="58">
        <f>CH23-CH24</f>
        <v>82542.050000000279</v>
      </c>
      <c r="CI25" s="58">
        <v>83442.939999999944</v>
      </c>
      <c r="CJ25" s="58">
        <v>32713.879999998026</v>
      </c>
    </row>
    <row r="26" spans="2:89" x14ac:dyDescent="0.25">
      <c r="B26" s="22" t="s">
        <v>95</v>
      </c>
      <c r="C26" s="70" t="e">
        <f>C21+#REF!</f>
        <v>#REF!</v>
      </c>
      <c r="D26" s="70" t="e">
        <f>D21+#REF!</f>
        <v>#REF!</v>
      </c>
      <c r="E26" s="70" t="e">
        <f>E21+#REF!</f>
        <v>#REF!</v>
      </c>
      <c r="F26" s="70" t="e">
        <f>F21+#REF!</f>
        <v>#REF!</v>
      </c>
      <c r="G26" s="70" t="e">
        <f>G21+#REF!</f>
        <v>#REF!</v>
      </c>
      <c r="H26" s="58"/>
      <c r="I26" s="70" t="e">
        <f>I21+#REF!</f>
        <v>#REF!</v>
      </c>
      <c r="J26" s="70" t="e">
        <f>J21+#REF!</f>
        <v>#REF!</v>
      </c>
      <c r="K26" s="70" t="e">
        <f>K21+#REF!</f>
        <v>#REF!</v>
      </c>
      <c r="L26" s="58"/>
      <c r="M26" s="70" t="e">
        <f t="shared" ref="M26" si="41">SUM(I26:K26)</f>
        <v>#REF!</v>
      </c>
      <c r="N26" s="58"/>
      <c r="O26" s="70" t="e">
        <f>SUM(I26:K26,D26:F26)</f>
        <v>#REF!</v>
      </c>
      <c r="P26" s="58"/>
      <c r="Q26" s="70" t="e">
        <f>Q21+#REF!</f>
        <v>#REF!</v>
      </c>
      <c r="R26" s="70" t="e">
        <f>R21+#REF!</f>
        <v>#REF!</v>
      </c>
      <c r="S26" s="70" t="e">
        <f>S21+#REF!</f>
        <v>#REF!</v>
      </c>
      <c r="T26" s="58"/>
      <c r="U26" s="70" t="e">
        <f t="shared" ref="U26" si="42">SUM(Q26:S26)</f>
        <v>#REF!</v>
      </c>
      <c r="V26" s="58"/>
      <c r="W26" s="70" t="e">
        <f>W21+#REF!</f>
        <v>#REF!</v>
      </c>
      <c r="X26" s="70" t="e">
        <f>X21+#REF!</f>
        <v>#REF!</v>
      </c>
      <c r="Y26" s="70" t="e">
        <f>Y21+#REF!</f>
        <v>#REF!</v>
      </c>
      <c r="Z26" s="58"/>
      <c r="AA26" s="70" t="e">
        <f t="shared" ref="AA26" si="43">SUM(W26:Y26)</f>
        <v>#REF!</v>
      </c>
      <c r="AB26" s="58"/>
      <c r="AC26" s="70" t="e">
        <f t="shared" ref="AC26" si="44">SUM(W26:Y26,Q26:S26)</f>
        <v>#REF!</v>
      </c>
      <c r="AD26" s="58"/>
      <c r="AE26" s="70" t="e">
        <f>AE21+#REF!</f>
        <v>#REF!</v>
      </c>
      <c r="AG26" s="70" t="e">
        <f>AG21+#REF!</f>
        <v>#REF!</v>
      </c>
      <c r="AH26" s="70" t="e">
        <f>AH21+#REF!</f>
        <v>#REF!</v>
      </c>
      <c r="AI26" s="70" t="e">
        <f>AI21+#REF!</f>
        <v>#REF!</v>
      </c>
      <c r="AJ26" s="58"/>
      <c r="AK26" s="70" t="e">
        <f>AK21+#REF!</f>
        <v>#REF!</v>
      </c>
      <c r="AL26" s="58"/>
      <c r="AM26" s="70" t="e">
        <f>AM21+#REF!</f>
        <v>#REF!</v>
      </c>
      <c r="AN26" s="70" t="e">
        <f>AN21+#REF!</f>
        <v>#REF!</v>
      </c>
      <c r="AO26" s="70" t="e">
        <f>AO21+#REF!</f>
        <v>#REF!</v>
      </c>
      <c r="AP26" s="58"/>
      <c r="AQ26" s="70" t="e">
        <f t="shared" ref="AQ26" si="45">SUM(AM26:AO26)</f>
        <v>#REF!</v>
      </c>
      <c r="AR26" s="58"/>
      <c r="AS26" s="70" t="e">
        <f t="shared" ref="AS26" si="46">SUM(AM26:AO26,AG26:AI26)</f>
        <v>#REF!</v>
      </c>
      <c r="AT26" s="58"/>
      <c r="AU26" s="70" t="e">
        <f>AU21+#REF!</f>
        <v>#REF!</v>
      </c>
      <c r="AV26" s="70" t="e">
        <f>AV21+#REF!</f>
        <v>#REF!</v>
      </c>
      <c r="AW26" s="70" t="e">
        <f>AW21+#REF!</f>
        <v>#REF!</v>
      </c>
      <c r="AX26" s="58"/>
      <c r="AY26" s="70" t="e">
        <f t="shared" ref="AY26" si="47">SUM(AU26:AW26)</f>
        <v>#REF!</v>
      </c>
      <c r="AZ26" s="58"/>
      <c r="BA26" s="70" t="e">
        <f>BA21+#REF!</f>
        <v>#REF!</v>
      </c>
      <c r="BB26" s="70" t="e">
        <f>BB21+#REF!</f>
        <v>#REF!</v>
      </c>
      <c r="BC26" s="70" t="e">
        <f>BC21+#REF!</f>
        <v>#REF!</v>
      </c>
      <c r="BD26" s="58"/>
      <c r="BE26" s="70" t="e">
        <f t="shared" ref="BE26" si="48">SUM(BA26:BC26)</f>
        <v>#REF!</v>
      </c>
      <c r="BF26" s="58"/>
      <c r="BG26" s="70" t="e">
        <f t="shared" ref="BG26" si="49">SUM(BA26:BC26,AU26:AW26)</f>
        <v>#REF!</v>
      </c>
      <c r="BH26" s="58"/>
      <c r="BI26" s="70" t="e">
        <f>BI21+#REF!</f>
        <v>#REF!</v>
      </c>
      <c r="BJ26" s="70" t="e">
        <f>BJ21+#REF!</f>
        <v>#REF!</v>
      </c>
      <c r="BK26" s="70" t="e">
        <f>BK21+#REF!</f>
        <v>#REF!</v>
      </c>
      <c r="BL26" s="70" t="e">
        <f>BL21+#REF!</f>
        <v>#REF!</v>
      </c>
      <c r="BM26" s="70" t="e">
        <f>BM21+#REF!</f>
        <v>#REF!</v>
      </c>
      <c r="BN26" s="70" t="e">
        <f>BN21+#REF!</f>
        <v>#REF!</v>
      </c>
      <c r="BO26" s="70" t="e">
        <f>BO21+#REF!</f>
        <v>#REF!</v>
      </c>
      <c r="BP26" s="70" t="e">
        <f>BP21+#REF!</f>
        <v>#REF!</v>
      </c>
      <c r="BQ26" s="70" t="e">
        <f>BQ21+#REF!</f>
        <v>#REF!</v>
      </c>
      <c r="BR26" s="70" t="e">
        <f>BR21+#REF!</f>
        <v>#REF!</v>
      </c>
      <c r="BS26" s="70" t="e">
        <f>BS21+#REF!</f>
        <v>#REF!</v>
      </c>
      <c r="BT26" s="70" t="e">
        <f>BT21+#REF!</f>
        <v>#REF!</v>
      </c>
      <c r="BU26" s="70" t="e">
        <f>BU21+#REF!</f>
        <v>#REF!</v>
      </c>
      <c r="BW26" s="70" t="e">
        <f t="shared" ref="BW26" si="50">SUM(BS26:BU26)</f>
        <v>#REF!</v>
      </c>
      <c r="BY26" s="70" t="e">
        <f>#REF!+BW26</f>
        <v>#REF!</v>
      </c>
      <c r="CA26" s="70" t="e">
        <f>CA21+CA25</f>
        <v>#REF!</v>
      </c>
      <c r="CB26" s="57"/>
      <c r="CC26" s="70">
        <f>CC21+CC25</f>
        <v>3817153.8000000017</v>
      </c>
      <c r="CD26" s="70">
        <f>CD21+CD25</f>
        <v>4359452.6099999985</v>
      </c>
      <c r="CE26" s="70">
        <f>CE21+CE25</f>
        <v>7672682.8899999987</v>
      </c>
      <c r="CF26" s="70">
        <f>CF21+CF25</f>
        <v>9147910.0800000001</v>
      </c>
      <c r="CG26" s="70">
        <f>CG21+CG25</f>
        <v>9308989.7899999991</v>
      </c>
      <c r="CH26" s="70">
        <f t="shared" ref="CH26" si="51">CH21+CH25</f>
        <v>8697469.9200000018</v>
      </c>
      <c r="CI26" s="70">
        <v>7502962.8999999892</v>
      </c>
      <c r="CJ26" s="70">
        <v>7098163.5299999891</v>
      </c>
      <c r="CK26" s="537">
        <f>(CJ26/CI26)-1</f>
        <v>-5.3951935441397536E-2</v>
      </c>
    </row>
    <row r="27" spans="2:89" x14ac:dyDescent="0.25">
      <c r="C27" s="57"/>
      <c r="D27" s="57"/>
      <c r="E27" s="57"/>
      <c r="F27" s="57"/>
      <c r="G27" s="57"/>
      <c r="H27" s="58"/>
      <c r="I27" s="57"/>
      <c r="J27" s="57"/>
      <c r="K27" s="57"/>
      <c r="L27" s="58"/>
      <c r="M27" s="57"/>
      <c r="N27" s="58"/>
      <c r="O27" s="57"/>
      <c r="P27" s="58"/>
      <c r="Q27" s="57"/>
      <c r="R27" s="57"/>
      <c r="S27" s="57"/>
      <c r="T27" s="58"/>
      <c r="U27" s="57"/>
      <c r="V27" s="58"/>
      <c r="W27" s="57"/>
      <c r="X27" s="57"/>
      <c r="Y27" s="57"/>
      <c r="Z27" s="58"/>
      <c r="AA27" s="57"/>
      <c r="AB27" s="58"/>
      <c r="AC27" s="57"/>
      <c r="AD27" s="58"/>
      <c r="AE27" s="57"/>
      <c r="AG27" s="57"/>
      <c r="AH27" s="57"/>
      <c r="AI27" s="57"/>
      <c r="AJ27" s="58"/>
      <c r="AK27" s="57"/>
      <c r="AL27" s="58"/>
      <c r="AM27" s="57"/>
      <c r="AN27" s="57"/>
      <c r="AO27" s="57"/>
      <c r="AP27" s="58"/>
      <c r="AQ27" s="57"/>
      <c r="AR27" s="58"/>
      <c r="AS27" s="57"/>
      <c r="AT27" s="58"/>
      <c r="AU27" s="57"/>
      <c r="AV27" s="57"/>
      <c r="AW27" s="57"/>
      <c r="AX27" s="58"/>
      <c r="AY27" s="57"/>
      <c r="AZ27" s="58"/>
      <c r="BA27" s="57"/>
      <c r="BB27" s="57"/>
      <c r="BC27" s="57"/>
      <c r="BD27" s="58"/>
      <c r="BE27" s="57"/>
      <c r="BF27" s="58"/>
      <c r="BG27" s="57"/>
      <c r="BH27" s="58"/>
      <c r="BI27" s="57"/>
      <c r="BJ27" s="57"/>
      <c r="BK27" s="57"/>
      <c r="BL27" s="57"/>
      <c r="BM27" s="57"/>
      <c r="BN27" s="57"/>
      <c r="BO27" s="57"/>
      <c r="BP27" s="57"/>
      <c r="BQ27" s="57"/>
      <c r="BR27" s="57"/>
      <c r="BS27" s="57"/>
      <c r="BT27" s="57"/>
      <c r="BU27" s="57"/>
      <c r="BW27" s="57"/>
      <c r="BY27" s="57"/>
      <c r="CA27" s="57"/>
      <c r="CB27" s="57"/>
      <c r="CC27" s="57"/>
      <c r="CD27" s="57"/>
      <c r="CE27" s="57"/>
      <c r="CF27" s="57"/>
      <c r="CG27" s="57"/>
      <c r="CH27" s="57"/>
      <c r="CI27" s="57"/>
      <c r="CJ27" s="57"/>
    </row>
    <row r="28" spans="2:89" x14ac:dyDescent="0.25">
      <c r="CC28" s="58"/>
      <c r="CD28" s="58"/>
      <c r="CE28" s="58"/>
      <c r="CF28" s="58"/>
      <c r="CG28" s="58"/>
      <c r="CH28" s="58"/>
      <c r="CI28" s="58"/>
      <c r="CJ28" s="58"/>
    </row>
    <row r="29" spans="2:89" x14ac:dyDescent="0.25">
      <c r="CE29" s="58"/>
      <c r="CF29" s="58"/>
      <c r="CG29" s="58"/>
      <c r="CH29" s="58"/>
      <c r="CI29" s="58"/>
      <c r="CJ29" s="58"/>
    </row>
  </sheetData>
  <pageMargins left="0.25" right="0.25" top="0.75" bottom="0.75" header="0.3" footer="0.3"/>
  <pageSetup paperSize="9" orientation="landscape" r:id="rId1"/>
  <ignoredErrors>
    <ignoredError sqref="O6 AC6 AE6 BI6 BY6 BP2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96639-9ACE-436C-9D05-5F41FE5400F0}">
  <dimension ref="A1:CK63"/>
  <sheetViews>
    <sheetView showGridLines="0" tabSelected="1" zoomScale="85" zoomScaleNormal="85" workbookViewId="0">
      <pane xSplit="1" topLeftCell="BP1" activePane="topRight" state="frozen"/>
      <selection pane="topRight" activeCell="CN14" sqref="CN14"/>
    </sheetView>
  </sheetViews>
  <sheetFormatPr defaultRowHeight="15" x14ac:dyDescent="0.25"/>
  <cols>
    <col min="1" max="1" width="39.28515625" bestFit="1" customWidth="1"/>
    <col min="2" max="2" width="14.140625" bestFit="1" customWidth="1"/>
    <col min="3" max="3" width="11.5703125" bestFit="1" customWidth="1"/>
    <col min="4" max="4" width="8" bestFit="1" customWidth="1"/>
    <col min="5" max="5" width="14.28515625" bestFit="1" customWidth="1"/>
    <col min="6" max="6" width="12.7109375" bestFit="1" customWidth="1"/>
    <col min="7" max="7" width="8.42578125" bestFit="1" customWidth="1"/>
    <col min="8" max="9" width="12.7109375" bestFit="1" customWidth="1"/>
    <col min="10" max="10" width="8" bestFit="1" customWidth="1"/>
    <col min="11" max="11" width="11.5703125" bestFit="1" customWidth="1"/>
    <col min="12" max="12" width="0.85546875" style="592" customWidth="1"/>
    <col min="13" max="14" width="11.5703125" bestFit="1" customWidth="1"/>
    <col min="15" max="15" width="8.42578125" bestFit="1" customWidth="1"/>
    <col min="16" max="17" width="12.7109375" bestFit="1" customWidth="1"/>
    <col min="18" max="18" width="11.5703125" bestFit="1" customWidth="1"/>
    <col min="19" max="20" width="12.7109375" bestFit="1" customWidth="1"/>
    <col min="21" max="21" width="10.5703125" bestFit="1" customWidth="1"/>
    <col min="22" max="22" width="11.5703125" bestFit="1" customWidth="1"/>
    <col min="23" max="23" width="0.85546875" style="592" customWidth="1"/>
    <col min="24" max="25" width="11.5703125" bestFit="1" customWidth="1"/>
    <col min="26" max="26" width="8.42578125" bestFit="1" customWidth="1"/>
    <col min="27" max="28" width="12.7109375" bestFit="1" customWidth="1"/>
    <col min="29" max="29" width="11.5703125" bestFit="1" customWidth="1"/>
    <col min="30" max="31" width="12.7109375" bestFit="1" customWidth="1"/>
    <col min="32" max="32" width="10.5703125" bestFit="1" customWidth="1"/>
    <col min="33" max="33" width="11.5703125" bestFit="1" customWidth="1"/>
    <col min="34" max="34" width="0.85546875" style="592" customWidth="1"/>
    <col min="35" max="36" width="12.42578125" bestFit="1" customWidth="1"/>
    <col min="37" max="37" width="7.7109375" bestFit="1" customWidth="1"/>
    <col min="38" max="39" width="14.28515625" bestFit="1" customWidth="1"/>
    <col min="40" max="40" width="11.5703125" bestFit="1" customWidth="1"/>
    <col min="41" max="42" width="14.28515625" bestFit="1" customWidth="1"/>
    <col min="43" max="43" width="8.7109375" bestFit="1" customWidth="1"/>
    <col min="44" max="44" width="11.28515625" customWidth="1"/>
    <col min="45" max="45" width="0.85546875" style="592" customWidth="1"/>
    <col min="46" max="47" width="12.42578125" bestFit="1" customWidth="1"/>
    <col min="48" max="48" width="8.42578125" bestFit="1" customWidth="1"/>
    <col min="49" max="50" width="14.28515625" bestFit="1" customWidth="1"/>
    <col min="51" max="51" width="11.5703125" bestFit="1" customWidth="1"/>
    <col min="52" max="53" width="14.28515625" bestFit="1" customWidth="1"/>
    <col min="54" max="54" width="8.5703125" bestFit="1" customWidth="1"/>
    <col min="55" max="55" width="11.28515625" bestFit="1" customWidth="1"/>
    <col min="56" max="56" width="0.85546875" style="592" customWidth="1"/>
    <col min="57" max="57" width="13.5703125" bestFit="1" customWidth="1"/>
    <col min="58" max="58" width="12.7109375" bestFit="1" customWidth="1"/>
    <col min="59" max="59" width="8.7109375" bestFit="1" customWidth="1"/>
    <col min="60" max="61" width="14.42578125" bestFit="1" customWidth="1"/>
    <col min="62" max="62" width="11.5703125" bestFit="1" customWidth="1"/>
    <col min="63" max="63" width="14.7109375" bestFit="1" customWidth="1"/>
    <col min="64" max="64" width="15.42578125" bestFit="1" customWidth="1"/>
    <col min="65" max="65" width="8.7109375" bestFit="1" customWidth="1"/>
    <col min="66" max="66" width="12.28515625" bestFit="1" customWidth="1"/>
    <col min="67" max="67" width="0.85546875" style="592" customWidth="1"/>
    <col min="68" max="69" width="12.7109375" bestFit="1" customWidth="1"/>
    <col min="70" max="70" width="8" bestFit="1" customWidth="1"/>
    <col min="71" max="71" width="14.7109375" bestFit="1" customWidth="1"/>
    <col min="72" max="72" width="15.140625" bestFit="1" customWidth="1"/>
    <col min="73" max="73" width="11.5703125" bestFit="1" customWidth="1"/>
    <col min="74" max="74" width="15.140625" bestFit="1" customWidth="1"/>
    <col min="75" max="75" width="14.42578125" bestFit="1" customWidth="1"/>
    <col min="76" max="76" width="7.7109375" bestFit="1" customWidth="1"/>
    <col min="77" max="77" width="12.28515625" bestFit="1" customWidth="1"/>
    <col min="78" max="78" width="0.85546875" style="592" customWidth="1"/>
    <col min="79" max="79" width="13.5703125" bestFit="1" customWidth="1"/>
    <col min="80" max="80" width="12.7109375" bestFit="1" customWidth="1"/>
    <col min="81" max="81" width="8.42578125" bestFit="1" customWidth="1"/>
    <col min="82" max="82" width="14.42578125" bestFit="1" customWidth="1"/>
    <col min="83" max="83" width="15.140625" bestFit="1" customWidth="1"/>
    <col min="84" max="84" width="11.5703125" bestFit="1" customWidth="1"/>
    <col min="85" max="85" width="15.42578125" bestFit="1" customWidth="1"/>
    <col min="86" max="86" width="15.140625" bestFit="1" customWidth="1"/>
    <col min="87" max="87" width="7.7109375" bestFit="1" customWidth="1"/>
    <col min="88" max="88" width="12.28515625" bestFit="1" customWidth="1"/>
    <col min="89" max="89" width="0.85546875" style="592" customWidth="1"/>
  </cols>
  <sheetData>
    <row r="1" spans="1:88" x14ac:dyDescent="0.25">
      <c r="A1" s="819" t="s">
        <v>498</v>
      </c>
      <c r="B1" s="814">
        <v>46053</v>
      </c>
      <c r="C1" s="814"/>
      <c r="D1" s="814"/>
      <c r="E1" s="814"/>
      <c r="F1" s="814"/>
      <c r="G1" s="814"/>
      <c r="H1" s="814"/>
      <c r="I1" s="814"/>
      <c r="J1" s="814"/>
      <c r="K1" s="814"/>
      <c r="M1" s="814">
        <v>46081</v>
      </c>
      <c r="N1" s="814"/>
      <c r="O1" s="814"/>
      <c r="P1" s="814"/>
      <c r="Q1" s="814"/>
      <c r="R1" s="814"/>
      <c r="S1" s="814"/>
      <c r="T1" s="814"/>
      <c r="U1" s="814"/>
      <c r="V1" s="814"/>
      <c r="X1" s="814">
        <v>46112</v>
      </c>
      <c r="Y1" s="814"/>
      <c r="Z1" s="814"/>
      <c r="AA1" s="814"/>
      <c r="AB1" s="814"/>
      <c r="AC1" s="814"/>
      <c r="AD1" s="814"/>
      <c r="AE1" s="814"/>
      <c r="AF1" s="814"/>
      <c r="AG1" s="814"/>
      <c r="AI1" s="814">
        <v>46142</v>
      </c>
      <c r="AJ1" s="814"/>
      <c r="AK1" s="814"/>
      <c r="AL1" s="814"/>
      <c r="AM1" s="814"/>
      <c r="AN1" s="814"/>
      <c r="AO1" s="814"/>
      <c r="AP1" s="814"/>
      <c r="AQ1" s="814"/>
      <c r="AR1" s="814"/>
      <c r="AT1" s="814">
        <v>46173</v>
      </c>
      <c r="AU1" s="814"/>
      <c r="AV1" s="814"/>
      <c r="AW1" s="814"/>
      <c r="AX1" s="814"/>
      <c r="AY1" s="814"/>
      <c r="AZ1" s="814"/>
      <c r="BA1" s="814"/>
      <c r="BB1" s="814"/>
      <c r="BC1" s="814"/>
      <c r="BE1" s="814">
        <v>46174</v>
      </c>
      <c r="BF1" s="814"/>
      <c r="BG1" s="814"/>
      <c r="BH1" s="814">
        <v>46203</v>
      </c>
      <c r="BI1" s="814"/>
      <c r="BJ1" s="814"/>
      <c r="BK1" s="814"/>
      <c r="BL1" s="814"/>
      <c r="BM1" s="814"/>
      <c r="BN1" s="814"/>
      <c r="BP1" s="814">
        <v>46204</v>
      </c>
      <c r="BQ1" s="814"/>
      <c r="BR1" s="814"/>
      <c r="BS1" s="814">
        <v>46203</v>
      </c>
      <c r="BT1" s="814"/>
      <c r="BU1" s="814"/>
      <c r="BV1" s="814"/>
      <c r="BW1" s="814"/>
      <c r="BX1" s="814"/>
      <c r="BY1" s="814"/>
      <c r="CA1" s="814">
        <v>46235</v>
      </c>
      <c r="CB1" s="814"/>
      <c r="CC1" s="814"/>
      <c r="CD1" s="814">
        <v>46203</v>
      </c>
      <c r="CE1" s="814"/>
      <c r="CF1" s="814"/>
      <c r="CG1" s="814"/>
      <c r="CH1" s="814"/>
      <c r="CI1" s="814"/>
      <c r="CJ1" s="814"/>
    </row>
    <row r="2" spans="1:88" x14ac:dyDescent="0.25">
      <c r="A2" s="820"/>
      <c r="B2" s="815"/>
      <c r="C2" s="815"/>
      <c r="D2" s="815"/>
      <c r="E2" s="815"/>
      <c r="F2" s="815"/>
      <c r="G2" s="815"/>
      <c r="H2" s="815"/>
      <c r="I2" s="815"/>
      <c r="J2" s="815"/>
      <c r="K2" s="815"/>
      <c r="M2" s="815"/>
      <c r="N2" s="815"/>
      <c r="O2" s="815"/>
      <c r="P2" s="815"/>
      <c r="Q2" s="815"/>
      <c r="R2" s="815"/>
      <c r="S2" s="815"/>
      <c r="T2" s="815"/>
      <c r="U2" s="815"/>
      <c r="V2" s="815"/>
      <c r="X2" s="815"/>
      <c r="Y2" s="815"/>
      <c r="Z2" s="815"/>
      <c r="AA2" s="815"/>
      <c r="AB2" s="815"/>
      <c r="AC2" s="815"/>
      <c r="AD2" s="815"/>
      <c r="AE2" s="815"/>
      <c r="AF2" s="815"/>
      <c r="AG2" s="815"/>
      <c r="AI2" s="815"/>
      <c r="AJ2" s="815"/>
      <c r="AK2" s="815"/>
      <c r="AL2" s="815"/>
      <c r="AM2" s="815"/>
      <c r="AN2" s="815"/>
      <c r="AO2" s="815"/>
      <c r="AP2" s="815"/>
      <c r="AQ2" s="815"/>
      <c r="AR2" s="815"/>
      <c r="AT2" s="815"/>
      <c r="AU2" s="815"/>
      <c r="AV2" s="815"/>
      <c r="AW2" s="815"/>
      <c r="AX2" s="815"/>
      <c r="AY2" s="815"/>
      <c r="AZ2" s="815"/>
      <c r="BA2" s="815"/>
      <c r="BB2" s="815"/>
      <c r="BC2" s="815"/>
      <c r="BE2" s="815"/>
      <c r="BF2" s="815"/>
      <c r="BG2" s="815"/>
      <c r="BH2" s="815"/>
      <c r="BI2" s="815"/>
      <c r="BJ2" s="815"/>
      <c r="BK2" s="815"/>
      <c r="BL2" s="815"/>
      <c r="BM2" s="815"/>
      <c r="BN2" s="815"/>
      <c r="BP2" s="815"/>
      <c r="BQ2" s="815"/>
      <c r="BR2" s="815"/>
      <c r="BS2" s="815"/>
      <c r="BT2" s="815"/>
      <c r="BU2" s="815"/>
      <c r="BV2" s="815"/>
      <c r="BW2" s="815"/>
      <c r="BX2" s="815"/>
      <c r="BY2" s="815"/>
      <c r="CA2" s="815"/>
      <c r="CB2" s="815"/>
      <c r="CC2" s="815"/>
      <c r="CD2" s="815"/>
      <c r="CE2" s="815"/>
      <c r="CF2" s="815"/>
      <c r="CG2" s="815"/>
      <c r="CH2" s="815"/>
      <c r="CI2" s="815"/>
      <c r="CJ2" s="815"/>
    </row>
    <row r="3" spans="1:88" x14ac:dyDescent="0.25">
      <c r="A3" s="357"/>
      <c r="B3" s="816" t="s">
        <v>98</v>
      </c>
      <c r="C3" s="817"/>
      <c r="D3" s="818"/>
      <c r="E3" s="816" t="s">
        <v>99</v>
      </c>
      <c r="F3" s="817"/>
      <c r="G3" s="818"/>
      <c r="H3" s="816" t="s">
        <v>100</v>
      </c>
      <c r="I3" s="817"/>
      <c r="J3" s="817"/>
      <c r="K3" s="818"/>
      <c r="M3" s="816" t="s">
        <v>98</v>
      </c>
      <c r="N3" s="817"/>
      <c r="O3" s="818"/>
      <c r="P3" s="816" t="s">
        <v>99</v>
      </c>
      <c r="Q3" s="817"/>
      <c r="R3" s="818"/>
      <c r="S3" s="816" t="s">
        <v>100</v>
      </c>
      <c r="T3" s="817"/>
      <c r="U3" s="817"/>
      <c r="V3" s="818"/>
      <c r="X3" s="816" t="s">
        <v>98</v>
      </c>
      <c r="Y3" s="817"/>
      <c r="Z3" s="818"/>
      <c r="AA3" s="816" t="s">
        <v>99</v>
      </c>
      <c r="AB3" s="817"/>
      <c r="AC3" s="818"/>
      <c r="AD3" s="816" t="s">
        <v>100</v>
      </c>
      <c r="AE3" s="817"/>
      <c r="AF3" s="817"/>
      <c r="AG3" s="818"/>
      <c r="AI3" s="816" t="s">
        <v>98</v>
      </c>
      <c r="AJ3" s="817"/>
      <c r="AK3" s="818"/>
      <c r="AL3" s="816" t="s">
        <v>99</v>
      </c>
      <c r="AM3" s="817"/>
      <c r="AN3" s="818"/>
      <c r="AO3" s="816" t="s">
        <v>100</v>
      </c>
      <c r="AP3" s="817"/>
      <c r="AQ3" s="817"/>
      <c r="AR3" s="818"/>
      <c r="AT3" s="821" t="s">
        <v>98</v>
      </c>
      <c r="AU3" s="822"/>
      <c r="AV3" s="823"/>
      <c r="AW3" s="821" t="s">
        <v>99</v>
      </c>
      <c r="AX3" s="822"/>
      <c r="AY3" s="823"/>
      <c r="AZ3" s="821" t="s">
        <v>100</v>
      </c>
      <c r="BA3" s="822"/>
      <c r="BB3" s="822"/>
      <c r="BC3" s="823"/>
      <c r="BE3" s="821" t="s">
        <v>98</v>
      </c>
      <c r="BF3" s="822"/>
      <c r="BG3" s="823"/>
      <c r="BH3" s="821" t="s">
        <v>99</v>
      </c>
      <c r="BI3" s="822"/>
      <c r="BJ3" s="823"/>
      <c r="BK3" s="821" t="s">
        <v>100</v>
      </c>
      <c r="BL3" s="822"/>
      <c r="BM3" s="822"/>
      <c r="BN3" s="204"/>
      <c r="BP3" s="811" t="s">
        <v>98</v>
      </c>
      <c r="BQ3" s="812"/>
      <c r="BR3" s="813"/>
      <c r="BS3" s="811" t="s">
        <v>99</v>
      </c>
      <c r="BT3" s="812"/>
      <c r="BU3" s="813"/>
      <c r="BV3" s="811" t="s">
        <v>100</v>
      </c>
      <c r="BW3" s="812"/>
      <c r="BX3" s="812"/>
      <c r="BY3" s="204"/>
      <c r="CA3" s="811" t="s">
        <v>98</v>
      </c>
      <c r="CB3" s="812"/>
      <c r="CC3" s="813"/>
      <c r="CD3" s="811" t="s">
        <v>99</v>
      </c>
      <c r="CE3" s="812"/>
      <c r="CF3" s="813"/>
      <c r="CG3" s="811" t="s">
        <v>100</v>
      </c>
      <c r="CH3" s="812"/>
      <c r="CI3" s="812"/>
    </row>
    <row r="4" spans="1:88" x14ac:dyDescent="0.25">
      <c r="A4" s="357"/>
      <c r="B4" s="357" t="s">
        <v>101</v>
      </c>
      <c r="C4" s="358" t="s">
        <v>102</v>
      </c>
      <c r="D4" s="361" t="s">
        <v>103</v>
      </c>
      <c r="E4" s="357" t="s">
        <v>101</v>
      </c>
      <c r="F4" s="359" t="s">
        <v>102</v>
      </c>
      <c r="G4" s="361" t="s">
        <v>103</v>
      </c>
      <c r="H4" s="357" t="s">
        <v>101</v>
      </c>
      <c r="I4" s="359" t="s">
        <v>102</v>
      </c>
      <c r="J4" s="362" t="s">
        <v>103</v>
      </c>
      <c r="K4" s="360" t="s">
        <v>104</v>
      </c>
      <c r="M4" s="357" t="s">
        <v>101</v>
      </c>
      <c r="N4" s="359" t="s">
        <v>102</v>
      </c>
      <c r="O4" s="361" t="s">
        <v>103</v>
      </c>
      <c r="P4" s="357" t="s">
        <v>101</v>
      </c>
      <c r="Q4" s="359" t="s">
        <v>102</v>
      </c>
      <c r="R4" s="361" t="s">
        <v>103</v>
      </c>
      <c r="S4" s="357" t="s">
        <v>101</v>
      </c>
      <c r="T4" s="359" t="s">
        <v>102</v>
      </c>
      <c r="U4" s="362" t="s">
        <v>103</v>
      </c>
      <c r="V4" s="360" t="s">
        <v>104</v>
      </c>
      <c r="X4" s="357" t="s">
        <v>101</v>
      </c>
      <c r="Y4" s="359" t="s">
        <v>102</v>
      </c>
      <c r="Z4" s="361" t="s">
        <v>103</v>
      </c>
      <c r="AA4" s="357" t="s">
        <v>101</v>
      </c>
      <c r="AB4" s="359" t="s">
        <v>102</v>
      </c>
      <c r="AC4" s="361" t="s">
        <v>103</v>
      </c>
      <c r="AD4" s="357" t="s">
        <v>101</v>
      </c>
      <c r="AE4" s="359" t="s">
        <v>102</v>
      </c>
      <c r="AF4" s="362" t="s">
        <v>103</v>
      </c>
      <c r="AG4" s="360" t="s">
        <v>104</v>
      </c>
      <c r="AI4" s="357" t="s">
        <v>101</v>
      </c>
      <c r="AJ4" s="359" t="s">
        <v>102</v>
      </c>
      <c r="AK4" s="361" t="s">
        <v>103</v>
      </c>
      <c r="AL4" s="357" t="s">
        <v>101</v>
      </c>
      <c r="AM4" s="359" t="s">
        <v>102</v>
      </c>
      <c r="AN4" s="361" t="s">
        <v>103</v>
      </c>
      <c r="AO4" s="357" t="s">
        <v>101</v>
      </c>
      <c r="AP4" s="359" t="s">
        <v>102</v>
      </c>
      <c r="AQ4" s="362" t="s">
        <v>103</v>
      </c>
      <c r="AR4" s="360" t="s">
        <v>104</v>
      </c>
      <c r="AT4" s="82" t="s">
        <v>101</v>
      </c>
      <c r="AU4" s="51" t="s">
        <v>102</v>
      </c>
      <c r="AV4" s="86" t="s">
        <v>103</v>
      </c>
      <c r="AW4" s="82" t="s">
        <v>101</v>
      </c>
      <c r="AX4" s="51" t="s">
        <v>102</v>
      </c>
      <c r="AY4" s="86" t="s">
        <v>103</v>
      </c>
      <c r="AZ4" s="82" t="s">
        <v>101</v>
      </c>
      <c r="BA4" s="51" t="s">
        <v>102</v>
      </c>
      <c r="BB4" s="87" t="s">
        <v>103</v>
      </c>
      <c r="BC4" s="538" t="s">
        <v>104</v>
      </c>
      <c r="BE4" s="82" t="s">
        <v>101</v>
      </c>
      <c r="BF4" s="51" t="s">
        <v>102</v>
      </c>
      <c r="BG4" s="86" t="s">
        <v>103</v>
      </c>
      <c r="BH4" s="82" t="s">
        <v>101</v>
      </c>
      <c r="BI4" s="51" t="s">
        <v>102</v>
      </c>
      <c r="BJ4" s="86" t="s">
        <v>103</v>
      </c>
      <c r="BK4" s="82" t="s">
        <v>101</v>
      </c>
      <c r="BL4" s="51" t="s">
        <v>102</v>
      </c>
      <c r="BM4" s="87" t="s">
        <v>103</v>
      </c>
      <c r="BN4" s="538" t="s">
        <v>104</v>
      </c>
      <c r="BP4" s="696" t="s">
        <v>101</v>
      </c>
      <c r="BQ4" s="697" t="s">
        <v>102</v>
      </c>
      <c r="BR4" s="699" t="s">
        <v>103</v>
      </c>
      <c r="BS4" s="696" t="s">
        <v>101</v>
      </c>
      <c r="BT4" s="697" t="s">
        <v>102</v>
      </c>
      <c r="BU4" s="699" t="s">
        <v>103</v>
      </c>
      <c r="BV4" s="696" t="s">
        <v>101</v>
      </c>
      <c r="BW4" s="697" t="s">
        <v>102</v>
      </c>
      <c r="BX4" s="700" t="s">
        <v>103</v>
      </c>
      <c r="BY4" s="698" t="s">
        <v>104</v>
      </c>
      <c r="CA4" s="696" t="s">
        <v>101</v>
      </c>
      <c r="CB4" s="697" t="s">
        <v>102</v>
      </c>
      <c r="CC4" s="699" t="s">
        <v>103</v>
      </c>
      <c r="CD4" s="696" t="s">
        <v>101</v>
      </c>
      <c r="CE4" s="697" t="s">
        <v>102</v>
      </c>
      <c r="CF4" s="699" t="s">
        <v>103</v>
      </c>
      <c r="CG4" s="696" t="s">
        <v>101</v>
      </c>
      <c r="CH4" s="697" t="s">
        <v>102</v>
      </c>
      <c r="CI4" s="700" t="s">
        <v>103</v>
      </c>
      <c r="CJ4" s="698" t="s">
        <v>104</v>
      </c>
    </row>
    <row r="5" spans="1:88" x14ac:dyDescent="0.25">
      <c r="A5" s="271" t="s">
        <v>105</v>
      </c>
      <c r="B5" s="265">
        <v>7802027.8681999985</v>
      </c>
      <c r="C5" s="266">
        <v>7701714.3278747303</v>
      </c>
      <c r="D5" s="267">
        <v>1.3024832661243213E-2</v>
      </c>
      <c r="E5" s="265">
        <v>23859887.471799992</v>
      </c>
      <c r="F5" s="266">
        <v>24532548.447623588</v>
      </c>
      <c r="G5" s="267">
        <v>-2.741912350686726E-2</v>
      </c>
      <c r="H5" s="265">
        <v>31661915.339999989</v>
      </c>
      <c r="I5" s="266">
        <v>32234262.775498319</v>
      </c>
      <c r="J5" s="267">
        <v>-1.7755871740717466E-2</v>
      </c>
      <c r="K5" s="363">
        <v>-572347.43549833074</v>
      </c>
      <c r="M5" s="364">
        <v>7098724.0639200006</v>
      </c>
      <c r="N5" s="365">
        <v>6991516.2159811109</v>
      </c>
      <c r="O5" s="301">
        <v>1.5333991172592265E-2</v>
      </c>
      <c r="P5" s="364">
        <v>23773864.136080004</v>
      </c>
      <c r="Q5" s="365">
        <v>23417972.987558749</v>
      </c>
      <c r="R5" s="301">
        <v>1.5197350714783564E-2</v>
      </c>
      <c r="S5" s="364">
        <v>30872588.200000007</v>
      </c>
      <c r="T5" s="365">
        <v>30409489.20353986</v>
      </c>
      <c r="U5" s="301">
        <v>1.5228766039458552E-2</v>
      </c>
      <c r="V5" s="366">
        <v>463098.9964601472</v>
      </c>
      <c r="X5" s="364">
        <v>7877352.9171399996</v>
      </c>
      <c r="Y5" s="365">
        <v>7759392.6523530688</v>
      </c>
      <c r="Z5" s="301">
        <v>1.52022548763735E-2</v>
      </c>
      <c r="AA5" s="364">
        <v>33774612.562860012</v>
      </c>
      <c r="AB5" s="365">
        <v>29464374.413464338</v>
      </c>
      <c r="AC5" s="301">
        <v>0.14628643014480658</v>
      </c>
      <c r="AD5" s="364">
        <v>41651965.480000012</v>
      </c>
      <c r="AE5" s="365">
        <v>37223767.065817401</v>
      </c>
      <c r="AF5" s="301">
        <v>0.11896158726635231</v>
      </c>
      <c r="AG5" s="366">
        <v>4428198.4141826108</v>
      </c>
      <c r="AI5" s="367">
        <v>7513769.6753191482</v>
      </c>
      <c r="AJ5" s="368">
        <v>7551511.9999251757</v>
      </c>
      <c r="AK5" s="301">
        <v>-4.9979824711132714E-3</v>
      </c>
      <c r="AL5" s="367">
        <v>34391853.494680852</v>
      </c>
      <c r="AM5" s="368">
        <v>27827307.230193719</v>
      </c>
      <c r="AN5" s="301">
        <v>0.23590303618613673</v>
      </c>
      <c r="AO5" s="367">
        <v>41905623.170000002</v>
      </c>
      <c r="AP5" s="368">
        <v>35378819.230118893</v>
      </c>
      <c r="AQ5" s="301">
        <v>0.18448337400488124</v>
      </c>
      <c r="AR5" s="369">
        <v>6526803.9398811087</v>
      </c>
      <c r="AT5" s="539">
        <v>7585530.3955319142</v>
      </c>
      <c r="AU5" s="540">
        <v>7837760.5070570959</v>
      </c>
      <c r="AV5" s="301">
        <v>-3.2181400707265051E-2</v>
      </c>
      <c r="AW5" s="539">
        <v>37483957.694468081</v>
      </c>
      <c r="AX5" s="540">
        <v>26639239.322199102</v>
      </c>
      <c r="AY5" s="301">
        <v>0.40709564718057933</v>
      </c>
      <c r="AZ5" s="539">
        <v>45069488.089999996</v>
      </c>
      <c r="BA5" s="540">
        <v>34476999.829256199</v>
      </c>
      <c r="BB5" s="301">
        <v>0.30723346907219318</v>
      </c>
      <c r="BC5" s="541">
        <v>10592488.260743797</v>
      </c>
      <c r="BE5" s="539">
        <v>7768119.1371399993</v>
      </c>
      <c r="BF5" s="540">
        <v>7626952.7998885429</v>
      </c>
      <c r="BG5" s="301">
        <v>1.8508877785833322E-2</v>
      </c>
      <c r="BH5" s="539">
        <v>34678251.452860005</v>
      </c>
      <c r="BI5" s="540">
        <v>29052905.883028273</v>
      </c>
      <c r="BJ5" s="301">
        <v>0.19362419692130928</v>
      </c>
      <c r="BK5" s="539">
        <v>42446370.589999996</v>
      </c>
      <c r="BL5" s="540">
        <v>36679858.682916813</v>
      </c>
      <c r="BM5" s="301">
        <v>0.15721194448791231</v>
      </c>
      <c r="BN5" s="541">
        <v>5766511.9070831835</v>
      </c>
      <c r="BP5" s="701">
        <v>7825364.1022999985</v>
      </c>
      <c r="BQ5" s="702">
        <v>7915101.693382415</v>
      </c>
      <c r="BR5" s="703">
        <v>-1.1337515872656856E-2</v>
      </c>
      <c r="BS5" s="701">
        <v>32306467.267700009</v>
      </c>
      <c r="BT5" s="702">
        <v>29113454.09883862</v>
      </c>
      <c r="BU5" s="704">
        <v>0.10967483136907363</v>
      </c>
      <c r="BV5" s="701">
        <v>40131831.369999997</v>
      </c>
      <c r="BW5" s="702">
        <v>37028555.792221032</v>
      </c>
      <c r="BX5" s="704">
        <v>8.3807632012234734E-2</v>
      </c>
      <c r="BY5" s="705">
        <v>3103275.5777789652</v>
      </c>
      <c r="CA5" s="701">
        <v>7659976.8399999989</v>
      </c>
      <c r="CB5" s="702">
        <v>7957281.7235967433</v>
      </c>
      <c r="CC5" s="703">
        <v>-3.7362618784139379E-2</v>
      </c>
      <c r="CD5" s="701">
        <v>28759886.019999996</v>
      </c>
      <c r="CE5" s="702">
        <v>29754492.423976127</v>
      </c>
      <c r="CF5" s="704">
        <v>-3.3427100345179483E-2</v>
      </c>
      <c r="CG5" s="701">
        <v>36419862.859999992</v>
      </c>
      <c r="CH5" s="702">
        <v>37711774.147572868</v>
      </c>
      <c r="CI5" s="704">
        <v>-3.4257504898003388E-2</v>
      </c>
      <c r="CJ5" s="705">
        <v>-1291911.2875728756</v>
      </c>
    </row>
    <row r="6" spans="1:88" x14ac:dyDescent="0.25">
      <c r="A6" s="208" t="s">
        <v>106</v>
      </c>
      <c r="B6" s="370">
        <v>7793026.2112999987</v>
      </c>
      <c r="C6" s="371">
        <v>7689247.7661726028</v>
      </c>
      <c r="D6" s="372">
        <v>1.3496566671183263E-2</v>
      </c>
      <c r="E6" s="373">
        <v>21036305.248699997</v>
      </c>
      <c r="F6" s="371">
        <v>21210590.399325717</v>
      </c>
      <c r="G6" s="372">
        <v>-8.2168929456702955E-3</v>
      </c>
      <c r="H6" s="370">
        <v>28829331.459999993</v>
      </c>
      <c r="I6" s="371">
        <v>28899838.16549832</v>
      </c>
      <c r="J6" s="374">
        <v>-2.4396920527568478E-3</v>
      </c>
      <c r="K6" s="375">
        <v>-70506.70549832657</v>
      </c>
      <c r="M6" s="376">
        <v>7090560.6940800007</v>
      </c>
      <c r="N6" s="377">
        <v>6979049.6542789834</v>
      </c>
      <c r="O6" s="378">
        <v>1.5977969111116375E-2</v>
      </c>
      <c r="P6" s="379">
        <v>21137848.845920004</v>
      </c>
      <c r="Q6" s="377">
        <v>20364604.924260873</v>
      </c>
      <c r="R6" s="378">
        <v>3.7969993748218744E-2</v>
      </c>
      <c r="S6" s="376">
        <v>28228409.540000007</v>
      </c>
      <c r="T6" s="377">
        <v>27343654.578539856</v>
      </c>
      <c r="U6" s="380">
        <v>3.2356865791982825E-2</v>
      </c>
      <c r="V6" s="381">
        <v>884754.96146015078</v>
      </c>
      <c r="X6" s="376">
        <v>7868473.4199999999</v>
      </c>
      <c r="Y6" s="377">
        <v>7746926.0906509412</v>
      </c>
      <c r="Z6" s="378">
        <v>1.5689749447299173E-2</v>
      </c>
      <c r="AA6" s="379">
        <v>29656160.820000008</v>
      </c>
      <c r="AB6" s="377">
        <v>26280606.350166462</v>
      </c>
      <c r="AC6" s="378">
        <v>0.12844279256183011</v>
      </c>
      <c r="AD6" s="376">
        <v>37524634.24000001</v>
      </c>
      <c r="AE6" s="377">
        <v>34027532.440817401</v>
      </c>
      <c r="AF6" s="380">
        <v>0.1027727122225206</v>
      </c>
      <c r="AG6" s="381">
        <v>3497101.7991826087</v>
      </c>
      <c r="AI6" s="376">
        <v>7505271.2199999997</v>
      </c>
      <c r="AJ6" s="377">
        <v>7539045.4382230481</v>
      </c>
      <c r="AK6" s="378">
        <v>-4.4799064417111456E-3</v>
      </c>
      <c r="AL6" s="379">
        <v>30286317.41</v>
      </c>
      <c r="AM6" s="377">
        <v>24677939.166895844</v>
      </c>
      <c r="AN6" s="378">
        <v>0.22726282795232344</v>
      </c>
      <c r="AO6" s="376">
        <v>37791588.630000003</v>
      </c>
      <c r="AP6" s="377">
        <v>32216984.605118893</v>
      </c>
      <c r="AQ6" s="380">
        <v>0.17303307845872617</v>
      </c>
      <c r="AR6" s="381">
        <v>5574604.0248811096</v>
      </c>
      <c r="AT6" s="542">
        <v>7577110.3699999992</v>
      </c>
      <c r="AU6" s="543">
        <v>7825293.9453549683</v>
      </c>
      <c r="AV6" s="544">
        <v>-3.1715559452215714E-2</v>
      </c>
      <c r="AW6" s="545">
        <v>33233799.339999996</v>
      </c>
      <c r="AX6" s="543">
        <v>23584471.258901227</v>
      </c>
      <c r="AY6" s="544">
        <v>0.40913904641626964</v>
      </c>
      <c r="AZ6" s="542">
        <v>40810909.709999993</v>
      </c>
      <c r="BA6" s="543">
        <v>31409765.204256196</v>
      </c>
      <c r="BB6" s="546">
        <v>0.29930642412028896</v>
      </c>
      <c r="BC6" s="547">
        <v>9401144.5057437979</v>
      </c>
      <c r="BE6" s="542">
        <v>7760330.1999999993</v>
      </c>
      <c r="BF6" s="543">
        <v>7614486.2381864153</v>
      </c>
      <c r="BG6" s="544">
        <v>1.9153486821235743E-2</v>
      </c>
      <c r="BH6" s="545">
        <v>29172317.560000006</v>
      </c>
      <c r="BI6" s="543">
        <v>25869137.819730397</v>
      </c>
      <c r="BJ6" s="544">
        <v>0.12768804910654086</v>
      </c>
      <c r="BK6" s="542">
        <v>36932647.760000005</v>
      </c>
      <c r="BL6" s="543">
        <v>33483624.057916813</v>
      </c>
      <c r="BM6" s="546">
        <v>0.10300628438897164</v>
      </c>
      <c r="BN6" s="547">
        <v>3449023.7020831928</v>
      </c>
      <c r="BP6" s="706">
        <v>7817377.2199999988</v>
      </c>
      <c r="BQ6" s="707">
        <v>7902635.1316802874</v>
      </c>
      <c r="BR6" s="708">
        <v>-1.0788542082438402E-2</v>
      </c>
      <c r="BS6" s="709">
        <v>27673852.200000007</v>
      </c>
      <c r="BT6" s="707">
        <v>25706086.035540745</v>
      </c>
      <c r="BU6" s="710">
        <v>7.6548649286346748E-2</v>
      </c>
      <c r="BV6" s="706">
        <v>35491229.420000002</v>
      </c>
      <c r="BW6" s="707">
        <v>33608721.167221032</v>
      </c>
      <c r="BX6" s="711">
        <v>5.6012492811389647E-2</v>
      </c>
      <c r="BY6" s="712">
        <v>1882508.2527789697</v>
      </c>
      <c r="CA6" s="706">
        <v>7659976.8399999989</v>
      </c>
      <c r="CB6" s="707">
        <v>7944815.1618946157</v>
      </c>
      <c r="CC6" s="708">
        <v>-3.58521017909611E-2</v>
      </c>
      <c r="CD6" s="709">
        <v>24000775.299999997</v>
      </c>
      <c r="CE6" s="707">
        <v>26433124.360678252</v>
      </c>
      <c r="CF6" s="710">
        <v>-9.2018976927926155E-2</v>
      </c>
      <c r="CG6" s="706">
        <v>31660752.139999997</v>
      </c>
      <c r="CH6" s="707">
        <v>34377939.522572868</v>
      </c>
      <c r="CI6" s="711">
        <v>-7.9038692263355137E-2</v>
      </c>
      <c r="CJ6" s="712">
        <v>-2717187.3825728707</v>
      </c>
    </row>
    <row r="7" spans="1:88" x14ac:dyDescent="0.25">
      <c r="A7" s="353" t="s">
        <v>107</v>
      </c>
      <c r="B7" s="370">
        <v>5986044.7899999991</v>
      </c>
      <c r="C7" s="371">
        <v>5963466.9907451728</v>
      </c>
      <c r="D7" s="372">
        <v>3.7860189869189931E-3</v>
      </c>
      <c r="E7" s="370">
        <v>17780387.049999997</v>
      </c>
      <c r="F7" s="371">
        <v>18019559.575254552</v>
      </c>
      <c r="G7" s="372">
        <v>-1.3272939566347675E-2</v>
      </c>
      <c r="H7" s="370">
        <v>23766431.839999996</v>
      </c>
      <c r="I7" s="371">
        <v>23983026.565999724</v>
      </c>
      <c r="J7" s="374">
        <v>-9.0311673300979001E-3</v>
      </c>
      <c r="K7" s="375">
        <v>-216594.72599972785</v>
      </c>
      <c r="M7" s="370">
        <v>5423105.9100000001</v>
      </c>
      <c r="N7" s="371">
        <v>5428491.0037286356</v>
      </c>
      <c r="O7" s="372">
        <v>-9.9200564667722979E-4</v>
      </c>
      <c r="P7" s="370">
        <v>17032218.530000001</v>
      </c>
      <c r="Q7" s="371">
        <v>16315715.228789408</v>
      </c>
      <c r="R7" s="372">
        <v>4.3914918295846928E-2</v>
      </c>
      <c r="S7" s="370">
        <v>22455324.440000001</v>
      </c>
      <c r="T7" s="371">
        <v>21744206.232518043</v>
      </c>
      <c r="U7" s="374">
        <v>3.2703801641583707E-2</v>
      </c>
      <c r="V7" s="375">
        <v>711118.20748195797</v>
      </c>
      <c r="X7" s="370">
        <v>6041460.75</v>
      </c>
      <c r="Y7" s="371">
        <v>6046154.6488325596</v>
      </c>
      <c r="Z7" s="372">
        <v>-7.7634448756047636E-4</v>
      </c>
      <c r="AA7" s="370">
        <v>21983325.100000009</v>
      </c>
      <c r="AB7" s="371">
        <v>20556771.502015632</v>
      </c>
      <c r="AC7" s="372">
        <v>6.939579971711507E-2</v>
      </c>
      <c r="AD7" s="370">
        <v>28024785.850000009</v>
      </c>
      <c r="AE7" s="371">
        <v>26602926.150848191</v>
      </c>
      <c r="AF7" s="374">
        <v>5.3447492621276238E-2</v>
      </c>
      <c r="AG7" s="375">
        <v>1421859.6991518177</v>
      </c>
      <c r="AI7" s="370">
        <v>5722335.46</v>
      </c>
      <c r="AJ7" s="371">
        <v>5903016.4486825932</v>
      </c>
      <c r="AK7" s="372">
        <v>-3.0608247538073008E-2</v>
      </c>
      <c r="AL7" s="370">
        <v>18968831.800000001</v>
      </c>
      <c r="AM7" s="371">
        <v>19154707.104258157</v>
      </c>
      <c r="AN7" s="372">
        <v>-9.7038969714570156E-3</v>
      </c>
      <c r="AO7" s="370">
        <v>24691167.260000002</v>
      </c>
      <c r="AP7" s="371">
        <v>25057723.552940749</v>
      </c>
      <c r="AQ7" s="374">
        <v>-1.4628475414628306E-2</v>
      </c>
      <c r="AR7" s="375">
        <v>-366556.29294074699</v>
      </c>
      <c r="AT7" s="220">
        <v>5720927.6199999992</v>
      </c>
      <c r="AU7" s="209">
        <v>6147095.4900184721</v>
      </c>
      <c r="AV7" s="219">
        <v>-6.9328330869509958E-2</v>
      </c>
      <c r="AW7" s="220">
        <v>20864074.019999996</v>
      </c>
      <c r="AX7" s="209">
        <v>18901931.899517145</v>
      </c>
      <c r="AY7" s="219">
        <v>0.1038064326394581</v>
      </c>
      <c r="AZ7" s="220">
        <v>26585001.639999993</v>
      </c>
      <c r="BA7" s="209">
        <v>25049027.389535617</v>
      </c>
      <c r="BB7" s="548">
        <v>6.1318718151349705E-2</v>
      </c>
      <c r="BC7" s="229">
        <v>1535974.2504643761</v>
      </c>
      <c r="BE7" s="220">
        <v>5951734.3899999997</v>
      </c>
      <c r="BF7" s="209">
        <v>6000520.7734480584</v>
      </c>
      <c r="BG7" s="219">
        <v>-8.1303582288949627E-3</v>
      </c>
      <c r="BH7" s="220">
        <v>18927414.050000008</v>
      </c>
      <c r="BI7" s="209">
        <v>20741536.671389613</v>
      </c>
      <c r="BJ7" s="219">
        <v>-8.7463269965525892E-2</v>
      </c>
      <c r="BK7" s="220">
        <v>24879148.440000009</v>
      </c>
      <c r="BL7" s="209">
        <v>26742057.444837671</v>
      </c>
      <c r="BM7" s="548">
        <v>-6.9662142065186616E-2</v>
      </c>
      <c r="BN7" s="229">
        <v>-1862909.004837662</v>
      </c>
      <c r="BP7" s="713">
        <v>5950868.3099999987</v>
      </c>
      <c r="BQ7" s="714">
        <v>6247546.9930911092</v>
      </c>
      <c r="BR7" s="715">
        <v>-4.7487227133976684E-2</v>
      </c>
      <c r="BS7" s="713">
        <v>21589769.150000006</v>
      </c>
      <c r="BT7" s="714">
        <v>20594778.324638251</v>
      </c>
      <c r="BU7" s="716">
        <v>4.8312771794752019E-2</v>
      </c>
      <c r="BV7" s="713">
        <v>27540637.460000005</v>
      </c>
      <c r="BW7" s="714">
        <v>26842325.317729361</v>
      </c>
      <c r="BX7" s="717">
        <v>2.6015337121684023E-2</v>
      </c>
      <c r="BY7" s="718">
        <v>698312.14227064326</v>
      </c>
      <c r="CA7" s="713">
        <v>5808125.9499999993</v>
      </c>
      <c r="CB7" s="714">
        <v>6300778.3862424744</v>
      </c>
      <c r="CC7" s="715">
        <v>-7.8189138871820107E-2</v>
      </c>
      <c r="CD7" s="713">
        <v>22603098.629999999</v>
      </c>
      <c r="CE7" s="714">
        <v>21164553.12604887</v>
      </c>
      <c r="CF7" s="716">
        <v>6.7969566632644751E-2</v>
      </c>
      <c r="CG7" s="713">
        <v>28411224.579999998</v>
      </c>
      <c r="CH7" s="714">
        <v>27465331.512291346</v>
      </c>
      <c r="CI7" s="717">
        <v>3.4439528511984063E-2</v>
      </c>
      <c r="CJ7" s="718">
        <v>945893.06770865247</v>
      </c>
    </row>
    <row r="8" spans="1:88" ht="15" hidden="1" customHeight="1" x14ac:dyDescent="0.25">
      <c r="A8" s="353"/>
      <c r="B8" s="370"/>
      <c r="C8" s="371"/>
      <c r="D8" s="372"/>
      <c r="E8" s="370"/>
      <c r="F8" s="371"/>
      <c r="G8" s="372"/>
      <c r="H8" s="370"/>
      <c r="I8" s="371"/>
      <c r="J8" s="374"/>
      <c r="K8" s="375"/>
      <c r="M8" s="370"/>
      <c r="N8" s="371"/>
      <c r="O8" s="372"/>
      <c r="P8" s="382"/>
      <c r="Q8" s="383"/>
      <c r="R8" s="384"/>
      <c r="S8" s="370"/>
      <c r="T8" s="371"/>
      <c r="U8" s="374"/>
      <c r="V8" s="375"/>
      <c r="X8" s="370"/>
      <c r="Y8" s="371"/>
      <c r="Z8" s="372"/>
      <c r="AA8" s="370"/>
      <c r="AB8" s="371"/>
      <c r="AC8" s="372"/>
      <c r="AD8" s="370"/>
      <c r="AE8" s="371"/>
      <c r="AF8" s="374"/>
      <c r="AG8" s="375"/>
      <c r="AI8" s="385"/>
      <c r="AJ8" s="386"/>
      <c r="AK8" s="387"/>
      <c r="AL8" s="385"/>
      <c r="AM8" s="386"/>
      <c r="AN8" s="387"/>
      <c r="AO8" s="385"/>
      <c r="AP8" s="386"/>
      <c r="AQ8" s="388"/>
      <c r="AR8" s="389"/>
      <c r="AT8" s="549"/>
      <c r="AU8" s="550"/>
      <c r="AV8" s="551"/>
      <c r="AW8" s="549"/>
      <c r="AX8" s="550"/>
      <c r="AY8" s="551"/>
      <c r="AZ8" s="549"/>
      <c r="BA8" s="550"/>
      <c r="BB8" s="552"/>
      <c r="BC8" s="553"/>
      <c r="BE8" s="549"/>
      <c r="BF8" s="550"/>
      <c r="BG8" s="551"/>
      <c r="BH8" s="549"/>
      <c r="BI8" s="550"/>
      <c r="BJ8" s="551"/>
      <c r="BK8" s="549"/>
      <c r="BL8" s="550"/>
      <c r="BM8" s="552"/>
      <c r="BN8" s="553"/>
      <c r="BP8" s="713"/>
      <c r="BQ8" s="714"/>
      <c r="BR8" s="716"/>
      <c r="BS8" s="713"/>
      <c r="BT8" s="714"/>
      <c r="BU8" s="716"/>
      <c r="BV8" s="713"/>
      <c r="BW8" s="714"/>
      <c r="BX8" s="717"/>
      <c r="BY8" s="718"/>
      <c r="CA8" s="713"/>
      <c r="CB8" s="714"/>
      <c r="CC8" s="716"/>
      <c r="CD8" s="713"/>
      <c r="CE8" s="714"/>
      <c r="CF8" s="716"/>
      <c r="CG8" s="713"/>
      <c r="CH8" s="714"/>
      <c r="CI8" s="717"/>
      <c r="CJ8" s="718"/>
    </row>
    <row r="9" spans="1:88" ht="15" hidden="1" customHeight="1" x14ac:dyDescent="0.25">
      <c r="A9" s="353"/>
      <c r="B9" s="370"/>
      <c r="C9" s="371"/>
      <c r="D9" s="372"/>
      <c r="E9" s="370"/>
      <c r="F9" s="371"/>
      <c r="G9" s="372"/>
      <c r="H9" s="370"/>
      <c r="I9" s="371"/>
      <c r="J9" s="374"/>
      <c r="K9" s="375"/>
      <c r="M9" s="370"/>
      <c r="N9" s="371"/>
      <c r="O9" s="372"/>
      <c r="P9" s="382"/>
      <c r="Q9" s="383"/>
      <c r="R9" s="384"/>
      <c r="S9" s="370"/>
      <c r="T9" s="371"/>
      <c r="U9" s="374"/>
      <c r="V9" s="375"/>
      <c r="X9" s="370"/>
      <c r="Y9" s="371"/>
      <c r="Z9" s="372"/>
      <c r="AA9" s="370"/>
      <c r="AB9" s="371"/>
      <c r="AC9" s="372"/>
      <c r="AD9" s="370"/>
      <c r="AE9" s="371"/>
      <c r="AF9" s="374"/>
      <c r="AG9" s="375"/>
      <c r="AI9" s="385"/>
      <c r="AJ9" s="386"/>
      <c r="AK9" s="387"/>
      <c r="AL9" s="385"/>
      <c r="AM9" s="386"/>
      <c r="AN9" s="387"/>
      <c r="AO9" s="385"/>
      <c r="AP9" s="386"/>
      <c r="AQ9" s="388"/>
      <c r="AR9" s="389"/>
      <c r="AT9" s="549"/>
      <c r="AU9" s="550"/>
      <c r="AV9" s="551"/>
      <c r="AW9" s="549"/>
      <c r="AX9" s="550"/>
      <c r="AY9" s="551"/>
      <c r="AZ9" s="549"/>
      <c r="BA9" s="550"/>
      <c r="BB9" s="552"/>
      <c r="BC9" s="553"/>
      <c r="BE9" s="549"/>
      <c r="BF9" s="550"/>
      <c r="BG9" s="551"/>
      <c r="BH9" s="549"/>
      <c r="BI9" s="550"/>
      <c r="BJ9" s="551"/>
      <c r="BK9" s="549"/>
      <c r="BL9" s="550"/>
      <c r="BM9" s="552"/>
      <c r="BN9" s="553"/>
      <c r="BP9" s="713"/>
      <c r="BQ9" s="714"/>
      <c r="BR9" s="716"/>
      <c r="BS9" s="713"/>
      <c r="BT9" s="714"/>
      <c r="BU9" s="716"/>
      <c r="BV9" s="713"/>
      <c r="BW9" s="714"/>
      <c r="BX9" s="717"/>
      <c r="BY9" s="718"/>
      <c r="CA9" s="713"/>
      <c r="CB9" s="714"/>
      <c r="CC9" s="716"/>
      <c r="CD9" s="713"/>
      <c r="CE9" s="714"/>
      <c r="CF9" s="716"/>
      <c r="CG9" s="713"/>
      <c r="CH9" s="714"/>
      <c r="CI9" s="717"/>
      <c r="CJ9" s="718"/>
    </row>
    <row r="10" spans="1:88" x14ac:dyDescent="0.25">
      <c r="A10" s="353" t="s">
        <v>108</v>
      </c>
      <c r="B10" s="370">
        <v>0</v>
      </c>
      <c r="C10" s="371">
        <v>0</v>
      </c>
      <c r="D10" s="372" t="s">
        <v>181</v>
      </c>
      <c r="E10" s="370">
        <v>2865754.81</v>
      </c>
      <c r="F10" s="371">
        <v>2790874.0894744704</v>
      </c>
      <c r="G10" s="372">
        <v>2.6830562083734133E-2</v>
      </c>
      <c r="H10" s="370">
        <v>2865754.81</v>
      </c>
      <c r="I10" s="371">
        <v>2790874.0894744704</v>
      </c>
      <c r="J10" s="374">
        <v>2.6830562083734133E-2</v>
      </c>
      <c r="K10" s="375">
        <v>74880.720525529701</v>
      </c>
      <c r="M10" s="370">
        <v>0</v>
      </c>
      <c r="N10" s="371">
        <v>0</v>
      </c>
      <c r="O10" s="372" t="s">
        <v>181</v>
      </c>
      <c r="P10" s="370">
        <v>3752222.66</v>
      </c>
      <c r="Q10" s="371">
        <v>3641713.1403544517</v>
      </c>
      <c r="R10" s="372">
        <v>3.0345476259778126E-2</v>
      </c>
      <c r="S10" s="370">
        <v>3752222.66</v>
      </c>
      <c r="T10" s="371">
        <v>3641713.1403544517</v>
      </c>
      <c r="U10" s="374">
        <v>3.0345476259778126E-2</v>
      </c>
      <c r="V10" s="375">
        <v>110509.51964554843</v>
      </c>
      <c r="X10" s="370">
        <v>0</v>
      </c>
      <c r="Y10" s="371">
        <v>0</v>
      </c>
      <c r="Z10" s="372" t="s">
        <v>181</v>
      </c>
      <c r="AA10" s="370">
        <v>7200722.3600000003</v>
      </c>
      <c r="AB10" s="371">
        <v>5309468.9457147149</v>
      </c>
      <c r="AC10" s="372">
        <v>0.35620387530691189</v>
      </c>
      <c r="AD10" s="370">
        <v>7200722.3600000003</v>
      </c>
      <c r="AE10" s="371">
        <v>5309468.9457147149</v>
      </c>
      <c r="AF10" s="374">
        <v>0.35620387530691189</v>
      </c>
      <c r="AG10" s="375">
        <v>1891253.4142852854</v>
      </c>
      <c r="AI10" s="370">
        <v>0</v>
      </c>
      <c r="AJ10" s="371">
        <v>0</v>
      </c>
      <c r="AK10" s="372" t="s">
        <v>181</v>
      </c>
      <c r="AL10" s="370">
        <v>10881663.299999999</v>
      </c>
      <c r="AM10" s="371">
        <v>5098166.9339807034</v>
      </c>
      <c r="AN10" s="372">
        <v>1.134426636262277</v>
      </c>
      <c r="AO10" s="370">
        <v>10881663.299999999</v>
      </c>
      <c r="AP10" s="371">
        <v>5098166.9339807034</v>
      </c>
      <c r="AQ10" s="374">
        <v>1.134426636262277</v>
      </c>
      <c r="AR10" s="375">
        <v>5783496.3660192955</v>
      </c>
      <c r="AT10" s="220">
        <v>0</v>
      </c>
      <c r="AU10" s="209">
        <v>0</v>
      </c>
      <c r="AV10" s="219" t="s">
        <v>181</v>
      </c>
      <c r="AW10" s="220">
        <v>11873778.489999998</v>
      </c>
      <c r="AX10" s="209">
        <v>4248792.4781685881</v>
      </c>
      <c r="AY10" s="219">
        <v>1.794624249362752</v>
      </c>
      <c r="AZ10" s="220">
        <v>11873778.489999998</v>
      </c>
      <c r="BA10" s="209">
        <v>4248792.4781685881</v>
      </c>
      <c r="BB10" s="548">
        <v>1.794624249362752</v>
      </c>
      <c r="BC10" s="229">
        <v>7624986.0118314102</v>
      </c>
      <c r="BE10" s="220">
        <v>0</v>
      </c>
      <c r="BF10" s="209">
        <v>0</v>
      </c>
      <c r="BG10" s="219" t="s">
        <v>181</v>
      </c>
      <c r="BH10" s="220">
        <v>9615604.3699999992</v>
      </c>
      <c r="BI10" s="209">
        <v>4701364.9608222144</v>
      </c>
      <c r="BJ10" s="219">
        <v>1.0452792859370654</v>
      </c>
      <c r="BK10" s="220">
        <v>9615604.3699999992</v>
      </c>
      <c r="BL10" s="209">
        <v>4701364.9608222144</v>
      </c>
      <c r="BM10" s="548">
        <v>1.0452792859370654</v>
      </c>
      <c r="BN10" s="229">
        <v>4914239.4091777848</v>
      </c>
      <c r="BP10" s="713">
        <v>0</v>
      </c>
      <c r="BQ10" s="714">
        <v>0</v>
      </c>
      <c r="BR10" s="716" t="s">
        <v>181</v>
      </c>
      <c r="BS10" s="713">
        <v>5589199.1300000008</v>
      </c>
      <c r="BT10" s="714">
        <v>4675672.4180170363</v>
      </c>
      <c r="BU10" s="716">
        <v>0.19537868146254644</v>
      </c>
      <c r="BV10" s="713">
        <v>5589199.1300000008</v>
      </c>
      <c r="BW10" s="714">
        <v>4675672.4180170363</v>
      </c>
      <c r="BX10" s="717">
        <v>0.19537868146254644</v>
      </c>
      <c r="BY10" s="718">
        <v>913526.71198296454</v>
      </c>
      <c r="CA10" s="713">
        <v>0</v>
      </c>
      <c r="CB10" s="714">
        <v>0</v>
      </c>
      <c r="CC10" s="716" t="s">
        <v>181</v>
      </c>
      <c r="CD10" s="713">
        <v>729854.06000000029</v>
      </c>
      <c r="CE10" s="714">
        <v>4821979.4504415914</v>
      </c>
      <c r="CF10" s="716">
        <v>-0.84864015545873772</v>
      </c>
      <c r="CG10" s="713">
        <v>729854.06000000029</v>
      </c>
      <c r="CH10" s="714">
        <v>4821979.4504415914</v>
      </c>
      <c r="CI10" s="717">
        <v>-0.84864015545873772</v>
      </c>
      <c r="CJ10" s="718">
        <v>-4092125.3904415909</v>
      </c>
    </row>
    <row r="11" spans="1:88" x14ac:dyDescent="0.25">
      <c r="A11" s="353" t="s">
        <v>109</v>
      </c>
      <c r="B11" s="370">
        <v>0</v>
      </c>
      <c r="C11" s="371">
        <v>0</v>
      </c>
      <c r="D11" s="372" t="s">
        <v>181</v>
      </c>
      <c r="E11" s="370">
        <v>348775.08999999997</v>
      </c>
      <c r="F11" s="371">
        <v>358704.26651159039</v>
      </c>
      <c r="G11" s="372">
        <v>-2.7680675806150745E-2</v>
      </c>
      <c r="H11" s="370">
        <v>348775.08999999997</v>
      </c>
      <c r="I11" s="371">
        <v>358704.26651159039</v>
      </c>
      <c r="J11" s="374">
        <v>-2.7680675806150745E-2</v>
      </c>
      <c r="K11" s="375">
        <v>-9929.1765115904273</v>
      </c>
      <c r="M11" s="370">
        <v>0</v>
      </c>
      <c r="N11" s="371">
        <v>0</v>
      </c>
      <c r="O11" s="372" t="s">
        <v>181</v>
      </c>
      <c r="P11" s="370">
        <v>312401.05</v>
      </c>
      <c r="Q11" s="371">
        <v>365724.08703190682</v>
      </c>
      <c r="R11" s="372">
        <v>-0.14580127184036085</v>
      </c>
      <c r="S11" s="370">
        <v>312401.05</v>
      </c>
      <c r="T11" s="371">
        <v>365724.08703190682</v>
      </c>
      <c r="U11" s="374">
        <v>-0.14580127184036085</v>
      </c>
      <c r="V11" s="375">
        <v>-53323.037031906832</v>
      </c>
      <c r="X11" s="370">
        <v>0</v>
      </c>
      <c r="Y11" s="371">
        <v>0</v>
      </c>
      <c r="Z11" s="372" t="s">
        <v>181</v>
      </c>
      <c r="AA11" s="370">
        <v>394865.93000000011</v>
      </c>
      <c r="AB11" s="371">
        <v>372913.43435100798</v>
      </c>
      <c r="AC11" s="372">
        <v>5.8867537682563587E-2</v>
      </c>
      <c r="AD11" s="370">
        <v>394865.93000000011</v>
      </c>
      <c r="AE11" s="371">
        <v>372913.43435100798</v>
      </c>
      <c r="AF11" s="374">
        <v>5.8867537682563587E-2</v>
      </c>
      <c r="AG11" s="375">
        <v>21952.495648992131</v>
      </c>
      <c r="AI11" s="370">
        <v>0</v>
      </c>
      <c r="AJ11" s="371">
        <v>0</v>
      </c>
      <c r="AK11" s="372" t="s">
        <v>181</v>
      </c>
      <c r="AL11" s="370">
        <v>370357.59</v>
      </c>
      <c r="AM11" s="371">
        <v>383612.66057187744</v>
      </c>
      <c r="AN11" s="372">
        <v>-3.4553266704277164E-2</v>
      </c>
      <c r="AO11" s="370">
        <v>370357.59</v>
      </c>
      <c r="AP11" s="371">
        <v>383612.66057187744</v>
      </c>
      <c r="AQ11" s="374">
        <v>-3.4553266704277164E-2</v>
      </c>
      <c r="AR11" s="375">
        <v>-13255.070571877412</v>
      </c>
      <c r="AT11" s="220">
        <v>0</v>
      </c>
      <c r="AU11" s="209">
        <v>0</v>
      </c>
      <c r="AV11" s="219" t="s">
        <v>181</v>
      </c>
      <c r="AW11" s="220">
        <v>420468.09999999986</v>
      </c>
      <c r="AX11" s="209">
        <v>392294.41313038685</v>
      </c>
      <c r="AY11" s="219">
        <v>7.1817711205203638E-2</v>
      </c>
      <c r="AZ11" s="220">
        <v>420468.09999999986</v>
      </c>
      <c r="BA11" s="209">
        <v>392294.41313038685</v>
      </c>
      <c r="BB11" s="548">
        <v>7.1817711205203638E-2</v>
      </c>
      <c r="BC11" s="229">
        <v>28173.686869613011</v>
      </c>
      <c r="BE11" s="220">
        <v>0</v>
      </c>
      <c r="BF11" s="209">
        <v>0</v>
      </c>
      <c r="BG11" s="219" t="s">
        <v>181</v>
      </c>
      <c r="BH11" s="220">
        <v>560900.65</v>
      </c>
      <c r="BI11" s="209">
        <v>384783.71943346399</v>
      </c>
      <c r="BJ11" s="219">
        <v>0.4577036960551284</v>
      </c>
      <c r="BK11" s="220">
        <v>560900.65</v>
      </c>
      <c r="BL11" s="209">
        <v>384783.71943346399</v>
      </c>
      <c r="BM11" s="548">
        <v>0.4577036960551284</v>
      </c>
      <c r="BN11" s="229">
        <v>176116.93056653603</v>
      </c>
      <c r="BP11" s="713">
        <v>0</v>
      </c>
      <c r="BQ11" s="714">
        <v>0</v>
      </c>
      <c r="BR11" s="716" t="s">
        <v>181</v>
      </c>
      <c r="BS11" s="713">
        <v>425490.78999999992</v>
      </c>
      <c r="BT11" s="714">
        <v>394182.82480034849</v>
      </c>
      <c r="BU11" s="716">
        <v>7.9424985640885737E-2</v>
      </c>
      <c r="BV11" s="713">
        <v>425490.78999999992</v>
      </c>
      <c r="BW11" s="714">
        <v>394182.82480034849</v>
      </c>
      <c r="BX11" s="717">
        <v>7.9424985640885737E-2</v>
      </c>
      <c r="BY11" s="718">
        <v>31307.965199651429</v>
      </c>
      <c r="CA11" s="713">
        <v>0</v>
      </c>
      <c r="CB11" s="714">
        <v>0</v>
      </c>
      <c r="CC11" s="716" t="s">
        <v>181</v>
      </c>
      <c r="CD11" s="713">
        <v>602666.69999999995</v>
      </c>
      <c r="CE11" s="714">
        <v>405139.31610268215</v>
      </c>
      <c r="CF11" s="716">
        <v>0.48755422158844408</v>
      </c>
      <c r="CG11" s="713">
        <v>602666.69999999995</v>
      </c>
      <c r="CH11" s="714">
        <v>405139.31610268215</v>
      </c>
      <c r="CI11" s="717">
        <v>0.48755422158844408</v>
      </c>
      <c r="CJ11" s="718">
        <v>197527.38389731781</v>
      </c>
    </row>
    <row r="12" spans="1:88" x14ac:dyDescent="0.25">
      <c r="A12" s="353" t="s">
        <v>110</v>
      </c>
      <c r="B12" s="370">
        <v>1806981.4213</v>
      </c>
      <c r="C12" s="371">
        <v>1725780.7754274297</v>
      </c>
      <c r="D12" s="372">
        <v>4.7051541556579979E-2</v>
      </c>
      <c r="E12" s="370">
        <v>41388.298699999999</v>
      </c>
      <c r="F12" s="371">
        <v>41452.468085106389</v>
      </c>
      <c r="G12" s="372">
        <v>-1.54802326787018E-3</v>
      </c>
      <c r="H12" s="370">
        <v>1848369.72</v>
      </c>
      <c r="I12" s="371">
        <v>1767233.2435125362</v>
      </c>
      <c r="J12" s="374">
        <v>4.5911583423022151E-2</v>
      </c>
      <c r="K12" s="375">
        <v>81136.476487463806</v>
      </c>
      <c r="M12" s="370">
        <v>1667454.7840800001</v>
      </c>
      <c r="N12" s="371">
        <v>1550558.650550348</v>
      </c>
      <c r="O12" s="372">
        <v>7.5389688412083933E-2</v>
      </c>
      <c r="P12" s="370">
        <v>41006.605920000002</v>
      </c>
      <c r="Q12" s="371">
        <v>41452.468085106389</v>
      </c>
      <c r="R12" s="372">
        <v>-1.0755985969061799E-2</v>
      </c>
      <c r="S12" s="370">
        <v>1708461.3900000001</v>
      </c>
      <c r="T12" s="371">
        <v>1592011.1186354544</v>
      </c>
      <c r="U12" s="374">
        <v>7.3146644518637283E-2</v>
      </c>
      <c r="V12" s="375">
        <v>116450.27136454568</v>
      </c>
      <c r="X12" s="370">
        <v>1827012.67</v>
      </c>
      <c r="Y12" s="371">
        <v>1700771.4418183819</v>
      </c>
      <c r="Z12" s="372">
        <v>7.4225863086369248E-2</v>
      </c>
      <c r="AA12" s="370">
        <v>77247.429999999993</v>
      </c>
      <c r="AB12" s="371">
        <v>41452.468085106389</v>
      </c>
      <c r="AC12" s="372">
        <v>0.86351823108343484</v>
      </c>
      <c r="AD12" s="370">
        <v>1904260.0999999999</v>
      </c>
      <c r="AE12" s="371">
        <v>1742223.9099034884</v>
      </c>
      <c r="AF12" s="374">
        <v>9.3005376160569142E-2</v>
      </c>
      <c r="AG12" s="375">
        <v>162036.19009651151</v>
      </c>
      <c r="AI12" s="370">
        <v>1782935.7599999998</v>
      </c>
      <c r="AJ12" s="371">
        <v>1636028.9895404547</v>
      </c>
      <c r="AK12" s="372">
        <v>8.9794723320159475E-2</v>
      </c>
      <c r="AL12" s="370">
        <v>65464.72</v>
      </c>
      <c r="AM12" s="371">
        <v>41452.468085106389</v>
      </c>
      <c r="AN12" s="372">
        <v>0.57927194746507893</v>
      </c>
      <c r="AO12" s="370">
        <v>1848400.4799999997</v>
      </c>
      <c r="AP12" s="371">
        <v>1677481.4576255612</v>
      </c>
      <c r="AQ12" s="374">
        <v>0.10189026030509507</v>
      </c>
      <c r="AR12" s="375">
        <v>170919.02237443859</v>
      </c>
      <c r="AT12" s="220">
        <v>1856182.7500000002</v>
      </c>
      <c r="AU12" s="209">
        <v>1678198.4553364958</v>
      </c>
      <c r="AV12" s="219">
        <v>0.10605676229621896</v>
      </c>
      <c r="AW12" s="220">
        <v>75478.73000000001</v>
      </c>
      <c r="AX12" s="209">
        <v>41452.468085106389</v>
      </c>
      <c r="AY12" s="219">
        <v>0.82085008412608951</v>
      </c>
      <c r="AZ12" s="220">
        <v>1931661.4800000002</v>
      </c>
      <c r="BA12" s="209">
        <v>1719650.9234216022</v>
      </c>
      <c r="BB12" s="548">
        <v>0.123286972775009</v>
      </c>
      <c r="BC12" s="229">
        <v>212010.55657839798</v>
      </c>
      <c r="BE12" s="220">
        <v>1808595.81</v>
      </c>
      <c r="BF12" s="209">
        <v>1613965.4647383571</v>
      </c>
      <c r="BG12" s="219">
        <v>0.12059139400061136</v>
      </c>
      <c r="BH12" s="220">
        <v>68398.490000000005</v>
      </c>
      <c r="BI12" s="209">
        <v>41452.468085106389</v>
      </c>
      <c r="BJ12" s="219">
        <v>0.65004626165010304</v>
      </c>
      <c r="BK12" s="220">
        <v>1876994.3</v>
      </c>
      <c r="BL12" s="209">
        <v>1655417.9328234636</v>
      </c>
      <c r="BM12" s="548">
        <v>0.13384920072637985</v>
      </c>
      <c r="BN12" s="229">
        <v>221576.36717653647</v>
      </c>
      <c r="BP12" s="713">
        <v>1866508.9099999997</v>
      </c>
      <c r="BQ12" s="714">
        <v>1655088.138589178</v>
      </c>
      <c r="BR12" s="716">
        <v>0.12773988676581283</v>
      </c>
      <c r="BS12" s="713">
        <v>69393.13</v>
      </c>
      <c r="BT12" s="714">
        <v>41452.468085106389</v>
      </c>
      <c r="BU12" s="716">
        <v>0.67404097284457043</v>
      </c>
      <c r="BV12" s="713">
        <v>1935902.0399999996</v>
      </c>
      <c r="BW12" s="714">
        <v>1696540.6066742844</v>
      </c>
      <c r="BX12" s="717">
        <v>0.14108794825426174</v>
      </c>
      <c r="BY12" s="718">
        <v>239361.43332571513</v>
      </c>
      <c r="CA12" s="713">
        <v>1851850.89</v>
      </c>
      <c r="CB12" s="714">
        <v>1644036.7756521411</v>
      </c>
      <c r="CC12" s="716">
        <v>0.12640478450697978</v>
      </c>
      <c r="CD12" s="713">
        <v>65155.91</v>
      </c>
      <c r="CE12" s="714">
        <v>41452.468085106389</v>
      </c>
      <c r="CF12" s="716">
        <v>0.57182221010888634</v>
      </c>
      <c r="CG12" s="713">
        <v>1917006.7999999998</v>
      </c>
      <c r="CH12" s="714">
        <v>1685489.2437372475</v>
      </c>
      <c r="CI12" s="717">
        <v>0.13735926059629233</v>
      </c>
      <c r="CJ12" s="718">
        <v>231517.55626275227</v>
      </c>
    </row>
    <row r="13" spans="1:88" x14ac:dyDescent="0.25">
      <c r="A13" s="353" t="s">
        <v>111</v>
      </c>
      <c r="B13" s="370">
        <v>0</v>
      </c>
      <c r="C13" s="371">
        <v>0</v>
      </c>
      <c r="D13" s="372" t="s">
        <v>181</v>
      </c>
      <c r="E13" s="370">
        <v>1148925.0399999998</v>
      </c>
      <c r="F13" s="371">
        <v>1642600</v>
      </c>
      <c r="G13" s="372">
        <v>-0.30054484354072819</v>
      </c>
      <c r="H13" s="370">
        <v>1148925.0399999998</v>
      </c>
      <c r="I13" s="371">
        <v>1642600</v>
      </c>
      <c r="J13" s="374">
        <v>-0.30054484354072819</v>
      </c>
      <c r="K13" s="375">
        <v>-493674.9600000002</v>
      </c>
      <c r="M13" s="370">
        <v>0</v>
      </c>
      <c r="N13" s="371">
        <v>0</v>
      </c>
      <c r="O13" s="372" t="s">
        <v>181</v>
      </c>
      <c r="P13" s="370">
        <v>1421204.04</v>
      </c>
      <c r="Q13" s="371">
        <v>1591000</v>
      </c>
      <c r="R13" s="372">
        <v>-0.10672279069767443</v>
      </c>
      <c r="S13" s="370">
        <v>1421204.04</v>
      </c>
      <c r="T13" s="371">
        <v>1591000</v>
      </c>
      <c r="U13" s="374">
        <v>-0.10672279069767443</v>
      </c>
      <c r="V13" s="375">
        <v>-169795.95999999996</v>
      </c>
      <c r="X13" s="370">
        <v>0</v>
      </c>
      <c r="Y13" s="371">
        <v>0</v>
      </c>
      <c r="Z13" s="372" t="s">
        <v>181</v>
      </c>
      <c r="AA13" s="370">
        <v>2558364.5600000061</v>
      </c>
      <c r="AB13" s="371">
        <v>1754400</v>
      </c>
      <c r="AC13" s="372">
        <v>0.45825613315093827</v>
      </c>
      <c r="AD13" s="370">
        <v>2558364.5600000061</v>
      </c>
      <c r="AE13" s="371">
        <v>1754400</v>
      </c>
      <c r="AF13" s="374">
        <v>0.45825613315093827</v>
      </c>
      <c r="AG13" s="375">
        <v>803964.56000000611</v>
      </c>
      <c r="AI13" s="370">
        <v>0</v>
      </c>
      <c r="AJ13" s="371">
        <v>0</v>
      </c>
      <c r="AK13" s="372" t="s">
        <v>181</v>
      </c>
      <c r="AL13" s="370">
        <v>1909358.25</v>
      </c>
      <c r="AM13" s="371">
        <v>1720000</v>
      </c>
      <c r="AN13" s="372">
        <v>0.1100920058139534</v>
      </c>
      <c r="AO13" s="370">
        <v>1909358.25</v>
      </c>
      <c r="AP13" s="371">
        <v>1720000</v>
      </c>
      <c r="AQ13" s="374">
        <v>0.1100920058139534</v>
      </c>
      <c r="AR13" s="375">
        <v>189358.25</v>
      </c>
      <c r="AT13" s="220">
        <v>0</v>
      </c>
      <c r="AU13" s="209">
        <v>0</v>
      </c>
      <c r="AV13" s="219" t="s">
        <v>181</v>
      </c>
      <c r="AW13" s="220">
        <v>2264503.3699999992</v>
      </c>
      <c r="AX13" s="209">
        <v>1625400</v>
      </c>
      <c r="AY13" s="219">
        <v>0.3931975944382915</v>
      </c>
      <c r="AZ13" s="220">
        <v>2264503.3699999992</v>
      </c>
      <c r="BA13" s="209">
        <v>1625400</v>
      </c>
      <c r="BB13" s="548">
        <v>0.3931975944382915</v>
      </c>
      <c r="BC13" s="229">
        <v>639103.36999999918</v>
      </c>
      <c r="BE13" s="220">
        <v>0</v>
      </c>
      <c r="BF13" s="209">
        <v>0</v>
      </c>
      <c r="BG13" s="219" t="s">
        <v>181</v>
      </c>
      <c r="BH13" s="220">
        <v>2087666.2499999998</v>
      </c>
      <c r="BI13" s="209">
        <v>1754400</v>
      </c>
      <c r="BJ13" s="219">
        <v>0.18996024281805735</v>
      </c>
      <c r="BK13" s="220">
        <v>2087666.2499999998</v>
      </c>
      <c r="BL13" s="209">
        <v>1754400</v>
      </c>
      <c r="BM13" s="548">
        <v>0.18996024281805735</v>
      </c>
      <c r="BN13" s="229">
        <v>333266.24999999977</v>
      </c>
      <c r="BP13" s="713">
        <v>0</v>
      </c>
      <c r="BQ13" s="714">
        <v>0</v>
      </c>
      <c r="BR13" s="716" t="s">
        <v>181</v>
      </c>
      <c r="BS13" s="713">
        <v>2315531.46</v>
      </c>
      <c r="BT13" s="714">
        <v>1978000</v>
      </c>
      <c r="BU13" s="716">
        <v>0.17064280080889782</v>
      </c>
      <c r="BV13" s="713">
        <v>2315531.46</v>
      </c>
      <c r="BW13" s="714">
        <v>1978000</v>
      </c>
      <c r="BX13" s="717">
        <v>0.17064280080889782</v>
      </c>
      <c r="BY13" s="718">
        <v>337531.45999999996</v>
      </c>
      <c r="CA13" s="713">
        <v>0</v>
      </c>
      <c r="CB13" s="714">
        <v>0</v>
      </c>
      <c r="CC13" s="716" t="s">
        <v>181</v>
      </c>
      <c r="CD13" s="713">
        <v>1993030.1299999997</v>
      </c>
      <c r="CE13" s="714">
        <v>1892000</v>
      </c>
      <c r="CF13" s="716">
        <v>5.3398588794925761E-2</v>
      </c>
      <c r="CG13" s="713">
        <v>1993030.1299999997</v>
      </c>
      <c r="CH13" s="714">
        <v>1892000</v>
      </c>
      <c r="CI13" s="717">
        <v>5.3398588794925761E-2</v>
      </c>
      <c r="CJ13" s="718">
        <v>101030.12999999966</v>
      </c>
    </row>
    <row r="14" spans="1:88" x14ac:dyDescent="0.25">
      <c r="A14" s="208" t="s">
        <v>112</v>
      </c>
      <c r="B14" s="390">
        <v>9001.6569</v>
      </c>
      <c r="C14" s="64">
        <v>12466.561702127659</v>
      </c>
      <c r="D14" s="391">
        <v>-0.27793588039084638</v>
      </c>
      <c r="E14" s="390">
        <v>12128.9931</v>
      </c>
      <c r="F14" s="64">
        <v>16829.858297872343</v>
      </c>
      <c r="G14" s="391">
        <v>-0.27931698025447038</v>
      </c>
      <c r="H14" s="390">
        <v>21130.65</v>
      </c>
      <c r="I14" s="64">
        <v>29296.420000000002</v>
      </c>
      <c r="J14" s="392">
        <v>-0.27872927818484305</v>
      </c>
      <c r="K14" s="393">
        <v>-8165.77</v>
      </c>
      <c r="M14" s="370">
        <v>8163.3698400000003</v>
      </c>
      <c r="N14" s="371">
        <v>12466.561702127659</v>
      </c>
      <c r="O14" s="372">
        <v>-0.34517872408983752</v>
      </c>
      <c r="P14" s="390">
        <v>10999.470160000001</v>
      </c>
      <c r="Q14" s="64">
        <v>16829.858297872343</v>
      </c>
      <c r="R14" s="391">
        <v>-0.3464312078378835</v>
      </c>
      <c r="S14" s="390">
        <v>19162.84</v>
      </c>
      <c r="T14" s="64">
        <v>29296.420000000002</v>
      </c>
      <c r="U14" s="392">
        <v>-0.34589823603020442</v>
      </c>
      <c r="V14" s="393">
        <v>-10133.580000000002</v>
      </c>
      <c r="X14" s="370">
        <v>8879.4971400000013</v>
      </c>
      <c r="Y14" s="371">
        <v>12466.561702127659</v>
      </c>
      <c r="Z14" s="372">
        <v>-0.28773487412455157</v>
      </c>
      <c r="AA14" s="390">
        <v>11964.39286</v>
      </c>
      <c r="AB14" s="64">
        <v>16829.858297872339</v>
      </c>
      <c r="AC14" s="391">
        <v>-0.2890972313467095</v>
      </c>
      <c r="AD14" s="390">
        <v>20843.89</v>
      </c>
      <c r="AE14" s="64">
        <v>29296.42</v>
      </c>
      <c r="AF14" s="392">
        <v>-0.28851750486919558</v>
      </c>
      <c r="AG14" s="393">
        <v>-8452.5299999999988</v>
      </c>
      <c r="AI14" s="370">
        <v>8498.4553191489358</v>
      </c>
      <c r="AJ14" s="371">
        <v>12466.561702127659</v>
      </c>
      <c r="AK14" s="372">
        <v>-0.31829998341094234</v>
      </c>
      <c r="AL14" s="390">
        <v>11472.914680851067</v>
      </c>
      <c r="AM14" s="64">
        <v>16829.858297872343</v>
      </c>
      <c r="AN14" s="391">
        <v>-0.31829998341094223</v>
      </c>
      <c r="AO14" s="390">
        <v>19971.370000000003</v>
      </c>
      <c r="AP14" s="64">
        <v>29296.420000000002</v>
      </c>
      <c r="AQ14" s="392">
        <v>-0.31829998341094234</v>
      </c>
      <c r="AR14" s="393">
        <v>-9325.0499999999993</v>
      </c>
      <c r="AT14" s="220">
        <v>8420.0255319148928</v>
      </c>
      <c r="AU14" s="209">
        <v>12466.561702127659</v>
      </c>
      <c r="AV14" s="219">
        <v>-0.32459119578433138</v>
      </c>
      <c r="AW14" s="73">
        <v>11367.034468085109</v>
      </c>
      <c r="AX14" s="74">
        <v>16829.858297872343</v>
      </c>
      <c r="AY14" s="60">
        <v>-0.32459119578433127</v>
      </c>
      <c r="AZ14" s="73">
        <v>19787.060000000001</v>
      </c>
      <c r="BA14" s="74">
        <v>29296.420000000002</v>
      </c>
      <c r="BB14" s="63">
        <v>-0.32459119578433138</v>
      </c>
      <c r="BC14" s="228">
        <v>-9509.36</v>
      </c>
      <c r="BE14" s="220">
        <v>7788.93714</v>
      </c>
      <c r="BF14" s="209">
        <v>12466.561702127659</v>
      </c>
      <c r="BG14" s="219">
        <v>-0.37521368552881207</v>
      </c>
      <c r="BH14" s="73">
        <v>10494.952859999999</v>
      </c>
      <c r="BI14" s="74">
        <v>16829.858297872343</v>
      </c>
      <c r="BJ14" s="60">
        <v>-0.37640872108074797</v>
      </c>
      <c r="BK14" s="73">
        <v>18283.89</v>
      </c>
      <c r="BL14" s="74">
        <v>29296.420000000002</v>
      </c>
      <c r="BM14" s="63">
        <v>-0.37590019531396679</v>
      </c>
      <c r="BN14" s="228">
        <v>-11012.530000000002</v>
      </c>
      <c r="BP14" s="713">
        <v>7986.8822999999984</v>
      </c>
      <c r="BQ14" s="714">
        <v>12466.561702127659</v>
      </c>
      <c r="BR14" s="715">
        <v>-0.35933559783072477</v>
      </c>
      <c r="BS14" s="719">
        <v>10761.667699999996</v>
      </c>
      <c r="BT14" s="720">
        <v>16829.858297872343</v>
      </c>
      <c r="BU14" s="715">
        <v>-0.36056100357300669</v>
      </c>
      <c r="BV14" s="719">
        <v>18748.549999999996</v>
      </c>
      <c r="BW14" s="720">
        <v>29296.420000000002</v>
      </c>
      <c r="BX14" s="721">
        <v>-0.36003955432097179</v>
      </c>
      <c r="BY14" s="722">
        <v>-10547.870000000006</v>
      </c>
      <c r="CA14" s="719">
        <v>0</v>
      </c>
      <c r="CB14" s="720">
        <v>12466.561702127659</v>
      </c>
      <c r="CC14" s="723">
        <v>-1</v>
      </c>
      <c r="CD14" s="719">
        <v>17196.73</v>
      </c>
      <c r="CE14" s="720">
        <v>16829.858297872343</v>
      </c>
      <c r="CF14" s="723">
        <v>2.1798858649572761E-2</v>
      </c>
      <c r="CG14" s="719">
        <v>17196.73</v>
      </c>
      <c r="CH14" s="720">
        <v>29296.420000000002</v>
      </c>
      <c r="CI14" s="724">
        <v>-0.41300916630769224</v>
      </c>
      <c r="CJ14" s="725">
        <v>-12099.690000000002</v>
      </c>
    </row>
    <row r="15" spans="1:88" x14ac:dyDescent="0.25">
      <c r="A15" s="208" t="s">
        <v>113</v>
      </c>
      <c r="B15" s="390">
        <v>0</v>
      </c>
      <c r="C15" s="64">
        <v>0</v>
      </c>
      <c r="D15" s="391" t="s">
        <v>181</v>
      </c>
      <c r="E15" s="390">
        <v>0</v>
      </c>
      <c r="F15" s="64">
        <v>0</v>
      </c>
      <c r="G15" s="391" t="s">
        <v>181</v>
      </c>
      <c r="H15" s="390">
        <v>0</v>
      </c>
      <c r="I15" s="64">
        <v>0</v>
      </c>
      <c r="J15" s="392" t="s">
        <v>181</v>
      </c>
      <c r="K15" s="393">
        <v>0</v>
      </c>
      <c r="M15" s="390">
        <v>0</v>
      </c>
      <c r="N15" s="64">
        <v>0</v>
      </c>
      <c r="O15" s="391" t="s">
        <v>181</v>
      </c>
      <c r="P15" s="390">
        <v>0</v>
      </c>
      <c r="Q15" s="64">
        <v>0</v>
      </c>
      <c r="R15" s="391" t="s">
        <v>181</v>
      </c>
      <c r="S15" s="390">
        <v>0</v>
      </c>
      <c r="T15" s="64">
        <v>0</v>
      </c>
      <c r="U15" s="392" t="s">
        <v>181</v>
      </c>
      <c r="V15" s="393">
        <v>0</v>
      </c>
      <c r="X15" s="390">
        <v>0</v>
      </c>
      <c r="Y15" s="64">
        <v>0</v>
      </c>
      <c r="Z15" s="391" t="s">
        <v>181</v>
      </c>
      <c r="AA15" s="390">
        <v>0</v>
      </c>
      <c r="AB15" s="64">
        <v>0</v>
      </c>
      <c r="AC15" s="391" t="s">
        <v>181</v>
      </c>
      <c r="AD15" s="390">
        <v>0</v>
      </c>
      <c r="AE15" s="64">
        <v>0</v>
      </c>
      <c r="AF15" s="392" t="s">
        <v>181</v>
      </c>
      <c r="AG15" s="393">
        <v>0</v>
      </c>
      <c r="AI15" s="390">
        <v>0</v>
      </c>
      <c r="AJ15" s="64">
        <v>0</v>
      </c>
      <c r="AK15" s="391" t="s">
        <v>181</v>
      </c>
      <c r="AL15" s="390">
        <v>0</v>
      </c>
      <c r="AM15" s="64">
        <v>0</v>
      </c>
      <c r="AN15" s="391" t="s">
        <v>181</v>
      </c>
      <c r="AO15" s="390">
        <v>0</v>
      </c>
      <c r="AP15" s="64">
        <v>0</v>
      </c>
      <c r="AQ15" s="392" t="s">
        <v>181</v>
      </c>
      <c r="AR15" s="393">
        <v>0</v>
      </c>
      <c r="AT15" s="73">
        <v>0</v>
      </c>
      <c r="AU15" s="74">
        <v>0</v>
      </c>
      <c r="AV15" s="60" t="s">
        <v>181</v>
      </c>
      <c r="AW15" s="73">
        <v>0</v>
      </c>
      <c r="AX15" s="74">
        <v>0</v>
      </c>
      <c r="AY15" s="60" t="s">
        <v>181</v>
      </c>
      <c r="AZ15" s="73">
        <v>0</v>
      </c>
      <c r="BA15" s="74">
        <v>0</v>
      </c>
      <c r="BB15" s="63" t="s">
        <v>181</v>
      </c>
      <c r="BC15" s="228">
        <v>0</v>
      </c>
      <c r="BE15" s="73">
        <v>0</v>
      </c>
      <c r="BF15" s="74">
        <v>0</v>
      </c>
      <c r="BG15" s="60" t="s">
        <v>181</v>
      </c>
      <c r="BH15" s="73">
        <v>0</v>
      </c>
      <c r="BI15" s="74">
        <v>0</v>
      </c>
      <c r="BJ15" s="60" t="s">
        <v>181</v>
      </c>
      <c r="BK15" s="73">
        <v>0</v>
      </c>
      <c r="BL15" s="74">
        <v>0</v>
      </c>
      <c r="BM15" s="63" t="s">
        <v>181</v>
      </c>
      <c r="BN15" s="228">
        <v>0</v>
      </c>
      <c r="BP15" s="719">
        <v>0</v>
      </c>
      <c r="BQ15" s="720">
        <v>0</v>
      </c>
      <c r="BR15" s="723" t="s">
        <v>181</v>
      </c>
      <c r="BS15" s="719">
        <v>0</v>
      </c>
      <c r="BT15" s="720">
        <v>0</v>
      </c>
      <c r="BU15" s="723" t="s">
        <v>181</v>
      </c>
      <c r="BV15" s="719">
        <v>0</v>
      </c>
      <c r="BW15" s="720">
        <v>0</v>
      </c>
      <c r="BX15" s="724" t="s">
        <v>181</v>
      </c>
      <c r="BY15" s="725">
        <v>0</v>
      </c>
      <c r="CA15" s="719">
        <v>0</v>
      </c>
      <c r="CB15" s="720">
        <v>0</v>
      </c>
      <c r="CC15" s="723" t="s">
        <v>181</v>
      </c>
      <c r="CD15" s="719">
        <v>0</v>
      </c>
      <c r="CE15" s="720">
        <v>0</v>
      </c>
      <c r="CF15" s="723" t="s">
        <v>181</v>
      </c>
      <c r="CG15" s="719">
        <v>0</v>
      </c>
      <c r="CH15" s="720">
        <v>0</v>
      </c>
      <c r="CI15" s="724" t="s">
        <v>181</v>
      </c>
      <c r="CJ15" s="725">
        <v>0</v>
      </c>
    </row>
    <row r="16" spans="1:88" x14ac:dyDescent="0.25">
      <c r="A16" s="208" t="s">
        <v>155</v>
      </c>
      <c r="B16" s="390">
        <v>0</v>
      </c>
      <c r="C16" s="64">
        <v>0</v>
      </c>
      <c r="D16" s="391" t="s">
        <v>181</v>
      </c>
      <c r="E16" s="390">
        <v>364301.13</v>
      </c>
      <c r="F16" s="64">
        <v>364301.13</v>
      </c>
      <c r="G16" s="391">
        <v>0</v>
      </c>
      <c r="H16" s="390">
        <v>364301.13</v>
      </c>
      <c r="I16" s="64">
        <v>364301.13</v>
      </c>
      <c r="J16" s="392">
        <v>0</v>
      </c>
      <c r="K16" s="393">
        <v>0</v>
      </c>
      <c r="M16" s="390">
        <v>0</v>
      </c>
      <c r="N16" s="64">
        <v>0</v>
      </c>
      <c r="O16" s="391" t="s">
        <v>181</v>
      </c>
      <c r="P16" s="390">
        <v>168561.35</v>
      </c>
      <c r="Q16" s="64">
        <v>282753.77249999996</v>
      </c>
      <c r="R16" s="391">
        <v>-0.40385817487191955</v>
      </c>
      <c r="S16" s="390">
        <v>168561.35</v>
      </c>
      <c r="T16" s="64">
        <v>282753.77249999996</v>
      </c>
      <c r="U16" s="392">
        <v>-0.40385817487191955</v>
      </c>
      <c r="V16" s="393">
        <v>-114192.42249999996</v>
      </c>
      <c r="X16" s="390">
        <v>0</v>
      </c>
      <c r="Y16" s="64">
        <v>0</v>
      </c>
      <c r="Z16" s="391" t="s">
        <v>181</v>
      </c>
      <c r="AA16" s="390">
        <v>155899.01</v>
      </c>
      <c r="AB16" s="64">
        <v>282753.77250000002</v>
      </c>
      <c r="AC16" s="391">
        <v>-0.44864038905086578</v>
      </c>
      <c r="AD16" s="390">
        <v>155899.01</v>
      </c>
      <c r="AE16" s="64">
        <v>282753.77250000002</v>
      </c>
      <c r="AF16" s="392">
        <v>-0.44864038905086578</v>
      </c>
      <c r="AG16" s="393">
        <v>-126854.76250000001</v>
      </c>
      <c r="AI16" s="390">
        <v>0</v>
      </c>
      <c r="AJ16" s="64">
        <v>0</v>
      </c>
      <c r="AK16" s="391" t="s">
        <v>181</v>
      </c>
      <c r="AL16" s="390">
        <v>396916.38</v>
      </c>
      <c r="AM16" s="64">
        <v>282753.77249999996</v>
      </c>
      <c r="AN16" s="391">
        <v>0.40375272977127152</v>
      </c>
      <c r="AO16" s="390">
        <v>396916.38</v>
      </c>
      <c r="AP16" s="64">
        <v>282753.77249999996</v>
      </c>
      <c r="AQ16" s="392">
        <v>0.40375272977127152</v>
      </c>
      <c r="AR16" s="393">
        <v>114162.60750000004</v>
      </c>
      <c r="AT16" s="73">
        <v>0</v>
      </c>
      <c r="AU16" s="74">
        <v>0</v>
      </c>
      <c r="AV16" s="60" t="s">
        <v>181</v>
      </c>
      <c r="AW16" s="73">
        <v>405034.85</v>
      </c>
      <c r="AX16" s="74">
        <v>282753.77249999996</v>
      </c>
      <c r="AY16" s="60">
        <v>0.43246488426604479</v>
      </c>
      <c r="AZ16" s="73">
        <v>405034.85</v>
      </c>
      <c r="BA16" s="74">
        <v>282753.77249999996</v>
      </c>
      <c r="BB16" s="63">
        <v>0.43246488426604479</v>
      </c>
      <c r="BC16" s="228">
        <v>122281.07750000001</v>
      </c>
      <c r="BE16" s="73">
        <v>0</v>
      </c>
      <c r="BF16" s="74">
        <v>0</v>
      </c>
      <c r="BG16" s="60" t="s">
        <v>181</v>
      </c>
      <c r="BH16" s="73">
        <v>434422.57999999996</v>
      </c>
      <c r="BI16" s="74">
        <v>282753.77249999996</v>
      </c>
      <c r="BJ16" s="60">
        <v>0.53639888217583387</v>
      </c>
      <c r="BK16" s="73">
        <v>434422.57999999996</v>
      </c>
      <c r="BL16" s="74">
        <v>282753.77249999996</v>
      </c>
      <c r="BM16" s="63">
        <v>0.53639888217583387</v>
      </c>
      <c r="BN16" s="228">
        <v>151668.8075</v>
      </c>
      <c r="BP16" s="719">
        <v>0</v>
      </c>
      <c r="BQ16" s="720">
        <v>0</v>
      </c>
      <c r="BR16" s="723" t="s">
        <v>181</v>
      </c>
      <c r="BS16" s="719">
        <v>379623.97</v>
      </c>
      <c r="BT16" s="720">
        <v>282753.77249999996</v>
      </c>
      <c r="BU16" s="723">
        <v>0.34259559702249431</v>
      </c>
      <c r="BV16" s="719">
        <v>379623.97</v>
      </c>
      <c r="BW16" s="720">
        <v>282753.77249999996</v>
      </c>
      <c r="BX16" s="724">
        <v>0.34259559702249431</v>
      </c>
      <c r="BY16" s="725">
        <v>96870.197500000009</v>
      </c>
      <c r="CA16" s="719">
        <v>0</v>
      </c>
      <c r="CB16" s="720">
        <v>0</v>
      </c>
      <c r="CC16" s="723" t="s">
        <v>181</v>
      </c>
      <c r="CD16" s="719">
        <v>324764.68000000005</v>
      </c>
      <c r="CE16" s="720">
        <v>282753.77249999996</v>
      </c>
      <c r="CF16" s="723">
        <v>0.14857770818955252</v>
      </c>
      <c r="CG16" s="719">
        <v>324764.68000000005</v>
      </c>
      <c r="CH16" s="720">
        <v>282753.77249999996</v>
      </c>
      <c r="CI16" s="724">
        <v>0.14857770818955252</v>
      </c>
      <c r="CJ16" s="725">
        <v>42010.907500000088</v>
      </c>
    </row>
    <row r="17" spans="1:88" x14ac:dyDescent="0.25">
      <c r="A17" s="208" t="s">
        <v>10</v>
      </c>
      <c r="B17" s="390">
        <v>0</v>
      </c>
      <c r="C17" s="64">
        <v>0</v>
      </c>
      <c r="D17" s="391" t="s">
        <v>181</v>
      </c>
      <c r="E17" s="390">
        <v>976784.38</v>
      </c>
      <c r="F17" s="64">
        <v>976784.38</v>
      </c>
      <c r="G17" s="391">
        <v>0</v>
      </c>
      <c r="H17" s="390">
        <v>976784.38</v>
      </c>
      <c r="I17" s="64">
        <v>976784.38</v>
      </c>
      <c r="J17" s="392">
        <v>0</v>
      </c>
      <c r="K17" s="393">
        <v>0</v>
      </c>
      <c r="M17" s="390">
        <v>0</v>
      </c>
      <c r="N17" s="64">
        <v>0</v>
      </c>
      <c r="O17" s="391" t="s">
        <v>181</v>
      </c>
      <c r="P17" s="390">
        <v>743112.13</v>
      </c>
      <c r="Q17" s="64">
        <v>900000</v>
      </c>
      <c r="R17" s="391">
        <v>-0.17431985555555551</v>
      </c>
      <c r="S17" s="390">
        <v>743112.13</v>
      </c>
      <c r="T17" s="64">
        <v>900000</v>
      </c>
      <c r="U17" s="392">
        <v>-0.17431985555555551</v>
      </c>
      <c r="V17" s="393">
        <v>-156887.87</v>
      </c>
      <c r="X17" s="390">
        <v>0</v>
      </c>
      <c r="Y17" s="64">
        <v>0</v>
      </c>
      <c r="Z17" s="391" t="s">
        <v>181</v>
      </c>
      <c r="AA17" s="390">
        <v>1006702.7</v>
      </c>
      <c r="AB17" s="64">
        <v>900000</v>
      </c>
      <c r="AC17" s="391">
        <v>0.1185585555555555</v>
      </c>
      <c r="AD17" s="390">
        <v>1006702.7</v>
      </c>
      <c r="AE17" s="64">
        <v>900000</v>
      </c>
      <c r="AF17" s="392">
        <v>0.1185585555555555</v>
      </c>
      <c r="AG17" s="393">
        <v>106702.69999999995</v>
      </c>
      <c r="AI17" s="390">
        <v>0</v>
      </c>
      <c r="AJ17" s="64">
        <v>0</v>
      </c>
      <c r="AK17" s="391" t="s">
        <v>181</v>
      </c>
      <c r="AL17" s="390">
        <v>948906.07999999984</v>
      </c>
      <c r="AM17" s="64">
        <v>900000</v>
      </c>
      <c r="AN17" s="391">
        <v>5.4340088888888749E-2</v>
      </c>
      <c r="AO17" s="390">
        <v>948906.07999999984</v>
      </c>
      <c r="AP17" s="64">
        <v>900000</v>
      </c>
      <c r="AQ17" s="392">
        <v>5.4340088888888749E-2</v>
      </c>
      <c r="AR17" s="393">
        <v>48906.079999999842</v>
      </c>
      <c r="AT17" s="73">
        <v>0</v>
      </c>
      <c r="AU17" s="74">
        <v>0</v>
      </c>
      <c r="AV17" s="60" t="s">
        <v>181</v>
      </c>
      <c r="AW17" s="73">
        <v>1018280.97</v>
      </c>
      <c r="AX17" s="74">
        <v>900000</v>
      </c>
      <c r="AY17" s="60">
        <v>0.13142330000000002</v>
      </c>
      <c r="AZ17" s="73">
        <v>1018280.97</v>
      </c>
      <c r="BA17" s="74">
        <v>900000</v>
      </c>
      <c r="BB17" s="63">
        <v>0.13142330000000002</v>
      </c>
      <c r="BC17" s="228">
        <v>118280.96999999997</v>
      </c>
      <c r="BE17" s="73">
        <v>0</v>
      </c>
      <c r="BF17" s="74">
        <v>0</v>
      </c>
      <c r="BG17" s="60" t="s">
        <v>181</v>
      </c>
      <c r="BH17" s="73">
        <v>1045395.2399999999</v>
      </c>
      <c r="BI17" s="74">
        <v>900000</v>
      </c>
      <c r="BJ17" s="60">
        <v>0.16155026666666661</v>
      </c>
      <c r="BK17" s="73">
        <v>1045395.2399999999</v>
      </c>
      <c r="BL17" s="74">
        <v>900000</v>
      </c>
      <c r="BM17" s="63">
        <v>0.16155026666666661</v>
      </c>
      <c r="BN17" s="228">
        <v>145395.23999999987</v>
      </c>
      <c r="BP17" s="719">
        <v>0</v>
      </c>
      <c r="BQ17" s="720">
        <v>0</v>
      </c>
      <c r="BR17" s="723" t="s">
        <v>181</v>
      </c>
      <c r="BS17" s="719">
        <v>1027683.78</v>
      </c>
      <c r="BT17" s="720">
        <v>900000</v>
      </c>
      <c r="BU17" s="723">
        <v>0.1418708666666666</v>
      </c>
      <c r="BV17" s="719">
        <v>1027683.78</v>
      </c>
      <c r="BW17" s="720">
        <v>900000</v>
      </c>
      <c r="BX17" s="724">
        <v>0.1418708666666666</v>
      </c>
      <c r="BY17" s="725">
        <v>127683.78000000003</v>
      </c>
      <c r="CA17" s="719">
        <v>0</v>
      </c>
      <c r="CB17" s="720">
        <v>0</v>
      </c>
      <c r="CC17" s="723" t="s">
        <v>181</v>
      </c>
      <c r="CD17" s="719">
        <v>1097822.5500000003</v>
      </c>
      <c r="CE17" s="720">
        <v>900000</v>
      </c>
      <c r="CF17" s="723">
        <v>0.21980283333333372</v>
      </c>
      <c r="CG17" s="719">
        <v>1097822.5500000003</v>
      </c>
      <c r="CH17" s="720">
        <v>900000</v>
      </c>
      <c r="CI17" s="724">
        <v>0.21980283333333372</v>
      </c>
      <c r="CJ17" s="725">
        <v>197822.55000000028</v>
      </c>
    </row>
    <row r="18" spans="1:88" x14ac:dyDescent="0.25">
      <c r="A18" s="208" t="s">
        <v>117</v>
      </c>
      <c r="B18" s="390">
        <v>0</v>
      </c>
      <c r="C18" s="64">
        <v>0</v>
      </c>
      <c r="D18" s="391" t="s">
        <v>181</v>
      </c>
      <c r="E18" s="390">
        <v>65704.179999999949</v>
      </c>
      <c r="F18" s="64">
        <v>65704.179999999949</v>
      </c>
      <c r="G18" s="391">
        <v>0</v>
      </c>
      <c r="H18" s="390">
        <v>65704.179999999949</v>
      </c>
      <c r="I18" s="64">
        <v>65704.179999999949</v>
      </c>
      <c r="J18" s="392">
        <v>0</v>
      </c>
      <c r="K18" s="393">
        <v>0</v>
      </c>
      <c r="M18" s="390">
        <v>0</v>
      </c>
      <c r="N18" s="64">
        <v>0</v>
      </c>
      <c r="O18" s="391" t="s">
        <v>181</v>
      </c>
      <c r="P18" s="390">
        <v>49730.269999999786</v>
      </c>
      <c r="Q18" s="64">
        <v>-163.43500000005224</v>
      </c>
      <c r="R18" s="391">
        <v>-305.28164101926694</v>
      </c>
      <c r="S18" s="390">
        <v>49730.269999999786</v>
      </c>
      <c r="T18" s="64">
        <v>-163.43500000005224</v>
      </c>
      <c r="U18" s="392">
        <v>-305.28164101926694</v>
      </c>
      <c r="V18" s="393">
        <v>49893.704999999842</v>
      </c>
      <c r="X18" s="390">
        <v>0</v>
      </c>
      <c r="Y18" s="64">
        <v>0</v>
      </c>
      <c r="Z18" s="391" t="s">
        <v>181</v>
      </c>
      <c r="AA18" s="390">
        <v>126708.71999999959</v>
      </c>
      <c r="AB18" s="64">
        <v>-163.43500000005221</v>
      </c>
      <c r="AC18" s="391">
        <v>-776.2850980509628</v>
      </c>
      <c r="AD18" s="390">
        <v>126708.71999999959</v>
      </c>
      <c r="AE18" s="64">
        <v>-163.43500000005221</v>
      </c>
      <c r="AF18" s="392">
        <v>-776.2850980509628</v>
      </c>
      <c r="AG18" s="393">
        <v>126872.15499999965</v>
      </c>
      <c r="AI18" s="390">
        <v>0</v>
      </c>
      <c r="AJ18" s="64">
        <v>0</v>
      </c>
      <c r="AK18" s="391" t="s">
        <v>181</v>
      </c>
      <c r="AL18" s="390">
        <v>89809.880000000019</v>
      </c>
      <c r="AM18" s="64">
        <v>-163.43500000005224</v>
      </c>
      <c r="AN18" s="391">
        <v>-550.51436350825293</v>
      </c>
      <c r="AO18" s="390">
        <v>89809.880000000019</v>
      </c>
      <c r="AP18" s="64">
        <v>-163.43500000005224</v>
      </c>
      <c r="AQ18" s="394">
        <v>550.51436350825293</v>
      </c>
      <c r="AR18" s="393">
        <v>89973.315000000075</v>
      </c>
      <c r="AT18" s="73">
        <v>0</v>
      </c>
      <c r="AU18" s="74">
        <v>0</v>
      </c>
      <c r="AV18" s="60" t="s">
        <v>181</v>
      </c>
      <c r="AW18" s="73">
        <v>40616.850000000122</v>
      </c>
      <c r="AX18" s="74">
        <v>-163.43500000005224</v>
      </c>
      <c r="AY18" s="60">
        <v>-249.51990087794621</v>
      </c>
      <c r="AZ18" s="73">
        <v>40616.850000000122</v>
      </c>
      <c r="BA18" s="74">
        <v>-163.43500000005224</v>
      </c>
      <c r="BB18" s="554">
        <v>249.51990087794621</v>
      </c>
      <c r="BC18" s="228">
        <v>40780.285000000178</v>
      </c>
      <c r="BE18" s="73">
        <v>0</v>
      </c>
      <c r="BF18" s="74">
        <v>0</v>
      </c>
      <c r="BG18" s="60" t="s">
        <v>181</v>
      </c>
      <c r="BH18" s="73">
        <v>82542.050000000279</v>
      </c>
      <c r="BI18" s="74">
        <v>-163.43500000005224</v>
      </c>
      <c r="BJ18" s="60">
        <v>-506.04512497307121</v>
      </c>
      <c r="BK18" s="73">
        <v>82542.050000000279</v>
      </c>
      <c r="BL18" s="74">
        <v>-163.43500000005224</v>
      </c>
      <c r="BM18" s="554">
        <v>506.04512497307121</v>
      </c>
      <c r="BN18" s="228">
        <v>82705.485000000335</v>
      </c>
      <c r="BP18" s="719">
        <v>0</v>
      </c>
      <c r="BQ18" s="720">
        <v>0</v>
      </c>
      <c r="BR18" s="723" t="s">
        <v>181</v>
      </c>
      <c r="BS18" s="719">
        <v>123398.40999999992</v>
      </c>
      <c r="BT18" s="726">
        <v>-163.43500000005224</v>
      </c>
      <c r="BU18" s="715">
        <v>-756.03050142234201</v>
      </c>
      <c r="BV18" s="719">
        <v>123398.40999999992</v>
      </c>
      <c r="BW18" s="726">
        <v>-163.43500000005224</v>
      </c>
      <c r="BX18" s="554">
        <v>756.03050142234201</v>
      </c>
      <c r="BY18" s="725">
        <v>123561.84499999997</v>
      </c>
      <c r="CA18" s="719">
        <v>0</v>
      </c>
      <c r="CB18" s="720">
        <v>0</v>
      </c>
      <c r="CC18" s="723" t="s">
        <v>181</v>
      </c>
      <c r="CD18" s="719">
        <v>46536.179999998043</v>
      </c>
      <c r="CE18" s="726">
        <v>-163.43500000005224</v>
      </c>
      <c r="CF18" s="715">
        <v>-285.73815278234878</v>
      </c>
      <c r="CG18" s="719">
        <v>46536.179999998043</v>
      </c>
      <c r="CH18" s="726">
        <v>-163.43500000005224</v>
      </c>
      <c r="CI18" s="554">
        <v>285.73815278234878</v>
      </c>
      <c r="CJ18" s="725">
        <v>46699.614999998099</v>
      </c>
    </row>
    <row r="19" spans="1:88" x14ac:dyDescent="0.25">
      <c r="A19" s="208" t="s">
        <v>264</v>
      </c>
      <c r="B19" s="390">
        <v>0</v>
      </c>
      <c r="C19" s="64">
        <v>0</v>
      </c>
      <c r="D19" s="391" t="s">
        <v>181</v>
      </c>
      <c r="E19" s="390">
        <v>168678.16999999998</v>
      </c>
      <c r="F19" s="64">
        <v>168678.16999999998</v>
      </c>
      <c r="G19" s="391">
        <v>0</v>
      </c>
      <c r="H19" s="390">
        <v>168678.16999999998</v>
      </c>
      <c r="I19" s="64">
        <v>168678.16999999998</v>
      </c>
      <c r="J19" s="392">
        <v>0</v>
      </c>
      <c r="K19" s="393">
        <v>0</v>
      </c>
      <c r="M19" s="390">
        <v>0</v>
      </c>
      <c r="N19" s="64">
        <v>0</v>
      </c>
      <c r="O19" s="391" t="s">
        <v>181</v>
      </c>
      <c r="P19" s="390">
        <v>-629.71999999999116</v>
      </c>
      <c r="Q19" s="64">
        <v>52799.999999999993</v>
      </c>
      <c r="R19" s="391">
        <v>-1.0119265151515149</v>
      </c>
      <c r="S19" s="390">
        <v>-629.71999999999116</v>
      </c>
      <c r="T19" s="64">
        <v>52799.999999999993</v>
      </c>
      <c r="U19" s="392">
        <v>-1.0119265151515149</v>
      </c>
      <c r="V19" s="393">
        <v>-53429.719999999987</v>
      </c>
      <c r="X19" s="390">
        <v>0</v>
      </c>
      <c r="Y19" s="64">
        <v>0</v>
      </c>
      <c r="Z19" s="391" t="s">
        <v>181</v>
      </c>
      <c r="AA19" s="390">
        <v>-262478.75</v>
      </c>
      <c r="AB19" s="64">
        <v>19800</v>
      </c>
      <c r="AC19" s="391">
        <v>-14.256502525252525</v>
      </c>
      <c r="AD19" s="390">
        <v>-262478.75</v>
      </c>
      <c r="AE19" s="64">
        <v>19800</v>
      </c>
      <c r="AF19" s="392">
        <v>-14.256502525252525</v>
      </c>
      <c r="AG19" s="393">
        <v>-282278.75</v>
      </c>
      <c r="AI19" s="390">
        <v>0</v>
      </c>
      <c r="AJ19" s="64">
        <v>0</v>
      </c>
      <c r="AK19" s="391" t="s">
        <v>181</v>
      </c>
      <c r="AL19" s="390">
        <v>23664.61</v>
      </c>
      <c r="AM19" s="64">
        <v>19799.999999999996</v>
      </c>
      <c r="AN19" s="391">
        <v>0.19518232323232354</v>
      </c>
      <c r="AO19" s="390">
        <v>23664.61</v>
      </c>
      <c r="AP19" s="64">
        <v>19799.999999999996</v>
      </c>
      <c r="AQ19" s="392">
        <v>0.19518232323232354</v>
      </c>
      <c r="AR19" s="393">
        <v>3864.6100000000042</v>
      </c>
      <c r="AT19" s="73">
        <v>0</v>
      </c>
      <c r="AU19" s="74">
        <v>0</v>
      </c>
      <c r="AV19" s="60" t="s">
        <v>181</v>
      </c>
      <c r="AW19" s="73">
        <v>-87553.01</v>
      </c>
      <c r="AX19" s="74">
        <v>19799.999999999996</v>
      </c>
      <c r="AY19" s="60">
        <v>-5.4218691919191926</v>
      </c>
      <c r="AZ19" s="73">
        <v>-87553.01</v>
      </c>
      <c r="BA19" s="74">
        <v>19799.999999999996</v>
      </c>
      <c r="BB19" s="63">
        <v>-5.4218691919191926</v>
      </c>
      <c r="BC19" s="228">
        <v>-107353.01</v>
      </c>
      <c r="BE19" s="73">
        <v>0</v>
      </c>
      <c r="BF19" s="74">
        <v>0</v>
      </c>
      <c r="BG19" s="60" t="s">
        <v>181</v>
      </c>
      <c r="BH19" s="73">
        <v>15935.410000000003</v>
      </c>
      <c r="BI19" s="74">
        <v>19799.999999999996</v>
      </c>
      <c r="BJ19" s="60">
        <v>-0.19518131313131282</v>
      </c>
      <c r="BK19" s="73">
        <v>15935.410000000003</v>
      </c>
      <c r="BL19" s="74">
        <v>19799.999999999996</v>
      </c>
      <c r="BM19" s="63">
        <v>-0.19518131313131282</v>
      </c>
      <c r="BN19" s="228">
        <v>-3864.5899999999929</v>
      </c>
      <c r="BP19" s="719">
        <v>0</v>
      </c>
      <c r="BQ19" s="720">
        <v>0</v>
      </c>
      <c r="BR19" s="723" t="s">
        <v>181</v>
      </c>
      <c r="BS19" s="719">
        <v>24659.559999999998</v>
      </c>
      <c r="BT19" s="720">
        <v>19799.999999999996</v>
      </c>
      <c r="BU19" s="723">
        <v>0.24543232323232345</v>
      </c>
      <c r="BV19" s="719">
        <v>24659.559999999998</v>
      </c>
      <c r="BW19" s="720">
        <v>19799.999999999996</v>
      </c>
      <c r="BX19" s="724">
        <v>0.24543232323232345</v>
      </c>
      <c r="BY19" s="725">
        <v>4859.5600000000013</v>
      </c>
      <c r="CA19" s="719">
        <v>0</v>
      </c>
      <c r="CB19" s="720">
        <v>0</v>
      </c>
      <c r="CC19" s="723" t="s">
        <v>181</v>
      </c>
      <c r="CD19" s="719">
        <v>16626.199999999997</v>
      </c>
      <c r="CE19" s="720">
        <v>19799.999999999996</v>
      </c>
      <c r="CF19" s="723">
        <v>-0.16029292929292926</v>
      </c>
      <c r="CG19" s="719">
        <v>16626.199999999997</v>
      </c>
      <c r="CH19" s="720">
        <v>19799.999999999996</v>
      </c>
      <c r="CI19" s="724">
        <v>-0.16029292929292926</v>
      </c>
      <c r="CJ19" s="725">
        <v>-3173.7999999999993</v>
      </c>
    </row>
    <row r="20" spans="1:88" x14ac:dyDescent="0.25">
      <c r="A20" s="208" t="s">
        <v>174</v>
      </c>
      <c r="B20" s="390">
        <v>0</v>
      </c>
      <c r="C20" s="64">
        <v>0</v>
      </c>
      <c r="D20" s="391" t="s">
        <v>181</v>
      </c>
      <c r="E20" s="390">
        <v>87060.329999999987</v>
      </c>
      <c r="F20" s="64">
        <v>87060.329999999987</v>
      </c>
      <c r="G20" s="391">
        <v>0</v>
      </c>
      <c r="H20" s="390">
        <v>87060.329999999987</v>
      </c>
      <c r="I20" s="64">
        <v>87060.329999999987</v>
      </c>
      <c r="J20" s="392">
        <v>0</v>
      </c>
      <c r="K20" s="393">
        <v>0</v>
      </c>
      <c r="M20" s="390">
        <v>0</v>
      </c>
      <c r="N20" s="64">
        <v>0</v>
      </c>
      <c r="O20" s="391" t="s">
        <v>181</v>
      </c>
      <c r="P20" s="390">
        <v>243037.75</v>
      </c>
      <c r="Q20" s="64">
        <v>210147.86749999999</v>
      </c>
      <c r="R20" s="391">
        <v>0.15650828576692555</v>
      </c>
      <c r="S20" s="390">
        <v>243037.75</v>
      </c>
      <c r="T20" s="64">
        <v>210147.86749999999</v>
      </c>
      <c r="U20" s="392">
        <v>0.15650828576692555</v>
      </c>
      <c r="V20" s="393">
        <v>32889.882500000007</v>
      </c>
      <c r="X20" s="390">
        <v>0</v>
      </c>
      <c r="Y20" s="64">
        <v>0</v>
      </c>
      <c r="Z20" s="391" t="s">
        <v>181</v>
      </c>
      <c r="AA20" s="390">
        <v>521291.11</v>
      </c>
      <c r="AB20" s="64">
        <v>210147.86749999999</v>
      </c>
      <c r="AC20" s="391">
        <v>1.4805919574701369</v>
      </c>
      <c r="AD20" s="390">
        <v>521291.11</v>
      </c>
      <c r="AE20" s="64">
        <v>210147.86749999999</v>
      </c>
      <c r="AF20" s="392">
        <v>1.4805919574701369</v>
      </c>
      <c r="AG20" s="393">
        <v>311143.24249999999</v>
      </c>
      <c r="AI20" s="390">
        <v>0</v>
      </c>
      <c r="AJ20" s="64">
        <v>0</v>
      </c>
      <c r="AK20" s="391" t="s">
        <v>181</v>
      </c>
      <c r="AL20" s="390">
        <v>725407.96999999974</v>
      </c>
      <c r="AM20" s="64">
        <v>210147.86749999999</v>
      </c>
      <c r="AN20" s="391">
        <v>2.4518930819033877</v>
      </c>
      <c r="AO20" s="390">
        <v>725407.96999999974</v>
      </c>
      <c r="AP20" s="64">
        <v>210147.86749999999</v>
      </c>
      <c r="AQ20" s="392">
        <v>2.4518930819033877</v>
      </c>
      <c r="AR20" s="393">
        <v>515260.10249999975</v>
      </c>
      <c r="AT20" s="73">
        <v>0</v>
      </c>
      <c r="AU20" s="74">
        <v>0</v>
      </c>
      <c r="AV20" s="60" t="s">
        <v>181</v>
      </c>
      <c r="AW20" s="73">
        <v>597908.29</v>
      </c>
      <c r="AX20" s="74">
        <v>210147.86749999999</v>
      </c>
      <c r="AY20" s="60">
        <v>1.8451789547662196</v>
      </c>
      <c r="AZ20" s="73">
        <v>597908.29</v>
      </c>
      <c r="BA20" s="74">
        <v>210147.86749999999</v>
      </c>
      <c r="BB20" s="63">
        <v>1.8451789547662196</v>
      </c>
      <c r="BC20" s="228">
        <v>387760.42250000004</v>
      </c>
      <c r="BE20" s="73">
        <v>0</v>
      </c>
      <c r="BF20" s="74">
        <v>0</v>
      </c>
      <c r="BG20" s="60" t="s">
        <v>181</v>
      </c>
      <c r="BH20" s="73">
        <v>1829477.41</v>
      </c>
      <c r="BI20" s="74">
        <v>210147.86749999999</v>
      </c>
      <c r="BJ20" s="60">
        <v>7.7056672606968046</v>
      </c>
      <c r="BK20" s="73">
        <v>1829477.41</v>
      </c>
      <c r="BL20" s="74">
        <v>210147.86749999999</v>
      </c>
      <c r="BM20" s="63">
        <v>7.7056672606968046</v>
      </c>
      <c r="BN20" s="228">
        <v>1619329.5425</v>
      </c>
      <c r="BP20" s="719">
        <v>0</v>
      </c>
      <c r="BQ20" s="720">
        <v>0</v>
      </c>
      <c r="BR20" s="723" t="s">
        <v>181</v>
      </c>
      <c r="BS20" s="719">
        <v>750956.2200000009</v>
      </c>
      <c r="BT20" s="720">
        <v>210147.86749999999</v>
      </c>
      <c r="BU20" s="723">
        <v>2.5734658121144194</v>
      </c>
      <c r="BV20" s="719">
        <v>750956.2200000009</v>
      </c>
      <c r="BW20" s="720">
        <v>210147.86749999999</v>
      </c>
      <c r="BX20" s="724">
        <v>2.5734658121144194</v>
      </c>
      <c r="BY20" s="725">
        <v>540808.35250000097</v>
      </c>
      <c r="CA20" s="719">
        <v>0</v>
      </c>
      <c r="CB20" s="720">
        <v>0</v>
      </c>
      <c r="CC20" s="723" t="s">
        <v>181</v>
      </c>
      <c r="CD20" s="719">
        <v>1263134.2499999995</v>
      </c>
      <c r="CE20" s="720">
        <v>210147.86749999999</v>
      </c>
      <c r="CF20" s="723">
        <v>5.0106926852350746</v>
      </c>
      <c r="CG20" s="719">
        <v>1263134.2499999995</v>
      </c>
      <c r="CH20" s="720">
        <v>210147.86749999999</v>
      </c>
      <c r="CI20" s="724">
        <v>5.0106926852350746</v>
      </c>
      <c r="CJ20" s="725">
        <v>1052986.3824999996</v>
      </c>
    </row>
    <row r="21" spans="1:88" x14ac:dyDescent="0.25">
      <c r="A21" s="271" t="s">
        <v>118</v>
      </c>
      <c r="B21" s="265">
        <v>-4115579.3024543701</v>
      </c>
      <c r="C21" s="266">
        <v>-4007371.9567411523</v>
      </c>
      <c r="D21" s="267">
        <v>2.7002071901808922E-2</v>
      </c>
      <c r="E21" s="265">
        <v>-13893293.137545601</v>
      </c>
      <c r="F21" s="266">
        <v>-13901145.164624136</v>
      </c>
      <c r="G21" s="267">
        <v>-5.6484749893248587E-4</v>
      </c>
      <c r="H21" s="265">
        <v>-18008872.439999972</v>
      </c>
      <c r="I21" s="266">
        <v>-17908517.121365286</v>
      </c>
      <c r="J21" s="267">
        <v>5.6037760108544887E-3</v>
      </c>
      <c r="K21" s="363">
        <v>100355.31863468513</v>
      </c>
      <c r="M21" s="265">
        <v>-3458538.1350000007</v>
      </c>
      <c r="N21" s="266">
        <v>-3324628.9282636922</v>
      </c>
      <c r="O21" s="267">
        <v>4.0277940674192214E-2</v>
      </c>
      <c r="P21" s="265">
        <v>-11194223.064999999</v>
      </c>
      <c r="Q21" s="266">
        <v>-12699380.022852756</v>
      </c>
      <c r="R21" s="267">
        <v>-0.11852208179802481</v>
      </c>
      <c r="S21" s="265">
        <v>-14652761.199999999</v>
      </c>
      <c r="T21" s="266">
        <v>-16024008.951116448</v>
      </c>
      <c r="U21" s="267">
        <v>-8.5574574708466411E-2</v>
      </c>
      <c r="V21" s="363">
        <v>-1371247.751116449</v>
      </c>
      <c r="X21" s="265">
        <v>-4803644.101999077</v>
      </c>
      <c r="Y21" s="266">
        <v>-4620516.8878536606</v>
      </c>
      <c r="Z21" s="267">
        <v>3.9633490925402359E-2</v>
      </c>
      <c r="AA21" s="265">
        <v>-17862654.088000923</v>
      </c>
      <c r="AB21" s="266">
        <v>-15301310.231830858</v>
      </c>
      <c r="AC21" s="267">
        <v>0.16739376023118457</v>
      </c>
      <c r="AD21" s="265">
        <v>-22666298.190000001</v>
      </c>
      <c r="AE21" s="266">
        <v>-19921827.119684517</v>
      </c>
      <c r="AF21" s="267">
        <v>0.13776201619597961</v>
      </c>
      <c r="AG21" s="363">
        <v>2744471.070315484</v>
      </c>
      <c r="AI21" s="395">
        <v>-4383516.3383478783</v>
      </c>
      <c r="AJ21" s="269">
        <v>-4409897.2928085681</v>
      </c>
      <c r="AK21" s="349">
        <v>-5.9822151648997179E-3</v>
      </c>
      <c r="AL21" s="395">
        <v>-17657421.661652122</v>
      </c>
      <c r="AM21" s="269">
        <v>-13769320.076793687</v>
      </c>
      <c r="AN21" s="349">
        <v>0.2823742612688116</v>
      </c>
      <c r="AO21" s="395">
        <v>-22040938</v>
      </c>
      <c r="AP21" s="269">
        <v>-18179217.369602256</v>
      </c>
      <c r="AQ21" s="349">
        <v>0.21242502093929438</v>
      </c>
      <c r="AR21" s="396">
        <v>3861720.6303977445</v>
      </c>
      <c r="AT21" s="328">
        <v>-4480613.6962589966</v>
      </c>
      <c r="AU21" s="329">
        <v>-4475938.9815478604</v>
      </c>
      <c r="AV21" s="349">
        <v>1.0444098390098855E-3</v>
      </c>
      <c r="AW21" s="328">
        <v>-15739911.173741005</v>
      </c>
      <c r="AX21" s="329">
        <v>-13995733.0223465</v>
      </c>
      <c r="AY21" s="349">
        <v>0.12462213651901166</v>
      </c>
      <c r="AZ21" s="328">
        <v>-20220524.870000001</v>
      </c>
      <c r="BA21" s="329">
        <v>-18471672.003894359</v>
      </c>
      <c r="BB21" s="349">
        <v>9.4677561713792491E-2</v>
      </c>
      <c r="BC21" s="555">
        <v>1748852.8661056422</v>
      </c>
      <c r="BE21" s="328">
        <v>-4804004.8994150003</v>
      </c>
      <c r="BF21" s="329">
        <v>-4848789.1478439961</v>
      </c>
      <c r="BG21" s="349">
        <v>-9.2361715602562455E-3</v>
      </c>
      <c r="BH21" s="328">
        <v>-17194337.850584999</v>
      </c>
      <c r="BI21" s="329">
        <v>-14559699.116610719</v>
      </c>
      <c r="BJ21" s="349">
        <v>0.18095420192911127</v>
      </c>
      <c r="BK21" s="328">
        <v>-21998342.75</v>
      </c>
      <c r="BL21" s="329">
        <v>-19408488.264454715</v>
      </c>
      <c r="BM21" s="349">
        <v>0.13343926895575997</v>
      </c>
      <c r="BN21" s="555">
        <v>2589854.485545285</v>
      </c>
      <c r="BP21" s="727">
        <v>-5126638.3419999983</v>
      </c>
      <c r="BQ21" s="728">
        <v>-5185752.6418118542</v>
      </c>
      <c r="BR21" s="729">
        <v>-1.1399367439014929E-2</v>
      </c>
      <c r="BS21" s="727">
        <v>-15385684.968</v>
      </c>
      <c r="BT21" s="728">
        <v>-16115170.713338412</v>
      </c>
      <c r="BU21" s="729">
        <v>-4.5267019401452724E-2</v>
      </c>
      <c r="BV21" s="727">
        <v>-20512323.309999999</v>
      </c>
      <c r="BW21" s="728">
        <v>-21300923.355150267</v>
      </c>
      <c r="BX21" s="729">
        <v>-3.702187139974833E-2</v>
      </c>
      <c r="BY21" s="730">
        <v>-788600.04515026882</v>
      </c>
      <c r="CA21" s="727">
        <v>-5025450.4689999996</v>
      </c>
      <c r="CB21" s="728">
        <v>-4722997.5511370879</v>
      </c>
      <c r="CC21" s="729">
        <v>6.4038338912560944E-2</v>
      </c>
      <c r="CD21" s="727">
        <v>-13507739.360999998</v>
      </c>
      <c r="CE21" s="728">
        <v>-15393725.522643305</v>
      </c>
      <c r="CF21" s="729">
        <v>-0.12251655123180727</v>
      </c>
      <c r="CG21" s="727">
        <v>-18533189.829999998</v>
      </c>
      <c r="CH21" s="728">
        <v>-20116723.073780395</v>
      </c>
      <c r="CI21" s="729">
        <v>-7.8717256183952311E-2</v>
      </c>
      <c r="CJ21" s="730">
        <v>-1583533.2437803969</v>
      </c>
    </row>
    <row r="22" spans="1:88" x14ac:dyDescent="0.25">
      <c r="A22" s="208" t="s">
        <v>119</v>
      </c>
      <c r="B22" s="397">
        <v>-4115579.3024543701</v>
      </c>
      <c r="C22" s="398">
        <v>-4007371.9567411523</v>
      </c>
      <c r="D22" s="399">
        <v>2.7002071901808922E-2</v>
      </c>
      <c r="E22" s="397">
        <v>-13893293.137545601</v>
      </c>
      <c r="F22" s="398">
        <v>-13901145.164624136</v>
      </c>
      <c r="G22" s="399">
        <v>-5.6484749893248587E-4</v>
      </c>
      <c r="H22" s="390">
        <v>-18008872.439999972</v>
      </c>
      <c r="I22" s="64">
        <v>-17908517.121365286</v>
      </c>
      <c r="J22" s="400">
        <v>5.6037760108544887E-3</v>
      </c>
      <c r="K22" s="393">
        <v>100355.31863468513</v>
      </c>
      <c r="M22" s="397">
        <v>-3458538.1350000007</v>
      </c>
      <c r="N22" s="398">
        <v>-3324628.9282636922</v>
      </c>
      <c r="O22" s="399">
        <v>4.0277940674192214E-2</v>
      </c>
      <c r="P22" s="397">
        <v>-11194223.064999999</v>
      </c>
      <c r="Q22" s="398">
        <v>-12699380.022852756</v>
      </c>
      <c r="R22" s="399">
        <v>-0.11852208179802481</v>
      </c>
      <c r="S22" s="390">
        <v>-14652761.199999999</v>
      </c>
      <c r="T22" s="64">
        <v>-16024008.951116448</v>
      </c>
      <c r="U22" s="400">
        <v>-8.5574574708466411E-2</v>
      </c>
      <c r="V22" s="393">
        <v>-1371247.751116449</v>
      </c>
      <c r="X22" s="397">
        <v>-4803644.101999077</v>
      </c>
      <c r="Y22" s="398">
        <v>-4620516.8878536606</v>
      </c>
      <c r="Z22" s="399">
        <v>3.9633490925402359E-2</v>
      </c>
      <c r="AA22" s="397">
        <v>-17862654.088000923</v>
      </c>
      <c r="AB22" s="398">
        <v>-15301310.231830858</v>
      </c>
      <c r="AC22" s="399">
        <v>0.16739376023118457</v>
      </c>
      <c r="AD22" s="390">
        <v>-22666298.190000001</v>
      </c>
      <c r="AE22" s="64">
        <v>-19921827.119684517</v>
      </c>
      <c r="AF22" s="400">
        <v>0.13776201619597961</v>
      </c>
      <c r="AG22" s="393">
        <v>2744471.070315484</v>
      </c>
      <c r="AI22" s="397">
        <v>-4383516.3383478783</v>
      </c>
      <c r="AJ22" s="398">
        <v>-4409897.2928085681</v>
      </c>
      <c r="AK22" s="401">
        <v>-5.9822151648997179E-3</v>
      </c>
      <c r="AL22" s="397">
        <v>-17657421.661652122</v>
      </c>
      <c r="AM22" s="398">
        <v>-13769320.076793687</v>
      </c>
      <c r="AN22" s="401">
        <v>0.2823742612688116</v>
      </c>
      <c r="AO22" s="390">
        <v>-22040938</v>
      </c>
      <c r="AP22" s="64">
        <v>-18179217.369602256</v>
      </c>
      <c r="AQ22" s="402">
        <v>0.21242502093929438</v>
      </c>
      <c r="AR22" s="403">
        <v>3861720.6303977445</v>
      </c>
      <c r="AT22" s="170">
        <v>-4480613.6962589966</v>
      </c>
      <c r="AU22" s="168">
        <v>-4475938.9815478604</v>
      </c>
      <c r="AV22" s="556">
        <v>1.0444098390098855E-3</v>
      </c>
      <c r="AW22" s="170">
        <v>-15739911.173741005</v>
      </c>
      <c r="AX22" s="168">
        <v>-13995733.0223465</v>
      </c>
      <c r="AY22" s="556">
        <v>0.12462213651901166</v>
      </c>
      <c r="AZ22" s="73">
        <v>-20220524.870000001</v>
      </c>
      <c r="BA22" s="74">
        <v>-18471672.003894359</v>
      </c>
      <c r="BB22" s="557">
        <v>9.4677561713792491E-2</v>
      </c>
      <c r="BC22" s="558">
        <v>1748852.8661056422</v>
      </c>
      <c r="BE22" s="170">
        <v>-4804004.8994150003</v>
      </c>
      <c r="BF22" s="168">
        <v>-4848789.1478439961</v>
      </c>
      <c r="BG22" s="556">
        <v>-9.2361715602562455E-3</v>
      </c>
      <c r="BH22" s="170">
        <v>-17194337.850584999</v>
      </c>
      <c r="BI22" s="168">
        <v>-14559699.116610719</v>
      </c>
      <c r="BJ22" s="556">
        <v>0.18095420192911127</v>
      </c>
      <c r="BK22" s="73">
        <v>-21998342.75</v>
      </c>
      <c r="BL22" s="74">
        <v>-19408488.264454715</v>
      </c>
      <c r="BM22" s="557">
        <v>0.13343926895575997</v>
      </c>
      <c r="BN22" s="558">
        <v>2589854.485545285</v>
      </c>
      <c r="BP22" s="731">
        <v>-5126638.3419999983</v>
      </c>
      <c r="BQ22" s="732">
        <v>-5185752.6418118542</v>
      </c>
      <c r="BR22" s="733">
        <v>-1.1399367439014929E-2</v>
      </c>
      <c r="BS22" s="731">
        <v>-15385684.968</v>
      </c>
      <c r="BT22" s="732">
        <v>-16115170.713338412</v>
      </c>
      <c r="BU22" s="733">
        <v>-4.5267019401452724E-2</v>
      </c>
      <c r="BV22" s="734">
        <v>-20512323.309999999</v>
      </c>
      <c r="BW22" s="726">
        <v>-21300923.355150267</v>
      </c>
      <c r="BX22" s="735">
        <v>-3.702187139974833E-2</v>
      </c>
      <c r="BY22" s="736">
        <v>-788600.04515026882</v>
      </c>
      <c r="CA22" s="731">
        <v>-5025450.4689999996</v>
      </c>
      <c r="CB22" s="732">
        <v>-4722997.5511370879</v>
      </c>
      <c r="CC22" s="733">
        <v>6.4038338912560944E-2</v>
      </c>
      <c r="CD22" s="731">
        <v>-13507739.360999998</v>
      </c>
      <c r="CE22" s="732">
        <v>-15393725.522643305</v>
      </c>
      <c r="CF22" s="733">
        <v>-0.12251655123180727</v>
      </c>
      <c r="CG22" s="734">
        <v>-18533189.829999998</v>
      </c>
      <c r="CH22" s="726">
        <v>-20116723.073780395</v>
      </c>
      <c r="CI22" s="735">
        <v>-7.8717256183952311E-2</v>
      </c>
      <c r="CJ22" s="736">
        <v>-1583533.2437803969</v>
      </c>
    </row>
    <row r="23" spans="1:88" x14ac:dyDescent="0.25">
      <c r="A23" s="353" t="s">
        <v>120</v>
      </c>
      <c r="B23" s="370">
        <v>0</v>
      </c>
      <c r="C23" s="371">
        <v>0</v>
      </c>
      <c r="D23" s="404" t="s">
        <v>181</v>
      </c>
      <c r="E23" s="370">
        <v>-4338842.08</v>
      </c>
      <c r="F23" s="371">
        <v>-4518124.3848334625</v>
      </c>
      <c r="G23" s="404">
        <v>-3.9680692597857892E-2</v>
      </c>
      <c r="H23" s="370">
        <v>-4338842.08</v>
      </c>
      <c r="I23" s="371">
        <v>-4518124.3848334625</v>
      </c>
      <c r="J23" s="400">
        <v>-3.9680692597857892E-2</v>
      </c>
      <c r="K23" s="375">
        <v>-179282.30483346246</v>
      </c>
      <c r="M23" s="370">
        <v>0</v>
      </c>
      <c r="N23" s="371">
        <v>0</v>
      </c>
      <c r="O23" s="404" t="s">
        <v>181</v>
      </c>
      <c r="P23" s="370">
        <v>-2862311.84</v>
      </c>
      <c r="Q23" s="371">
        <v>-4228882.4647306856</v>
      </c>
      <c r="R23" s="404">
        <v>-0.32315171587955571</v>
      </c>
      <c r="S23" s="370">
        <v>-2862311.84</v>
      </c>
      <c r="T23" s="371">
        <v>-4228882.4647306856</v>
      </c>
      <c r="U23" s="400">
        <v>-0.32315171587955571</v>
      </c>
      <c r="V23" s="375">
        <v>-1366570.6247306857</v>
      </c>
      <c r="X23" s="370">
        <v>0</v>
      </c>
      <c r="Y23" s="371">
        <v>0</v>
      </c>
      <c r="Z23" s="404" t="s">
        <v>181</v>
      </c>
      <c r="AA23" s="370">
        <v>-6665373.2300000004</v>
      </c>
      <c r="AB23" s="371">
        <v>-5380522.1826135786</v>
      </c>
      <c r="AC23" s="404">
        <v>0.2387967196823837</v>
      </c>
      <c r="AD23" s="370">
        <v>-6665373.2300000004</v>
      </c>
      <c r="AE23" s="371">
        <v>-5380522.1826135786</v>
      </c>
      <c r="AF23" s="400">
        <v>0.2387967196823837</v>
      </c>
      <c r="AG23" s="375">
        <v>1284851.0473864218</v>
      </c>
      <c r="AI23" s="370">
        <v>0</v>
      </c>
      <c r="AJ23" s="371">
        <v>0</v>
      </c>
      <c r="AK23" s="405" t="s">
        <v>181</v>
      </c>
      <c r="AL23" s="370">
        <v>-6969927.4100000001</v>
      </c>
      <c r="AM23" s="371">
        <v>-4629193.176485246</v>
      </c>
      <c r="AN23" s="405">
        <v>0.50564626367395982</v>
      </c>
      <c r="AO23" s="370">
        <v>-6969927.4100000001</v>
      </c>
      <c r="AP23" s="371">
        <v>-4629193.176485246</v>
      </c>
      <c r="AQ23" s="402">
        <v>0.50564626367395982</v>
      </c>
      <c r="AR23" s="406">
        <v>2340734.2335147541</v>
      </c>
      <c r="AT23" s="220">
        <v>0</v>
      </c>
      <c r="AU23" s="209">
        <v>0</v>
      </c>
      <c r="AV23" s="350" t="s">
        <v>181</v>
      </c>
      <c r="AW23" s="220">
        <v>-6000837.3399999999</v>
      </c>
      <c r="AX23" s="209">
        <v>-4876832.3221845124</v>
      </c>
      <c r="AY23" s="350">
        <v>0.23047850398760561</v>
      </c>
      <c r="AZ23" s="220">
        <v>-6000837.3399999999</v>
      </c>
      <c r="BA23" s="209">
        <v>-4876832.3221845124</v>
      </c>
      <c r="BB23" s="557">
        <v>0.23047850398760561</v>
      </c>
      <c r="BC23" s="559">
        <v>1124005.0178154875</v>
      </c>
      <c r="BE23" s="220">
        <v>0</v>
      </c>
      <c r="BF23" s="209">
        <v>0</v>
      </c>
      <c r="BG23" s="350" t="s">
        <v>181</v>
      </c>
      <c r="BH23" s="220">
        <v>-5905393.8799999999</v>
      </c>
      <c r="BI23" s="209">
        <v>-5484976.0755583979</v>
      </c>
      <c r="BJ23" s="350">
        <v>7.6648976887069065E-2</v>
      </c>
      <c r="BK23" s="220">
        <v>-5905393.8799999999</v>
      </c>
      <c r="BL23" s="209">
        <v>-5484976.0755583979</v>
      </c>
      <c r="BM23" s="557">
        <v>7.6648976887069065E-2</v>
      </c>
      <c r="BN23" s="559">
        <v>420417.80444160197</v>
      </c>
      <c r="BP23" s="713">
        <v>0</v>
      </c>
      <c r="BQ23" s="714">
        <v>0</v>
      </c>
      <c r="BR23" s="737" t="s">
        <v>181</v>
      </c>
      <c r="BS23" s="734">
        <v>-4071249.49</v>
      </c>
      <c r="BT23" s="726">
        <v>-6454051.8384606875</v>
      </c>
      <c r="BU23" s="738">
        <v>-0.36919479547114908</v>
      </c>
      <c r="BV23" s="734">
        <v>-4071249.49</v>
      </c>
      <c r="BW23" s="726">
        <v>-6454051.8384606875</v>
      </c>
      <c r="BX23" s="735">
        <v>-0.36919479547114908</v>
      </c>
      <c r="BY23" s="736">
        <v>-2382802.3484606873</v>
      </c>
      <c r="CA23" s="713">
        <v>0</v>
      </c>
      <c r="CB23" s="714">
        <v>0</v>
      </c>
      <c r="CC23" s="737" t="s">
        <v>181</v>
      </c>
      <c r="CD23" s="734">
        <v>-2947018.86</v>
      </c>
      <c r="CE23" s="726">
        <v>-6691989.1685109232</v>
      </c>
      <c r="CF23" s="738">
        <v>-0.55961989988460192</v>
      </c>
      <c r="CG23" s="734">
        <v>-2947018.86</v>
      </c>
      <c r="CH23" s="726">
        <v>-6691989.1685109232</v>
      </c>
      <c r="CI23" s="735">
        <v>-0.55961989988460192</v>
      </c>
      <c r="CJ23" s="736">
        <v>-3744970.3085109233</v>
      </c>
    </row>
    <row r="24" spans="1:88" x14ac:dyDescent="0.25">
      <c r="A24" s="353" t="s">
        <v>271</v>
      </c>
      <c r="B24" s="370"/>
      <c r="C24" s="371"/>
      <c r="D24" s="404"/>
      <c r="E24" s="370">
        <v>-2698465.0300000003</v>
      </c>
      <c r="F24" s="371">
        <v>-2734250.6567985127</v>
      </c>
      <c r="G24" s="404"/>
      <c r="H24" s="370">
        <v>-2698465.0300000003</v>
      </c>
      <c r="I24" s="371">
        <v>-2734250.6567985127</v>
      </c>
      <c r="J24" s="400"/>
      <c r="K24" s="375"/>
      <c r="M24" s="370"/>
      <c r="N24" s="371"/>
      <c r="O24" s="404"/>
      <c r="P24" s="370">
        <v>0</v>
      </c>
      <c r="Q24" s="371">
        <v>-2303836.3240381381</v>
      </c>
      <c r="R24" s="404"/>
      <c r="S24" s="370">
        <v>0</v>
      </c>
      <c r="T24" s="371">
        <v>-2303836.3240381381</v>
      </c>
      <c r="U24" s="400"/>
      <c r="V24" s="375"/>
      <c r="X24" s="407"/>
      <c r="Y24" s="408"/>
      <c r="Z24" s="308"/>
      <c r="AA24" s="407">
        <v>0</v>
      </c>
      <c r="AB24" s="408">
        <v>-2734250.6567985099</v>
      </c>
      <c r="AC24" s="308"/>
      <c r="AD24" s="407">
        <v>0</v>
      </c>
      <c r="AE24" s="408">
        <v>-2734250.6567985099</v>
      </c>
      <c r="AF24" s="409"/>
      <c r="AG24" s="410"/>
      <c r="AI24" s="407"/>
      <c r="AJ24" s="408"/>
      <c r="AK24" s="308"/>
      <c r="AL24" s="407">
        <v>-1317867.49</v>
      </c>
      <c r="AM24" s="408">
        <v>-2734250.6567985099</v>
      </c>
      <c r="AN24" s="308"/>
      <c r="AO24" s="407">
        <v>-1317867.49</v>
      </c>
      <c r="AP24" s="408">
        <v>-2734250.6567985099</v>
      </c>
      <c r="AQ24" s="409"/>
      <c r="AR24" s="410"/>
      <c r="AT24" s="549"/>
      <c r="AU24" s="550"/>
      <c r="AV24" s="560"/>
      <c r="AW24" s="549">
        <v>0</v>
      </c>
      <c r="AX24" s="550">
        <v>-2734250.6567985099</v>
      </c>
      <c r="AY24" s="560"/>
      <c r="AZ24" s="549">
        <v>0</v>
      </c>
      <c r="BA24" s="550">
        <v>-2734250.6567985099</v>
      </c>
      <c r="BB24" s="561"/>
      <c r="BC24" s="553"/>
      <c r="BE24" s="549"/>
      <c r="BF24" s="550"/>
      <c r="BG24" s="560"/>
      <c r="BH24" s="549">
        <v>0</v>
      </c>
      <c r="BI24" s="550">
        <v>-2734250.6567985099</v>
      </c>
      <c r="BJ24" s="560"/>
      <c r="BK24" s="549">
        <v>0</v>
      </c>
      <c r="BL24" s="550">
        <v>-2734250.6567985099</v>
      </c>
      <c r="BM24" s="561"/>
      <c r="BN24" s="553"/>
      <c r="BP24" s="713"/>
      <c r="BQ24" s="714"/>
      <c r="BR24" s="739"/>
      <c r="BS24" s="713">
        <v>0</v>
      </c>
      <c r="BT24" s="726">
        <v>-2734250.6567985099</v>
      </c>
      <c r="BU24" s="739"/>
      <c r="BV24" s="713">
        <v>0</v>
      </c>
      <c r="BW24" s="726">
        <v>-2734250.6567985099</v>
      </c>
      <c r="BX24" s="740"/>
      <c r="BY24" s="718"/>
      <c r="CA24" s="713"/>
      <c r="CB24" s="714"/>
      <c r="CC24" s="739"/>
      <c r="CD24" s="713">
        <v>0</v>
      </c>
      <c r="CE24" s="726">
        <v>-2734250.6567985099</v>
      </c>
      <c r="CF24" s="739"/>
      <c r="CG24" s="713">
        <v>0</v>
      </c>
      <c r="CH24" s="726">
        <v>-2734250.6567985099</v>
      </c>
      <c r="CI24" s="740"/>
      <c r="CJ24" s="718"/>
    </row>
    <row r="25" spans="1:88" x14ac:dyDescent="0.25">
      <c r="A25" s="353" t="s">
        <v>272</v>
      </c>
      <c r="B25" s="370"/>
      <c r="C25" s="371"/>
      <c r="D25" s="404"/>
      <c r="E25" s="370">
        <v>-1640377.0499999998</v>
      </c>
      <c r="F25" s="371">
        <v>-1783873.7280349501</v>
      </c>
      <c r="G25" s="404"/>
      <c r="H25" s="370">
        <v>-1640377.0499999998</v>
      </c>
      <c r="I25" s="371">
        <v>-1783873.7280349501</v>
      </c>
      <c r="J25" s="400"/>
      <c r="K25" s="375"/>
      <c r="M25" s="370"/>
      <c r="N25" s="371"/>
      <c r="O25" s="404"/>
      <c r="P25" s="370">
        <v>0</v>
      </c>
      <c r="Q25" s="371">
        <v>-1925046.140692547</v>
      </c>
      <c r="R25" s="404"/>
      <c r="S25" s="370">
        <v>0</v>
      </c>
      <c r="T25" s="371">
        <v>-1925046.140692547</v>
      </c>
      <c r="U25" s="400"/>
      <c r="V25" s="375"/>
      <c r="X25" s="407"/>
      <c r="Y25" s="408"/>
      <c r="Z25" s="308"/>
      <c r="AA25" s="407">
        <v>0</v>
      </c>
      <c r="AB25" s="408">
        <v>-1783873.7280349501</v>
      </c>
      <c r="AC25" s="308"/>
      <c r="AD25" s="407">
        <v>0</v>
      </c>
      <c r="AE25" s="408">
        <v>-1783873.7280349501</v>
      </c>
      <c r="AF25" s="409"/>
      <c r="AG25" s="410"/>
      <c r="AI25" s="407"/>
      <c r="AJ25" s="408"/>
      <c r="AK25" s="308"/>
      <c r="AL25" s="407">
        <v>-5652059.9199999999</v>
      </c>
      <c r="AM25" s="408">
        <v>-1783873.7280349501</v>
      </c>
      <c r="AN25" s="308"/>
      <c r="AO25" s="407">
        <v>-5652059.9199999999</v>
      </c>
      <c r="AP25" s="408">
        <v>-1783873.7280349501</v>
      </c>
      <c r="AQ25" s="409"/>
      <c r="AR25" s="410"/>
      <c r="AT25" s="549"/>
      <c r="AU25" s="550"/>
      <c r="AV25" s="560"/>
      <c r="AW25" s="549">
        <v>0</v>
      </c>
      <c r="AX25" s="550">
        <v>-1783873.7280349501</v>
      </c>
      <c r="AY25" s="560"/>
      <c r="AZ25" s="549">
        <v>0</v>
      </c>
      <c r="BA25" s="550">
        <v>-1783873.7280349501</v>
      </c>
      <c r="BB25" s="561"/>
      <c r="BC25" s="553"/>
      <c r="BE25" s="549"/>
      <c r="BF25" s="550"/>
      <c r="BG25" s="560"/>
      <c r="BH25" s="549">
        <v>0</v>
      </c>
      <c r="BI25" s="550">
        <v>-1783873.7280349501</v>
      </c>
      <c r="BJ25" s="560"/>
      <c r="BK25" s="549">
        <v>0</v>
      </c>
      <c r="BL25" s="550">
        <v>-1783873.7280349501</v>
      </c>
      <c r="BM25" s="561"/>
      <c r="BN25" s="553"/>
      <c r="BP25" s="713"/>
      <c r="BQ25" s="714"/>
      <c r="BR25" s="739"/>
      <c r="BS25" s="713">
        <v>0</v>
      </c>
      <c r="BT25" s="726">
        <v>-1783873.7280349501</v>
      </c>
      <c r="BU25" s="739"/>
      <c r="BV25" s="713">
        <v>0</v>
      </c>
      <c r="BW25" s="726">
        <v>-1783873.7280349501</v>
      </c>
      <c r="BX25" s="740"/>
      <c r="BY25" s="718"/>
      <c r="CA25" s="713"/>
      <c r="CB25" s="714"/>
      <c r="CC25" s="739"/>
      <c r="CD25" s="713">
        <v>0</v>
      </c>
      <c r="CE25" s="726">
        <v>-1783873.7280349501</v>
      </c>
      <c r="CF25" s="739"/>
      <c r="CG25" s="713">
        <v>0</v>
      </c>
      <c r="CH25" s="726">
        <v>-1783873.7280349501</v>
      </c>
      <c r="CI25" s="740"/>
      <c r="CJ25" s="718"/>
    </row>
    <row r="26" spans="1:88" x14ac:dyDescent="0.25">
      <c r="A26" s="353" t="s">
        <v>121</v>
      </c>
      <c r="B26" s="370">
        <v>-4984061.2384543698</v>
      </c>
      <c r="C26" s="371">
        <v>-4887881.7958077108</v>
      </c>
      <c r="D26" s="404">
        <v>1.9677121228494299E-2</v>
      </c>
      <c r="E26" s="370">
        <v>-11789043.8815456</v>
      </c>
      <c r="F26" s="371">
        <v>-11585571.582935231</v>
      </c>
      <c r="G26" s="404">
        <v>1.7562560220168111E-2</v>
      </c>
      <c r="H26" s="370">
        <v>-16773105.119999969</v>
      </c>
      <c r="I26" s="371">
        <v>-16473453.378742941</v>
      </c>
      <c r="J26" s="400">
        <v>1.8189977193470153E-2</v>
      </c>
      <c r="K26" s="375">
        <v>299651.74125702865</v>
      </c>
      <c r="M26" s="370">
        <v>-4152791.1750000003</v>
      </c>
      <c r="N26" s="371">
        <v>-4008310.8490808266</v>
      </c>
      <c r="O26" s="404">
        <v>3.6045189946359857E-2</v>
      </c>
      <c r="P26" s="370">
        <v>-10407999.924999999</v>
      </c>
      <c r="Q26" s="371">
        <v>-10215152.26681027</v>
      </c>
      <c r="R26" s="404">
        <v>1.8878588703597154E-2</v>
      </c>
      <c r="S26" s="370">
        <v>-14560791.1</v>
      </c>
      <c r="T26" s="371">
        <v>-14223463.115891097</v>
      </c>
      <c r="U26" s="400">
        <v>2.3716304627107609E-2</v>
      </c>
      <c r="V26" s="375">
        <v>337327.98410890251</v>
      </c>
      <c r="X26" s="370">
        <v>-5760280.4879999999</v>
      </c>
      <c r="Y26" s="371">
        <v>-5697287.0868866928</v>
      </c>
      <c r="Z26" s="404">
        <v>1.1056736329523753E-2</v>
      </c>
      <c r="AA26" s="370">
        <v>-13440654.471999999</v>
      </c>
      <c r="AB26" s="371">
        <v>-12757575.74436051</v>
      </c>
      <c r="AC26" s="404">
        <v>5.3542988207727849E-2</v>
      </c>
      <c r="AD26" s="370">
        <v>-19200934.960000001</v>
      </c>
      <c r="AE26" s="371">
        <v>-18454862.831247203</v>
      </c>
      <c r="AF26" s="400">
        <v>4.0426858523682441E-2</v>
      </c>
      <c r="AG26" s="375">
        <v>746072.12875279784</v>
      </c>
      <c r="AI26" s="370">
        <v>-5204115.9459999995</v>
      </c>
      <c r="AJ26" s="371">
        <v>-5117668.8473653272</v>
      </c>
      <c r="AK26" s="405">
        <v>1.6891889884429911E-2</v>
      </c>
      <c r="AL26" s="370">
        <v>-12741111.454</v>
      </c>
      <c r="AM26" s="371">
        <v>-11271781.229053155</v>
      </c>
      <c r="AN26" s="405">
        <v>0.13035475006910424</v>
      </c>
      <c r="AO26" s="370">
        <v>-17945227.399999999</v>
      </c>
      <c r="AP26" s="371">
        <v>-16389450.076418482</v>
      </c>
      <c r="AQ26" s="402">
        <v>9.4925535410123718E-2</v>
      </c>
      <c r="AR26" s="406">
        <v>1555777.3235815167</v>
      </c>
      <c r="AT26" s="220">
        <v>-5266286.506343157</v>
      </c>
      <c r="AU26" s="209">
        <v>-5078309.7303367183</v>
      </c>
      <c r="AV26" s="350">
        <v>3.7015618579447018E-2</v>
      </c>
      <c r="AW26" s="220">
        <v>-12674668.863656843</v>
      </c>
      <c r="AX26" s="209">
        <v>-11127174.377080813</v>
      </c>
      <c r="AY26" s="350">
        <v>0.13907344615390227</v>
      </c>
      <c r="AZ26" s="220">
        <v>-17940955.370000001</v>
      </c>
      <c r="BA26" s="209">
        <v>-16205484.107417531</v>
      </c>
      <c r="BB26" s="557">
        <v>0.10709160251424477</v>
      </c>
      <c r="BC26" s="559">
        <v>1735471.2625824697</v>
      </c>
      <c r="BE26" s="220">
        <v>-5559732.3714150004</v>
      </c>
      <c r="BF26" s="209">
        <v>-5501427.3458047379</v>
      </c>
      <c r="BG26" s="350">
        <v>1.0598163339323952E-2</v>
      </c>
      <c r="BH26" s="220">
        <v>-13383137.718584999</v>
      </c>
      <c r="BI26" s="209">
        <v>-11245628.836957784</v>
      </c>
      <c r="BJ26" s="350">
        <v>0.19007464256711715</v>
      </c>
      <c r="BK26" s="220">
        <v>-18942870.09</v>
      </c>
      <c r="BL26" s="209">
        <v>-16747056.182762522</v>
      </c>
      <c r="BM26" s="557">
        <v>0.13111641134264507</v>
      </c>
      <c r="BN26" s="559">
        <v>2195813.9072374776</v>
      </c>
      <c r="BP26" s="734">
        <v>-6167797.595999998</v>
      </c>
      <c r="BQ26" s="726">
        <v>-5895987.5973137552</v>
      </c>
      <c r="BR26" s="737">
        <v>4.6100843022478744E-2</v>
      </c>
      <c r="BS26" s="734">
        <v>-14955230.573999999</v>
      </c>
      <c r="BT26" s="726">
        <v>-12018373.00030119</v>
      </c>
      <c r="BU26" s="737">
        <v>0.24436398950383786</v>
      </c>
      <c r="BV26" s="734">
        <v>-21123028.169999998</v>
      </c>
      <c r="BW26" s="726">
        <v>-17914360.597614944</v>
      </c>
      <c r="BX26" s="741">
        <v>0.17911147623165768</v>
      </c>
      <c r="BY26" s="742">
        <v>3208667.5723850541</v>
      </c>
      <c r="CA26" s="734">
        <v>-5808990.1829999993</v>
      </c>
      <c r="CB26" s="726">
        <v>-5299733.384203339</v>
      </c>
      <c r="CC26" s="737">
        <v>9.6091022298324891E-2</v>
      </c>
      <c r="CD26" s="734">
        <v>-13554310.426999999</v>
      </c>
      <c r="CE26" s="726">
        <v>-10761383.395376559</v>
      </c>
      <c r="CF26" s="737">
        <v>0.25953234161542582</v>
      </c>
      <c r="CG26" s="734">
        <v>-19363300.609999999</v>
      </c>
      <c r="CH26" s="726">
        <v>-16061116.779579898</v>
      </c>
      <c r="CI26" s="741">
        <v>0.20560113445028283</v>
      </c>
      <c r="CJ26" s="742">
        <v>3302183.8304201011</v>
      </c>
    </row>
    <row r="27" spans="1:88" x14ac:dyDescent="0.25">
      <c r="A27" s="353" t="s">
        <v>122</v>
      </c>
      <c r="B27" s="370">
        <v>533676.17599999998</v>
      </c>
      <c r="C27" s="371">
        <v>531727.92986439401</v>
      </c>
      <c r="D27" s="404">
        <v>3.6639905977908782E-3</v>
      </c>
      <c r="E27" s="370">
        <v>1892124.6239999998</v>
      </c>
      <c r="F27" s="371">
        <v>1901930.7966888153</v>
      </c>
      <c r="G27" s="404">
        <v>-5.1559040454508542E-3</v>
      </c>
      <c r="H27" s="370">
        <v>2425800.7999999998</v>
      </c>
      <c r="I27" s="371">
        <v>2433658.7265532091</v>
      </c>
      <c r="J27" s="400">
        <v>-3.2288531121775765E-3</v>
      </c>
      <c r="K27" s="375">
        <v>-7857.9265532093123</v>
      </c>
      <c r="M27" s="370">
        <v>421756.82000000007</v>
      </c>
      <c r="N27" s="371">
        <v>403487.21220038057</v>
      </c>
      <c r="O27" s="404">
        <v>4.5279273412378807E-2</v>
      </c>
      <c r="P27" s="370">
        <v>1687027.2800000003</v>
      </c>
      <c r="Q27" s="371">
        <v>1470614.5287358544</v>
      </c>
      <c r="R27" s="404">
        <v>0.14715803974150532</v>
      </c>
      <c r="S27" s="370">
        <v>2108784.1000000006</v>
      </c>
      <c r="T27" s="371">
        <v>1874101.7409362351</v>
      </c>
      <c r="U27" s="400">
        <v>0.12522391604338745</v>
      </c>
      <c r="V27" s="375">
        <v>234682.3590637655</v>
      </c>
      <c r="X27" s="370">
        <v>683833.17600092292</v>
      </c>
      <c r="Y27" s="371">
        <v>685924.94413180952</v>
      </c>
      <c r="Z27" s="404">
        <v>-3.0495583354738232E-3</v>
      </c>
      <c r="AA27" s="370">
        <v>2424498.8439990771</v>
      </c>
      <c r="AB27" s="371">
        <v>2565677.8285521958</v>
      </c>
      <c r="AC27" s="404">
        <v>-5.502599858096191E-2</v>
      </c>
      <c r="AD27" s="370">
        <v>3108332.02</v>
      </c>
      <c r="AE27" s="371">
        <v>3251602.7726840051</v>
      </c>
      <c r="AF27" s="400">
        <v>-4.4061579073431445E-2</v>
      </c>
      <c r="AG27" s="375">
        <v>-143270.75268400507</v>
      </c>
      <c r="AI27" s="370">
        <v>632916.76765212091</v>
      </c>
      <c r="AJ27" s="371">
        <v>463465.42602966115</v>
      </c>
      <c r="AK27" s="404">
        <v>0.36561808520235783</v>
      </c>
      <c r="AL27" s="370">
        <v>2243977.0523478785</v>
      </c>
      <c r="AM27" s="371">
        <v>1769377.2711680008</v>
      </c>
      <c r="AN27" s="404">
        <v>0.26822983934149058</v>
      </c>
      <c r="AO27" s="370">
        <v>2876893.8199999994</v>
      </c>
      <c r="AP27" s="371">
        <v>2232842.6971976617</v>
      </c>
      <c r="AQ27" s="400">
        <v>0.28844446749905694</v>
      </c>
      <c r="AR27" s="375">
        <v>644051.12280233763</v>
      </c>
      <c r="AT27" s="220">
        <v>653443.91008415993</v>
      </c>
      <c r="AU27" s="209">
        <v>442543.49777184858</v>
      </c>
      <c r="AV27" s="61">
        <v>0.476564254980965</v>
      </c>
      <c r="AW27" s="220">
        <v>2542606.4899158403</v>
      </c>
      <c r="AX27" s="209">
        <v>1721974.8353915138</v>
      </c>
      <c r="AY27" s="61">
        <v>0.476564254980965</v>
      </c>
      <c r="AZ27" s="220">
        <v>3196050.4000000004</v>
      </c>
      <c r="BA27" s="209">
        <v>2164518.3331633625</v>
      </c>
      <c r="BB27" s="354">
        <v>0.476564254980965</v>
      </c>
      <c r="BC27" s="229">
        <v>1031532.0668366379</v>
      </c>
      <c r="BE27" s="220">
        <v>646501.36199999996</v>
      </c>
      <c r="BF27" s="209">
        <v>459367.83211944887</v>
      </c>
      <c r="BG27" s="61">
        <v>0.40737186367000766</v>
      </c>
      <c r="BH27" s="220">
        <v>2586005.4479999999</v>
      </c>
      <c r="BI27" s="209">
        <v>1828004.1829338642</v>
      </c>
      <c r="BJ27" s="61">
        <v>0.41466057470917694</v>
      </c>
      <c r="BK27" s="220">
        <v>3232506.8099999996</v>
      </c>
      <c r="BL27" s="209">
        <v>2287372.0150533132</v>
      </c>
      <c r="BM27" s="354">
        <v>0.41319679908939411</v>
      </c>
      <c r="BN27" s="229">
        <v>945134.79494668636</v>
      </c>
      <c r="BP27" s="713">
        <v>797904.45400000014</v>
      </c>
      <c r="BQ27" s="714">
        <v>500253.85459718795</v>
      </c>
      <c r="BR27" s="739">
        <v>0.59499911228567148</v>
      </c>
      <c r="BS27" s="713">
        <v>3191617.8160000006</v>
      </c>
      <c r="BT27" s="714">
        <v>2040947.857509353</v>
      </c>
      <c r="BU27" s="739">
        <v>0.56379194316843262</v>
      </c>
      <c r="BV27" s="713">
        <v>3989522.2700000005</v>
      </c>
      <c r="BW27" s="714">
        <v>2541201.7121065408</v>
      </c>
      <c r="BX27" s="740">
        <v>0.56993529911203611</v>
      </c>
      <c r="BY27" s="718">
        <v>1448320.5578934597</v>
      </c>
      <c r="CA27" s="713">
        <v>672996.15399999998</v>
      </c>
      <c r="CB27" s="714">
        <v>449216.6309305816</v>
      </c>
      <c r="CC27" s="739">
        <v>0.49815502735471862</v>
      </c>
      <c r="CD27" s="713">
        <v>2691984.6159999999</v>
      </c>
      <c r="CE27" s="714">
        <v>1875600.6052989736</v>
      </c>
      <c r="CF27" s="739">
        <v>0.435265380270494</v>
      </c>
      <c r="CG27" s="713">
        <v>3364980.77</v>
      </c>
      <c r="CH27" s="714">
        <v>2324817.2362295552</v>
      </c>
      <c r="CI27" s="740">
        <v>0.4474173356772797</v>
      </c>
      <c r="CJ27" s="718">
        <v>1040163.5337704448</v>
      </c>
    </row>
    <row r="28" spans="1:88" x14ac:dyDescent="0.25">
      <c r="A28" s="353" t="s">
        <v>17</v>
      </c>
      <c r="B28" s="370">
        <v>334805.76000000001</v>
      </c>
      <c r="C28" s="371">
        <v>348781.9092021641</v>
      </c>
      <c r="D28" s="404">
        <v>-4.0071313429456357E-2</v>
      </c>
      <c r="E28" s="370">
        <v>342468.2</v>
      </c>
      <c r="F28" s="371">
        <v>300620.00645574089</v>
      </c>
      <c r="G28" s="404">
        <v>0.13920628250142841</v>
      </c>
      <c r="H28" s="370">
        <v>677273.96</v>
      </c>
      <c r="I28" s="371">
        <v>649401.91565790493</v>
      </c>
      <c r="J28" s="400">
        <v>4.2919559782724104E-2</v>
      </c>
      <c r="K28" s="375">
        <v>27872.044342095032</v>
      </c>
      <c r="M28" s="370">
        <v>272496.21999999997</v>
      </c>
      <c r="N28" s="371">
        <v>280194.70861675427</v>
      </c>
      <c r="O28" s="404">
        <v>-2.7475496074710559E-2</v>
      </c>
      <c r="P28" s="370">
        <v>389061.42</v>
      </c>
      <c r="Q28" s="371">
        <v>274040.17995234486</v>
      </c>
      <c r="R28" s="404">
        <v>0.419723998384679</v>
      </c>
      <c r="S28" s="370">
        <v>661557.6399999999</v>
      </c>
      <c r="T28" s="371">
        <v>554234.88856909913</v>
      </c>
      <c r="U28" s="400">
        <v>0.19364127673012832</v>
      </c>
      <c r="V28" s="375">
        <v>107322.75143090077</v>
      </c>
      <c r="X28" s="370">
        <v>272803.21000000002</v>
      </c>
      <c r="Y28" s="371">
        <v>390845.25490122271</v>
      </c>
      <c r="Z28" s="404">
        <v>-0.30201734169973526</v>
      </c>
      <c r="AA28" s="370">
        <v>-181125.23</v>
      </c>
      <c r="AB28" s="371">
        <v>271109.86659103452</v>
      </c>
      <c r="AC28" s="404">
        <v>-1.6680879315736041</v>
      </c>
      <c r="AD28" s="370">
        <v>91677.98000000001</v>
      </c>
      <c r="AE28" s="371">
        <v>661955.12149225723</v>
      </c>
      <c r="AF28" s="400">
        <v>-0.8615042364302149</v>
      </c>
      <c r="AG28" s="375">
        <v>-570277.14149225724</v>
      </c>
      <c r="AI28" s="370">
        <v>187682.84</v>
      </c>
      <c r="AJ28" s="371">
        <v>244306.12852709822</v>
      </c>
      <c r="AK28" s="404">
        <v>-0.231771871088439</v>
      </c>
      <c r="AL28" s="370">
        <v>-190359.85</v>
      </c>
      <c r="AM28" s="371">
        <v>362277.05757671176</v>
      </c>
      <c r="AN28" s="404">
        <v>-1.5254537819019673</v>
      </c>
      <c r="AO28" s="370">
        <v>-2677.0100000000093</v>
      </c>
      <c r="AP28" s="371">
        <v>606583.18610380997</v>
      </c>
      <c r="AQ28" s="400">
        <v>-1.0044132611343795</v>
      </c>
      <c r="AR28" s="375">
        <v>-603906.17610380996</v>
      </c>
      <c r="AT28" s="220">
        <v>132228.9</v>
      </c>
      <c r="AU28" s="209">
        <v>159827.25101700856</v>
      </c>
      <c r="AV28" s="61">
        <v>-0.17267612901676943</v>
      </c>
      <c r="AW28" s="220">
        <v>392988.54</v>
      </c>
      <c r="AX28" s="209">
        <v>286298.84152731067</v>
      </c>
      <c r="AY28" s="61">
        <v>0.37265152001151902</v>
      </c>
      <c r="AZ28" s="220">
        <v>525217.43999999994</v>
      </c>
      <c r="BA28" s="209">
        <v>446126.09254431922</v>
      </c>
      <c r="BB28" s="354">
        <v>0.17728473805379052</v>
      </c>
      <c r="BC28" s="229">
        <v>79091.34745568072</v>
      </c>
      <c r="BE28" s="220">
        <v>109226.10999999994</v>
      </c>
      <c r="BF28" s="209">
        <v>193270.36584129272</v>
      </c>
      <c r="BG28" s="61">
        <v>-0.43485329722150556</v>
      </c>
      <c r="BH28" s="220">
        <v>-491811.69999999995</v>
      </c>
      <c r="BI28" s="209">
        <v>342901.61297159782</v>
      </c>
      <c r="BJ28" s="61">
        <v>-2.4342647610722561</v>
      </c>
      <c r="BK28" s="220">
        <v>-382585.59</v>
      </c>
      <c r="BL28" s="209">
        <v>536171.97881289059</v>
      </c>
      <c r="BM28" s="354">
        <v>-1.7135501389816419</v>
      </c>
      <c r="BN28" s="229">
        <v>-153586.38881289057</v>
      </c>
      <c r="BP28" s="713">
        <v>243254.8</v>
      </c>
      <c r="BQ28" s="714">
        <v>209981.1009047133</v>
      </c>
      <c r="BR28" s="739">
        <v>0.15846044692558237</v>
      </c>
      <c r="BS28" s="713">
        <v>449177.2799999998</v>
      </c>
      <c r="BT28" s="714">
        <v>316306.26791411312</v>
      </c>
      <c r="BU28" s="739">
        <v>0.42007075282480733</v>
      </c>
      <c r="BV28" s="713">
        <v>692432.07999999984</v>
      </c>
      <c r="BW28" s="714">
        <v>526287.36881882639</v>
      </c>
      <c r="BX28" s="740">
        <v>0.31569199837355111</v>
      </c>
      <c r="BY28" s="718">
        <v>166144.71118117345</v>
      </c>
      <c r="CA28" s="713">
        <v>110543.56000000001</v>
      </c>
      <c r="CB28" s="714">
        <v>127519.20213566913</v>
      </c>
      <c r="CC28" s="739">
        <v>-0.13312224238674686</v>
      </c>
      <c r="CD28" s="713">
        <v>301605.30999999994</v>
      </c>
      <c r="CE28" s="714">
        <v>184046.43594520492</v>
      </c>
      <c r="CF28" s="739">
        <v>0.63874572442030408</v>
      </c>
      <c r="CG28" s="713">
        <v>412148.86999999994</v>
      </c>
      <c r="CH28" s="714">
        <v>311565.63808087405</v>
      </c>
      <c r="CI28" s="740">
        <v>0.32283159509720138</v>
      </c>
      <c r="CJ28" s="718">
        <v>100583.23191912589</v>
      </c>
    </row>
    <row r="29" spans="1:88" x14ac:dyDescent="0.25">
      <c r="A29" s="353" t="s">
        <v>28</v>
      </c>
      <c r="B29" s="370">
        <v>-182166.92879999999</v>
      </c>
      <c r="C29" s="371">
        <v>-135078</v>
      </c>
      <c r="D29" s="404">
        <v>0.34860546350997201</v>
      </c>
      <c r="E29" s="370">
        <v>-395690.12119999999</v>
      </c>
      <c r="F29" s="371">
        <v>-478914</v>
      </c>
      <c r="G29" s="404">
        <v>-0.17377624959804894</v>
      </c>
      <c r="H29" s="370">
        <v>-577857.05000000005</v>
      </c>
      <c r="I29" s="371">
        <v>-613992</v>
      </c>
      <c r="J29" s="400">
        <v>-5.8852476905236428E-2</v>
      </c>
      <c r="K29" s="375">
        <v>-36134.949999999953</v>
      </c>
      <c r="M29" s="370">
        <v>-175268.6992</v>
      </c>
      <c r="N29" s="371">
        <v>-138230.36958757311</v>
      </c>
      <c r="O29" s="404">
        <v>0.26794639790760311</v>
      </c>
      <c r="P29" s="370">
        <v>-692764.18080000009</v>
      </c>
      <c r="Q29" s="371">
        <v>-490089.49217412295</v>
      </c>
      <c r="R29" s="404">
        <v>0.41354628463217336</v>
      </c>
      <c r="S29" s="370">
        <v>-868032.88000000012</v>
      </c>
      <c r="T29" s="371">
        <v>-628319.86176169605</v>
      </c>
      <c r="U29" s="400">
        <v>0.38151430955276799</v>
      </c>
      <c r="V29" s="375">
        <v>239713.01823830407</v>
      </c>
      <c r="X29" s="370">
        <v>-220529.89273334079</v>
      </c>
      <c r="Y29" s="371">
        <v>-169005.8018210294</v>
      </c>
      <c r="Z29" s="404">
        <v>0.3048658114522802</v>
      </c>
      <c r="AA29" s="370">
        <v>-871661.10726665927</v>
      </c>
      <c r="AB29" s="371">
        <v>-599202.3882745587</v>
      </c>
      <c r="AC29" s="404">
        <v>0.45470232482995065</v>
      </c>
      <c r="AD29" s="370">
        <v>-1092191</v>
      </c>
      <c r="AE29" s="371">
        <v>-768208.1900955881</v>
      </c>
      <c r="AF29" s="400">
        <v>0.42173829188686307</v>
      </c>
      <c r="AG29" s="375">
        <v>323982.8099044119</v>
      </c>
      <c r="AI29" s="370">
        <v>-171495.88939999999</v>
      </c>
      <c r="AJ29" s="371">
        <v>-168402.61924065312</v>
      </c>
      <c r="AK29" s="405">
        <v>1.8368301949784227E-2</v>
      </c>
      <c r="AL29" s="370">
        <v>-888547.03060000006</v>
      </c>
      <c r="AM29" s="371">
        <v>-597063.83185322466</v>
      </c>
      <c r="AN29" s="405">
        <v>0.48819436582189479</v>
      </c>
      <c r="AO29" s="370">
        <v>-1060042.92</v>
      </c>
      <c r="AP29" s="371">
        <v>-765466.45109387778</v>
      </c>
      <c r="AQ29" s="402">
        <v>0.38483263177003035</v>
      </c>
      <c r="AR29" s="406">
        <v>294576.46890612214</v>
      </c>
      <c r="AT29" s="220">
        <v>-313022.82439999981</v>
      </c>
      <c r="AU29" s="209">
        <v>-156646.84378827922</v>
      </c>
      <c r="AV29" s="350">
        <v>0.99827086732162496</v>
      </c>
      <c r="AW29" s="220">
        <v>-1109808.1956</v>
      </c>
      <c r="AX29" s="209">
        <v>-555384.26434026298</v>
      </c>
      <c r="AY29" s="350">
        <v>0.99827086732162496</v>
      </c>
      <c r="AZ29" s="220">
        <v>-1422831.0199999998</v>
      </c>
      <c r="BA29" s="209">
        <v>-712031.1081285422</v>
      </c>
      <c r="BB29" s="557">
        <v>0.99827086732162496</v>
      </c>
      <c r="BC29" s="559">
        <v>710799.91187145759</v>
      </c>
      <c r="BE29" s="220">
        <v>-323969.32699999999</v>
      </c>
      <c r="BF29" s="209">
        <v>-170010.17439540266</v>
      </c>
      <c r="BG29" s="350">
        <v>0.90558787526754414</v>
      </c>
      <c r="BH29" s="220">
        <v>-1148618.523</v>
      </c>
      <c r="BI29" s="209">
        <v>-602763.34558370057</v>
      </c>
      <c r="BJ29" s="350">
        <v>0.90558787526754347</v>
      </c>
      <c r="BK29" s="220">
        <v>-1472587.85</v>
      </c>
      <c r="BL29" s="209">
        <v>-772773.51997910324</v>
      </c>
      <c r="BM29" s="557">
        <v>0.9055878752675437</v>
      </c>
      <c r="BN29" s="559">
        <v>699814.33002089686</v>
      </c>
      <c r="BP29" s="734">
        <v>-282755.62919999991</v>
      </c>
      <c r="BQ29" s="726">
        <v>-154750.91611936176</v>
      </c>
      <c r="BR29" s="737">
        <v>0.82716610854766204</v>
      </c>
      <c r="BS29" s="734">
        <v>-1002497.2307999998</v>
      </c>
      <c r="BT29" s="726">
        <v>-548662.33896864625</v>
      </c>
      <c r="BU29" s="737">
        <v>0.82716610854766226</v>
      </c>
      <c r="BV29" s="734">
        <v>-1285252.8599999996</v>
      </c>
      <c r="BW29" s="726">
        <v>-703413.25508800801</v>
      </c>
      <c r="BX29" s="741">
        <v>0.82716610854766226</v>
      </c>
      <c r="BY29" s="742">
        <v>581839.60491199163</v>
      </c>
      <c r="CA29" s="734">
        <v>-259689.54000000007</v>
      </c>
      <c r="CB29" s="726">
        <v>-174347.3823241978</v>
      </c>
      <c r="CC29" s="737">
        <v>0.48949491835276948</v>
      </c>
      <c r="CD29" s="734">
        <v>-920717.4600000002</v>
      </c>
      <c r="CE29" s="726">
        <v>-618140.71914942865</v>
      </c>
      <c r="CF29" s="737">
        <v>0.48949491835276904</v>
      </c>
      <c r="CG29" s="734">
        <v>-1180407.0000000002</v>
      </c>
      <c r="CH29" s="726">
        <v>-792488.10147362645</v>
      </c>
      <c r="CI29" s="741">
        <v>0.48949491835276904</v>
      </c>
      <c r="CJ29" s="742">
        <v>387918.89852637378</v>
      </c>
    </row>
    <row r="30" spans="1:88" x14ac:dyDescent="0.25">
      <c r="A30" s="271" t="s">
        <v>123</v>
      </c>
      <c r="B30" s="265">
        <v>3504281.6369456286</v>
      </c>
      <c r="C30" s="266">
        <v>3559264.371133578</v>
      </c>
      <c r="D30" s="267">
        <v>-1.5447780343003314E-2</v>
      </c>
      <c r="E30" s="265">
        <v>9570904.2130543906</v>
      </c>
      <c r="F30" s="266">
        <v>10152489.282999452</v>
      </c>
      <c r="G30" s="267">
        <v>-5.728497255534537E-2</v>
      </c>
      <c r="H30" s="265">
        <v>13075185.850000016</v>
      </c>
      <c r="I30" s="266">
        <v>13711753.654133033</v>
      </c>
      <c r="J30" s="267">
        <v>-4.6424973799112923E-2</v>
      </c>
      <c r="K30" s="363">
        <v>-636567.80413301662</v>
      </c>
      <c r="M30" s="265">
        <v>3464917.2297199997</v>
      </c>
      <c r="N30" s="266">
        <v>3528656.9181298455</v>
      </c>
      <c r="O30" s="267">
        <v>-1.8063441668799918E-2</v>
      </c>
      <c r="P30" s="265">
        <v>11886876.890280005</v>
      </c>
      <c r="Q30" s="266">
        <v>10228503.47253187</v>
      </c>
      <c r="R30" s="267">
        <v>0.16213255655645153</v>
      </c>
      <c r="S30" s="265">
        <v>15351794.120000007</v>
      </c>
      <c r="T30" s="266">
        <v>13757160.390661715</v>
      </c>
      <c r="U30" s="267">
        <v>0.11591299978015246</v>
      </c>
      <c r="V30" s="363">
        <v>1594633.729338292</v>
      </c>
      <c r="X30" s="265">
        <v>2853178.9224075819</v>
      </c>
      <c r="Y30" s="266">
        <v>2969869.9626783789</v>
      </c>
      <c r="Z30" s="267">
        <v>-3.9291632878619032E-2</v>
      </c>
      <c r="AA30" s="265">
        <v>15040297.36759243</v>
      </c>
      <c r="AB30" s="266">
        <v>13563861.793358922</v>
      </c>
      <c r="AC30" s="267">
        <v>0.10885067960191064</v>
      </c>
      <c r="AD30" s="265">
        <v>17893476.29000001</v>
      </c>
      <c r="AE30" s="266">
        <v>16533731.756037295</v>
      </c>
      <c r="AF30" s="267">
        <v>8.2240631094441463E-2</v>
      </c>
      <c r="AG30" s="363">
        <v>1359744.5339627154</v>
      </c>
      <c r="AI30" s="395">
        <v>2958757.4475712702</v>
      </c>
      <c r="AJ30" s="269">
        <v>2973212.0878759543</v>
      </c>
      <c r="AK30" s="267">
        <v>-4.8616243569123974E-3</v>
      </c>
      <c r="AL30" s="395">
        <v>15845884.80242873</v>
      </c>
      <c r="AM30" s="269">
        <v>13460923.321546808</v>
      </c>
      <c r="AN30" s="267">
        <v>0.17717666343617977</v>
      </c>
      <c r="AO30" s="395">
        <v>18804642.25</v>
      </c>
      <c r="AP30" s="269">
        <v>16434135.409422759</v>
      </c>
      <c r="AQ30" s="267">
        <v>0.14424286897490668</v>
      </c>
      <c r="AR30" s="411">
        <v>2370506.840577241</v>
      </c>
      <c r="AT30" s="328">
        <v>2791893.8748729178</v>
      </c>
      <c r="AU30" s="329">
        <v>3205174.6817209562</v>
      </c>
      <c r="AV30" s="267">
        <v>-0.12894174199146469</v>
      </c>
      <c r="AW30" s="328">
        <v>20634238.325127076</v>
      </c>
      <c r="AX30" s="329">
        <v>12088122.035512339</v>
      </c>
      <c r="AY30" s="267">
        <v>0.70698461386376299</v>
      </c>
      <c r="AZ30" s="328">
        <v>23426132.199999996</v>
      </c>
      <c r="BA30" s="329">
        <v>15293296.717233298</v>
      </c>
      <c r="BB30" s="267">
        <v>0.5317908645296987</v>
      </c>
      <c r="BC30" s="562">
        <v>8132835.4827666972</v>
      </c>
      <c r="BE30" s="328">
        <v>2640144.9107249989</v>
      </c>
      <c r="BF30" s="329">
        <v>2608153.4776491439</v>
      </c>
      <c r="BG30" s="267">
        <v>1.226593195147796E-2</v>
      </c>
      <c r="BH30" s="328">
        <v>16335295.079275006</v>
      </c>
      <c r="BI30" s="329">
        <v>13890443.420833852</v>
      </c>
      <c r="BJ30" s="267">
        <v>0.17600961930230352</v>
      </c>
      <c r="BK30" s="328">
        <v>18975439.989999995</v>
      </c>
      <c r="BL30" s="329">
        <v>16498596.898482995</v>
      </c>
      <c r="BM30" s="267">
        <v>0.15012446856888406</v>
      </c>
      <c r="BN30" s="562">
        <v>2476843.0915169995</v>
      </c>
      <c r="BP30" s="743">
        <v>2415970.1311000003</v>
      </c>
      <c r="BQ30" s="744">
        <v>2574598.135451199</v>
      </c>
      <c r="BR30" s="745">
        <v>-6.1612724008051512E-2</v>
      </c>
      <c r="BS30" s="743">
        <v>15918285.068900008</v>
      </c>
      <c r="BT30" s="744">
        <v>12449621.046531562</v>
      </c>
      <c r="BU30" s="746">
        <v>0.27861603252050871</v>
      </c>
      <c r="BV30" s="743">
        <v>18334255.199999999</v>
      </c>
      <c r="BW30" s="744">
        <v>15024219.181982756</v>
      </c>
      <c r="BX30" s="746">
        <v>0.22031334726444096</v>
      </c>
      <c r="BY30" s="747">
        <v>3310036.0180172436</v>
      </c>
      <c r="CA30" s="743">
        <v>2374836.8309999993</v>
      </c>
      <c r="CB30" s="744">
        <v>3059936.7901354576</v>
      </c>
      <c r="CC30" s="745">
        <v>-0.22389350046186096</v>
      </c>
      <c r="CD30" s="743">
        <v>14331429.198999997</v>
      </c>
      <c r="CE30" s="744">
        <v>13742626.182183392</v>
      </c>
      <c r="CF30" s="746">
        <v>4.2845014410706872E-2</v>
      </c>
      <c r="CG30" s="743">
        <v>16706266.029999994</v>
      </c>
      <c r="CH30" s="744">
        <v>16802562.972318847</v>
      </c>
      <c r="CI30" s="746">
        <v>-5.7310865299238234E-3</v>
      </c>
      <c r="CJ30" s="747">
        <v>-96296.942318852991</v>
      </c>
    </row>
    <row r="31" spans="1:88" x14ac:dyDescent="0.25">
      <c r="A31" s="121" t="s">
        <v>24</v>
      </c>
      <c r="B31" s="70">
        <v>-725978.64</v>
      </c>
      <c r="C31" s="70">
        <v>-724706.99754799716</v>
      </c>
      <c r="D31" s="412">
        <v>1.7546987352203836E-3</v>
      </c>
      <c r="E31" s="70">
        <v>-1516697.22</v>
      </c>
      <c r="F31" s="70">
        <v>-1528471.5268365145</v>
      </c>
      <c r="G31" s="412">
        <v>-7.703321016966469E-3</v>
      </c>
      <c r="H31" s="413">
        <v>-2242675.86</v>
      </c>
      <c r="I31" s="70">
        <v>-2253178.5243845116</v>
      </c>
      <c r="J31" s="412">
        <v>-4.6612659719809102E-3</v>
      </c>
      <c r="K31" s="414">
        <v>-10502.664384511765</v>
      </c>
      <c r="M31" s="70">
        <v>-403888.5083000001</v>
      </c>
      <c r="N31" s="70">
        <v>-555191.519429693</v>
      </c>
      <c r="O31" s="412">
        <v>-0.27252399547657935</v>
      </c>
      <c r="P31" s="70">
        <v>-1775414.1117</v>
      </c>
      <c r="Q31" s="70">
        <v>-916664.33182585984</v>
      </c>
      <c r="R31" s="412">
        <v>0.93682032785505842</v>
      </c>
      <c r="S31" s="413">
        <v>-2179302.62</v>
      </c>
      <c r="T31" s="70">
        <v>-1471855.8512555528</v>
      </c>
      <c r="U31" s="412">
        <v>0.48064949304713944</v>
      </c>
      <c r="V31" s="414">
        <v>707446.76874444727</v>
      </c>
      <c r="X31" s="70">
        <v>-610260.52</v>
      </c>
      <c r="Y31" s="70">
        <v>-577819.12003649399</v>
      </c>
      <c r="Z31" s="412">
        <v>5.6144559497195434E-2</v>
      </c>
      <c r="AA31" s="70">
        <v>-439697.64999999991</v>
      </c>
      <c r="AB31" s="70">
        <v>-1292046.243950896</v>
      </c>
      <c r="AC31" s="412">
        <v>-0.65968892208109653</v>
      </c>
      <c r="AD31" s="413">
        <v>-1049958.17</v>
      </c>
      <c r="AE31" s="70">
        <v>-1869865.36398739</v>
      </c>
      <c r="AF31" s="412">
        <v>-0.4384846148703353</v>
      </c>
      <c r="AG31" s="414">
        <v>-819907.19398739003</v>
      </c>
      <c r="AI31" s="70">
        <v>-483020.98000000056</v>
      </c>
      <c r="AJ31" s="70">
        <v>-572342.10295092128</v>
      </c>
      <c r="AK31" s="415">
        <v>-0.15606247118706218</v>
      </c>
      <c r="AL31" s="70">
        <v>-2252289.5199999968</v>
      </c>
      <c r="AM31" s="70">
        <v>-1105001.7614120618</v>
      </c>
      <c r="AN31" s="415">
        <v>1.038267809747051</v>
      </c>
      <c r="AO31" s="413">
        <v>-2735310.4999999972</v>
      </c>
      <c r="AP31" s="70">
        <v>-1677343.864362983</v>
      </c>
      <c r="AQ31" s="415">
        <v>0.63073926468786756</v>
      </c>
      <c r="AR31" s="416">
        <v>1057966.6356370142</v>
      </c>
      <c r="AT31" s="330">
        <v>-706208.47999999975</v>
      </c>
      <c r="AU31" s="330">
        <v>-579408.77179348096</v>
      </c>
      <c r="AV31" s="563">
        <v>0.21884326641108243</v>
      </c>
      <c r="AW31" s="330">
        <v>-2828879.540000001</v>
      </c>
      <c r="AX31" s="330">
        <v>-1110416.4405468479</v>
      </c>
      <c r="AY31" s="563">
        <v>1.547584344668798</v>
      </c>
      <c r="AZ31" s="331">
        <v>-3535088.0200000005</v>
      </c>
      <c r="BA31" s="330">
        <v>-1689825.2123403288</v>
      </c>
      <c r="BB31" s="563">
        <v>1.0919844219296913</v>
      </c>
      <c r="BC31" s="564">
        <v>1845262.8076596716</v>
      </c>
      <c r="BE31" s="330">
        <v>-455481.60999999981</v>
      </c>
      <c r="BF31" s="330">
        <v>-569041.41948436201</v>
      </c>
      <c r="BG31" s="563">
        <v>-0.19956334564760614</v>
      </c>
      <c r="BH31" s="330">
        <v>-1360932.5900000003</v>
      </c>
      <c r="BI31" s="330">
        <v>-1629488.7716009766</v>
      </c>
      <c r="BJ31" s="563">
        <v>-0.16481008416960075</v>
      </c>
      <c r="BK31" s="331">
        <v>-1816414.2000000002</v>
      </c>
      <c r="BL31" s="330">
        <v>-2198530.1910853386</v>
      </c>
      <c r="BM31" s="563">
        <v>-0.17380520523882403</v>
      </c>
      <c r="BN31" s="564">
        <v>-382115.99108533841</v>
      </c>
      <c r="BP31" s="748">
        <v>-618169.09000000043</v>
      </c>
      <c r="BQ31" s="748">
        <v>-640107.41987605207</v>
      </c>
      <c r="BR31" s="749">
        <v>-3.4272887947931707E-2</v>
      </c>
      <c r="BS31" s="748">
        <v>-1454128.3299999982</v>
      </c>
      <c r="BT31" s="748">
        <v>-1848475.3435240313</v>
      </c>
      <c r="BU31" s="749">
        <v>-0.21333636659292898</v>
      </c>
      <c r="BV31" s="750">
        <v>-2072297.4199999985</v>
      </c>
      <c r="BW31" s="748">
        <v>-2488582.7634000834</v>
      </c>
      <c r="BX31" s="749">
        <v>-0.16727807872112943</v>
      </c>
      <c r="BY31" s="751">
        <v>-416285.34340008488</v>
      </c>
      <c r="CA31" s="748">
        <v>-646083.22000000009</v>
      </c>
      <c r="CB31" s="748">
        <v>-637930.47458266281</v>
      </c>
      <c r="CC31" s="749">
        <v>1.2779990519610873E-2</v>
      </c>
      <c r="CD31" s="748">
        <v>163085.18000000017</v>
      </c>
      <c r="CE31" s="748">
        <v>-1812314.3979868218</v>
      </c>
      <c r="CF31" s="749">
        <v>-1.0899872451386805</v>
      </c>
      <c r="CG31" s="750">
        <v>-482998.03999999992</v>
      </c>
      <c r="CH31" s="748">
        <v>-2450244.8725694846</v>
      </c>
      <c r="CI31" s="749">
        <v>-0.80287764483984125</v>
      </c>
      <c r="CJ31" s="751">
        <v>-1967246.8325694846</v>
      </c>
    </row>
    <row r="32" spans="1:88" x14ac:dyDescent="0.25">
      <c r="A32" s="355" t="s">
        <v>24</v>
      </c>
      <c r="B32" s="373">
        <v>-725978.64</v>
      </c>
      <c r="C32" s="417">
        <v>-724706.99754799716</v>
      </c>
      <c r="D32" s="399">
        <v>1.7546987352203836E-3</v>
      </c>
      <c r="E32" s="373">
        <v>-1516697.22</v>
      </c>
      <c r="F32" s="417">
        <v>-1528471.5268365145</v>
      </c>
      <c r="G32" s="399">
        <v>-7.703321016966469E-3</v>
      </c>
      <c r="H32" s="373">
        <v>-2242675.86</v>
      </c>
      <c r="I32" s="417">
        <v>-2253178.5243845116</v>
      </c>
      <c r="J32" s="418">
        <v>-4.6612659719809102E-3</v>
      </c>
      <c r="K32" s="419">
        <v>-10502.664384511765</v>
      </c>
      <c r="M32" s="373">
        <v>-403888.5083000001</v>
      </c>
      <c r="N32" s="417">
        <v>-555191.519429693</v>
      </c>
      <c r="O32" s="399">
        <v>-0.27252399547657935</v>
      </c>
      <c r="P32" s="373">
        <v>-1775414.1117</v>
      </c>
      <c r="Q32" s="417">
        <v>-916664.33182585984</v>
      </c>
      <c r="R32" s="399">
        <v>0.93682032785505842</v>
      </c>
      <c r="S32" s="373">
        <v>-2179302.62</v>
      </c>
      <c r="T32" s="417">
        <v>-1471855.8512555528</v>
      </c>
      <c r="U32" s="418">
        <v>0.48064949304713944</v>
      </c>
      <c r="V32" s="419">
        <v>707446.76874444727</v>
      </c>
      <c r="X32" s="373">
        <v>-610260.52</v>
      </c>
      <c r="Y32" s="417">
        <v>-577819.12003649399</v>
      </c>
      <c r="Z32" s="399">
        <v>5.6144559497195434E-2</v>
      </c>
      <c r="AA32" s="373">
        <v>-439697.64999999991</v>
      </c>
      <c r="AB32" s="417">
        <v>-1292046.243950896</v>
      </c>
      <c r="AC32" s="399">
        <v>-0.65968892208109653</v>
      </c>
      <c r="AD32" s="373">
        <v>-1049958.17</v>
      </c>
      <c r="AE32" s="417">
        <v>-1869865.36398739</v>
      </c>
      <c r="AF32" s="418">
        <v>-0.4384846148703353</v>
      </c>
      <c r="AG32" s="419">
        <v>-819907.19398739003</v>
      </c>
      <c r="AI32" s="373">
        <v>-483020.98000000056</v>
      </c>
      <c r="AJ32" s="417">
        <v>-572342.10295092128</v>
      </c>
      <c r="AK32" s="401">
        <v>-0.15606247118706218</v>
      </c>
      <c r="AL32" s="373">
        <v>-1281924.4999999967</v>
      </c>
      <c r="AM32" s="417">
        <v>-1105001.7614120618</v>
      </c>
      <c r="AN32" s="401">
        <v>0.16011082042244773</v>
      </c>
      <c r="AO32" s="373">
        <v>-1764945.4799999972</v>
      </c>
      <c r="AP32" s="417">
        <v>-1677343.864362983</v>
      </c>
      <c r="AQ32" s="420">
        <v>5.2226390484507723E-2</v>
      </c>
      <c r="AR32" s="421">
        <v>87601.615637014154</v>
      </c>
      <c r="AT32" s="247">
        <v>-706208.47999999975</v>
      </c>
      <c r="AU32" s="248">
        <v>-579408.77179348096</v>
      </c>
      <c r="AV32" s="556">
        <v>0.21884326641108243</v>
      </c>
      <c r="AW32" s="247">
        <v>-2070863.070000001</v>
      </c>
      <c r="AX32" s="248">
        <v>-1110416.4405468479</v>
      </c>
      <c r="AY32" s="556">
        <v>0.86494273173779823</v>
      </c>
      <c r="AZ32" s="247">
        <v>-2777071.5500000007</v>
      </c>
      <c r="BA32" s="248">
        <v>-1689825.2123403288</v>
      </c>
      <c r="BB32" s="565">
        <v>0.64340757240441837</v>
      </c>
      <c r="BC32" s="566">
        <v>1087246.3376596719</v>
      </c>
      <c r="BE32" s="247">
        <v>-455481.60999999981</v>
      </c>
      <c r="BF32" s="248">
        <v>-569041.41948436201</v>
      </c>
      <c r="BG32" s="556">
        <v>-0.19956334564760614</v>
      </c>
      <c r="BH32" s="247">
        <v>-1395283.6100000003</v>
      </c>
      <c r="BI32" s="248">
        <v>-1629488.7716009766</v>
      </c>
      <c r="BJ32" s="556">
        <v>-0.1437292270328866</v>
      </c>
      <c r="BK32" s="247">
        <v>-1850765.2200000002</v>
      </c>
      <c r="BL32" s="248">
        <v>-2198530.1910853386</v>
      </c>
      <c r="BM32" s="565">
        <v>-0.15818066656326368</v>
      </c>
      <c r="BN32" s="566">
        <v>-347764.97108533839</v>
      </c>
      <c r="BP32" s="731">
        <v>-618169.09000000043</v>
      </c>
      <c r="BQ32" s="732">
        <v>-640107.41987605207</v>
      </c>
      <c r="BR32" s="733">
        <v>-3.4272887947931707E-2</v>
      </c>
      <c r="BS32" s="731">
        <v>-1454128.3299999982</v>
      </c>
      <c r="BT32" s="732">
        <v>-1848475.3435240313</v>
      </c>
      <c r="BU32" s="733">
        <v>-0.21333636659292898</v>
      </c>
      <c r="BV32" s="731">
        <v>-2072297.4199999985</v>
      </c>
      <c r="BW32" s="732">
        <v>-2488582.7634000834</v>
      </c>
      <c r="BX32" s="752">
        <v>-0.16727807872112943</v>
      </c>
      <c r="BY32" s="753">
        <v>-416285.34340008488</v>
      </c>
      <c r="CA32" s="731">
        <v>-646083.22000000009</v>
      </c>
      <c r="CB32" s="732">
        <v>-637930.47458266281</v>
      </c>
      <c r="CC32" s="733">
        <v>1.2779990519610873E-2</v>
      </c>
      <c r="CD32" s="731">
        <v>438242.42000000016</v>
      </c>
      <c r="CE32" s="732">
        <v>-1812314.3979868218</v>
      </c>
      <c r="CF32" s="733">
        <v>-1.2418136833690745</v>
      </c>
      <c r="CG32" s="731">
        <v>-207840.79999999993</v>
      </c>
      <c r="CH32" s="732">
        <v>-2450244.8725694846</v>
      </c>
      <c r="CI32" s="752">
        <v>-0.91517549844638801</v>
      </c>
      <c r="CJ32" s="753">
        <v>-2242404.0725694848</v>
      </c>
    </row>
    <row r="33" spans="1:88" x14ac:dyDescent="0.25">
      <c r="A33" s="353" t="s">
        <v>296</v>
      </c>
      <c r="B33" s="370">
        <v>0</v>
      </c>
      <c r="C33" s="371">
        <v>0</v>
      </c>
      <c r="D33" s="404" t="s">
        <v>181</v>
      </c>
      <c r="E33" s="370">
        <v>0</v>
      </c>
      <c r="F33" s="371">
        <v>0</v>
      </c>
      <c r="G33" s="404" t="s">
        <v>181</v>
      </c>
      <c r="H33" s="370">
        <v>0</v>
      </c>
      <c r="I33" s="371">
        <v>0</v>
      </c>
      <c r="J33" s="400" t="s">
        <v>181</v>
      </c>
      <c r="K33" s="375">
        <v>0</v>
      </c>
      <c r="M33" s="370">
        <v>0</v>
      </c>
      <c r="N33" s="371">
        <v>0</v>
      </c>
      <c r="O33" s="404" t="s">
        <v>181</v>
      </c>
      <c r="P33" s="370">
        <v>0</v>
      </c>
      <c r="Q33" s="371">
        <v>0</v>
      </c>
      <c r="R33" s="404" t="s">
        <v>181</v>
      </c>
      <c r="S33" s="370">
        <v>0</v>
      </c>
      <c r="T33" s="371">
        <v>0</v>
      </c>
      <c r="U33" s="400" t="s">
        <v>181</v>
      </c>
      <c r="V33" s="375">
        <v>0</v>
      </c>
      <c r="X33" s="370">
        <v>0</v>
      </c>
      <c r="Y33" s="371">
        <v>0</v>
      </c>
      <c r="Z33" s="404" t="s">
        <v>181</v>
      </c>
      <c r="AA33" s="370">
        <v>0</v>
      </c>
      <c r="AB33" s="371">
        <v>0</v>
      </c>
      <c r="AC33" s="404" t="s">
        <v>181</v>
      </c>
      <c r="AD33" s="370">
        <v>0</v>
      </c>
      <c r="AE33" s="371">
        <v>0</v>
      </c>
      <c r="AF33" s="400" t="s">
        <v>181</v>
      </c>
      <c r="AG33" s="375">
        <v>0</v>
      </c>
      <c r="AI33" s="370">
        <v>0</v>
      </c>
      <c r="AJ33" s="371">
        <v>0</v>
      </c>
      <c r="AK33" s="405" t="s">
        <v>181</v>
      </c>
      <c r="AL33" s="370">
        <v>-970365.02</v>
      </c>
      <c r="AM33" s="371">
        <v>0</v>
      </c>
      <c r="AN33" s="405" t="s">
        <v>181</v>
      </c>
      <c r="AO33" s="370">
        <v>-970365.02</v>
      </c>
      <c r="AP33" s="371">
        <v>0</v>
      </c>
      <c r="AQ33" s="402" t="s">
        <v>181</v>
      </c>
      <c r="AR33" s="406">
        <v>-970365.02</v>
      </c>
      <c r="AT33" s="220">
        <v>0</v>
      </c>
      <c r="AU33" s="209">
        <v>0</v>
      </c>
      <c r="AV33" s="350" t="s">
        <v>181</v>
      </c>
      <c r="AW33" s="220">
        <v>-758016.47</v>
      </c>
      <c r="AX33" s="209">
        <v>0</v>
      </c>
      <c r="AY33" s="350" t="s">
        <v>181</v>
      </c>
      <c r="AZ33" s="220">
        <v>-758016.47</v>
      </c>
      <c r="BA33" s="209">
        <v>0</v>
      </c>
      <c r="BB33" s="557" t="s">
        <v>181</v>
      </c>
      <c r="BC33" s="559">
        <v>-758016.47</v>
      </c>
      <c r="BE33" s="220">
        <v>0</v>
      </c>
      <c r="BF33" s="209">
        <v>0</v>
      </c>
      <c r="BG33" s="350" t="s">
        <v>181</v>
      </c>
      <c r="BH33" s="220">
        <v>34351.020000000004</v>
      </c>
      <c r="BI33" s="209">
        <v>0</v>
      </c>
      <c r="BJ33" s="350" t="s">
        <v>181</v>
      </c>
      <c r="BK33" s="220">
        <v>34351.020000000004</v>
      </c>
      <c r="BL33" s="209">
        <v>0</v>
      </c>
      <c r="BM33" s="557" t="s">
        <v>181</v>
      </c>
      <c r="BN33" s="559">
        <v>34351.020000000004</v>
      </c>
      <c r="BP33" s="713">
        <v>0</v>
      </c>
      <c r="BQ33" s="714">
        <v>0</v>
      </c>
      <c r="BR33" s="737" t="s">
        <v>181</v>
      </c>
      <c r="BS33" s="713">
        <v>0</v>
      </c>
      <c r="BT33" s="714">
        <v>0</v>
      </c>
      <c r="BU33" s="737" t="s">
        <v>181</v>
      </c>
      <c r="BV33" s="713">
        <v>0</v>
      </c>
      <c r="BW33" s="714">
        <v>0</v>
      </c>
      <c r="BX33" s="741" t="s">
        <v>181</v>
      </c>
      <c r="BY33" s="742">
        <v>0</v>
      </c>
      <c r="CA33" s="713">
        <v>0</v>
      </c>
      <c r="CB33" s="714">
        <v>0</v>
      </c>
      <c r="CC33" s="737" t="s">
        <v>181</v>
      </c>
      <c r="CD33" s="713">
        <v>-275157.24</v>
      </c>
      <c r="CE33" s="714">
        <v>0</v>
      </c>
      <c r="CF33" s="737" t="s">
        <v>181</v>
      </c>
      <c r="CG33" s="713">
        <v>-275157.24</v>
      </c>
      <c r="CH33" s="714">
        <v>0</v>
      </c>
      <c r="CI33" s="741" t="s">
        <v>181</v>
      </c>
      <c r="CJ33" s="742">
        <v>-275157.24</v>
      </c>
    </row>
    <row r="34" spans="1:88" x14ac:dyDescent="0.25">
      <c r="A34" s="271" t="s">
        <v>125</v>
      </c>
      <c r="B34" s="265">
        <v>2778302.9969456284</v>
      </c>
      <c r="C34" s="266">
        <v>2834557.3735855808</v>
      </c>
      <c r="D34" s="267">
        <v>-1.9845912156928103E-2</v>
      </c>
      <c r="E34" s="265">
        <v>8054206.9930543909</v>
      </c>
      <c r="F34" s="266">
        <v>8624017.7561629377</v>
      </c>
      <c r="G34" s="267">
        <v>-6.6072540574414473E-2</v>
      </c>
      <c r="H34" s="265">
        <v>10832509.990000017</v>
      </c>
      <c r="I34" s="266">
        <v>11458575.129748521</v>
      </c>
      <c r="J34" s="267">
        <v>-5.4637259228080381E-2</v>
      </c>
      <c r="K34" s="363">
        <v>-626065.13974850439</v>
      </c>
      <c r="M34" s="265">
        <v>3061028.7214199994</v>
      </c>
      <c r="N34" s="266">
        <v>2973465.3987001525</v>
      </c>
      <c r="O34" s="267">
        <v>2.9448240009157356E-2</v>
      </c>
      <c r="P34" s="265">
        <v>10111462.778580004</v>
      </c>
      <c r="Q34" s="266">
        <v>9311839.1407060102</v>
      </c>
      <c r="R34" s="267">
        <v>8.5871719409165825E-2</v>
      </c>
      <c r="S34" s="265">
        <v>13172491.500000007</v>
      </c>
      <c r="T34" s="266">
        <v>12285304.539406162</v>
      </c>
      <c r="U34" s="267">
        <v>7.2215300625891432E-2</v>
      </c>
      <c r="V34" s="363">
        <v>887186.9605938457</v>
      </c>
      <c r="X34" s="265">
        <v>2242918.4024075819</v>
      </c>
      <c r="Y34" s="266">
        <v>2392050.8426418849</v>
      </c>
      <c r="Z34" s="267">
        <v>-6.234501272957671E-2</v>
      </c>
      <c r="AA34" s="265">
        <v>14600599.717592429</v>
      </c>
      <c r="AB34" s="266">
        <v>12271815.549408026</v>
      </c>
      <c r="AC34" s="267">
        <v>0.18976688158393484</v>
      </c>
      <c r="AD34" s="265">
        <v>16843518.120000012</v>
      </c>
      <c r="AE34" s="266">
        <v>14663866.392049905</v>
      </c>
      <c r="AF34" s="267">
        <v>0.14864099751562221</v>
      </c>
      <c r="AG34" s="363">
        <v>2179651.7279501073</v>
      </c>
      <c r="AI34" s="395">
        <v>2475736.4675712697</v>
      </c>
      <c r="AJ34" s="269">
        <v>2400869.9849250331</v>
      </c>
      <c r="AK34" s="267">
        <v>3.118306410439553E-2</v>
      </c>
      <c r="AL34" s="395">
        <v>13593595.282428734</v>
      </c>
      <c r="AM34" s="269">
        <v>12355921.560134746</v>
      </c>
      <c r="AN34" s="267">
        <v>0.1001684671006029</v>
      </c>
      <c r="AO34" s="395">
        <v>16069331.750000004</v>
      </c>
      <c r="AP34" s="269">
        <v>14756791.545059776</v>
      </c>
      <c r="AQ34" s="267">
        <v>8.8944822520016897E-2</v>
      </c>
      <c r="AR34" s="411">
        <v>1312540.2049402278</v>
      </c>
      <c r="AT34" s="328">
        <v>2085685.394872918</v>
      </c>
      <c r="AU34" s="329">
        <v>2625765.9099274753</v>
      </c>
      <c r="AV34" s="267">
        <v>-0.20568494434809481</v>
      </c>
      <c r="AW34" s="328">
        <v>17805358.785127074</v>
      </c>
      <c r="AX34" s="329">
        <v>10977705.594965491</v>
      </c>
      <c r="AY34" s="267">
        <v>0.62195630326366436</v>
      </c>
      <c r="AZ34" s="328">
        <v>19891044.179999996</v>
      </c>
      <c r="BA34" s="329">
        <v>13603471.50489297</v>
      </c>
      <c r="BB34" s="267">
        <v>0.46220353921022861</v>
      </c>
      <c r="BC34" s="562">
        <v>6287572.6751070265</v>
      </c>
      <c r="BE34" s="328">
        <v>2184663.300724999</v>
      </c>
      <c r="BF34" s="329">
        <v>2039112.0581647819</v>
      </c>
      <c r="BG34" s="267">
        <v>7.1379717449768121E-2</v>
      </c>
      <c r="BH34" s="328">
        <v>14974362.489275007</v>
      </c>
      <c r="BI34" s="329">
        <v>12260954.649232876</v>
      </c>
      <c r="BJ34" s="267">
        <v>0.22130477745563626</v>
      </c>
      <c r="BK34" s="328">
        <v>17159025.789999995</v>
      </c>
      <c r="BL34" s="329">
        <v>14300066.707397657</v>
      </c>
      <c r="BM34" s="267">
        <v>0.19992627594690537</v>
      </c>
      <c r="BN34" s="562">
        <v>2858959.0826023389</v>
      </c>
      <c r="BP34" s="743">
        <v>1797801.0411</v>
      </c>
      <c r="BQ34" s="744">
        <v>1934490.715575147</v>
      </c>
      <c r="BR34" s="745">
        <v>-7.0659255883018024E-2</v>
      </c>
      <c r="BS34" s="743">
        <v>14464156.73890001</v>
      </c>
      <c r="BT34" s="744">
        <v>10601145.70300753</v>
      </c>
      <c r="BU34" s="746">
        <v>0.36439561761674</v>
      </c>
      <c r="BV34" s="743">
        <v>16261957.780000001</v>
      </c>
      <c r="BW34" s="744">
        <v>12535636.418582672</v>
      </c>
      <c r="BX34" s="746">
        <v>0.29725825135558948</v>
      </c>
      <c r="BY34" s="747">
        <v>3726321.3614173289</v>
      </c>
      <c r="CA34" s="743">
        <v>1728753.6109999991</v>
      </c>
      <c r="CB34" s="744">
        <v>2422006.3155527948</v>
      </c>
      <c r="CC34" s="745">
        <v>-0.28623075840104439</v>
      </c>
      <c r="CD34" s="743">
        <v>14494514.378999997</v>
      </c>
      <c r="CE34" s="744">
        <v>11930311.784196571</v>
      </c>
      <c r="CF34" s="746">
        <v>0.21493173365343932</v>
      </c>
      <c r="CG34" s="743">
        <v>16223267.989999995</v>
      </c>
      <c r="CH34" s="744">
        <v>14352318.099749362</v>
      </c>
      <c r="CI34" s="746">
        <v>0.13035872513746094</v>
      </c>
      <c r="CJ34" s="747">
        <v>1870949.8902506325</v>
      </c>
    </row>
    <row r="35" spans="1:88" x14ac:dyDescent="0.25">
      <c r="A35" s="355" t="s">
        <v>126</v>
      </c>
      <c r="B35" s="373">
        <v>-412401.31</v>
      </c>
      <c r="C35" s="417">
        <v>-423570.08659444534</v>
      </c>
      <c r="D35" s="399">
        <v>-2.6368190171887851E-2</v>
      </c>
      <c r="E35" s="373">
        <v>-1446214.79</v>
      </c>
      <c r="F35" s="417">
        <v>-1512538.5863777807</v>
      </c>
      <c r="G35" s="399">
        <v>-4.3849325217290791E-2</v>
      </c>
      <c r="H35" s="373">
        <v>-1858616.1</v>
      </c>
      <c r="I35" s="417">
        <v>-1936108.672972226</v>
      </c>
      <c r="J35" s="418">
        <v>-4.0024908753320543E-2</v>
      </c>
      <c r="K35" s="419">
        <v>-77492.572972225957</v>
      </c>
      <c r="M35" s="373">
        <v>-472978.65624000062</v>
      </c>
      <c r="N35" s="417">
        <v>-475521.65613863629</v>
      </c>
      <c r="O35" s="399">
        <v>-5.3478109057860657E-3</v>
      </c>
      <c r="P35" s="373">
        <v>-2407184.814960002</v>
      </c>
      <c r="Q35" s="417">
        <v>-2399769.7458436866</v>
      </c>
      <c r="R35" s="399">
        <v>3.089908575253153E-3</v>
      </c>
      <c r="S35" s="373">
        <v>-2880163.4712000024</v>
      </c>
      <c r="T35" s="417">
        <v>-2875291.4019823228</v>
      </c>
      <c r="U35" s="418">
        <v>1.694461025522731E-3</v>
      </c>
      <c r="V35" s="419">
        <v>4872.0692176795565</v>
      </c>
      <c r="X35" s="373">
        <v>-466515.01000000298</v>
      </c>
      <c r="Y35" s="417">
        <v>-486890.13951879612</v>
      </c>
      <c r="Z35" s="399">
        <v>-4.1847488509277109E-2</v>
      </c>
      <c r="AA35" s="373">
        <v>-1829214.4199999911</v>
      </c>
      <c r="AB35" s="417">
        <v>-2394625.696087528</v>
      </c>
      <c r="AC35" s="399">
        <v>-0.23611676639540669</v>
      </c>
      <c r="AD35" s="373">
        <v>-2295729.4299999941</v>
      </c>
      <c r="AE35" s="417">
        <v>-2881515.835606324</v>
      </c>
      <c r="AF35" s="418">
        <v>-0.20329105895164012</v>
      </c>
      <c r="AG35" s="419">
        <v>-585786.40560632991</v>
      </c>
      <c r="AI35" s="373">
        <v>-447760.78</v>
      </c>
      <c r="AJ35" s="417">
        <v>-486890.13951879612</v>
      </c>
      <c r="AK35" s="401">
        <v>-8.0365890254973094E-2</v>
      </c>
      <c r="AL35" s="373">
        <v>-2334541.1900000018</v>
      </c>
      <c r="AM35" s="417">
        <v>-2394625.696087528</v>
      </c>
      <c r="AN35" s="401">
        <v>-2.5091397868859278E-2</v>
      </c>
      <c r="AO35" s="373">
        <v>-2782301.9700000016</v>
      </c>
      <c r="AP35" s="417">
        <v>-2881515.835606324</v>
      </c>
      <c r="AQ35" s="420">
        <v>-3.4431136688667929E-2</v>
      </c>
      <c r="AR35" s="421">
        <v>-99213.865606322419</v>
      </c>
      <c r="AT35" s="247">
        <v>-440290.50507873594</v>
      </c>
      <c r="AU35" s="248">
        <v>-486890.13951879612</v>
      </c>
      <c r="AV35" s="556">
        <v>-9.5708724941761192E-2</v>
      </c>
      <c r="AW35" s="247">
        <v>-2295592.569925874</v>
      </c>
      <c r="AX35" s="248">
        <v>-2394625.696087528</v>
      </c>
      <c r="AY35" s="556">
        <v>-4.1356411702864415E-2</v>
      </c>
      <c r="AZ35" s="247">
        <v>-2735883.0750046098</v>
      </c>
      <c r="BA35" s="248">
        <v>-2881515.835606324</v>
      </c>
      <c r="BB35" s="565">
        <v>-5.0540329781345927E-2</v>
      </c>
      <c r="BC35" s="566">
        <v>-145632.76060171425</v>
      </c>
      <c r="BE35" s="247">
        <v>-417622.83393974276</v>
      </c>
      <c r="BF35" s="248">
        <v>-497979.28378861444</v>
      </c>
      <c r="BG35" s="556">
        <v>-0.16136504562503429</v>
      </c>
      <c r="BH35" s="247">
        <v>-2177407.5606105118</v>
      </c>
      <c r="BI35" s="248">
        <v>-2479321.2768449825</v>
      </c>
      <c r="BJ35" s="556">
        <v>-0.12177272830839647</v>
      </c>
      <c r="BK35" s="247">
        <v>-2595030.3945502546</v>
      </c>
      <c r="BL35" s="248">
        <v>-2977300.560633597</v>
      </c>
      <c r="BM35" s="565">
        <v>-0.12839488600438509</v>
      </c>
      <c r="BN35" s="566">
        <v>-382270.1660833424</v>
      </c>
      <c r="BP35" s="731">
        <v>-445130.88695507572</v>
      </c>
      <c r="BQ35" s="732">
        <v>-498703.08097511437</v>
      </c>
      <c r="BR35" s="733">
        <v>-0.10742302597226572</v>
      </c>
      <c r="BS35" s="731">
        <v>-2320829.4181948192</v>
      </c>
      <c r="BT35" s="732">
        <v>-2483961.2197501492</v>
      </c>
      <c r="BU35" s="733">
        <v>-6.5674053305767255E-2</v>
      </c>
      <c r="BV35" s="731">
        <v>-2765960.3051498951</v>
      </c>
      <c r="BW35" s="732">
        <v>-2982664.3007252635</v>
      </c>
      <c r="BX35" s="752">
        <v>-7.2654504069624815E-2</v>
      </c>
      <c r="BY35" s="753">
        <v>-216703.9955753684</v>
      </c>
      <c r="CA35" s="731">
        <v>-447905.42335992516</v>
      </c>
      <c r="CB35" s="732">
        <v>-498703.08097511437</v>
      </c>
      <c r="CC35" s="733">
        <v>-0.10185952233514284</v>
      </c>
      <c r="CD35" s="731">
        <v>-2335295.3334995843</v>
      </c>
      <c r="CE35" s="732">
        <v>-2483961.2197501492</v>
      </c>
      <c r="CF35" s="733">
        <v>-5.9850324984348391E-2</v>
      </c>
      <c r="CG35" s="731">
        <v>-2783200.7568595093</v>
      </c>
      <c r="CH35" s="732">
        <v>-2982664.3007252635</v>
      </c>
      <c r="CI35" s="752">
        <v>-6.6874285455876703E-2</v>
      </c>
      <c r="CJ35" s="753">
        <v>-199463.54386575427</v>
      </c>
    </row>
    <row r="36" spans="1:88" x14ac:dyDescent="0.25">
      <c r="A36" s="356" t="s">
        <v>293</v>
      </c>
      <c r="B36" s="422">
        <v>-37516.142400000019</v>
      </c>
      <c r="C36" s="423">
        <v>0</v>
      </c>
      <c r="D36" s="424" t="s">
        <v>181</v>
      </c>
      <c r="E36" s="425">
        <v>-133011.77760000009</v>
      </c>
      <c r="F36" s="423">
        <v>-180000</v>
      </c>
      <c r="G36" s="424">
        <v>-0.2610456799999995</v>
      </c>
      <c r="H36" s="425">
        <v>-170527.9200000001</v>
      </c>
      <c r="I36" s="423">
        <v>-180000</v>
      </c>
      <c r="J36" s="426">
        <v>-5.2622666666666151E-2</v>
      </c>
      <c r="K36" s="375">
        <v>-9472.0799999998999</v>
      </c>
      <c r="M36" s="425">
        <v>-223720.53220000002</v>
      </c>
      <c r="N36" s="423">
        <v>-42428.571428571428</v>
      </c>
      <c r="O36" s="424">
        <v>4.2728744962962972</v>
      </c>
      <c r="P36" s="425">
        <v>-793190.97779999999</v>
      </c>
      <c r="Q36" s="423">
        <v>-150428.57142857142</v>
      </c>
      <c r="R36" s="424">
        <v>4.2728744962962963</v>
      </c>
      <c r="S36" s="425">
        <v>-1016911.51</v>
      </c>
      <c r="T36" s="423">
        <v>-192857.14285714284</v>
      </c>
      <c r="U36" s="426">
        <v>4.2728744962962972</v>
      </c>
      <c r="V36" s="375">
        <v>824054.36714285717</v>
      </c>
      <c r="X36" s="425">
        <v>-40765.594797838887</v>
      </c>
      <c r="Y36" s="423">
        <v>0</v>
      </c>
      <c r="Z36" s="424" t="s">
        <v>181</v>
      </c>
      <c r="AA36" s="425">
        <v>-144532.2652021609</v>
      </c>
      <c r="AB36" s="423">
        <v>-233766.23376623381</v>
      </c>
      <c r="AC36" s="424">
        <v>-0.38172308774631181</v>
      </c>
      <c r="AD36" s="425">
        <v>-185297.85999999978</v>
      </c>
      <c r="AE36" s="423">
        <v>-233766.23376623381</v>
      </c>
      <c r="AF36" s="426">
        <v>-0.20733693222222327</v>
      </c>
      <c r="AG36" s="375">
        <v>-48468.373766234028</v>
      </c>
      <c r="AI36" s="425">
        <v>-91815.923892000021</v>
      </c>
      <c r="AJ36" s="423">
        <v>0</v>
      </c>
      <c r="AK36" s="427" t="s">
        <v>181</v>
      </c>
      <c r="AL36" s="425">
        <v>-325529.18470799999</v>
      </c>
      <c r="AM36" s="423">
        <v>-202207.7922077922</v>
      </c>
      <c r="AN36" s="427">
        <v>0.60987458076531786</v>
      </c>
      <c r="AO36" s="425">
        <v>-417345.10860000004</v>
      </c>
      <c r="AP36" s="423">
        <v>-202207.7922077922</v>
      </c>
      <c r="AQ36" s="428">
        <v>1.0639417702119465</v>
      </c>
      <c r="AR36" s="406">
        <v>215137.31639220784</v>
      </c>
      <c r="AT36" s="567">
        <v>-35594.347800000018</v>
      </c>
      <c r="AU36" s="568">
        <v>0</v>
      </c>
      <c r="AV36" s="351" t="s">
        <v>181</v>
      </c>
      <c r="AW36" s="567">
        <v>-126198.14220000006</v>
      </c>
      <c r="AX36" s="568">
        <v>-209220.77922077922</v>
      </c>
      <c r="AY36" s="351">
        <v>-0.39681831474860307</v>
      </c>
      <c r="AZ36" s="567">
        <v>-161792.49000000008</v>
      </c>
      <c r="BA36" s="568">
        <v>-209220.77922077922</v>
      </c>
      <c r="BB36" s="569">
        <v>-0.2266901471135937</v>
      </c>
      <c r="BC36" s="559">
        <v>-47428.289220779145</v>
      </c>
      <c r="BE36" s="567">
        <v>16837.295200000008</v>
      </c>
      <c r="BF36" s="568">
        <v>-48857.142857142841</v>
      </c>
      <c r="BG36" s="351">
        <v>-1.344623001169591</v>
      </c>
      <c r="BH36" s="567">
        <v>59695.864800000025</v>
      </c>
      <c r="BI36" s="568">
        <v>-173220.77922077916</v>
      </c>
      <c r="BJ36" s="351">
        <v>-1.344623001169591</v>
      </c>
      <c r="BK36" s="567">
        <v>76533.160000000033</v>
      </c>
      <c r="BL36" s="568">
        <v>-222077.922077922</v>
      </c>
      <c r="BM36" s="569">
        <v>-1.344623001169591</v>
      </c>
      <c r="BN36" s="559">
        <v>-145544.76207792197</v>
      </c>
      <c r="BP36" s="754">
        <v>-61056.041200000014</v>
      </c>
      <c r="BQ36" s="755">
        <v>-55542.857142857043</v>
      </c>
      <c r="BR36" s="756">
        <v>9.926000102880872E-2</v>
      </c>
      <c r="BS36" s="754">
        <v>-216471.41880000007</v>
      </c>
      <c r="BT36" s="755">
        <v>-196924.67532467496</v>
      </c>
      <c r="BU36" s="756">
        <v>9.9260001028808942E-2</v>
      </c>
      <c r="BV36" s="754">
        <v>-277527.46000000008</v>
      </c>
      <c r="BW36" s="755">
        <v>-252467.532467532</v>
      </c>
      <c r="BX36" s="757">
        <v>9.9260001028808942E-2</v>
      </c>
      <c r="BY36" s="742">
        <v>25059.927532468078</v>
      </c>
      <c r="CA36" s="754">
        <v>-19132.827999999954</v>
      </c>
      <c r="CB36" s="755">
        <v>-54771.42857142858</v>
      </c>
      <c r="CC36" s="756">
        <v>-0.65067867501304211</v>
      </c>
      <c r="CD36" s="754">
        <v>-847168.85199999984</v>
      </c>
      <c r="CE36" s="755">
        <v>-194189.61038961043</v>
      </c>
      <c r="CF36" s="756">
        <v>3.3625858783087876</v>
      </c>
      <c r="CG36" s="754">
        <v>-866301.67999999982</v>
      </c>
      <c r="CH36" s="755">
        <v>-248961.03896103901</v>
      </c>
      <c r="CI36" s="757">
        <v>2.4796676765779848</v>
      </c>
      <c r="CJ36" s="742">
        <v>617340.64103896078</v>
      </c>
    </row>
    <row r="37" spans="1:88" x14ac:dyDescent="0.25">
      <c r="A37" s="271" t="s">
        <v>127</v>
      </c>
      <c r="B37" s="265">
        <v>2328385.5445456281</v>
      </c>
      <c r="C37" s="266">
        <v>2410987.2869911357</v>
      </c>
      <c r="D37" s="267">
        <v>-3.4260546661194935E-2</v>
      </c>
      <c r="E37" s="266">
        <v>6474980.4254543912</v>
      </c>
      <c r="F37" s="266">
        <v>6931479.1697851568</v>
      </c>
      <c r="G37" s="267">
        <v>-6.5858777491632381E-2</v>
      </c>
      <c r="H37" s="266">
        <v>8803365.9700000174</v>
      </c>
      <c r="I37" s="266">
        <v>9342466.4567762949</v>
      </c>
      <c r="J37" s="267">
        <v>-5.7704299958739047E-2</v>
      </c>
      <c r="K37" s="363">
        <v>-539100.48677627742</v>
      </c>
      <c r="M37" s="265">
        <v>2364329.5329799987</v>
      </c>
      <c r="N37" s="266">
        <v>2455515.171132945</v>
      </c>
      <c r="O37" s="267">
        <v>-3.7135033505361847E-2</v>
      </c>
      <c r="P37" s="266">
        <v>6911086.9858200029</v>
      </c>
      <c r="Q37" s="266">
        <v>6761640.8234337522</v>
      </c>
      <c r="R37" s="267">
        <v>2.2102055741901605E-2</v>
      </c>
      <c r="S37" s="266">
        <v>9275416.5188000053</v>
      </c>
      <c r="T37" s="266">
        <v>9217155.9945666958</v>
      </c>
      <c r="U37" s="267">
        <v>6.3208786167503472E-3</v>
      </c>
      <c r="V37" s="363">
        <v>58260.524233309552</v>
      </c>
      <c r="X37" s="265">
        <v>1735637.7976097399</v>
      </c>
      <c r="Y37" s="266">
        <v>1905160.7031230889</v>
      </c>
      <c r="Z37" s="267">
        <v>-8.8980895540965999E-2</v>
      </c>
      <c r="AA37" s="266">
        <v>12626853.032390278</v>
      </c>
      <c r="AB37" s="266">
        <v>9643423.6195542645</v>
      </c>
      <c r="AC37" s="267">
        <v>0.30937450541801592</v>
      </c>
      <c r="AD37" s="266">
        <v>14362490.830000019</v>
      </c>
      <c r="AE37" s="266">
        <v>11548584.322677348</v>
      </c>
      <c r="AF37" s="267">
        <v>0.24365813407944303</v>
      </c>
      <c r="AG37" s="363">
        <v>2813906.5073226709</v>
      </c>
      <c r="AI37" s="395">
        <v>1936159.7636792697</v>
      </c>
      <c r="AJ37" s="269">
        <v>1913979.8454062371</v>
      </c>
      <c r="AK37" s="267">
        <v>1.1588376087797947E-2</v>
      </c>
      <c r="AL37" s="269">
        <v>10933524.907720733</v>
      </c>
      <c r="AM37" s="269">
        <v>9759088.0718394257</v>
      </c>
      <c r="AN37" s="267">
        <v>0.12034288728987219</v>
      </c>
      <c r="AO37" s="269">
        <v>12869684.671400001</v>
      </c>
      <c r="AP37" s="269">
        <v>11673067.91724566</v>
      </c>
      <c r="AQ37" s="267">
        <v>0.10251090481418967</v>
      </c>
      <c r="AR37" s="411">
        <v>1196616.7541543413</v>
      </c>
      <c r="AT37" s="328">
        <v>1609800.5419941819</v>
      </c>
      <c r="AU37" s="329">
        <v>2138875.7704086793</v>
      </c>
      <c r="AV37" s="267">
        <v>-0.2473613641962038</v>
      </c>
      <c r="AW37" s="329">
        <v>15383568.073001198</v>
      </c>
      <c r="AX37" s="329">
        <v>8373859.119657184</v>
      </c>
      <c r="AY37" s="267">
        <v>0.83709420628884224</v>
      </c>
      <c r="AZ37" s="329">
        <v>16993368.614995386</v>
      </c>
      <c r="BA37" s="329">
        <v>10512734.890065867</v>
      </c>
      <c r="BB37" s="267">
        <v>0.61645554584026185</v>
      </c>
      <c r="BC37" s="562">
        <v>6480633.724929519</v>
      </c>
      <c r="BE37" s="328">
        <v>1783877.7619852563</v>
      </c>
      <c r="BF37" s="329">
        <v>1492275.6315190247</v>
      </c>
      <c r="BG37" s="267">
        <v>0.19540768763301619</v>
      </c>
      <c r="BH37" s="329">
        <v>12856650.793464495</v>
      </c>
      <c r="BI37" s="329">
        <v>9608412.593167115</v>
      </c>
      <c r="BJ37" s="267">
        <v>0.33806189823772947</v>
      </c>
      <c r="BK37" s="329">
        <v>14640528.555449741</v>
      </c>
      <c r="BL37" s="329">
        <v>11100688.224686136</v>
      </c>
      <c r="BM37" s="267">
        <v>0.3188847627385456</v>
      </c>
      <c r="BN37" s="562">
        <v>3539840.3307636045</v>
      </c>
      <c r="BP37" s="743">
        <v>1291614.1129449243</v>
      </c>
      <c r="BQ37" s="744">
        <v>1380244.7774571755</v>
      </c>
      <c r="BR37" s="745">
        <v>-6.4213729303533751E-2</v>
      </c>
      <c r="BS37" s="744">
        <v>11926855.90190519</v>
      </c>
      <c r="BT37" s="744">
        <v>7920259.8079327065</v>
      </c>
      <c r="BU37" s="746">
        <v>0.50586675072951404</v>
      </c>
      <c r="BV37" s="744">
        <v>13218470.014850106</v>
      </c>
      <c r="BW37" s="744">
        <v>9300504.5853898749</v>
      </c>
      <c r="BX37" s="746">
        <v>0.42126374902442909</v>
      </c>
      <c r="BY37" s="747">
        <v>3917965.4294602312</v>
      </c>
      <c r="CA37" s="743">
        <v>1261715.359640074</v>
      </c>
      <c r="CB37" s="744">
        <v>1868531.8060062518</v>
      </c>
      <c r="CC37" s="745">
        <v>-0.32475574909434946</v>
      </c>
      <c r="CD37" s="744">
        <v>11312050.193500413</v>
      </c>
      <c r="CE37" s="744">
        <v>9252160.9540568106</v>
      </c>
      <c r="CF37" s="746">
        <v>0.22263871647632749</v>
      </c>
      <c r="CG37" s="744">
        <v>12573765.553140486</v>
      </c>
      <c r="CH37" s="744">
        <v>11120692.760063058</v>
      </c>
      <c r="CI37" s="746">
        <v>0.13066387359389542</v>
      </c>
      <c r="CJ37" s="747">
        <v>1453072.7930774279</v>
      </c>
    </row>
    <row r="38" spans="1:88" x14ac:dyDescent="0.25">
      <c r="A38" s="208" t="s">
        <v>128</v>
      </c>
      <c r="B38" s="370">
        <v>-676373.10780796572</v>
      </c>
      <c r="C38" s="371">
        <v>-728263.16584694572</v>
      </c>
      <c r="D38" s="372">
        <v>-7.1251795329554501E-2</v>
      </c>
      <c r="E38" s="370">
        <v>-2282965.8121920498</v>
      </c>
      <c r="F38" s="371">
        <v>-2438098.4247919484</v>
      </c>
      <c r="G38" s="372">
        <v>-6.3628527471419338E-2</v>
      </c>
      <c r="H38" s="370">
        <v>-2959338.9200000158</v>
      </c>
      <c r="I38" s="371">
        <v>-3166361.5906388941</v>
      </c>
      <c r="J38" s="374">
        <v>-6.5381879078790339E-2</v>
      </c>
      <c r="K38" s="375">
        <v>-207022.67063887836</v>
      </c>
      <c r="M38" s="370">
        <v>-633048.1786000015</v>
      </c>
      <c r="N38" s="371">
        <v>-476449.99256944429</v>
      </c>
      <c r="O38" s="372">
        <v>0.32867706679150066</v>
      </c>
      <c r="P38" s="370">
        <v>-1750601.6602000047</v>
      </c>
      <c r="Q38" s="371">
        <v>-1689231.7918371209</v>
      </c>
      <c r="R38" s="372">
        <v>3.6330045799186195E-2</v>
      </c>
      <c r="S38" s="370">
        <v>-2383649.8388000061</v>
      </c>
      <c r="T38" s="371">
        <v>-2165681.7844065651</v>
      </c>
      <c r="U38" s="374">
        <v>0.10064639041749524</v>
      </c>
      <c r="V38" s="375">
        <v>217968.05439344095</v>
      </c>
      <c r="X38" s="370">
        <v>-533709.79200000525</v>
      </c>
      <c r="Y38" s="371">
        <v>-575798.95511480491</v>
      </c>
      <c r="Z38" s="372">
        <v>-7.309697723645181E-2</v>
      </c>
      <c r="AA38" s="370">
        <v>-1806616.038000019</v>
      </c>
      <c r="AB38" s="371">
        <v>-2041469.022679762</v>
      </c>
      <c r="AC38" s="372">
        <v>-0.11504116989806679</v>
      </c>
      <c r="AD38" s="370">
        <v>-2340325.8300000243</v>
      </c>
      <c r="AE38" s="371">
        <v>-2617267.9777945671</v>
      </c>
      <c r="AF38" s="374">
        <v>-0.10581344751251165</v>
      </c>
      <c r="AG38" s="375">
        <v>-276942.14779454283</v>
      </c>
      <c r="AI38" s="370">
        <v>-542073.62973688822</v>
      </c>
      <c r="AJ38" s="371">
        <v>-487798.95511480432</v>
      </c>
      <c r="AK38" s="429">
        <v>0.11126443394965913</v>
      </c>
      <c r="AL38" s="370">
        <v>-1981635.411663115</v>
      </c>
      <c r="AM38" s="371">
        <v>-1729469.0226797615</v>
      </c>
      <c r="AN38" s="429">
        <v>0.14580566964572106</v>
      </c>
      <c r="AO38" s="370">
        <v>-2523709.0414000032</v>
      </c>
      <c r="AP38" s="371">
        <v>-2217267.9777945657</v>
      </c>
      <c r="AQ38" s="430">
        <v>0.13820659779258748</v>
      </c>
      <c r="AR38" s="406">
        <v>306441.06360543752</v>
      </c>
      <c r="AT38" s="220">
        <v>-533029.87418129423</v>
      </c>
      <c r="AU38" s="209">
        <v>-487798.95511480432</v>
      </c>
      <c r="AV38" s="352">
        <v>9.2724509948662659E-2</v>
      </c>
      <c r="AW38" s="220">
        <v>-1948574.5408140963</v>
      </c>
      <c r="AX38" s="209">
        <v>-1729469.0226797615</v>
      </c>
      <c r="AY38" s="352">
        <v>0.12668947246874485</v>
      </c>
      <c r="AZ38" s="220">
        <v>-2481604.4149953905</v>
      </c>
      <c r="BA38" s="209">
        <v>-2217267.9777945657</v>
      </c>
      <c r="BB38" s="570">
        <v>0.11921718071432674</v>
      </c>
      <c r="BC38" s="559">
        <v>264336.43720082473</v>
      </c>
      <c r="BE38" s="220">
        <v>-505587.66101560305</v>
      </c>
      <c r="BF38" s="209">
        <v>-500863.84758680442</v>
      </c>
      <c r="BG38" s="352">
        <v>9.4313323901460411E-3</v>
      </c>
      <c r="BH38" s="220">
        <v>-1854718.6844341352</v>
      </c>
      <c r="BI38" s="209">
        <v>-1775790.0050804887</v>
      </c>
      <c r="BJ38" s="352">
        <v>4.4447079400060652E-2</v>
      </c>
      <c r="BK38" s="220">
        <v>-2360306.3454497382</v>
      </c>
      <c r="BL38" s="209">
        <v>-2276653.852667293</v>
      </c>
      <c r="BM38" s="570">
        <v>3.6743615057879486E-2</v>
      </c>
      <c r="BN38" s="559">
        <v>83652.492782445159</v>
      </c>
      <c r="BP38" s="734">
        <v>-538889.79646618071</v>
      </c>
      <c r="BQ38" s="726">
        <v>-501808.30386697105</v>
      </c>
      <c r="BR38" s="758">
        <v>7.3895733317796752E-2</v>
      </c>
      <c r="BS38" s="734">
        <v>-1969996.4083839341</v>
      </c>
      <c r="BT38" s="726">
        <v>-1779138.5318919888</v>
      </c>
      <c r="BU38" s="758">
        <v>0.10727544430673497</v>
      </c>
      <c r="BV38" s="734">
        <v>-2508886.2048501149</v>
      </c>
      <c r="BW38" s="726">
        <v>-2280946.8357589599</v>
      </c>
      <c r="BX38" s="759">
        <v>9.9931907889168725E-2</v>
      </c>
      <c r="BY38" s="742">
        <v>227939.36909115501</v>
      </c>
      <c r="CA38" s="734">
        <v>-542248.73964966775</v>
      </c>
      <c r="CB38" s="726">
        <v>-501808.30386697105</v>
      </c>
      <c r="CC38" s="758">
        <v>8.0589411277294021E-2</v>
      </c>
      <c r="CD38" s="734">
        <v>-1982275.5534908324</v>
      </c>
      <c r="CE38" s="726">
        <v>-1779138.5318919888</v>
      </c>
      <c r="CF38" s="758">
        <v>0.11417718067340243</v>
      </c>
      <c r="CG38" s="734">
        <v>-2524524.2931405003</v>
      </c>
      <c r="CH38" s="726">
        <v>-2280946.8357589599</v>
      </c>
      <c r="CI38" s="759">
        <v>0.10678787140625867</v>
      </c>
      <c r="CJ38" s="742">
        <v>243577.45738154044</v>
      </c>
    </row>
    <row r="39" spans="1:88" x14ac:dyDescent="0.25">
      <c r="A39" s="353" t="s">
        <v>273</v>
      </c>
      <c r="B39" s="370">
        <v>-98141.795400000003</v>
      </c>
      <c r="C39" s="371">
        <v>-107178.78868736117</v>
      </c>
      <c r="D39" s="404">
        <v>-8.4316994043680982E-2</v>
      </c>
      <c r="E39" s="370">
        <v>-349715.66460000002</v>
      </c>
      <c r="F39" s="371">
        <v>-379997.52352791687</v>
      </c>
      <c r="G39" s="404">
        <v>-7.9689621781685593E-2</v>
      </c>
      <c r="H39" s="370">
        <v>-447857.46</v>
      </c>
      <c r="I39" s="371">
        <v>-487176.31221527804</v>
      </c>
      <c r="J39" s="400">
        <v>-8.0707643679324481E-2</v>
      </c>
      <c r="K39" s="375">
        <v>-39318.852215278021</v>
      </c>
      <c r="M39" s="370">
        <v>-95397.185399999988</v>
      </c>
      <c r="N39" s="371">
        <v>-97517.008537361151</v>
      </c>
      <c r="O39" s="404">
        <v>-2.1737983651836545E-2</v>
      </c>
      <c r="P39" s="370">
        <v>-338226.38459999999</v>
      </c>
      <c r="Q39" s="371">
        <v>-345742.12117791682</v>
      </c>
      <c r="R39" s="404">
        <v>-2.1737983651836545E-2</v>
      </c>
      <c r="S39" s="370">
        <v>-433623.56999999995</v>
      </c>
      <c r="T39" s="371">
        <v>-443259.12971527799</v>
      </c>
      <c r="U39" s="400">
        <v>-2.1737983651836656E-2</v>
      </c>
      <c r="V39" s="375">
        <v>-9635.5597152780392</v>
      </c>
      <c r="X39" s="370">
        <v>-93401.923999999999</v>
      </c>
      <c r="Y39" s="371">
        <v>-88082.1663806945</v>
      </c>
      <c r="Z39" s="404">
        <v>6.0395399408244677E-2</v>
      </c>
      <c r="AA39" s="370">
        <v>-331152.27600000001</v>
      </c>
      <c r="AB39" s="371">
        <v>-312291.31716791692</v>
      </c>
      <c r="AC39" s="404">
        <v>6.0395399408244455E-2</v>
      </c>
      <c r="AD39" s="370">
        <v>-424554.2</v>
      </c>
      <c r="AE39" s="371">
        <v>-400373.4835486114</v>
      </c>
      <c r="AF39" s="400">
        <v>6.0395399408244455E-2</v>
      </c>
      <c r="AG39" s="375">
        <v>24180.716451388609</v>
      </c>
      <c r="AI39" s="370">
        <v>-68173.243600000002</v>
      </c>
      <c r="AJ39" s="371">
        <v>-79650.622939861176</v>
      </c>
      <c r="AK39" s="405">
        <v>-0.1440965420763497</v>
      </c>
      <c r="AL39" s="370">
        <v>-241705.13640000002</v>
      </c>
      <c r="AM39" s="371">
        <v>-282397.66315041692</v>
      </c>
      <c r="AN39" s="405">
        <v>-0.14409654207634981</v>
      </c>
      <c r="AO39" s="370">
        <v>-309878.38</v>
      </c>
      <c r="AP39" s="371">
        <v>-362048.28609027807</v>
      </c>
      <c r="AQ39" s="402">
        <v>-0.1440965420763497</v>
      </c>
      <c r="AR39" s="406">
        <v>-52169.906090278062</v>
      </c>
      <c r="AT39" s="220">
        <v>-80103.962399999989</v>
      </c>
      <c r="AU39" s="209">
        <v>-75611.866194027825</v>
      </c>
      <c r="AV39" s="350">
        <v>5.9409936985882483E-2</v>
      </c>
      <c r="AW39" s="220">
        <v>-284004.95759999997</v>
      </c>
      <c r="AX39" s="209">
        <v>-268078.43468791683</v>
      </c>
      <c r="AY39" s="350">
        <v>5.9409936985882483E-2</v>
      </c>
      <c r="AZ39" s="220">
        <v>-364108.91999999993</v>
      </c>
      <c r="BA39" s="209">
        <v>-343690.30088194465</v>
      </c>
      <c r="BB39" s="557">
        <v>5.9409936985882261E-2</v>
      </c>
      <c r="BC39" s="559">
        <v>20418.619118055271</v>
      </c>
      <c r="BE39" s="220">
        <v>-73558.007600000012</v>
      </c>
      <c r="BF39" s="209">
        <v>-73105.709519027834</v>
      </c>
      <c r="BG39" s="350">
        <v>6.1869050166929451E-3</v>
      </c>
      <c r="BH39" s="220">
        <v>-260796.57240000006</v>
      </c>
      <c r="BI39" s="209">
        <v>-259192.97011291687</v>
      </c>
      <c r="BJ39" s="350">
        <v>6.1869050166931672E-3</v>
      </c>
      <c r="BK39" s="220">
        <v>-334354.58000000007</v>
      </c>
      <c r="BL39" s="209">
        <v>-332298.67963194469</v>
      </c>
      <c r="BM39" s="557">
        <v>6.1869050166931672E-3</v>
      </c>
      <c r="BN39" s="559">
        <v>2055.9003680553869</v>
      </c>
      <c r="BP39" s="734">
        <v>-71164.799199999994</v>
      </c>
      <c r="BQ39" s="726">
        <v>-68492.852818194486</v>
      </c>
      <c r="BR39" s="737">
        <v>3.9010586825721116E-2</v>
      </c>
      <c r="BS39" s="734">
        <v>-252311.56080000001</v>
      </c>
      <c r="BT39" s="726">
        <v>-242838.29635541682</v>
      </c>
      <c r="BU39" s="737">
        <v>3.9010586825721116E-2</v>
      </c>
      <c r="BV39" s="734">
        <v>-323476.36</v>
      </c>
      <c r="BW39" s="726">
        <v>-311331.14917361131</v>
      </c>
      <c r="BX39" s="741">
        <v>3.9010586825721116E-2</v>
      </c>
      <c r="BY39" s="742">
        <v>12145.210826388677</v>
      </c>
      <c r="CA39" s="734">
        <v>-70639.643799999976</v>
      </c>
      <c r="CB39" s="726">
        <v>-63800.946368194484</v>
      </c>
      <c r="CC39" s="737">
        <v>0.10718802496031099</v>
      </c>
      <c r="CD39" s="734">
        <v>-250449.6461999999</v>
      </c>
      <c r="CE39" s="726">
        <v>-226203.3553054168</v>
      </c>
      <c r="CF39" s="737">
        <v>0.10718802496031099</v>
      </c>
      <c r="CG39" s="734">
        <v>-321089.28999999986</v>
      </c>
      <c r="CH39" s="726">
        <v>-290004.30167361128</v>
      </c>
      <c r="CI39" s="741">
        <v>0.10718802496031099</v>
      </c>
      <c r="CJ39" s="742">
        <v>31084.988326388586</v>
      </c>
    </row>
    <row r="40" spans="1:88" x14ac:dyDescent="0.25">
      <c r="A40" s="271" t="s">
        <v>129</v>
      </c>
      <c r="B40" s="265">
        <v>1553870.6413376625</v>
      </c>
      <c r="C40" s="266">
        <v>1575545.3324568288</v>
      </c>
      <c r="D40" s="267">
        <v>-1.375694540338479E-2</v>
      </c>
      <c r="E40" s="266">
        <v>3842298.9486623416</v>
      </c>
      <c r="F40" s="266">
        <v>4113383.221465291</v>
      </c>
      <c r="G40" s="267">
        <v>-6.5902994738813114E-2</v>
      </c>
      <c r="H40" s="266">
        <v>5396169.5900000017</v>
      </c>
      <c r="I40" s="266">
        <v>5688928.5539221223</v>
      </c>
      <c r="J40" s="267">
        <v>-5.1461177820607995E-2</v>
      </c>
      <c r="K40" s="363">
        <v>-292758.96392212063</v>
      </c>
      <c r="M40" s="265">
        <v>1635884.168979997</v>
      </c>
      <c r="N40" s="266">
        <v>1881548.1700261396</v>
      </c>
      <c r="O40" s="267">
        <v>-0.13056482154412752</v>
      </c>
      <c r="P40" s="266">
        <v>4822258.9410199989</v>
      </c>
      <c r="Q40" s="266">
        <v>4726666.9104187144</v>
      </c>
      <c r="R40" s="267">
        <v>2.0223982864241208E-2</v>
      </c>
      <c r="S40" s="266">
        <v>6458143.1099999994</v>
      </c>
      <c r="T40" s="266">
        <v>6608215.0804448528</v>
      </c>
      <c r="U40" s="267">
        <v>-2.2709910107034714E-2</v>
      </c>
      <c r="V40" s="363">
        <v>-150071.97044485342</v>
      </c>
      <c r="X40" s="265">
        <v>1108526.0816097348</v>
      </c>
      <c r="Y40" s="266">
        <v>1241279.5816275894</v>
      </c>
      <c r="Z40" s="267">
        <v>-0.10694891141590013</v>
      </c>
      <c r="AA40" s="266">
        <v>10489084.718390258</v>
      </c>
      <c r="AB40" s="266">
        <v>7289663.2797065852</v>
      </c>
      <c r="AC40" s="267">
        <v>0.43889838472929465</v>
      </c>
      <c r="AD40" s="266">
        <v>11597610.799999995</v>
      </c>
      <c r="AE40" s="266">
        <v>8530942.8613341693</v>
      </c>
      <c r="AF40" s="267">
        <v>0.359475850268</v>
      </c>
      <c r="AG40" s="363">
        <v>3066667.9386658259</v>
      </c>
      <c r="AI40" s="395">
        <v>1325912.8903423815</v>
      </c>
      <c r="AJ40" s="269">
        <v>1346530.2673515717</v>
      </c>
      <c r="AK40" s="267">
        <v>-1.5311484271156806E-2</v>
      </c>
      <c r="AL40" s="269">
        <v>8710184.3596576191</v>
      </c>
      <c r="AM40" s="269">
        <v>7747221.386009248</v>
      </c>
      <c r="AN40" s="267">
        <v>0.12429785153518291</v>
      </c>
      <c r="AO40" s="269">
        <v>10036097.249999998</v>
      </c>
      <c r="AP40" s="269">
        <v>9093751.6533608176</v>
      </c>
      <c r="AQ40" s="267">
        <v>0.10362561377964541</v>
      </c>
      <c r="AR40" s="411">
        <v>942345.59663918056</v>
      </c>
      <c r="AT40" s="328">
        <v>996666.70541288762</v>
      </c>
      <c r="AU40" s="329">
        <v>1575464.9490998471</v>
      </c>
      <c r="AV40" s="267">
        <v>-0.36738249493754838</v>
      </c>
      <c r="AW40" s="329">
        <v>13150988.574587103</v>
      </c>
      <c r="AX40" s="329">
        <v>6376311.6622895049</v>
      </c>
      <c r="AY40" s="267">
        <v>1.0624758122103861</v>
      </c>
      <c r="AZ40" s="329">
        <v>14147655.279999996</v>
      </c>
      <c r="BA40" s="329">
        <v>7951776.6113893576</v>
      </c>
      <c r="BB40" s="267">
        <v>0.77918168120269615</v>
      </c>
      <c r="BC40" s="562">
        <v>6195878.668610638</v>
      </c>
      <c r="BE40" s="328">
        <v>1204732.0933696534</v>
      </c>
      <c r="BF40" s="329">
        <v>918306.07441319246</v>
      </c>
      <c r="BG40" s="267">
        <v>0.31190691963950079</v>
      </c>
      <c r="BH40" s="329">
        <v>10741135.53663036</v>
      </c>
      <c r="BI40" s="329">
        <v>7573429.6179737095</v>
      </c>
      <c r="BJ40" s="267">
        <v>0.41826571031159587</v>
      </c>
      <c r="BK40" s="329">
        <v>11945867.630000003</v>
      </c>
      <c r="BL40" s="329">
        <v>8491735.6923868991</v>
      </c>
      <c r="BM40" s="267">
        <v>0.4067639482361467</v>
      </c>
      <c r="BN40" s="562">
        <v>3454131.9376131035</v>
      </c>
      <c r="BP40" s="743">
        <v>681559.51727874356</v>
      </c>
      <c r="BQ40" s="744">
        <v>809943.62077200995</v>
      </c>
      <c r="BR40" s="745">
        <v>-0.15850992612411119</v>
      </c>
      <c r="BS40" s="744">
        <v>9704547.9327212572</v>
      </c>
      <c r="BT40" s="744">
        <v>5898282.979685301</v>
      </c>
      <c r="BU40" s="746">
        <v>0.64531745359545933</v>
      </c>
      <c r="BV40" s="744">
        <v>10386107.449999992</v>
      </c>
      <c r="BW40" s="744">
        <v>6708226.6004573032</v>
      </c>
      <c r="BX40" s="746">
        <v>0.54826425351999375</v>
      </c>
      <c r="BY40" s="747">
        <v>3677880.8495426886</v>
      </c>
      <c r="CA40" s="743">
        <v>648826.97619040625</v>
      </c>
      <c r="CB40" s="744">
        <v>1302922.5557710864</v>
      </c>
      <c r="CC40" s="745">
        <v>-0.50202184057944865</v>
      </c>
      <c r="CD40" s="744">
        <v>9079324.9938095808</v>
      </c>
      <c r="CE40" s="744">
        <v>7246819.0668594055</v>
      </c>
      <c r="CF40" s="746">
        <v>0.25287038492936165</v>
      </c>
      <c r="CG40" s="744">
        <v>9728151.9699999858</v>
      </c>
      <c r="CH40" s="744">
        <v>8549741.6226304863</v>
      </c>
      <c r="CI40" s="746">
        <v>0.13782993678432809</v>
      </c>
      <c r="CJ40" s="747">
        <v>1178410.3473694995</v>
      </c>
    </row>
    <row r="41" spans="1:88" x14ac:dyDescent="0.25">
      <c r="A41" s="353" t="s">
        <v>42</v>
      </c>
      <c r="B41" s="370">
        <v>-115374.98939999999</v>
      </c>
      <c r="C41" s="371">
        <v>-325141</v>
      </c>
      <c r="D41" s="404">
        <v>-0.64515398119585043</v>
      </c>
      <c r="E41" s="370">
        <v>-1463640.8006</v>
      </c>
      <c r="F41" s="371">
        <v>-1157412.4228173625</v>
      </c>
      <c r="G41" s="404">
        <v>0.26458017189518257</v>
      </c>
      <c r="H41" s="370">
        <v>-1579015.79</v>
      </c>
      <c r="I41" s="371">
        <v>-1482553.4228173625</v>
      </c>
      <c r="J41" s="400">
        <v>6.5065019376722155E-2</v>
      </c>
      <c r="K41" s="375">
        <v>-96462.367182637565</v>
      </c>
      <c r="M41" s="370">
        <v>-544207.12983407639</v>
      </c>
      <c r="N41" s="371">
        <v>-489202.52420679631</v>
      </c>
      <c r="O41" s="404">
        <v>0.11243728906850126</v>
      </c>
      <c r="P41" s="370">
        <v>-1604213.6401659225</v>
      </c>
      <c r="Q41" s="371">
        <v>-1228933.3967088659</v>
      </c>
      <c r="R41" s="404">
        <v>0.30537069336879652</v>
      </c>
      <c r="S41" s="370">
        <v>-2148420.7699999986</v>
      </c>
      <c r="T41" s="371">
        <v>-1718135.9209156623</v>
      </c>
      <c r="U41" s="400">
        <v>0.25043702529368028</v>
      </c>
      <c r="V41" s="375">
        <v>-430284.84908433631</v>
      </c>
      <c r="X41" s="370">
        <v>-375153.55806499202</v>
      </c>
      <c r="Y41" s="371">
        <v>-487969.93166831072</v>
      </c>
      <c r="Z41" s="404">
        <v>-0.23119533865050468</v>
      </c>
      <c r="AA41" s="370">
        <v>-3549774.3519350002</v>
      </c>
      <c r="AB41" s="371">
        <v>-1730075.2122785561</v>
      </c>
      <c r="AC41" s="404">
        <v>1.0518034861963317</v>
      </c>
      <c r="AD41" s="370">
        <v>-3924927.9099999922</v>
      </c>
      <c r="AE41" s="371">
        <v>-2218045.143946867</v>
      </c>
      <c r="AF41" s="400">
        <v>0.76954374473002773</v>
      </c>
      <c r="AG41" s="375">
        <v>-1706882.7660531253</v>
      </c>
      <c r="AI41" s="370">
        <v>-117342.30831010734</v>
      </c>
      <c r="AJ41" s="371">
        <v>-520162.59457223688</v>
      </c>
      <c r="AK41" s="429">
        <v>-0.77441225198708208</v>
      </c>
      <c r="AL41" s="370">
        <v>-770844.86168989295</v>
      </c>
      <c r="AM41" s="371">
        <v>-1844212.8353015673</v>
      </c>
      <c r="AN41" s="429">
        <v>-0.58201957662666215</v>
      </c>
      <c r="AO41" s="370">
        <v>-888187.17000000027</v>
      </c>
      <c r="AP41" s="371">
        <v>-2364375.4298738041</v>
      </c>
      <c r="AQ41" s="402">
        <v>-0.62434596520595453</v>
      </c>
      <c r="AR41" s="406">
        <v>-1476188.2598738037</v>
      </c>
      <c r="AT41" s="220">
        <v>-340871.80504961649</v>
      </c>
      <c r="AU41" s="209">
        <v>-454841.62217146665</v>
      </c>
      <c r="AV41" s="352">
        <v>-0.25057033386202654</v>
      </c>
      <c r="AW41" s="220">
        <v>-4497793.6849503824</v>
      </c>
      <c r="AX41" s="209">
        <v>-1612620.2967897453</v>
      </c>
      <c r="AY41" s="352">
        <v>1.7891213411515237</v>
      </c>
      <c r="AZ41" s="220">
        <v>-4838665.4899999993</v>
      </c>
      <c r="BA41" s="209">
        <v>-2067461.918961212</v>
      </c>
      <c r="BB41" s="557">
        <v>1.3403891726485426</v>
      </c>
      <c r="BC41" s="559">
        <v>2771203.5710387873</v>
      </c>
      <c r="BE41" s="220">
        <v>-327605.81</v>
      </c>
      <c r="BF41" s="209">
        <v>-485727.28160452959</v>
      </c>
      <c r="BG41" s="352">
        <v>-0.32553549613725274</v>
      </c>
      <c r="BH41" s="220">
        <v>-2920791.9</v>
      </c>
      <c r="BI41" s="209">
        <v>-1722123.9984160594</v>
      </c>
      <c r="BJ41" s="352">
        <v>0.69604041444543308</v>
      </c>
      <c r="BK41" s="220">
        <v>-3248397.71</v>
      </c>
      <c r="BL41" s="209">
        <v>-2207851.280020589</v>
      </c>
      <c r="BM41" s="557">
        <v>0.47129371411724219</v>
      </c>
      <c r="BN41" s="559">
        <v>1040546.429979411</v>
      </c>
      <c r="BP41" s="734">
        <v>-215563.34574120815</v>
      </c>
      <c r="BQ41" s="726">
        <v>-383710.56154615467</v>
      </c>
      <c r="BR41" s="760">
        <v>-0.43821367628610586</v>
      </c>
      <c r="BS41" s="734">
        <v>-2667581.2042587926</v>
      </c>
      <c r="BT41" s="726">
        <v>-1360428.3545727304</v>
      </c>
      <c r="BU41" s="758">
        <v>0.9608391689958562</v>
      </c>
      <c r="BV41" s="734">
        <v>-2883144.5500000007</v>
      </c>
      <c r="BW41" s="726">
        <v>-1744138.9161188849</v>
      </c>
      <c r="BX41" s="741">
        <v>0.65304754303382473</v>
      </c>
      <c r="BY41" s="742">
        <v>1139005.6338811158</v>
      </c>
      <c r="CA41" s="734">
        <v>-175409.20949869999</v>
      </c>
      <c r="CB41" s="726">
        <v>-489045.22081445821</v>
      </c>
      <c r="CC41" s="760">
        <v>-0.64132312916467593</v>
      </c>
      <c r="CD41" s="734">
        <v>-2454579.2305013002</v>
      </c>
      <c r="CE41" s="726">
        <v>-1733887.6010694429</v>
      </c>
      <c r="CF41" s="758">
        <v>0.41565071979714396</v>
      </c>
      <c r="CG41" s="734">
        <v>-2629988.4400000004</v>
      </c>
      <c r="CH41" s="726">
        <v>-2222932.821883901</v>
      </c>
      <c r="CI41" s="741">
        <v>0.1831164730255439</v>
      </c>
      <c r="CJ41" s="742">
        <v>407055.61811609939</v>
      </c>
    </row>
    <row r="42" spans="1:88" x14ac:dyDescent="0.25">
      <c r="A42" s="271" t="s">
        <v>132</v>
      </c>
      <c r="B42" s="265">
        <v>1438495.6519376624</v>
      </c>
      <c r="C42" s="266">
        <v>1250404.3324568288</v>
      </c>
      <c r="D42" s="267">
        <v>0.15042439841140554</v>
      </c>
      <c r="E42" s="265">
        <v>2378658.1480623418</v>
      </c>
      <c r="F42" s="266">
        <v>2955970.7986479285</v>
      </c>
      <c r="G42" s="267">
        <v>-0.1953039085669086</v>
      </c>
      <c r="H42" s="265">
        <v>3817153.8000000017</v>
      </c>
      <c r="I42" s="266">
        <v>4206375.1311047599</v>
      </c>
      <c r="J42" s="267">
        <v>-9.2531293328213748E-2</v>
      </c>
      <c r="K42" s="363">
        <v>-389221.3311047582</v>
      </c>
      <c r="M42" s="265">
        <v>1091677.0391459207</v>
      </c>
      <c r="N42" s="266">
        <v>1392345.6458193432</v>
      </c>
      <c r="O42" s="267">
        <v>-0.21594394148910512</v>
      </c>
      <c r="P42" s="265">
        <v>3218045.3008540766</v>
      </c>
      <c r="Q42" s="266">
        <v>3497733.5137098487</v>
      </c>
      <c r="R42" s="267">
        <v>-7.9962699204926713E-2</v>
      </c>
      <c r="S42" s="265">
        <v>4309722.3400000008</v>
      </c>
      <c r="T42" s="266">
        <v>4890079.1595291905</v>
      </c>
      <c r="U42" s="267">
        <v>-0.11868045497755619</v>
      </c>
      <c r="V42" s="363">
        <v>-580356.81952918973</v>
      </c>
      <c r="X42" s="265">
        <v>733372.52354474273</v>
      </c>
      <c r="Y42" s="266">
        <v>753309.64995927876</v>
      </c>
      <c r="Z42" s="267">
        <v>-2.6466044097024022E-2</v>
      </c>
      <c r="AA42" s="265">
        <v>6939310.3664552579</v>
      </c>
      <c r="AB42" s="266">
        <v>5559588.0674280291</v>
      </c>
      <c r="AC42" s="267">
        <v>0.24816987918774247</v>
      </c>
      <c r="AD42" s="265">
        <v>7672682.8900000025</v>
      </c>
      <c r="AE42" s="266">
        <v>6312897.7173873018</v>
      </c>
      <c r="AF42" s="267">
        <v>0.21539794140296475</v>
      </c>
      <c r="AG42" s="363">
        <v>1359785.1726127006</v>
      </c>
      <c r="AI42" s="395">
        <v>1208570.5820322742</v>
      </c>
      <c r="AJ42" s="269">
        <v>826367.67277933483</v>
      </c>
      <c r="AK42" s="267">
        <v>0.46250951222168535</v>
      </c>
      <c r="AL42" s="395">
        <v>7939339.4979677266</v>
      </c>
      <c r="AM42" s="269">
        <v>5903008.5507076811</v>
      </c>
      <c r="AN42" s="267">
        <v>0.34496493267249639</v>
      </c>
      <c r="AO42" s="395">
        <v>9147910.0799999982</v>
      </c>
      <c r="AP42" s="269">
        <v>6729376.223487014</v>
      </c>
      <c r="AQ42" s="267">
        <v>0.35939941180161172</v>
      </c>
      <c r="AR42" s="411">
        <v>2418533.8565129843</v>
      </c>
      <c r="AT42" s="328">
        <v>655794.90036327112</v>
      </c>
      <c r="AU42" s="329">
        <v>1120623.3269283804</v>
      </c>
      <c r="AV42" s="267">
        <v>-0.41479453032554681</v>
      </c>
      <c r="AW42" s="328">
        <v>8653194.8896367215</v>
      </c>
      <c r="AX42" s="329">
        <v>4763691.3654997591</v>
      </c>
      <c r="AY42" s="267">
        <v>0.81648940405880266</v>
      </c>
      <c r="AZ42" s="328">
        <v>9308989.7899999954</v>
      </c>
      <c r="BA42" s="329">
        <v>5884314.6924281456</v>
      </c>
      <c r="BB42" s="267">
        <v>0.58200067069469852</v>
      </c>
      <c r="BC42" s="562">
        <v>3424675.0975718498</v>
      </c>
      <c r="BE42" s="328">
        <v>877126.28336965339</v>
      </c>
      <c r="BF42" s="329">
        <v>432578.79280866287</v>
      </c>
      <c r="BG42" s="267">
        <v>1.027668249001799</v>
      </c>
      <c r="BH42" s="328">
        <v>7820343.63663036</v>
      </c>
      <c r="BI42" s="329">
        <v>5851305.6195576498</v>
      </c>
      <c r="BJ42" s="267">
        <v>0.33651259139350276</v>
      </c>
      <c r="BK42" s="328">
        <v>8697469.9200000018</v>
      </c>
      <c r="BL42" s="329">
        <v>6283884.4123663101</v>
      </c>
      <c r="BM42" s="267">
        <v>0.38409132779143729</v>
      </c>
      <c r="BN42" s="562">
        <v>2413585.5076336917</v>
      </c>
      <c r="BP42" s="743">
        <v>465996.17153753538</v>
      </c>
      <c r="BQ42" s="744">
        <v>426233.05922585528</v>
      </c>
      <c r="BR42" s="746">
        <v>9.3289601665107247E-2</v>
      </c>
      <c r="BS42" s="743">
        <v>7036966.7284624651</v>
      </c>
      <c r="BT42" s="744">
        <v>4537854.6251125708</v>
      </c>
      <c r="BU42" s="746">
        <v>0.55072546606490258</v>
      </c>
      <c r="BV42" s="743">
        <v>7502962.8999999911</v>
      </c>
      <c r="BW42" s="744">
        <v>4964087.6843384188</v>
      </c>
      <c r="BX42" s="746">
        <v>0.51144850315026957</v>
      </c>
      <c r="BY42" s="747">
        <v>2538875.2156615723</v>
      </c>
      <c r="CA42" s="743">
        <v>473417.76669170626</v>
      </c>
      <c r="CB42" s="744">
        <v>813877.33495662815</v>
      </c>
      <c r="CC42" s="746">
        <v>-0.41831803595202111</v>
      </c>
      <c r="CD42" s="743">
        <v>6624745.7633082811</v>
      </c>
      <c r="CE42" s="744">
        <v>5512931.4657899626</v>
      </c>
      <c r="CF42" s="746">
        <v>0.20167388338084558</v>
      </c>
      <c r="CG42" s="743">
        <v>7098163.5299999854</v>
      </c>
      <c r="CH42" s="744">
        <v>6326808.8007465852</v>
      </c>
      <c r="CI42" s="746">
        <v>0.1219184510779554</v>
      </c>
      <c r="CJ42" s="747">
        <v>771354.72925340012</v>
      </c>
    </row>
    <row r="43" spans="1:88" ht="15" hidden="1" customHeight="1" x14ac:dyDescent="0.25">
      <c r="A43" s="226" t="s">
        <v>133</v>
      </c>
      <c r="B43" s="431">
        <v>1652012.4367376624</v>
      </c>
      <c r="C43" s="432">
        <v>1682724.12114419</v>
      </c>
      <c r="D43" s="433">
        <v>-1.8251170242716164E-2</v>
      </c>
      <c r="E43" s="431">
        <v>4104954.2832623413</v>
      </c>
      <c r="F43" s="432">
        <v>4406320.4149932079</v>
      </c>
      <c r="G43" s="433">
        <v>-6.8394057478303294E-2</v>
      </c>
      <c r="H43" s="431">
        <v>5756966.7200000035</v>
      </c>
      <c r="I43" s="432">
        <v>6089044.5361373983</v>
      </c>
      <c r="J43" s="433">
        <v>-5.4536933367225648E-2</v>
      </c>
      <c r="K43" s="434">
        <v>-332077.81613739487</v>
      </c>
      <c r="M43" s="431" t="e">
        <v>#REF!</v>
      </c>
      <c r="N43" s="432" t="e">
        <v>#REF!</v>
      </c>
      <c r="O43" s="433" t="s">
        <v>181</v>
      </c>
      <c r="P43" s="431" t="e">
        <v>#REF!</v>
      </c>
      <c r="Q43" s="432" t="e">
        <v>#REF!</v>
      </c>
      <c r="R43" s="433" t="s">
        <v>181</v>
      </c>
      <c r="S43" s="431" t="e">
        <v>#REF!</v>
      </c>
      <c r="T43" s="432" t="e">
        <v>#REF!</v>
      </c>
      <c r="U43" s="433" t="s">
        <v>181</v>
      </c>
      <c r="V43" s="434" t="e">
        <v>#REF!</v>
      </c>
      <c r="X43" s="431" t="e">
        <v>#REF!</v>
      </c>
      <c r="Y43" s="432" t="e">
        <v>#REF!</v>
      </c>
      <c r="Z43" s="433" t="s">
        <v>181</v>
      </c>
      <c r="AA43" s="431" t="e">
        <v>#REF!</v>
      </c>
      <c r="AB43" s="432" t="e">
        <v>#REF!</v>
      </c>
      <c r="AC43" s="433" t="s">
        <v>181</v>
      </c>
      <c r="AD43" s="431" t="e">
        <v>#REF!</v>
      </c>
      <c r="AE43" s="432" t="e">
        <v>#REF!</v>
      </c>
      <c r="AF43" s="433" t="s">
        <v>181</v>
      </c>
      <c r="AG43" s="434" t="e">
        <v>#REF!</v>
      </c>
      <c r="AI43" s="435" t="e">
        <v>#REF!</v>
      </c>
      <c r="AJ43" s="436" t="e">
        <v>#REF!</v>
      </c>
      <c r="AK43" s="433" t="s">
        <v>181</v>
      </c>
      <c r="AL43" s="435" t="e">
        <v>#REF!</v>
      </c>
      <c r="AM43" s="436" t="e">
        <v>#REF!</v>
      </c>
      <c r="AN43" s="433" t="s">
        <v>181</v>
      </c>
      <c r="AO43" s="435" t="e">
        <v>#REF!</v>
      </c>
      <c r="AP43" s="436" t="e">
        <v>#REF!</v>
      </c>
      <c r="AQ43" s="433" t="s">
        <v>181</v>
      </c>
      <c r="AR43" s="437" t="e">
        <v>#REF!</v>
      </c>
      <c r="AT43" s="571" t="e">
        <v>#REF!</v>
      </c>
      <c r="AU43" s="572" t="e">
        <v>#REF!</v>
      </c>
      <c r="AV43" s="92" t="s">
        <v>181</v>
      </c>
      <c r="AW43" s="571" t="e">
        <v>#REF!</v>
      </c>
      <c r="AX43" s="572" t="e">
        <v>#REF!</v>
      </c>
      <c r="AY43" s="92" t="s">
        <v>181</v>
      </c>
      <c r="AZ43" s="571" t="e">
        <v>#REF!</v>
      </c>
      <c r="BA43" s="572" t="e">
        <v>#REF!</v>
      </c>
      <c r="BB43" s="92" t="s">
        <v>181</v>
      </c>
      <c r="BC43" s="573" t="e">
        <v>#REF!</v>
      </c>
      <c r="BE43" s="571" t="e">
        <v>#REF!</v>
      </c>
      <c r="BF43" s="572" t="e">
        <v>#REF!</v>
      </c>
      <c r="BG43" s="92" t="s">
        <v>181</v>
      </c>
      <c r="BH43" s="571" t="e">
        <v>#REF!</v>
      </c>
      <c r="BI43" s="572" t="e">
        <v>#REF!</v>
      </c>
      <c r="BJ43" s="92" t="s">
        <v>181</v>
      </c>
      <c r="BK43" s="571" t="e">
        <v>#REF!</v>
      </c>
      <c r="BL43" s="572" t="e">
        <v>#REF!</v>
      </c>
      <c r="BM43" s="92" t="s">
        <v>181</v>
      </c>
      <c r="BN43" s="573" t="e">
        <v>#REF!</v>
      </c>
      <c r="BP43" s="761" t="e">
        <v>#REF!</v>
      </c>
      <c r="BQ43" s="762" t="e">
        <v>#REF!</v>
      </c>
      <c r="BR43" s="763" t="s">
        <v>181</v>
      </c>
      <c r="BS43" s="761" t="e">
        <v>#REF!</v>
      </c>
      <c r="BT43" s="762" t="e">
        <v>#REF!</v>
      </c>
      <c r="BU43" s="763" t="s">
        <v>181</v>
      </c>
      <c r="BV43" s="761" t="e">
        <v>#REF!</v>
      </c>
      <c r="BW43" s="762" t="e">
        <v>#REF!</v>
      </c>
      <c r="BX43" s="763" t="s">
        <v>181</v>
      </c>
      <c r="BY43" s="764" t="e">
        <v>#REF!</v>
      </c>
      <c r="CA43" s="761" t="e">
        <v>#REF!</v>
      </c>
      <c r="CB43" s="762" t="e">
        <v>#REF!</v>
      </c>
      <c r="CC43" s="763" t="s">
        <v>181</v>
      </c>
      <c r="CD43" s="761" t="e">
        <v>#REF!</v>
      </c>
      <c r="CE43" s="762" t="e">
        <v>#REF!</v>
      </c>
      <c r="CF43" s="763" t="s">
        <v>181</v>
      </c>
      <c r="CG43" s="761" t="e">
        <v>#REF!</v>
      </c>
      <c r="CH43" s="762" t="e">
        <v>#REF!</v>
      </c>
      <c r="CI43" s="763" t="s">
        <v>181</v>
      </c>
      <c r="CJ43" s="764" t="e">
        <v>#REF!</v>
      </c>
    </row>
    <row r="44" spans="1:88" x14ac:dyDescent="0.25">
      <c r="A44" s="224" t="s">
        <v>135</v>
      </c>
      <c r="B44" s="438">
        <v>0.10253456931120558</v>
      </c>
      <c r="C44" s="439">
        <v>0.10399954817630312</v>
      </c>
      <c r="D44" s="440">
        <v>-1.4649788650975409E-3</v>
      </c>
      <c r="E44" s="438">
        <v>7.5901791992391124E-2</v>
      </c>
      <c r="F44" s="439">
        <v>8.2559764316565185E-2</v>
      </c>
      <c r="G44" s="440">
        <v>-6.6579723241740607E-3</v>
      </c>
      <c r="H44" s="438">
        <v>8.1580979304734E-2</v>
      </c>
      <c r="I44" s="439">
        <v>8.7227538215200989E-2</v>
      </c>
      <c r="J44" s="441">
        <v>-5.6465589104669894E-3</v>
      </c>
      <c r="K44" s="442"/>
      <c r="M44" s="438">
        <v>0.10131605334339003</v>
      </c>
      <c r="N44" s="439">
        <v>0.10294537370530178</v>
      </c>
      <c r="O44" s="443">
        <v>-0.16293203619117541</v>
      </c>
      <c r="P44" s="438">
        <v>9.2978012745097344E-2</v>
      </c>
      <c r="Q44" s="439">
        <v>8.2323328325609207E-2</v>
      </c>
      <c r="R44" s="443">
        <v>1.0654684419488136</v>
      </c>
      <c r="S44" s="438">
        <v>9.4737728143784089E-2</v>
      </c>
      <c r="T44" s="439">
        <v>8.6782321438849341E-2</v>
      </c>
      <c r="U44" s="443">
        <v>0.79554067049347477</v>
      </c>
      <c r="V44" s="442"/>
      <c r="X44" s="438">
        <v>8.3519809358461927E-2</v>
      </c>
      <c r="Y44" s="439">
        <v>8.642629706778146E-2</v>
      </c>
      <c r="Z44" s="443">
        <v>-0.29064877093195329</v>
      </c>
      <c r="AA44" s="438">
        <v>0.11378117275063988</v>
      </c>
      <c r="AB44" s="439">
        <v>0.10533597981220691</v>
      </c>
      <c r="AC44" s="443">
        <v>0.84451929384329749</v>
      </c>
      <c r="AD44" s="438">
        <v>0.10756660748900262</v>
      </c>
      <c r="AE44" s="439">
        <v>0.10135270537890267</v>
      </c>
      <c r="AF44" s="443">
        <v>0.62139021100999503</v>
      </c>
      <c r="AG44" s="442"/>
      <c r="AI44" s="438">
        <v>8.6786826373331447E-2</v>
      </c>
      <c r="AJ44" s="439">
        <v>8.6301232442084694E-2</v>
      </c>
      <c r="AK44" s="443">
        <v>4.8559393124675276E-2</v>
      </c>
      <c r="AL44" s="438">
        <v>0.11618429166889141</v>
      </c>
      <c r="AM44" s="439">
        <v>0.10179559527858961</v>
      </c>
      <c r="AN44" s="443">
        <v>1.4388696390301798</v>
      </c>
      <c r="AO44" s="438">
        <v>0.11030537835878963</v>
      </c>
      <c r="AP44" s="439">
        <v>9.8593144446872449E-2</v>
      </c>
      <c r="AQ44" s="443">
        <v>1.1712233911917183</v>
      </c>
      <c r="AR44" s="444"/>
      <c r="AT44" s="72">
        <v>8.2226950589202569E-2</v>
      </c>
      <c r="AU44" s="77">
        <v>9.2790410614932803E-2</v>
      </c>
      <c r="AV44" s="303">
        <v>-1.0563460025730234</v>
      </c>
      <c r="AW44" s="72">
        <v>0.14916905126405436</v>
      </c>
      <c r="AX44" s="77">
        <v>8.9326714945689584E-2</v>
      </c>
      <c r="AY44" s="303">
        <v>5.9842336318364779</v>
      </c>
      <c r="AZ44" s="72">
        <v>0.13597598672105851</v>
      </c>
      <c r="BA44" s="77">
        <v>9.0031050376852939E-2</v>
      </c>
      <c r="BB44" s="303">
        <v>4.5944936344205569</v>
      </c>
      <c r="BC44" s="574"/>
      <c r="BE44" s="72">
        <v>7.7596036012155811E-2</v>
      </c>
      <c r="BF44" s="77">
        <v>7.5318217257380526E-2</v>
      </c>
      <c r="BG44" s="303">
        <v>0.22778187547752848</v>
      </c>
      <c r="BH44" s="72">
        <v>0.11453585983273806</v>
      </c>
      <c r="BI44" s="77">
        <v>0.10021264696652535</v>
      </c>
      <c r="BJ44" s="303">
        <v>1.4323212866212716</v>
      </c>
      <c r="BK44" s="72">
        <v>0.10742078433158914</v>
      </c>
      <c r="BL44" s="77">
        <v>9.5236516224010373E-2</v>
      </c>
      <c r="BM44" s="303">
        <v>1.2184268107578764</v>
      </c>
      <c r="BN44" s="574"/>
      <c r="BP44" s="765">
        <v>7.068290471805079E-2</v>
      </c>
      <c r="BQ44" s="766">
        <v>7.4162354094277169E-2</v>
      </c>
      <c r="BR44" s="767">
        <v>-0.3479449376226379</v>
      </c>
      <c r="BS44" s="765">
        <v>0.10762178600444106</v>
      </c>
      <c r="BT44" s="766">
        <v>8.74259682149508E-2</v>
      </c>
      <c r="BU44" s="768">
        <v>2.0195817789490258</v>
      </c>
      <c r="BV44" s="765">
        <v>0.10068792652573252</v>
      </c>
      <c r="BW44" s="766">
        <v>8.4826250567756195E-2</v>
      </c>
      <c r="BX44" s="768">
        <v>1.5861675957976329</v>
      </c>
      <c r="BY44" s="769"/>
      <c r="CA44" s="765">
        <v>6.9556814631365899E-2</v>
      </c>
      <c r="CB44" s="766">
        <v>8.7893445848004667E-2</v>
      </c>
      <c r="CC44" s="767">
        <v>-1.8336631216638768</v>
      </c>
      <c r="CD44" s="765">
        <v>9.4525582067734343E-2</v>
      </c>
      <c r="CE44" s="766">
        <v>9.3879319438883474E-2</v>
      </c>
      <c r="CF44" s="768">
        <v>6.4626262885086883E-2</v>
      </c>
      <c r="CG44" s="765">
        <v>8.9936279214217027E-2</v>
      </c>
      <c r="CH44" s="766">
        <v>9.2729248279622395E-2</v>
      </c>
      <c r="CI44" s="768">
        <v>-0.27929690654053679</v>
      </c>
      <c r="CJ44" s="769"/>
    </row>
    <row r="45" spans="1:88" x14ac:dyDescent="0.25">
      <c r="A45" s="208" t="s">
        <v>136</v>
      </c>
      <c r="B45" s="445">
        <v>8.1292581681919107E-2</v>
      </c>
      <c r="C45" s="392">
        <v>8.2824048846593917E-2</v>
      </c>
      <c r="D45" s="441">
        <v>-1.5314671646748101E-3</v>
      </c>
      <c r="E45" s="445">
        <v>6.3873666504429605E-2</v>
      </c>
      <c r="F45" s="392">
        <v>7.0130275793833005E-2</v>
      </c>
      <c r="G45" s="441">
        <v>-6.2566092894034003E-3</v>
      </c>
      <c r="H45" s="445">
        <v>6.7588085052918356E-2</v>
      </c>
      <c r="I45" s="392">
        <v>7.2893907317290355E-2</v>
      </c>
      <c r="J45" s="441">
        <v>-5.3058222643719982E-3</v>
      </c>
      <c r="K45" s="446"/>
      <c r="M45" s="445">
        <v>8.9506134970531281E-2</v>
      </c>
      <c r="N45" s="392">
        <v>8.6748163329860878E-2</v>
      </c>
      <c r="O45" s="443">
        <v>0.27579716406704036</v>
      </c>
      <c r="P45" s="445">
        <v>7.9090893577534405E-2</v>
      </c>
      <c r="Q45" s="392">
        <v>7.4945625521291137E-2</v>
      </c>
      <c r="R45" s="443">
        <v>0.41452680562432676</v>
      </c>
      <c r="S45" s="445">
        <v>8.1288995211154291E-2</v>
      </c>
      <c r="T45" s="392">
        <v>7.749762430890865E-2</v>
      </c>
      <c r="U45" s="443">
        <v>0.37913709022456415</v>
      </c>
      <c r="V45" s="446"/>
      <c r="X45" s="445">
        <v>6.5655930619869851E-2</v>
      </c>
      <c r="Y45" s="392">
        <v>6.9611161204162428E-2</v>
      </c>
      <c r="Z45" s="443">
        <v>-0.39552305842925767</v>
      </c>
      <c r="AA45" s="445">
        <v>0.11045482134614576</v>
      </c>
      <c r="AB45" s="392">
        <v>9.5302041163857848E-2</v>
      </c>
      <c r="AC45" s="443">
        <v>1.5152780182287913</v>
      </c>
      <c r="AD45" s="445">
        <v>0.10125478543040248</v>
      </c>
      <c r="AE45" s="392">
        <v>8.9890325552568123E-2</v>
      </c>
      <c r="AF45" s="443">
        <v>1.1364459877834354</v>
      </c>
      <c r="AG45" s="446"/>
      <c r="AI45" s="445">
        <v>7.2618764722875151E-2</v>
      </c>
      <c r="AJ45" s="392">
        <v>6.9688280724117715E-2</v>
      </c>
      <c r="AK45" s="443">
        <v>0.29304839987574355</v>
      </c>
      <c r="AL45" s="445">
        <v>9.967018306737245E-2</v>
      </c>
      <c r="AM45" s="392">
        <v>9.3439235956136735E-2</v>
      </c>
      <c r="AN45" s="443">
        <v>0.62309471112357162</v>
      </c>
      <c r="AO45" s="445">
        <v>9.4260432880963835E-2</v>
      </c>
      <c r="AP45" s="392">
        <v>8.8530272151723002E-2</v>
      </c>
      <c r="AQ45" s="443">
        <v>0.57301607292408319</v>
      </c>
      <c r="AR45" s="447"/>
      <c r="AT45" s="71">
        <v>6.142767511771674E-2</v>
      </c>
      <c r="AU45" s="63">
        <v>7.6016417560755889E-2</v>
      </c>
      <c r="AV45" s="303">
        <v>-1.4588742443039149</v>
      </c>
      <c r="AW45" s="71">
        <v>0.12871851315971192</v>
      </c>
      <c r="AX45" s="63">
        <v>8.1121151454161558E-2</v>
      </c>
      <c r="AY45" s="303">
        <v>4.7597361705550361</v>
      </c>
      <c r="AZ45" s="71">
        <v>0.11545671885552103</v>
      </c>
      <c r="BA45" s="63">
        <v>8.0083114255999899E-2</v>
      </c>
      <c r="BB45" s="303">
        <v>3.5373604599521129</v>
      </c>
      <c r="BC45" s="575"/>
      <c r="BE45" s="71">
        <v>6.4209055900246295E-2</v>
      </c>
      <c r="BF45" s="63">
        <v>5.8885447626123064E-2</v>
      </c>
      <c r="BG45" s="303">
        <v>0.53236082741232316</v>
      </c>
      <c r="BH45" s="71">
        <v>0.1049936027988992</v>
      </c>
      <c r="BI45" s="63">
        <v>8.8456695190396728E-2</v>
      </c>
      <c r="BJ45" s="303">
        <v>1.6536907608502474</v>
      </c>
      <c r="BK45" s="71">
        <v>9.7137985190285214E-2</v>
      </c>
      <c r="BL45" s="63">
        <v>8.2545718485232497E-2</v>
      </c>
      <c r="BM45" s="303">
        <v>1.4592266705052717</v>
      </c>
      <c r="BN45" s="575"/>
      <c r="BP45" s="770">
        <v>5.2597421654474931E-2</v>
      </c>
      <c r="BQ45" s="724">
        <v>5.5723797615286133E-2</v>
      </c>
      <c r="BR45" s="767">
        <v>-0.31263759608112018</v>
      </c>
      <c r="BS45" s="770">
        <v>9.7790583253837882E-2</v>
      </c>
      <c r="BT45" s="724">
        <v>7.4445272174080146E-2</v>
      </c>
      <c r="BU45" s="768">
        <v>2.3345311079757733</v>
      </c>
      <c r="BV45" s="770">
        <v>8.930729894701174E-2</v>
      </c>
      <c r="BW45" s="724">
        <v>7.077579360291604E-2</v>
      </c>
      <c r="BX45" s="768">
        <v>1.85315053440957</v>
      </c>
      <c r="BY45" s="771"/>
      <c r="CA45" s="770">
        <v>5.0633623705843317E-2</v>
      </c>
      <c r="CB45" s="724">
        <v>6.9569568111941676E-2</v>
      </c>
      <c r="CC45" s="767">
        <v>-1.8935944406098359</v>
      </c>
      <c r="CD45" s="770">
        <v>9.560124042337112E-2</v>
      </c>
      <c r="CE45" s="724">
        <v>8.1498946136372416E-2</v>
      </c>
      <c r="CF45" s="768">
        <v>1.4102294286998704</v>
      </c>
      <c r="CG45" s="770">
        <v>8.7336114311577839E-2</v>
      </c>
      <c r="CH45" s="724">
        <v>7.9206944241322963E-2</v>
      </c>
      <c r="CI45" s="768">
        <v>0.81291700702548764</v>
      </c>
      <c r="CJ45" s="771"/>
    </row>
    <row r="46" spans="1:88" x14ac:dyDescent="0.25">
      <c r="A46" s="208" t="s">
        <v>137</v>
      </c>
      <c r="B46" s="445">
        <v>-0.31069832011474791</v>
      </c>
      <c r="C46" s="392">
        <v>-0.32361553746414956</v>
      </c>
      <c r="D46" s="441">
        <v>1.2917217349401655E-2</v>
      </c>
      <c r="E46" s="392">
        <v>-0.38963722958438696</v>
      </c>
      <c r="F46" s="392">
        <v>-0.38912988736517556</v>
      </c>
      <c r="G46" s="441">
        <v>-5.07342219211393E-4</v>
      </c>
      <c r="H46" s="392">
        <v>-0.36848080595351618</v>
      </c>
      <c r="I46" s="392">
        <v>-0.37212382838231056</v>
      </c>
      <c r="J46" s="441">
        <v>3.6430224287943846E-3</v>
      </c>
      <c r="K46" s="446"/>
      <c r="M46" s="445">
        <v>-0.31920728880712113</v>
      </c>
      <c r="N46" s="392">
        <v>-0.26978299981983417</v>
      </c>
      <c r="O46" s="443">
        <v>-4.9424288987286955</v>
      </c>
      <c r="P46" s="392">
        <v>-0.34977955215131923</v>
      </c>
      <c r="Q46" s="392">
        <v>-0.39976537610429669</v>
      </c>
      <c r="R46" s="443">
        <v>4.9985823952977455</v>
      </c>
      <c r="S46" s="392">
        <v>-0.34287935786882517</v>
      </c>
      <c r="T46" s="392">
        <v>-0.36642541362028985</v>
      </c>
      <c r="U46" s="443">
        <v>2.3546055751464676</v>
      </c>
      <c r="V46" s="446"/>
      <c r="X46" s="445">
        <v>-0.35056504663787236</v>
      </c>
      <c r="Y46" s="392">
        <v>-0.35782344277296718</v>
      </c>
      <c r="Z46" s="443">
        <v>0.72583961350948245</v>
      </c>
      <c r="AA46" s="392">
        <v>-0.2417392667936335</v>
      </c>
      <c r="AB46" s="392">
        <v>-0.32705248596231429</v>
      </c>
      <c r="AC46" s="443">
        <v>8.5313219168680785</v>
      </c>
      <c r="AD46" s="392">
        <v>-0.25909192740769632</v>
      </c>
      <c r="AE46" s="392">
        <v>-0.33257971609422105</v>
      </c>
      <c r="AF46" s="443">
        <v>7.348778868652472</v>
      </c>
      <c r="AG46" s="446"/>
      <c r="AI46" s="445">
        <v>0.33454395207332899</v>
      </c>
      <c r="AJ46" s="392">
        <v>0.32782360148747841</v>
      </c>
      <c r="AK46" s="443">
        <v>-0.67203505858505763</v>
      </c>
      <c r="AL46" s="392">
        <v>0.27238470148423444</v>
      </c>
      <c r="AM46" s="392">
        <v>0.30637532212711438</v>
      </c>
      <c r="AN46" s="443">
        <v>3.3990620642879943</v>
      </c>
      <c r="AO46" s="392">
        <v>0.28216495378421808</v>
      </c>
      <c r="AP46" s="392">
        <v>0.31025567736757392</v>
      </c>
      <c r="AQ46" s="443">
        <v>2.8090723583355848</v>
      </c>
      <c r="AR46" s="447"/>
      <c r="AT46" s="71">
        <v>0.34862370236201545</v>
      </c>
      <c r="AU46" s="63">
        <v>0.30409858788422106</v>
      </c>
      <c r="AV46" s="303">
        <v>-4.4525114477794396</v>
      </c>
      <c r="AW46" s="63">
        <v>0.20568566883187014</v>
      </c>
      <c r="AX46" s="63">
        <v>0.34116918299232701</v>
      </c>
      <c r="AY46" s="303">
        <v>13.548351416045687</v>
      </c>
      <c r="AZ46" s="63">
        <v>0.22272082499389298</v>
      </c>
      <c r="BA46" s="63">
        <v>0.33339991420262638</v>
      </c>
      <c r="BB46" s="303">
        <v>11.067908920873339</v>
      </c>
      <c r="BC46" s="575"/>
      <c r="BE46" s="71">
        <v>0.34968175087852538</v>
      </c>
      <c r="BF46" s="63">
        <v>0.38296946093667961</v>
      </c>
      <c r="BG46" s="303">
        <v>3.328771005815423</v>
      </c>
      <c r="BH46" s="63">
        <v>0.24683522553322623</v>
      </c>
      <c r="BI46" s="63">
        <v>0.30633372549816229</v>
      </c>
      <c r="BJ46" s="303">
        <v>5.9498499964936062</v>
      </c>
      <c r="BK46" s="63">
        <v>0.26114476094422273</v>
      </c>
      <c r="BL46" s="63">
        <v>0.31844855933076216</v>
      </c>
      <c r="BM46" s="303">
        <v>5.7303798386539428</v>
      </c>
      <c r="BN46" s="575"/>
      <c r="BP46" s="770">
        <v>0.40729836464212749</v>
      </c>
      <c r="BQ46" s="724">
        <v>0.38860875841764936</v>
      </c>
      <c r="BR46" s="767">
        <v>-1.8689606224478128</v>
      </c>
      <c r="BS46" s="724">
        <v>0.26955327210227298</v>
      </c>
      <c r="BT46" s="724">
        <v>0.34242807357014521</v>
      </c>
      <c r="BU46" s="768">
        <v>7.2874801467872228</v>
      </c>
      <c r="BV46" s="724">
        <v>0.28770443372032972</v>
      </c>
      <c r="BW46" s="724">
        <v>0.35034174307017674</v>
      </c>
      <c r="BX46" s="768">
        <v>6.2637309349847019</v>
      </c>
      <c r="BY46" s="771"/>
      <c r="CA46" s="770">
        <v>0.41693566062501125</v>
      </c>
      <c r="CB46" s="724">
        <v>0.32697125903630009</v>
      </c>
      <c r="CC46" s="767">
        <v>-8.9964401588711169</v>
      </c>
      <c r="CD46" s="724">
        <v>0.30126589798117859</v>
      </c>
      <c r="CE46" s="724">
        <v>0.31020997698162139</v>
      </c>
      <c r="CF46" s="768">
        <v>0.89440790004428061</v>
      </c>
      <c r="CG46" s="724">
        <v>0.31770863940923438</v>
      </c>
      <c r="CH46" s="724">
        <v>0.31326239604967931</v>
      </c>
      <c r="CI46" s="768">
        <v>-0.44462433595550688</v>
      </c>
      <c r="CJ46" s="771"/>
    </row>
    <row r="47" spans="1:88" x14ac:dyDescent="0.25">
      <c r="A47" s="208" t="s">
        <v>138</v>
      </c>
      <c r="B47" s="445">
        <v>-0.33870457234210644</v>
      </c>
      <c r="C47" s="392">
        <v>-0.35372816117274641</v>
      </c>
      <c r="D47" s="441">
        <v>1.5023588830639978E-2</v>
      </c>
      <c r="E47" s="445">
        <v>-0.42617668884707599</v>
      </c>
      <c r="F47" s="392">
        <v>-0.42655888757739246</v>
      </c>
      <c r="G47" s="441">
        <v>3.8219873031647422E-4</v>
      </c>
      <c r="H47" s="445">
        <v>-0.40273327969560063</v>
      </c>
      <c r="I47" s="392">
        <v>-0.40765366099919337</v>
      </c>
      <c r="J47" s="441">
        <v>4.9203813035927357E-3</v>
      </c>
      <c r="K47" s="446"/>
      <c r="M47" s="445">
        <v>-0.3467396017240762</v>
      </c>
      <c r="N47" s="392">
        <v>-0.29741872944725406</v>
      </c>
      <c r="O47" s="443">
        <v>-4.9320872276822136</v>
      </c>
      <c r="P47" s="445">
        <v>-0.3782333157194917</v>
      </c>
      <c r="Q47" s="392">
        <v>-0.43356720470086402</v>
      </c>
      <c r="R47" s="443">
        <v>5.5333888981372317</v>
      </c>
      <c r="S47" s="445">
        <v>-0.3711251489868212</v>
      </c>
      <c r="T47" s="392">
        <v>-0.39864566235826054</v>
      </c>
      <c r="U47" s="443">
        <v>2.7520513371439348</v>
      </c>
      <c r="V47" s="446"/>
      <c r="X47" s="445">
        <v>-0.38330113734233651</v>
      </c>
      <c r="Y47" s="392">
        <v>-0.38748203641093837</v>
      </c>
      <c r="Z47" s="443">
        <v>0.41808990686018621</v>
      </c>
      <c r="AA47" s="445">
        <v>-0.26375693492255886</v>
      </c>
      <c r="AB47" s="392">
        <v>-0.35007626207604764</v>
      </c>
      <c r="AC47" s="443">
        <v>8.6319327153488778</v>
      </c>
      <c r="AD47" s="445">
        <v>-0.28281868642976898</v>
      </c>
      <c r="AE47" s="392">
        <v>-0.35679527066207689</v>
      </c>
      <c r="AF47" s="443">
        <v>7.3976584232307907</v>
      </c>
      <c r="AG47" s="446"/>
      <c r="AI47" s="445">
        <v>-0.35758512554159039</v>
      </c>
      <c r="AJ47" s="392">
        <v>-0.3546130199970618</v>
      </c>
      <c r="AK47" s="443">
        <v>-0.29721055445285915</v>
      </c>
      <c r="AL47" s="445">
        <v>-0.28763819722862816</v>
      </c>
      <c r="AM47" s="392">
        <v>-0.3273543929088627</v>
      </c>
      <c r="AN47" s="443">
        <v>3.9716195680234545</v>
      </c>
      <c r="AO47" s="445">
        <v>-0.29864377725133295</v>
      </c>
      <c r="AP47" s="392">
        <v>-0.33228593798491629</v>
      </c>
      <c r="AQ47" s="443">
        <v>3.3642160733583335</v>
      </c>
      <c r="AR47" s="447"/>
      <c r="AT47" s="71">
        <v>-0.37731532388851285</v>
      </c>
      <c r="AU47" s="63">
        <v>-0.32768914805719401</v>
      </c>
      <c r="AV47" s="303">
        <v>-4.9626175831318839</v>
      </c>
      <c r="AW47" s="71">
        <v>-0.21944944111776823</v>
      </c>
      <c r="AX47" s="63">
        <v>-0.36334619559199788</v>
      </c>
      <c r="AY47" s="303">
        <v>14.389675447422965</v>
      </c>
      <c r="AZ47" s="71">
        <v>-0.23826367760359524</v>
      </c>
      <c r="BA47" s="63">
        <v>-0.35587317861622114</v>
      </c>
      <c r="BB47" s="303">
        <v>11.760950101262591</v>
      </c>
      <c r="BC47" s="575"/>
      <c r="BE47" s="71">
        <v>-0.37754310322368911</v>
      </c>
      <c r="BF47" s="63">
        <v>-0.41099914176087771</v>
      </c>
      <c r="BG47" s="303">
        <v>3.3456038537188593</v>
      </c>
      <c r="BH47" s="71">
        <v>-0.26280044508600181</v>
      </c>
      <c r="BI47" s="63">
        <v>-0.32499353082332283</v>
      </c>
      <c r="BJ47" s="303">
        <v>6.2193085737321017</v>
      </c>
      <c r="BK47" s="71">
        <v>-0.27876514709475225</v>
      </c>
      <c r="BL47" s="63">
        <v>-0.33858958596936672</v>
      </c>
      <c r="BM47" s="303">
        <v>5.9824438874614474</v>
      </c>
      <c r="BN47" s="575"/>
      <c r="BP47" s="772">
        <v>-0.43675435761319886</v>
      </c>
      <c r="BQ47" s="721">
        <v>-0.41521207637825647</v>
      </c>
      <c r="BR47" s="767">
        <v>-2.1542281234942395</v>
      </c>
      <c r="BS47" s="772">
        <v>-0.28540369566912743</v>
      </c>
      <c r="BT47" s="721">
        <v>-0.3619337513291539</v>
      </c>
      <c r="BU47" s="768">
        <v>7.6530055660026459</v>
      </c>
      <c r="BV47" s="772">
        <v>-0.30534771164306751</v>
      </c>
      <c r="BW47" s="721">
        <v>-0.37106369509993437</v>
      </c>
      <c r="BX47" s="768">
        <v>6.5715983456866853</v>
      </c>
      <c r="BY47" s="771"/>
      <c r="CA47" s="772">
        <v>-0.44668071210724508</v>
      </c>
      <c r="CB47" s="721">
        <v>-0.34782167221276644</v>
      </c>
      <c r="CC47" s="767">
        <v>-9.8859039894478649</v>
      </c>
      <c r="CD47" s="772">
        <v>-0.31874145067884502</v>
      </c>
      <c r="CE47" s="721">
        <v>-0.32666995721441544</v>
      </c>
      <c r="CF47" s="768">
        <v>0.79285065355704232</v>
      </c>
      <c r="CG47" s="772">
        <v>-0.3369283315548886</v>
      </c>
      <c r="CH47" s="721">
        <v>-0.33052192378669032</v>
      </c>
      <c r="CI47" s="768">
        <v>-0.64064077681982856</v>
      </c>
      <c r="CJ47" s="771"/>
    </row>
    <row r="48" spans="1:88" x14ac:dyDescent="0.25">
      <c r="A48" s="225" t="s">
        <v>139</v>
      </c>
      <c r="B48" s="445">
        <v>0.40727672853145142</v>
      </c>
      <c r="C48" s="392">
        <v>0.34054019794351642</v>
      </c>
      <c r="D48" s="441">
        <v>6.6736530587934995E-2</v>
      </c>
      <c r="E48" s="445">
        <v>0.18253276157106535</v>
      </c>
      <c r="F48" s="392">
        <v>0.22404886765211607</v>
      </c>
      <c r="G48" s="441">
        <v>-4.1516106081050719E-2</v>
      </c>
      <c r="H48" s="445">
        <v>0.23045728218744727</v>
      </c>
      <c r="I48" s="392">
        <v>0.24941083932631228</v>
      </c>
      <c r="J48" s="441">
        <v>-1.8953557138865013E-2</v>
      </c>
      <c r="K48" s="446"/>
      <c r="M48" s="445">
        <v>0.30489271432185949</v>
      </c>
      <c r="N48" s="392">
        <v>0.3791994609046343</v>
      </c>
      <c r="O48" s="443">
        <v>-7.4306746582774803</v>
      </c>
      <c r="P48" s="445">
        <v>0.24042084510875902</v>
      </c>
      <c r="Q48" s="392">
        <v>0.262797235754821</v>
      </c>
      <c r="R48" s="443">
        <v>-2.2376390646061979</v>
      </c>
      <c r="S48" s="445">
        <v>0.25402741606496682</v>
      </c>
      <c r="T48" s="392">
        <v>0.28796625806819259</v>
      </c>
      <c r="U48" s="443">
        <v>-3.393884200322578</v>
      </c>
      <c r="V48" s="446"/>
      <c r="X48" s="445">
        <v>0.2077182893953449</v>
      </c>
      <c r="Y48" s="392">
        <v>0.19499662646935909</v>
      </c>
      <c r="Z48" s="443">
        <v>1.272166292598581</v>
      </c>
      <c r="AA48" s="445">
        <v>0.50794876689251178</v>
      </c>
      <c r="AB48" s="392">
        <v>0.38404409553545849</v>
      </c>
      <c r="AC48" s="443">
        <v>12.390467135705329</v>
      </c>
      <c r="AD48" s="445">
        <v>0.44629252649916179</v>
      </c>
      <c r="AE48" s="392">
        <v>0.34422174841364545</v>
      </c>
      <c r="AF48" s="443">
        <v>10.207077808551634</v>
      </c>
      <c r="AG48" s="446"/>
      <c r="AI48" s="445">
        <v>0.34648687515036553</v>
      </c>
      <c r="AJ48" s="392">
        <v>0.20873932361297476</v>
      </c>
      <c r="AK48" s="443">
        <v>13.774755153739077</v>
      </c>
      <c r="AL48" s="445">
        <v>0.56896508961698333</v>
      </c>
      <c r="AM48" s="392">
        <v>0.38847886197233511</v>
      </c>
      <c r="AN48" s="443">
        <v>18.048622764464824</v>
      </c>
      <c r="AO48" s="445">
        <v>0.52447383422861416</v>
      </c>
      <c r="AP48" s="392">
        <v>0.35132941348031643</v>
      </c>
      <c r="AQ48" s="443">
        <v>17.31444207482977</v>
      </c>
      <c r="AR48" s="447"/>
      <c r="AT48" s="71">
        <v>0.19259063066680498</v>
      </c>
      <c r="AU48" s="63">
        <v>0.28002927793512622</v>
      </c>
      <c r="AV48" s="303">
        <v>-8.7438647268321237</v>
      </c>
      <c r="AW48" s="71">
        <v>0.62376156641344382</v>
      </c>
      <c r="AX48" s="63">
        <v>0.30384950435889363</v>
      </c>
      <c r="AY48" s="303">
        <v>31.991206205455018</v>
      </c>
      <c r="AZ48" s="71">
        <v>0.53878565548410084</v>
      </c>
      <c r="BA48" s="63">
        <v>0.29900571002743115</v>
      </c>
      <c r="BB48" s="303">
        <v>23.97799454566697</v>
      </c>
      <c r="BC48" s="575"/>
      <c r="BE48" s="71">
        <v>0.25091663418548549</v>
      </c>
      <c r="BF48" s="63">
        <v>0.10720428123350037</v>
      </c>
      <c r="BG48" s="303">
        <v>14.371235295198511</v>
      </c>
      <c r="BH48" s="71">
        <v>0.5336983875425374</v>
      </c>
      <c r="BI48" s="63">
        <v>0.36227571574819029</v>
      </c>
      <c r="BJ48" s="303">
        <v>17.142267179434711</v>
      </c>
      <c r="BK48" s="71">
        <v>0.47923105886075734</v>
      </c>
      <c r="BL48" s="63">
        <v>0.31128965896137073</v>
      </c>
      <c r="BM48" s="303">
        <v>16.79413998993866</v>
      </c>
      <c r="BN48" s="575"/>
      <c r="BP48" s="770">
        <v>0.13445966917381788</v>
      </c>
      <c r="BQ48" s="724">
        <v>0.10528142050920539</v>
      </c>
      <c r="BR48" s="768">
        <v>2.9178248664612494</v>
      </c>
      <c r="BS48" s="770">
        <v>0.46921974223270591</v>
      </c>
      <c r="BT48" s="724">
        <v>0.27325331890706822</v>
      </c>
      <c r="BU48" s="768">
        <v>19.596642332563768</v>
      </c>
      <c r="BV48" s="770">
        <v>0.40638136638487682</v>
      </c>
      <c r="BW48" s="724">
        <v>0.24033020273942704</v>
      </c>
      <c r="BX48" s="768">
        <v>16.605116364544976</v>
      </c>
      <c r="BY48" s="771"/>
      <c r="CA48" s="770">
        <v>0.13760496636671934</v>
      </c>
      <c r="CB48" s="724">
        <v>0.20051643316381168</v>
      </c>
      <c r="CC48" s="768">
        <v>-6.2911466797092332</v>
      </c>
      <c r="CD48" s="770">
        <v>0.43362341023448359</v>
      </c>
      <c r="CE48" s="724">
        <v>0.32302026809775064</v>
      </c>
      <c r="CF48" s="768">
        <v>11.060314213673294</v>
      </c>
      <c r="CG48" s="770">
        <v>0.37921470573602589</v>
      </c>
      <c r="CH48" s="724">
        <v>0.29948349851559863</v>
      </c>
      <c r="CI48" s="768">
        <v>7.9731207220427258</v>
      </c>
      <c r="CJ48" s="771"/>
    </row>
    <row r="49" spans="1:88" x14ac:dyDescent="0.25">
      <c r="A49" s="199" t="s">
        <v>141</v>
      </c>
      <c r="B49" s="413">
        <v>410119044.98000288</v>
      </c>
      <c r="C49" s="70">
        <v>410686134.72433257</v>
      </c>
      <c r="D49" s="448">
        <v>-1.3808348916145574E-3</v>
      </c>
      <c r="E49" s="413">
        <v>1513150711.490001</v>
      </c>
      <c r="F49" s="70">
        <v>1475656724.6104517</v>
      </c>
      <c r="G49" s="448">
        <v>2.5408339388313328E-2</v>
      </c>
      <c r="H49" s="413">
        <v>1923269756.4700038</v>
      </c>
      <c r="I49" s="70">
        <v>1886342859.3347843</v>
      </c>
      <c r="J49" s="449">
        <v>1.9575920121033485E-2</v>
      </c>
      <c r="K49" s="450">
        <v>-36926897.135219574</v>
      </c>
      <c r="M49" s="413">
        <v>410389127.73000014</v>
      </c>
      <c r="N49" s="70">
        <v>411323806.92283016</v>
      </c>
      <c r="O49" s="448">
        <v>-2.2723683314673782E-3</v>
      </c>
      <c r="P49" s="413">
        <v>1534153274.2200007</v>
      </c>
      <c r="Q49" s="70">
        <v>1490975209.1765192</v>
      </c>
      <c r="R49" s="448">
        <v>2.8959612995395956E-2</v>
      </c>
      <c r="S49" s="413">
        <v>1944542401.9500008</v>
      </c>
      <c r="T49" s="70">
        <v>1902299016.0993493</v>
      </c>
      <c r="U49" s="449">
        <v>2.2206490931836464E-2</v>
      </c>
      <c r="V49" s="450">
        <v>-42243385.850651503</v>
      </c>
      <c r="X49" s="413">
        <v>409940436.06999803</v>
      </c>
      <c r="Y49" s="70">
        <v>412356432.72082371</v>
      </c>
      <c r="Z49" s="448">
        <v>-5.8590007554493173E-3</v>
      </c>
      <c r="AA49" s="413">
        <v>1586234031.9400001</v>
      </c>
      <c r="AB49" s="70">
        <v>1545211254.6015811</v>
      </c>
      <c r="AC49" s="448">
        <v>2.6548329373252244E-2</v>
      </c>
      <c r="AD49" s="413">
        <v>1996174468.0099981</v>
      </c>
      <c r="AE49" s="70">
        <v>1957567687.3224049</v>
      </c>
      <c r="AF49" s="449">
        <v>1.9721811377260812E-2</v>
      </c>
      <c r="AG49" s="450">
        <v>-38606780.687593222</v>
      </c>
      <c r="AI49" s="395">
        <v>409106898.53000009</v>
      </c>
      <c r="AJ49" s="269">
        <v>413418720.04498571</v>
      </c>
      <c r="AK49" s="267">
        <v>-1.0429671676494112E-2</v>
      </c>
      <c r="AL49" s="395">
        <v>1636629314.4949989</v>
      </c>
      <c r="AM49" s="269">
        <v>1586817970.0358419</v>
      </c>
      <c r="AN49" s="267">
        <v>3.1390711095887092E-2</v>
      </c>
      <c r="AO49" s="395">
        <v>2045736213.0249991</v>
      </c>
      <c r="AP49" s="269">
        <v>2000236690.0808277</v>
      </c>
      <c r="AQ49" s="267">
        <v>2.2747069469229997E-2</v>
      </c>
      <c r="AR49" s="411">
        <v>45499522.944171429</v>
      </c>
      <c r="AT49" s="328">
        <v>407442161.70500112</v>
      </c>
      <c r="AU49" s="329">
        <v>414505075.74822342</v>
      </c>
      <c r="AV49" s="267">
        <v>-1.703939096637852E-2</v>
      </c>
      <c r="AW49" s="328">
        <v>1659934536.039999</v>
      </c>
      <c r="AX49" s="329">
        <v>1623897895.6557693</v>
      </c>
      <c r="AY49" s="267">
        <v>2.2191444721145537E-2</v>
      </c>
      <c r="AZ49" s="328">
        <v>2067376697.7450001</v>
      </c>
      <c r="BA49" s="329">
        <v>2038402971.4039927</v>
      </c>
      <c r="BB49" s="267">
        <v>1.4213934510236337E-2</v>
      </c>
      <c r="BC49" s="562">
        <v>28973726.341007471</v>
      </c>
      <c r="BE49" s="328">
        <v>408290687.99000096</v>
      </c>
      <c r="BF49" s="329">
        <v>415541456.92054081</v>
      </c>
      <c r="BG49" s="267">
        <v>-1.7448966426294121E-2</v>
      </c>
      <c r="BH49" s="328">
        <v>1711459985.000001</v>
      </c>
      <c r="BI49" s="329">
        <v>1663316219.0165994</v>
      </c>
      <c r="BJ49" s="267">
        <v>2.8944445700088028E-2</v>
      </c>
      <c r="BK49" s="328">
        <v>2119750672.9900019</v>
      </c>
      <c r="BL49" s="329">
        <v>2078857675.9371402</v>
      </c>
      <c r="BM49" s="267">
        <v>1.9670897881177707E-2</v>
      </c>
      <c r="BN49" s="562">
        <v>40892997.052861691</v>
      </c>
      <c r="BP49" s="743">
        <v>410164829.65500152</v>
      </c>
      <c r="BQ49" s="744">
        <v>416588416.08694911</v>
      </c>
      <c r="BR49" s="745">
        <v>-1.5419503240836296E-2</v>
      </c>
      <c r="BS49" s="743">
        <v>1774914057.0750017</v>
      </c>
      <c r="BT49" s="744">
        <v>1708822396.9229143</v>
      </c>
      <c r="BU49" s="746">
        <v>3.867672864722449E-2</v>
      </c>
      <c r="BV49" s="743">
        <v>2185078886.7300034</v>
      </c>
      <c r="BW49" s="744">
        <v>2125410813.0098634</v>
      </c>
      <c r="BX49" s="746">
        <v>2.8073666208389136E-2</v>
      </c>
      <c r="BY49" s="747">
        <v>59668073.72013998</v>
      </c>
      <c r="CA49" s="743">
        <v>409708841.94500053</v>
      </c>
      <c r="CB49" s="744">
        <v>417769961.42721009</v>
      </c>
      <c r="CC49" s="745">
        <v>-1.9295593811174738E-2</v>
      </c>
      <c r="CD49" s="743">
        <v>1819371503.7349997</v>
      </c>
      <c r="CE49" s="744">
        <v>1756633038.7978582</v>
      </c>
      <c r="CF49" s="746">
        <v>3.5715179864814539E-2</v>
      </c>
      <c r="CG49" s="743">
        <v>2229080345.6800003</v>
      </c>
      <c r="CH49" s="744">
        <v>2174403000.2250681</v>
      </c>
      <c r="CI49" s="746">
        <v>2.5145911521126774E-2</v>
      </c>
      <c r="CJ49" s="747">
        <v>54677345.454932213</v>
      </c>
    </row>
    <row r="50" spans="1:88" x14ac:dyDescent="0.25">
      <c r="A50" s="199" t="s">
        <v>142</v>
      </c>
      <c r="B50" s="413">
        <v>407807715.140001</v>
      </c>
      <c r="C50" s="70">
        <v>409320636.27007604</v>
      </c>
      <c r="D50" s="448">
        <v>-3.6961760439481184E-3</v>
      </c>
      <c r="E50" s="413">
        <v>1485862986.8000021</v>
      </c>
      <c r="F50" s="70">
        <v>1451896911.2013488</v>
      </c>
      <c r="G50" s="448">
        <v>2.3394274990604202E-2</v>
      </c>
      <c r="H50" s="413">
        <v>1893670701.9400032</v>
      </c>
      <c r="I50" s="70">
        <v>1861217547.4714248</v>
      </c>
      <c r="J50" s="449">
        <v>1.743651864483442E-2</v>
      </c>
      <c r="K50" s="450">
        <v>-32453154.468578339</v>
      </c>
      <c r="M50" s="413">
        <v>407967381.77999878</v>
      </c>
      <c r="N50" s="70">
        <v>409875671.87967074</v>
      </c>
      <c r="O50" s="448">
        <v>-4.6557779116790377E-3</v>
      </c>
      <c r="P50" s="413">
        <v>1518848867.7350011</v>
      </c>
      <c r="Q50" s="70">
        <v>1466079021.5783377</v>
      </c>
      <c r="R50" s="448">
        <v>3.5993862117918329E-2</v>
      </c>
      <c r="S50" s="413">
        <v>1926816249.5149999</v>
      </c>
      <c r="T50" s="70">
        <v>1875954693.4580083</v>
      </c>
      <c r="U50" s="449">
        <v>2.7112358435073203E-2</v>
      </c>
      <c r="V50" s="450">
        <v>-50861556.056991577</v>
      </c>
      <c r="X50" s="413">
        <v>407327822.36499965</v>
      </c>
      <c r="Y50" s="70">
        <v>410674939.09533346</v>
      </c>
      <c r="Z50" s="448">
        <v>-8.150282405123388E-3</v>
      </c>
      <c r="AA50" s="413">
        <v>1560025554.2650003</v>
      </c>
      <c r="AB50" s="70">
        <v>1516487216.71225</v>
      </c>
      <c r="AC50" s="448">
        <v>2.8709993116289967E-2</v>
      </c>
      <c r="AD50" s="413">
        <v>1967353376.6300001</v>
      </c>
      <c r="AE50" s="70">
        <v>1927162155.8075833</v>
      </c>
      <c r="AF50" s="449">
        <v>2.08551318327308E-2</v>
      </c>
      <c r="AG50" s="450">
        <v>-40191220.822416782</v>
      </c>
      <c r="AI50" s="413">
        <v>406357883.24000067</v>
      </c>
      <c r="AJ50" s="70">
        <v>411577542.81803608</v>
      </c>
      <c r="AK50" s="448">
        <v>-1.2682080616684854E-2</v>
      </c>
      <c r="AL50" s="413">
        <v>1600106188.6699994</v>
      </c>
      <c r="AM50" s="70">
        <v>1555403467.8703365</v>
      </c>
      <c r="AN50" s="448">
        <v>2.87402733265536E-2</v>
      </c>
      <c r="AO50" s="413">
        <v>2006464071.9100001</v>
      </c>
      <c r="AP50" s="70">
        <v>1966981010.6883726</v>
      </c>
      <c r="AQ50" s="448">
        <v>2.007292444974329E-2</v>
      </c>
      <c r="AR50" s="450"/>
      <c r="AT50" s="167">
        <v>407516971.4999997</v>
      </c>
      <c r="AU50" s="166">
        <v>412500297.34543788</v>
      </c>
      <c r="AV50" s="90">
        <v>-1.2080781220055736E-2</v>
      </c>
      <c r="AW50" s="167">
        <v>1661190831.124999</v>
      </c>
      <c r="AX50" s="166">
        <v>1589959534.5676813</v>
      </c>
      <c r="AY50" s="90">
        <v>4.4800697759069585E-2</v>
      </c>
      <c r="AZ50" s="167">
        <v>2068707802.6249988</v>
      </c>
      <c r="BA50" s="166">
        <v>2002459831.9131193</v>
      </c>
      <c r="BB50" s="90">
        <v>3.3083295682684088E-2</v>
      </c>
      <c r="BC50" s="576"/>
      <c r="BE50" s="167">
        <v>408227096.88500005</v>
      </c>
      <c r="BF50" s="166">
        <v>413373656.59213281</v>
      </c>
      <c r="BG50" s="90">
        <v>-1.2450139540969296E-2</v>
      </c>
      <c r="BH50" s="167">
        <v>1710603792.3650012</v>
      </c>
      <c r="BI50" s="166">
        <v>1626739742.4735532</v>
      </c>
      <c r="BJ50" s="90">
        <v>5.1553452406546407E-2</v>
      </c>
      <c r="BK50" s="167">
        <v>2118830889.2500012</v>
      </c>
      <c r="BL50" s="166">
        <v>2040113399.065686</v>
      </c>
      <c r="BM50" s="90">
        <v>3.8584860145698618E-2</v>
      </c>
      <c r="BN50" s="576"/>
      <c r="BP50" s="773">
        <v>407011306.17999923</v>
      </c>
      <c r="BQ50" s="774">
        <v>414254083.15967989</v>
      </c>
      <c r="BR50" s="775">
        <v>-1.7483900036511679E-2</v>
      </c>
      <c r="BS50" s="773">
        <v>1732176888.6700025</v>
      </c>
      <c r="BT50" s="774">
        <v>1669307640.5694733</v>
      </c>
      <c r="BU50" s="776">
        <v>3.7661870450123702E-2</v>
      </c>
      <c r="BV50" s="773">
        <v>2139188194.8500018</v>
      </c>
      <c r="BW50" s="774">
        <v>2083561723.7291532</v>
      </c>
      <c r="BX50" s="776">
        <v>2.6697779330140836E-2</v>
      </c>
      <c r="BY50" s="777"/>
      <c r="CA50" s="773">
        <v>406421244.57999969</v>
      </c>
      <c r="CB50" s="774">
        <v>415266205.45500535</v>
      </c>
      <c r="CC50" s="775">
        <v>-2.1299495983098993E-2</v>
      </c>
      <c r="CD50" s="773">
        <v>1773831128.5849996</v>
      </c>
      <c r="CE50" s="774">
        <v>1714054179.8633211</v>
      </c>
      <c r="CF50" s="776">
        <v>3.48745969782851E-2</v>
      </c>
      <c r="CG50" s="773">
        <v>2180252373.164999</v>
      </c>
      <c r="CH50" s="774">
        <v>2129320385.3183265</v>
      </c>
      <c r="CI50" s="776">
        <v>2.3919363285040962E-2</v>
      </c>
      <c r="CJ50" s="777"/>
    </row>
    <row r="51" spans="1:88" x14ac:dyDescent="0.25">
      <c r="A51" s="241"/>
      <c r="B51" s="451"/>
      <c r="C51" s="45"/>
      <c r="D51" s="452"/>
      <c r="E51" s="451"/>
      <c r="F51" s="45"/>
      <c r="G51" s="452"/>
      <c r="H51" s="451"/>
      <c r="I51" s="45"/>
      <c r="J51" s="195"/>
      <c r="K51" s="452"/>
      <c r="M51" s="451"/>
      <c r="N51" s="45"/>
      <c r="O51" s="452"/>
      <c r="P51" s="451"/>
      <c r="Q51" s="45"/>
      <c r="R51" s="452">
        <v>52769846.156663418</v>
      </c>
      <c r="S51" s="451"/>
      <c r="T51" s="45"/>
      <c r="U51" s="195"/>
      <c r="V51" s="452"/>
      <c r="X51" s="451"/>
      <c r="Y51" s="45"/>
      <c r="Z51" s="452"/>
      <c r="AA51" s="451"/>
      <c r="AB51" s="45"/>
      <c r="AC51" s="452">
        <v>43538337.552750349</v>
      </c>
      <c r="AD51" s="451"/>
      <c r="AE51" s="45"/>
      <c r="AF51" s="195"/>
      <c r="AG51" s="452"/>
      <c r="AI51" s="451"/>
      <c r="AJ51" s="45"/>
      <c r="AK51" s="452"/>
      <c r="AL51" s="451"/>
      <c r="AM51" s="45"/>
      <c r="AN51" s="452">
        <v>44702720.799662828</v>
      </c>
      <c r="AO51" s="451"/>
      <c r="AP51" s="45"/>
      <c r="AQ51" s="195"/>
      <c r="AR51" s="452"/>
      <c r="AT51" s="577"/>
      <c r="AU51" s="578"/>
      <c r="AV51" s="579"/>
      <c r="AW51" s="577"/>
      <c r="AX51" s="578"/>
      <c r="AY51" s="579">
        <v>71231296.557317734</v>
      </c>
      <c r="AZ51" s="577"/>
      <c r="BA51" s="578"/>
      <c r="BB51" s="195"/>
      <c r="BC51" s="579"/>
      <c r="BE51" s="577"/>
      <c r="BF51" s="578"/>
      <c r="BG51" s="579"/>
      <c r="BH51" s="577"/>
      <c r="BI51" s="578"/>
      <c r="BJ51" s="579">
        <v>83864049.891448021</v>
      </c>
      <c r="BK51" s="577"/>
      <c r="BL51" s="578"/>
      <c r="BM51" s="195"/>
      <c r="BN51" s="579"/>
      <c r="BP51" s="577"/>
      <c r="BQ51" s="578"/>
      <c r="BR51" s="579"/>
      <c r="BS51" s="577"/>
      <c r="BT51" s="578"/>
      <c r="BU51" s="579">
        <v>62869248.100529194</v>
      </c>
      <c r="BV51" s="577"/>
      <c r="BW51" s="578"/>
      <c r="BX51" s="778"/>
      <c r="BY51" s="579"/>
      <c r="CA51" s="577"/>
      <c r="CB51" s="578"/>
      <c r="CC51" s="579"/>
      <c r="CD51" s="577"/>
      <c r="CE51" s="578"/>
      <c r="CF51" s="579">
        <v>59776948.721678495</v>
      </c>
      <c r="CG51" s="577"/>
      <c r="CH51" s="578"/>
      <c r="CI51" s="778"/>
      <c r="CJ51" s="579"/>
    </row>
    <row r="52" spans="1:88" x14ac:dyDescent="0.25">
      <c r="A52" s="240" t="s">
        <v>143</v>
      </c>
      <c r="B52" s="453">
        <v>1.9001863743440595E-2</v>
      </c>
      <c r="C52" s="454">
        <v>1.8722930033500899E-2</v>
      </c>
      <c r="D52" s="455">
        <v>1.4897973204012427E-2</v>
      </c>
      <c r="E52" s="453">
        <v>1.3902319900431812E-2</v>
      </c>
      <c r="F52" s="454">
        <v>1.4373661601362575E-2</v>
      </c>
      <c r="G52" s="455">
        <v>-3.2792041026350693E-2</v>
      </c>
      <c r="H52" s="453">
        <v>1.4989749286607486E-2</v>
      </c>
      <c r="I52" s="454">
        <v>1.5320564881661969E-2</v>
      </c>
      <c r="J52" s="456">
        <v>-2.1592911071474541E-2</v>
      </c>
      <c r="K52" s="457">
        <v>0</v>
      </c>
      <c r="M52" s="453">
        <v>1.7277652391281099E-2</v>
      </c>
      <c r="N52" s="454">
        <v>1.6967288391328991E-2</v>
      </c>
      <c r="O52" s="458"/>
      <c r="P52" s="453">
        <v>1.377818579220318E-2</v>
      </c>
      <c r="Q52" s="454">
        <v>1.3658580504171127E-2</v>
      </c>
      <c r="R52" s="458"/>
      <c r="S52" s="453">
        <v>1.4516736437165043E-2</v>
      </c>
      <c r="T52" s="454">
        <v>1.4374004479384018E-2</v>
      </c>
      <c r="U52" s="458"/>
      <c r="V52" s="457"/>
      <c r="X52" s="453">
        <v>1.9194187076135238E-2</v>
      </c>
      <c r="Y52" s="454">
        <v>1.878696553739909E-2</v>
      </c>
      <c r="Z52" s="458"/>
      <c r="AA52" s="453">
        <v>1.8695955466123654E-2</v>
      </c>
      <c r="AB52" s="454">
        <v>1.7007775650030896E-2</v>
      </c>
      <c r="AC52" s="458"/>
      <c r="AD52" s="453">
        <v>1.8798273818925564E-2</v>
      </c>
      <c r="AE52" s="454">
        <v>1.7382557273082522E-2</v>
      </c>
      <c r="AF52" s="458"/>
      <c r="AG52" s="457"/>
      <c r="AI52" s="453">
        <v>1.8345501498429593E-2</v>
      </c>
      <c r="AJ52" s="454">
        <v>1.8235858882739261E-2</v>
      </c>
      <c r="AK52" s="458"/>
      <c r="AL52" s="453">
        <v>1.8505300584418041E-2</v>
      </c>
      <c r="AM52" s="454">
        <v>1.5551839992295043E-2</v>
      </c>
      <c r="AN52" s="458"/>
      <c r="AO52" s="453">
        <v>1.8473343918626806E-2</v>
      </c>
      <c r="AP52" s="454">
        <v>1.6106586167968468E-2</v>
      </c>
      <c r="AQ52" s="458"/>
      <c r="AR52" s="457"/>
      <c r="AT52" s="182">
        <v>1.8596775400691171E-2</v>
      </c>
      <c r="AU52" s="183">
        <v>1.8878644444171217E-2</v>
      </c>
      <c r="AV52" s="580"/>
      <c r="AW52" s="182">
        <v>2.0021150604700215E-2</v>
      </c>
      <c r="AX52" s="183">
        <v>1.4523370787039074E-2</v>
      </c>
      <c r="AY52" s="580"/>
      <c r="AZ52" s="182">
        <v>1.9740432285279535E-2</v>
      </c>
      <c r="BA52" s="183">
        <v>1.5409006778783325E-2</v>
      </c>
      <c r="BB52" s="580"/>
      <c r="BC52" s="581"/>
      <c r="BE52" s="182">
        <v>1.9006875317690443E-2</v>
      </c>
      <c r="BF52" s="183">
        <v>1.8324251675428969E-2</v>
      </c>
      <c r="BG52" s="580"/>
      <c r="BH52" s="182">
        <v>1.70452816984792E-2</v>
      </c>
      <c r="BI52" s="183">
        <v>1.5552747892415177E-2</v>
      </c>
      <c r="BJ52" s="580"/>
      <c r="BK52" s="182">
        <v>1.7423109345168823E-2</v>
      </c>
      <c r="BL52" s="183">
        <v>1.610674191191205E-2</v>
      </c>
      <c r="BM52" s="580"/>
      <c r="BN52" s="581"/>
      <c r="BP52" s="182">
        <v>1.9059111495676906E-2</v>
      </c>
      <c r="BQ52" s="183">
        <v>1.8969886887183325E-2</v>
      </c>
      <c r="BR52" s="779"/>
      <c r="BS52" s="182">
        <v>1.559165757332813E-2</v>
      </c>
      <c r="BT52" s="183">
        <v>1.5043158424087742E-2</v>
      </c>
      <c r="BU52" s="779"/>
      <c r="BV52" s="182">
        <v>1.624253917583408E-2</v>
      </c>
      <c r="BW52" s="183">
        <v>1.5812811792194955E-2</v>
      </c>
      <c r="BX52" s="779"/>
      <c r="BY52" s="581"/>
      <c r="CA52" s="182">
        <v>1.8696147253342111E-2</v>
      </c>
      <c r="CB52" s="183">
        <v>1.90172006018649E-2</v>
      </c>
      <c r="CC52" s="779"/>
      <c r="CD52" s="182">
        <v>1.3191794666855366E-2</v>
      </c>
      <c r="CE52" s="183">
        <v>1.5047607426743841E-2</v>
      </c>
      <c r="CF52" s="779"/>
      <c r="CG52" s="182">
        <v>1.4203504239476666E-2</v>
      </c>
      <c r="CH52" s="183">
        <v>1.5810288855844328E-2</v>
      </c>
      <c r="CI52" s="779"/>
      <c r="CJ52" s="581"/>
    </row>
    <row r="53" spans="1:88" x14ac:dyDescent="0.25">
      <c r="A53" s="240" t="s">
        <v>144</v>
      </c>
      <c r="B53" s="453">
        <v>1.9109560515854E-2</v>
      </c>
      <c r="C53" s="454">
        <v>1.8785389948185068E-2</v>
      </c>
      <c r="D53" s="455">
        <v>1.7256525872663575E-2</v>
      </c>
      <c r="E53" s="453">
        <v>1.4157634610714948E-2</v>
      </c>
      <c r="F53" s="454">
        <v>1.4608881826034988E-2</v>
      </c>
      <c r="G53" s="455">
        <v>-3.088855264171253E-2</v>
      </c>
      <c r="H53" s="453">
        <v>1.5224046836900046E-2</v>
      </c>
      <c r="I53" s="454">
        <v>1.5527383246929127E-2</v>
      </c>
      <c r="J53" s="456">
        <v>-1.9535578223656702E-2</v>
      </c>
      <c r="K53" s="457">
        <v>0</v>
      </c>
      <c r="M53" s="453">
        <v>1.7380214719969131E-2</v>
      </c>
      <c r="N53" s="454">
        <v>1.7027235654835007E-2</v>
      </c>
      <c r="O53" s="458"/>
      <c r="P53" s="453">
        <v>1.3917019194570713E-2</v>
      </c>
      <c r="Q53" s="454">
        <v>1.389052337870365E-2</v>
      </c>
      <c r="R53" s="458"/>
      <c r="S53" s="453">
        <v>1.4650286215463149E-2</v>
      </c>
      <c r="T53" s="454">
        <v>1.4575860853087239E-2</v>
      </c>
      <c r="U53" s="458"/>
      <c r="V53" s="457"/>
      <c r="X53" s="453">
        <v>1.931729920709711E-2</v>
      </c>
      <c r="Y53" s="454">
        <v>1.8863888085590197E-2</v>
      </c>
      <c r="Z53" s="458"/>
      <c r="AA53" s="453">
        <v>1.9010048097559778E-2</v>
      </c>
      <c r="AB53" s="454">
        <v>1.7329922771879946E-2</v>
      </c>
      <c r="AC53" s="458"/>
      <c r="AD53" s="453">
        <v>1.9073662457264412E-2</v>
      </c>
      <c r="AE53" s="454">
        <v>1.7656808140546976E-2</v>
      </c>
      <c r="AF53" s="458"/>
      <c r="AG53" s="457"/>
      <c r="AI53" s="453">
        <v>1.8469609006126458E-2</v>
      </c>
      <c r="AJ53" s="454">
        <v>1.8317436336792944E-2</v>
      </c>
      <c r="AK53" s="458"/>
      <c r="AL53" s="453">
        <v>1.8927692189712637E-2</v>
      </c>
      <c r="AM53" s="454">
        <v>1.5865940687842851E-2</v>
      </c>
      <c r="AN53" s="458"/>
      <c r="AO53" s="453">
        <v>1.8834919179003942E-2</v>
      </c>
      <c r="AP53" s="454">
        <v>1.6378899658946941E-2</v>
      </c>
      <c r="AQ53" s="458"/>
      <c r="AR53" s="457"/>
      <c r="AT53" s="182">
        <v>1.8593361503718393E-2</v>
      </c>
      <c r="AU53" s="183">
        <v>1.8970395889925565E-2</v>
      </c>
      <c r="AV53" s="580"/>
      <c r="AW53" s="182">
        <v>2.0006009374307257E-2</v>
      </c>
      <c r="AX53" s="183">
        <v>1.4833378300608118E-2</v>
      </c>
      <c r="AY53" s="580"/>
      <c r="AZ53" s="182">
        <v>1.972773035332236E-2</v>
      </c>
      <c r="BA53" s="183">
        <v>1.5685590643907094E-2</v>
      </c>
      <c r="BB53" s="580"/>
      <c r="BC53" s="581"/>
      <c r="BE53" s="182">
        <v>1.9009836091762742E-2</v>
      </c>
      <c r="BF53" s="183">
        <v>1.8420347104265211E-2</v>
      </c>
      <c r="BG53" s="580"/>
      <c r="BH53" s="182">
        <v>1.7053813215079875E-2</v>
      </c>
      <c r="BI53" s="183">
        <v>1.5902444099874794E-2</v>
      </c>
      <c r="BJ53" s="580"/>
      <c r="BK53" s="182">
        <v>1.7430672710776359E-2</v>
      </c>
      <c r="BL53" s="183">
        <v>1.641262886330307E-2</v>
      </c>
      <c r="BM53" s="580"/>
      <c r="BN53" s="581"/>
      <c r="BP53" s="182">
        <v>1.9206781485678909E-2</v>
      </c>
      <c r="BQ53" s="183">
        <v>1.9076782711237895E-2</v>
      </c>
      <c r="BR53" s="779"/>
      <c r="BS53" s="182">
        <v>1.597634305192035E-2</v>
      </c>
      <c r="BT53" s="183">
        <v>1.5399250210567109E-2</v>
      </c>
      <c r="BU53" s="779"/>
      <c r="BV53" s="182">
        <v>1.6590980403427581E-2</v>
      </c>
      <c r="BW53" s="183">
        <v>1.6130417824660473E-2</v>
      </c>
      <c r="BX53" s="779"/>
      <c r="BY53" s="581"/>
      <c r="CA53" s="182">
        <v>1.8847382960789624E-2</v>
      </c>
      <c r="CB53" s="183">
        <v>1.9131860617430971E-2</v>
      </c>
      <c r="CC53" s="779"/>
      <c r="CD53" s="182">
        <v>1.3530473624704976E-2</v>
      </c>
      <c r="CE53" s="183">
        <v>1.542140538567225E-2</v>
      </c>
      <c r="CF53" s="779"/>
      <c r="CG53" s="182">
        <v>1.4521599668775569E-2</v>
      </c>
      <c r="CH53" s="183">
        <v>1.6145029071063667E-2</v>
      </c>
      <c r="CI53" s="779"/>
      <c r="CJ53" s="581"/>
    </row>
    <row r="54" spans="1:88" x14ac:dyDescent="0.25">
      <c r="A54" s="223"/>
      <c r="B54" s="459"/>
      <c r="C54" s="79"/>
      <c r="D54" s="460"/>
      <c r="E54" s="451"/>
      <c r="F54" s="45"/>
      <c r="G54" s="460"/>
      <c r="H54" s="459"/>
      <c r="I54" s="79"/>
      <c r="J54" s="195"/>
      <c r="K54" s="452"/>
      <c r="M54" s="459"/>
      <c r="N54" s="79"/>
      <c r="O54" s="460"/>
      <c r="P54" s="451"/>
      <c r="Q54" s="45"/>
      <c r="R54" s="460"/>
      <c r="S54" s="459"/>
      <c r="T54" s="79"/>
      <c r="U54" s="195"/>
      <c r="V54" s="452"/>
      <c r="X54" s="459"/>
      <c r="Y54" s="79"/>
      <c r="Z54" s="460"/>
      <c r="AA54" s="451"/>
      <c r="AB54" s="45"/>
      <c r="AC54" s="460"/>
      <c r="AD54" s="459"/>
      <c r="AE54" s="79"/>
      <c r="AF54" s="195"/>
      <c r="AG54" s="452"/>
      <c r="AI54" s="459"/>
      <c r="AJ54" s="79"/>
      <c r="AK54" s="460"/>
      <c r="AL54" s="451"/>
      <c r="AM54" s="45"/>
      <c r="AN54" s="460"/>
      <c r="AO54" s="459"/>
      <c r="AP54" s="79"/>
      <c r="AQ54" s="195"/>
      <c r="AR54" s="452"/>
      <c r="AT54" s="222"/>
      <c r="AU54" s="184"/>
      <c r="AV54" s="582"/>
      <c r="AW54" s="577"/>
      <c r="AX54" s="578"/>
      <c r="AY54" s="582"/>
      <c r="AZ54" s="222"/>
      <c r="BA54" s="184"/>
      <c r="BB54" s="195"/>
      <c r="BC54" s="579"/>
      <c r="BE54" s="222"/>
      <c r="BF54" s="184"/>
      <c r="BG54" s="582"/>
      <c r="BH54" s="577"/>
      <c r="BI54" s="578"/>
      <c r="BJ54" s="582"/>
      <c r="BK54" s="222"/>
      <c r="BL54" s="184"/>
      <c r="BM54" s="195"/>
      <c r="BN54" s="579"/>
      <c r="BP54" s="222"/>
      <c r="BQ54" s="184"/>
      <c r="BR54" s="582"/>
      <c r="BS54" s="577"/>
      <c r="BT54" s="578"/>
      <c r="BU54" s="582"/>
      <c r="BV54" s="222"/>
      <c r="BW54" s="184"/>
      <c r="BX54" s="778"/>
      <c r="BY54" s="579"/>
      <c r="CA54" s="222"/>
      <c r="CB54" s="184"/>
      <c r="CC54" s="582"/>
      <c r="CD54" s="577"/>
      <c r="CE54" s="578"/>
      <c r="CF54" s="582"/>
      <c r="CG54" s="222"/>
      <c r="CH54" s="184"/>
      <c r="CI54" s="778"/>
      <c r="CJ54" s="579"/>
    </row>
    <row r="55" spans="1:88" x14ac:dyDescent="0.25">
      <c r="A55" s="224" t="s">
        <v>145</v>
      </c>
      <c r="B55" s="461">
        <v>0.21324052104512947</v>
      </c>
      <c r="C55" s="462">
        <v>0.21771552965146557</v>
      </c>
      <c r="D55" s="463">
        <v>-2.0554384032687056E-2</v>
      </c>
      <c r="E55" s="461">
        <v>0.78675947895487053</v>
      </c>
      <c r="F55" s="462">
        <v>0.78228447034853443</v>
      </c>
      <c r="G55" s="463">
        <v>5.720436460080025E-3</v>
      </c>
      <c r="H55" s="461">
        <v>1</v>
      </c>
      <c r="I55" s="462">
        <v>1</v>
      </c>
      <c r="J55" s="439">
        <v>0</v>
      </c>
      <c r="K55" s="464"/>
      <c r="M55" s="461">
        <v>0.2110466335516567</v>
      </c>
      <c r="N55" s="462">
        <v>0.2162245805952456</v>
      </c>
      <c r="O55" s="463">
        <v>-2.3947078677801104E-2</v>
      </c>
      <c r="P55" s="461">
        <v>0.78895336644834335</v>
      </c>
      <c r="Q55" s="462">
        <v>0.78377541940475437</v>
      </c>
      <c r="R55" s="463">
        <v>6.6064167303452326E-3</v>
      </c>
      <c r="S55" s="461">
        <v>1</v>
      </c>
      <c r="T55" s="462">
        <v>1</v>
      </c>
      <c r="U55" s="439">
        <v>0</v>
      </c>
      <c r="V55" s="464"/>
      <c r="X55" s="461">
        <v>0.20536302945436971</v>
      </c>
      <c r="Y55" s="462">
        <v>0.21064734332882865</v>
      </c>
      <c r="Z55" s="463">
        <v>-2.5086069403732814E-2</v>
      </c>
      <c r="AA55" s="461">
        <v>0.79463697054563032</v>
      </c>
      <c r="AB55" s="462">
        <v>0.78935265667117127</v>
      </c>
      <c r="AC55" s="463">
        <v>6.6944905167531932E-3</v>
      </c>
      <c r="AD55" s="461">
        <v>1</v>
      </c>
      <c r="AE55" s="462">
        <v>0.99999999999999989</v>
      </c>
      <c r="AF55" s="463">
        <v>0</v>
      </c>
      <c r="AG55" s="464"/>
      <c r="AI55" s="461">
        <v>0.19998027894567105</v>
      </c>
      <c r="AJ55" s="462">
        <v>0.20668489988966249</v>
      </c>
      <c r="AK55" s="463">
        <v>-3.2438852318532496E-2</v>
      </c>
      <c r="AL55" s="461">
        <v>0.80001972105432884</v>
      </c>
      <c r="AM55" s="462">
        <v>0.79331510011033746</v>
      </c>
      <c r="AN55" s="463">
        <v>8.4513971094952733E-3</v>
      </c>
      <c r="AO55" s="461">
        <v>0.99999999999999989</v>
      </c>
      <c r="AP55" s="462">
        <v>1</v>
      </c>
      <c r="AQ55" s="463">
        <v>-1.1102230246251565E-16</v>
      </c>
      <c r="AR55" s="464"/>
      <c r="AT55" s="583">
        <v>0.19708172301130239</v>
      </c>
      <c r="AU55" s="584">
        <v>0.20334795502320349</v>
      </c>
      <c r="AV55" s="80">
        <v>-3.0815318556737248E-2</v>
      </c>
      <c r="AW55" s="583">
        <v>0.80291827698869767</v>
      </c>
      <c r="AX55" s="584">
        <v>0.79665204497679654</v>
      </c>
      <c r="AY55" s="80">
        <v>7.8657075587920122E-3</v>
      </c>
      <c r="AZ55" s="583">
        <v>1</v>
      </c>
      <c r="BA55" s="584">
        <v>1</v>
      </c>
      <c r="BB55" s="80">
        <v>0</v>
      </c>
      <c r="BC55" s="585"/>
      <c r="BE55" s="583">
        <v>0.19261259977056119</v>
      </c>
      <c r="BF55" s="584">
        <v>0.19988932466635384</v>
      </c>
      <c r="BG55" s="80">
        <v>-3.6403769475626735E-2</v>
      </c>
      <c r="BH55" s="583">
        <v>0.80738740022943878</v>
      </c>
      <c r="BI55" s="584">
        <v>0.80011067533364622</v>
      </c>
      <c r="BJ55" s="80">
        <v>9.0946479282483228E-3</v>
      </c>
      <c r="BK55" s="583">
        <v>1</v>
      </c>
      <c r="BL55" s="584">
        <v>1</v>
      </c>
      <c r="BM55" s="80">
        <v>0</v>
      </c>
      <c r="BN55" s="585"/>
      <c r="BP55" s="583">
        <v>0.18771168040931377</v>
      </c>
      <c r="BQ55" s="584">
        <v>0.19600371539326306</v>
      </c>
      <c r="BR55" s="780">
        <v>-4.2305498991751733E-2</v>
      </c>
      <c r="BS55" s="583">
        <v>0.81228831959068615</v>
      </c>
      <c r="BT55" s="584">
        <v>0.80399628460673689</v>
      </c>
      <c r="BU55" s="781">
        <v>1.0313524008391584E-2</v>
      </c>
      <c r="BV55" s="583">
        <v>0.99999999999999989</v>
      </c>
      <c r="BW55" s="584">
        <v>1</v>
      </c>
      <c r="BX55" s="780">
        <v>-1.1102230246251565E-16</v>
      </c>
      <c r="BY55" s="585"/>
      <c r="CA55" s="583">
        <v>0.18380173811994888</v>
      </c>
      <c r="CB55" s="584">
        <v>0.1921308797789405</v>
      </c>
      <c r="CC55" s="780">
        <v>-4.3351394989576186E-2</v>
      </c>
      <c r="CD55" s="583">
        <v>0.81619826188005107</v>
      </c>
      <c r="CE55" s="584">
        <v>0.80786912022105961</v>
      </c>
      <c r="CF55" s="781">
        <v>1.0310013652597982E-2</v>
      </c>
      <c r="CG55" s="583">
        <v>1</v>
      </c>
      <c r="CH55" s="584">
        <v>1</v>
      </c>
      <c r="CI55" s="780">
        <v>0</v>
      </c>
      <c r="CJ55" s="585"/>
    </row>
    <row r="56" spans="1:88" x14ac:dyDescent="0.25">
      <c r="A56" s="225" t="s">
        <v>146</v>
      </c>
      <c r="B56" s="465">
        <v>42383830.486693069</v>
      </c>
      <c r="C56" s="466">
        <v>44061911.281236522</v>
      </c>
      <c r="D56" s="467">
        <v>-3.8084611986817118E-2</v>
      </c>
      <c r="E56" s="465">
        <v>156376847.26330692</v>
      </c>
      <c r="F56" s="466">
        <v>158321039.31385401</v>
      </c>
      <c r="G56" s="467">
        <v>-1.2280061190685809E-2</v>
      </c>
      <c r="H56" s="465">
        <v>198760677.75</v>
      </c>
      <c r="I56" s="466">
        <v>202382950.59509054</v>
      </c>
      <c r="J56" s="468">
        <v>-1.7898112634683661E-2</v>
      </c>
      <c r="K56" s="469"/>
      <c r="M56" s="465">
        <v>42966341.451904692</v>
      </c>
      <c r="N56" s="466">
        <v>44061633.711114608</v>
      </c>
      <c r="O56" s="467">
        <v>-2.4858185386204323E-2</v>
      </c>
      <c r="P56" s="465">
        <v>160620613.3780953</v>
      </c>
      <c r="Q56" s="466">
        <v>159715539.03130504</v>
      </c>
      <c r="R56" s="467">
        <v>5.6667895452104933E-3</v>
      </c>
      <c r="S56" s="465">
        <v>203586954.82999998</v>
      </c>
      <c r="T56" s="466">
        <v>203777172.74241966</v>
      </c>
      <c r="U56" s="468">
        <v>-9.3346035701513674E-4</v>
      </c>
      <c r="V56" s="469"/>
      <c r="X56" s="465">
        <v>42367334.663473964</v>
      </c>
      <c r="Y56" s="466">
        <v>46358318.926772855</v>
      </c>
      <c r="Z56" s="467">
        <v>-8.608992637552304E-2</v>
      </c>
      <c r="AA56" s="465">
        <v>163937250.81152606</v>
      </c>
      <c r="AB56" s="466">
        <v>173717178.79458091</v>
      </c>
      <c r="AC56" s="467">
        <v>-5.6297989933508652E-2</v>
      </c>
      <c r="AD56" s="465">
        <v>206304585.47500002</v>
      </c>
      <c r="AE56" s="466">
        <v>220075497.72135374</v>
      </c>
      <c r="AF56" s="467">
        <v>-6.2573582197640198E-2</v>
      </c>
      <c r="AG56" s="469"/>
      <c r="AI56" s="465">
        <v>41856843.720540538</v>
      </c>
      <c r="AJ56" s="466">
        <v>47506200.085893333</v>
      </c>
      <c r="AK56" s="467">
        <v>-0.11891829603585435</v>
      </c>
      <c r="AL56" s="465">
        <v>167448013.44445947</v>
      </c>
      <c r="AM56" s="466">
        <v>182342231.56660879</v>
      </c>
      <c r="AN56" s="467">
        <v>-8.1682767585898097E-2</v>
      </c>
      <c r="AO56" s="465">
        <v>209304857.16499999</v>
      </c>
      <c r="AP56" s="466">
        <v>229848431.65250212</v>
      </c>
      <c r="AQ56" s="467">
        <v>-8.9378789055916119E-2</v>
      </c>
      <c r="AR56" s="469"/>
      <c r="AT56" s="55">
        <v>40861483.121544451</v>
      </c>
      <c r="AU56" s="56">
        <v>48021692.668349899</v>
      </c>
      <c r="AV56" s="62">
        <v>-0.14910364772553286</v>
      </c>
      <c r="AW56" s="55">
        <v>166471203.52845556</v>
      </c>
      <c r="AX56" s="56">
        <v>188133584.44210973</v>
      </c>
      <c r="AY56" s="62">
        <v>-0.11514361445826737</v>
      </c>
      <c r="AZ56" s="55">
        <v>207332686.65000001</v>
      </c>
      <c r="BA56" s="56">
        <v>236155277.11045963</v>
      </c>
      <c r="BB56" s="62">
        <v>-0.12204931777568573</v>
      </c>
      <c r="BC56" s="586"/>
      <c r="BE56" s="55">
        <v>41948256.777010038</v>
      </c>
      <c r="BF56" s="56">
        <v>48421065.408736967</v>
      </c>
      <c r="BG56" s="62">
        <v>-0.13367753429396856</v>
      </c>
      <c r="BH56" s="55">
        <v>175837375.24798995</v>
      </c>
      <c r="BI56" s="56">
        <v>193818311.25411987</v>
      </c>
      <c r="BJ56" s="62">
        <v>-9.2772121941330332E-2</v>
      </c>
      <c r="BK56" s="55">
        <v>217785632.02500001</v>
      </c>
      <c r="BL56" s="56">
        <v>242239376.66285682</v>
      </c>
      <c r="BM56" s="62">
        <v>-0.10094867719169776</v>
      </c>
      <c r="BN56" s="586"/>
      <c r="BP56" s="782">
        <v>41588337.17805469</v>
      </c>
      <c r="BQ56" s="783">
        <v>48582140.00126496</v>
      </c>
      <c r="BR56" s="784">
        <v>-0.14395831107950718</v>
      </c>
      <c r="BS56" s="782">
        <v>179966001.3019453</v>
      </c>
      <c r="BT56" s="783">
        <v>199281222.70994413</v>
      </c>
      <c r="BU56" s="784">
        <v>-9.6924442480525785E-2</v>
      </c>
      <c r="BV56" s="782">
        <v>221554338.47999999</v>
      </c>
      <c r="BW56" s="783">
        <v>247863362.71120912</v>
      </c>
      <c r="BX56" s="784">
        <v>-0.10614325547524472</v>
      </c>
      <c r="BY56" s="785"/>
      <c r="CA56" s="782">
        <v>41284943.053294219</v>
      </c>
      <c r="CB56" s="783">
        <v>48706870.880257398</v>
      </c>
      <c r="CC56" s="784">
        <v>-0.15237948348621067</v>
      </c>
      <c r="CD56" s="782">
        <v>183331774.26170576</v>
      </c>
      <c r="CE56" s="783">
        <v>204801940.0734942</v>
      </c>
      <c r="CF56" s="784">
        <v>-0.10483380091069339</v>
      </c>
      <c r="CG56" s="782">
        <v>224616717.315</v>
      </c>
      <c r="CH56" s="783">
        <v>253508810.95375156</v>
      </c>
      <c r="CI56" s="784">
        <v>-0.11396879473361754</v>
      </c>
      <c r="CJ56" s="785"/>
    </row>
    <row r="57" spans="1:88" x14ac:dyDescent="0.25">
      <c r="A57" s="223"/>
      <c r="B57" s="227"/>
      <c r="D57" s="221"/>
      <c r="E57" s="227"/>
      <c r="G57" s="221"/>
      <c r="H57" s="223"/>
      <c r="J57" s="195"/>
      <c r="K57" s="230"/>
      <c r="M57" s="227"/>
      <c r="O57" s="221"/>
      <c r="P57" s="227"/>
      <c r="R57" s="221"/>
      <c r="S57" s="223"/>
      <c r="U57" s="195"/>
      <c r="V57" s="230"/>
      <c r="X57" s="227"/>
      <c r="Z57" s="221"/>
      <c r="AA57" s="227"/>
      <c r="AC57" s="221"/>
      <c r="AD57" s="223"/>
      <c r="AF57" s="195"/>
      <c r="AG57" s="230"/>
      <c r="AI57" s="227"/>
      <c r="AK57" s="221"/>
      <c r="AL57" s="227"/>
      <c r="AN57" s="221"/>
      <c r="AO57" s="223"/>
      <c r="AQ57" s="195"/>
      <c r="AR57" s="230"/>
      <c r="AT57" s="227"/>
      <c r="AV57" s="221"/>
      <c r="AW57" s="227"/>
      <c r="AY57" s="221"/>
      <c r="AZ57" s="223"/>
      <c r="BB57" s="195"/>
      <c r="BC57" s="230"/>
      <c r="BE57" s="227"/>
      <c r="BG57" s="221"/>
      <c r="BH57" s="227"/>
      <c r="BJ57" s="221"/>
      <c r="BK57" s="223"/>
      <c r="BM57" s="195"/>
      <c r="BN57" s="230"/>
      <c r="BP57" s="786"/>
      <c r="BR57" s="787"/>
      <c r="BS57" s="786"/>
      <c r="BU57" s="787"/>
      <c r="BV57" s="223"/>
      <c r="BX57" s="778"/>
      <c r="BY57" s="230"/>
      <c r="CA57" s="786"/>
      <c r="CC57" s="787"/>
      <c r="CD57" s="786"/>
      <c r="CF57" s="787"/>
      <c r="CG57" s="223"/>
      <c r="CI57" s="778"/>
      <c r="CJ57" s="230"/>
    </row>
    <row r="58" spans="1:88" x14ac:dyDescent="0.25">
      <c r="A58" s="199" t="s">
        <v>147</v>
      </c>
      <c r="B58" s="413"/>
      <c r="C58" s="59"/>
      <c r="D58" s="197"/>
      <c r="E58" s="413"/>
      <c r="F58" s="59"/>
      <c r="G58" s="197"/>
      <c r="H58" s="413">
        <v>198760677.75</v>
      </c>
      <c r="I58" s="70">
        <v>202382950.59509054</v>
      </c>
      <c r="J58" s="449">
        <v>-1.7898112634683661E-2</v>
      </c>
      <c r="K58" s="200"/>
      <c r="M58" s="413"/>
      <c r="N58" s="59"/>
      <c r="O58" s="197"/>
      <c r="P58" s="413"/>
      <c r="Q58" s="59"/>
      <c r="R58" s="197"/>
      <c r="S58" s="413">
        <v>203586954.82999998</v>
      </c>
      <c r="T58" s="70">
        <v>203777172.74241966</v>
      </c>
      <c r="U58" s="449">
        <v>-9.3346035701513674E-4</v>
      </c>
      <c r="V58" s="200"/>
      <c r="X58" s="413"/>
      <c r="Y58" s="59"/>
      <c r="Z58" s="197"/>
      <c r="AA58" s="413"/>
      <c r="AB58" s="59"/>
      <c r="AC58" s="197"/>
      <c r="AD58" s="413">
        <v>206304585.47500002</v>
      </c>
      <c r="AE58" s="70">
        <v>220075497.72135377</v>
      </c>
      <c r="AF58" s="449">
        <v>-6.2573582197640421E-2</v>
      </c>
      <c r="AG58" s="200"/>
      <c r="AI58" s="413"/>
      <c r="AJ58" s="59"/>
      <c r="AK58" s="197"/>
      <c r="AL58" s="413"/>
      <c r="AM58" s="59"/>
      <c r="AN58" s="197"/>
      <c r="AO58" s="413">
        <v>209304857.16500002</v>
      </c>
      <c r="AP58" s="70">
        <v>229848431.65250212</v>
      </c>
      <c r="AQ58" s="449">
        <v>-8.9378789055915897E-2</v>
      </c>
      <c r="AR58" s="200"/>
      <c r="AT58" s="167"/>
      <c r="AU58" s="59"/>
      <c r="AV58" s="197"/>
      <c r="AW58" s="167"/>
      <c r="AX58" s="59"/>
      <c r="AY58" s="197"/>
      <c r="AZ58" s="167">
        <v>207332686.65000001</v>
      </c>
      <c r="BA58" s="166">
        <v>236155277.11045963</v>
      </c>
      <c r="BB58" s="78">
        <v>-0.12204931777568573</v>
      </c>
      <c r="BC58" s="200"/>
      <c r="BE58" s="167"/>
      <c r="BF58" s="59"/>
      <c r="BG58" s="197"/>
      <c r="BH58" s="167"/>
      <c r="BI58" s="59"/>
      <c r="BJ58" s="197"/>
      <c r="BK58" s="167">
        <v>217785632.02500001</v>
      </c>
      <c r="BL58" s="166">
        <v>242239376.66285682</v>
      </c>
      <c r="BM58" s="78">
        <v>-0.10094867719169776</v>
      </c>
      <c r="BN58" s="200"/>
      <c r="BP58" s="773"/>
      <c r="BQ58" s="788"/>
      <c r="BR58" s="789"/>
      <c r="BS58" s="773"/>
      <c r="BT58" s="788"/>
      <c r="BU58" s="789"/>
      <c r="BV58" s="773">
        <v>221554338.48000002</v>
      </c>
      <c r="BW58" s="774">
        <v>247863362.71120912</v>
      </c>
      <c r="BX58" s="790">
        <v>-0.10614325547524461</v>
      </c>
      <c r="BY58" s="791"/>
      <c r="CA58" s="773"/>
      <c r="CB58" s="788"/>
      <c r="CC58" s="789"/>
      <c r="CD58" s="773"/>
      <c r="CE58" s="788"/>
      <c r="CF58" s="789"/>
      <c r="CG58" s="773">
        <v>224616717.315</v>
      </c>
      <c r="CH58" s="774">
        <v>253508810.95375156</v>
      </c>
      <c r="CI58" s="790">
        <v>-0.11396879473361754</v>
      </c>
      <c r="CJ58" s="791"/>
    </row>
    <row r="59" spans="1:88" x14ac:dyDescent="0.25">
      <c r="A59" s="199" t="s">
        <v>148</v>
      </c>
      <c r="B59" s="413"/>
      <c r="C59" s="59"/>
      <c r="D59" s="197"/>
      <c r="E59" s="413"/>
      <c r="F59" s="59"/>
      <c r="G59" s="197"/>
      <c r="H59" s="413">
        <v>215540382.29000002</v>
      </c>
      <c r="I59" s="70"/>
      <c r="J59" s="449"/>
      <c r="K59" s="200"/>
      <c r="M59" s="413"/>
      <c r="N59" s="59"/>
      <c r="O59" s="197"/>
      <c r="P59" s="413"/>
      <c r="Q59" s="59"/>
      <c r="R59" s="197"/>
      <c r="S59" s="413">
        <v>209790493.41500002</v>
      </c>
      <c r="T59" s="70"/>
      <c r="U59" s="449"/>
      <c r="V59" s="200"/>
      <c r="X59" s="413"/>
      <c r="Y59" s="59"/>
      <c r="Z59" s="197"/>
      <c r="AA59" s="413"/>
      <c r="AB59" s="59"/>
      <c r="AC59" s="197"/>
      <c r="AD59" s="413">
        <v>214460098.13</v>
      </c>
      <c r="AE59" s="70"/>
      <c r="AF59" s="449"/>
      <c r="AG59" s="200"/>
      <c r="AI59" s="413"/>
      <c r="AJ59" s="59"/>
      <c r="AK59" s="197"/>
      <c r="AL59" s="413"/>
      <c r="AM59" s="59"/>
      <c r="AN59" s="197"/>
      <c r="AO59" s="413">
        <v>219634029.03</v>
      </c>
      <c r="AP59" s="70"/>
      <c r="AQ59" s="449"/>
      <c r="AR59" s="200"/>
      <c r="AT59" s="167"/>
      <c r="AU59" s="59"/>
      <c r="AV59" s="197"/>
      <c r="AW59" s="167"/>
      <c r="AX59" s="59"/>
      <c r="AY59" s="197"/>
      <c r="AZ59" s="167">
        <v>219658367.76499999</v>
      </c>
      <c r="BA59" s="166"/>
      <c r="BB59" s="78"/>
      <c r="BC59" s="200"/>
      <c r="BE59" s="167"/>
      <c r="BF59" s="59"/>
      <c r="BG59" s="197"/>
      <c r="BH59" s="167"/>
      <c r="BI59" s="59"/>
      <c r="BJ59" s="197"/>
      <c r="BK59" s="167">
        <v>232544566.10000002</v>
      </c>
      <c r="BL59" s="166"/>
      <c r="BM59" s="78"/>
      <c r="BN59" s="200"/>
      <c r="BP59" s="773"/>
      <c r="BQ59" s="788"/>
      <c r="BR59" s="789"/>
      <c r="BS59" s="773"/>
      <c r="BT59" s="788"/>
      <c r="BU59" s="789"/>
      <c r="BV59" s="773">
        <v>238783199.30500001</v>
      </c>
      <c r="BW59" s="774"/>
      <c r="BX59" s="792"/>
      <c r="BY59" s="791"/>
      <c r="CA59" s="773"/>
      <c r="CB59" s="788"/>
      <c r="CC59" s="789"/>
      <c r="CD59" s="773"/>
      <c r="CE59" s="788"/>
      <c r="CF59" s="789"/>
      <c r="CG59" s="773">
        <v>244293114.52499998</v>
      </c>
      <c r="CH59" s="774"/>
      <c r="CI59" s="792"/>
      <c r="CJ59" s="791"/>
    </row>
    <row r="60" spans="1:88" x14ac:dyDescent="0.25">
      <c r="A60" s="470"/>
      <c r="B60" s="471"/>
      <c r="C60" s="472"/>
      <c r="D60" s="473"/>
      <c r="E60" s="472"/>
      <c r="F60" s="472"/>
      <c r="G60" s="473"/>
      <c r="H60" s="472"/>
      <c r="I60" s="472"/>
      <c r="J60" s="474"/>
      <c r="K60" s="473"/>
      <c r="N60" s="58"/>
      <c r="U60" s="195"/>
      <c r="Y60" s="58"/>
      <c r="Z60" s="195"/>
      <c r="AC60" s="195"/>
      <c r="AF60" s="195"/>
      <c r="AJ60" s="58"/>
      <c r="AQ60" s="195"/>
      <c r="AU60" s="58"/>
      <c r="BB60" s="195"/>
      <c r="BF60" s="58"/>
      <c r="BM60" s="195"/>
      <c r="BQ60" s="793"/>
      <c r="BX60" s="778"/>
      <c r="CB60" s="793"/>
      <c r="CI60" s="778"/>
    </row>
    <row r="61" spans="1:88" x14ac:dyDescent="0.25">
      <c r="A61" s="94" t="s">
        <v>449</v>
      </c>
      <c r="B61" s="258">
        <v>-1088774.4178079658</v>
      </c>
      <c r="C61" s="59">
        <v>-1151833.2524413911</v>
      </c>
      <c r="D61" s="475">
        <v>-5.4746496074642548E-2</v>
      </c>
      <c r="E61" s="258">
        <v>-3729180.6021920498</v>
      </c>
      <c r="F61" s="59">
        <v>-3950637.0111697288</v>
      </c>
      <c r="G61" s="448">
        <v>-5.605587361014186E-2</v>
      </c>
      <c r="H61" s="258">
        <v>-4817955.0200000163</v>
      </c>
      <c r="I61" s="258">
        <v>-5102470.2636111202</v>
      </c>
      <c r="J61" s="476">
        <v>-5.5760294310808312E-2</v>
      </c>
      <c r="K61" s="302"/>
      <c r="M61" s="258">
        <v>-1106026.834840002</v>
      </c>
      <c r="N61" s="59">
        <v>-951971.64870808064</v>
      </c>
      <c r="O61" s="475">
        <v>0.16182749385550443</v>
      </c>
      <c r="P61" s="258">
        <v>-4157786.4751600064</v>
      </c>
      <c r="Q61" s="59">
        <v>-4089001.5376808075</v>
      </c>
      <c r="R61" s="448">
        <v>1.6821939743806524E-2</v>
      </c>
      <c r="S61" s="258">
        <v>-5263813.310000008</v>
      </c>
      <c r="T61" s="59">
        <v>-5040973.1863888875</v>
      </c>
      <c r="U61" s="476">
        <v>4.4205774435144951E-2</v>
      </c>
      <c r="V61" s="302"/>
      <c r="X61" s="258">
        <v>-1000224.8020000083</v>
      </c>
      <c r="Y61" s="59">
        <v>-1062689.0946336011</v>
      </c>
      <c r="Z61" s="475">
        <v>-5.8779461414469103E-2</v>
      </c>
      <c r="AA61" s="258">
        <v>-3635830.4580000099</v>
      </c>
      <c r="AB61" s="59">
        <v>-4436094.71876729</v>
      </c>
      <c r="AC61" s="448">
        <v>-0.18039837097744815</v>
      </c>
      <c r="AD61" s="258">
        <v>-4636055.2600000184</v>
      </c>
      <c r="AE61" s="59">
        <v>-5498783.8134008907</v>
      </c>
      <c r="AF61" s="449">
        <v>-0.15689443023716387</v>
      </c>
      <c r="AG61" s="302"/>
      <c r="AI61" s="258">
        <v>-989834.40973688825</v>
      </c>
      <c r="AJ61" s="59">
        <v>-974689.09463360044</v>
      </c>
      <c r="AK61" s="448">
        <v>1.5538611426632487E-2</v>
      </c>
      <c r="AL61" s="258">
        <v>-4316176.6016631164</v>
      </c>
      <c r="AM61" s="59">
        <v>-4124094.7187672895</v>
      </c>
      <c r="AN61" s="448">
        <v>4.6575526508091603E-2</v>
      </c>
      <c r="AO61" s="258">
        <v>-5306011.0114000048</v>
      </c>
      <c r="AP61" s="59">
        <v>-5098783.8134008897</v>
      </c>
      <c r="AQ61" s="449">
        <v>4.0642475849725246E-2</v>
      </c>
      <c r="AR61" s="302"/>
      <c r="AT61" s="258">
        <v>-973320.37926003011</v>
      </c>
      <c r="AU61" s="59">
        <v>-974689.09463360044</v>
      </c>
      <c r="AV61" s="90">
        <v>-1.4042584256930279E-3</v>
      </c>
      <c r="AW61" s="258">
        <v>-4244167.1107399706</v>
      </c>
      <c r="AX61" s="59">
        <v>-4124094.7187672895</v>
      </c>
      <c r="AY61" s="90">
        <v>2.9114848266281079E-2</v>
      </c>
      <c r="AZ61" s="258">
        <v>-5217487.49</v>
      </c>
      <c r="BA61" s="59">
        <v>-5098783.8134008897</v>
      </c>
      <c r="BB61" s="78">
        <v>2.3280782426414515E-2</v>
      </c>
      <c r="BC61" s="302"/>
      <c r="BE61" s="258">
        <v>-923210.49495534576</v>
      </c>
      <c r="BF61" s="59">
        <v>-998843.13137541886</v>
      </c>
      <c r="BG61" s="90">
        <v>-7.5720234783940521E-2</v>
      </c>
      <c r="BH61" s="258">
        <v>-4032126.2450446468</v>
      </c>
      <c r="BI61" s="59">
        <v>-4255111.2819254715</v>
      </c>
      <c r="BJ61" s="90">
        <v>-5.2404043538885392E-2</v>
      </c>
      <c r="BK61" s="258">
        <v>-4955336.7399999928</v>
      </c>
      <c r="BL61" s="59">
        <v>-5253954.4133008905</v>
      </c>
      <c r="BM61" s="78">
        <v>-5.6836746155413564E-2</v>
      </c>
      <c r="BN61" s="302"/>
      <c r="BP61" s="794">
        <v>-984020.68342125649</v>
      </c>
      <c r="BQ61" s="795">
        <v>-1000511.3848420854</v>
      </c>
      <c r="BR61" s="775">
        <v>-1.6482272636439532E-2</v>
      </c>
      <c r="BS61" s="794">
        <v>-4290825.8265787531</v>
      </c>
      <c r="BT61" s="795">
        <v>-4263099.7516421378</v>
      </c>
      <c r="BU61" s="776">
        <v>6.5037359085804436E-3</v>
      </c>
      <c r="BV61" s="794">
        <v>-5274846.51000001</v>
      </c>
      <c r="BW61" s="795">
        <v>-5263611.1364842234</v>
      </c>
      <c r="BX61" s="792">
        <v>2.1345371503433963E-3</v>
      </c>
      <c r="BY61" s="302"/>
      <c r="CA61" s="794">
        <v>-990154.16300959291</v>
      </c>
      <c r="CB61" s="795">
        <v>-1000511.3848420854</v>
      </c>
      <c r="CC61" s="775">
        <v>-1.0351928013420109E-2</v>
      </c>
      <c r="CD61" s="794">
        <v>-4317570.8869904168</v>
      </c>
      <c r="CE61" s="795">
        <v>-4263099.7516421378</v>
      </c>
      <c r="CF61" s="776">
        <v>1.2777354160501853E-2</v>
      </c>
      <c r="CG61" s="794">
        <v>-5307725.0500000101</v>
      </c>
      <c r="CH61" s="795">
        <v>-5263611.1364842234</v>
      </c>
      <c r="CI61" s="792">
        <v>8.3809218371044825E-3</v>
      </c>
      <c r="CJ61" s="302"/>
    </row>
    <row r="62" spans="1:88" x14ac:dyDescent="0.25">
      <c r="H62" s="115"/>
      <c r="I62" s="260"/>
      <c r="S62" s="115"/>
      <c r="T62" s="260"/>
      <c r="Z62" s="195"/>
      <c r="AC62" s="195"/>
      <c r="AD62" s="115"/>
      <c r="AE62" s="260"/>
      <c r="AF62" s="195"/>
      <c r="AO62" s="115"/>
      <c r="AP62" s="260"/>
      <c r="AZ62" s="115"/>
      <c r="BA62" s="260"/>
      <c r="BK62" s="115"/>
      <c r="BL62" s="260"/>
      <c r="BV62" s="115"/>
      <c r="BW62" s="796"/>
      <c r="CG62" s="115"/>
      <c r="CH62" s="796"/>
    </row>
    <row r="63" spans="1:88" x14ac:dyDescent="0.25">
      <c r="A63" s="94" t="s">
        <v>450</v>
      </c>
      <c r="B63" s="477">
        <v>-7.425006067472803E-2</v>
      </c>
      <c r="C63" s="478">
        <v>-0.20636727696878829</v>
      </c>
      <c r="D63" s="479"/>
      <c r="E63" s="477">
        <v>-0.38092840254128379</v>
      </c>
      <c r="F63" s="478">
        <v>-0.28137724119102692</v>
      </c>
      <c r="G63" s="479"/>
      <c r="H63" s="477">
        <v>-0.29261789565068125</v>
      </c>
      <c r="I63" s="478">
        <v>-0.26060327683237372</v>
      </c>
      <c r="J63" s="480"/>
      <c r="K63" s="481"/>
      <c r="M63" s="477">
        <v>-0.33266849826745326</v>
      </c>
      <c r="N63" s="478">
        <v>-0.26</v>
      </c>
      <c r="O63" s="479"/>
      <c r="P63" s="477">
        <v>-0.33266849826745326</v>
      </c>
      <c r="Q63" s="478">
        <v>-0.26</v>
      </c>
      <c r="R63" s="479"/>
      <c r="S63" s="477">
        <v>-0.33266849826745304</v>
      </c>
      <c r="T63" s="478">
        <v>-0.26000000000000006</v>
      </c>
      <c r="U63" s="480"/>
      <c r="V63" s="481"/>
      <c r="X63" s="477">
        <v>-0.33842555830550836</v>
      </c>
      <c r="Y63" s="478">
        <v>-0.39311847136684169</v>
      </c>
      <c r="Z63" s="479"/>
      <c r="AA63" s="477">
        <v>-0.33842555830550847</v>
      </c>
      <c r="AB63" s="478">
        <v>-0.2373326648838289</v>
      </c>
      <c r="AC63" s="479"/>
      <c r="AD63" s="477">
        <v>-0.33842555830550841</v>
      </c>
      <c r="AE63" s="478">
        <v>-0.25999999999999801</v>
      </c>
      <c r="AF63" s="480"/>
      <c r="AG63" s="481"/>
      <c r="AI63" s="477">
        <v>-8.849925901226198E-2</v>
      </c>
      <c r="AJ63" s="478">
        <v>-0.38629847927244942</v>
      </c>
      <c r="AK63" s="479"/>
      <c r="AL63" s="477">
        <v>-8.849925901226198E-2</v>
      </c>
      <c r="AM63" s="478">
        <v>-0.23804829414479389</v>
      </c>
      <c r="AN63" s="479"/>
      <c r="AO63" s="477">
        <v>-8.8499259012262008E-2</v>
      </c>
      <c r="AP63" s="478">
        <v>-0.25999999999999907</v>
      </c>
      <c r="AQ63" s="480"/>
      <c r="AR63" s="481"/>
      <c r="AT63" s="587">
        <v>-0.34201183123540185</v>
      </c>
      <c r="AU63" s="588">
        <v>-0.28870310471289351</v>
      </c>
      <c r="AV63" s="589"/>
      <c r="AW63" s="587">
        <v>-0.34201183123540185</v>
      </c>
      <c r="AX63" s="588">
        <v>-0.25290801049249706</v>
      </c>
      <c r="AY63" s="589"/>
      <c r="AZ63" s="587">
        <v>-0.3420118312354018</v>
      </c>
      <c r="BA63" s="588">
        <v>-0.25999999999999734</v>
      </c>
      <c r="BB63" s="590"/>
      <c r="BC63" s="591"/>
      <c r="BE63" s="587">
        <v>-0.27193250001639924</v>
      </c>
      <c r="BF63" s="588">
        <v>-0.52893833019117786</v>
      </c>
      <c r="BG63" s="589"/>
      <c r="BH63" s="587">
        <v>-0.27192580244791248</v>
      </c>
      <c r="BI63" s="588">
        <v>-0.22739024263578198</v>
      </c>
      <c r="BJ63" s="589"/>
      <c r="BK63" s="587">
        <v>-0.27192647789284097</v>
      </c>
      <c r="BL63" s="588">
        <v>-0.25999999999999945</v>
      </c>
      <c r="BM63" s="590"/>
      <c r="BN63" s="591"/>
      <c r="BP63" s="797">
        <v>-0.31627956220446596</v>
      </c>
      <c r="BQ63" s="790">
        <v>-0.47374971751788747</v>
      </c>
      <c r="BR63" s="589"/>
      <c r="BS63" s="797">
        <v>-0.27487949183747035</v>
      </c>
      <c r="BT63" s="790">
        <v>-0.23064820037598724</v>
      </c>
      <c r="BU63" s="589"/>
      <c r="BV63" s="797">
        <v>-0.27759625671887334</v>
      </c>
      <c r="BW63" s="790">
        <v>-0.2599999999999979</v>
      </c>
      <c r="BX63" s="798"/>
      <c r="BY63" s="591"/>
      <c r="CA63" s="797">
        <v>-0.27034820674167531</v>
      </c>
      <c r="CB63" s="790">
        <v>-0.37534481128468528</v>
      </c>
      <c r="CC63" s="589"/>
      <c r="CD63" s="797">
        <v>-0.27034820674167614</v>
      </c>
      <c r="CE63" s="790">
        <v>-0.23926188650117181</v>
      </c>
      <c r="CF63" s="589"/>
      <c r="CG63" s="797">
        <v>-0.27034820674167614</v>
      </c>
      <c r="CH63" s="790">
        <v>-0.25999999999999701</v>
      </c>
      <c r="CI63" s="798"/>
      <c r="CJ63" s="591"/>
    </row>
  </sheetData>
  <mergeCells count="33">
    <mergeCell ref="CA3:CC3"/>
    <mergeCell ref="CD3:CF3"/>
    <mergeCell ref="CG3:CI3"/>
    <mergeCell ref="CA1:CJ2"/>
    <mergeCell ref="A1:A2"/>
    <mergeCell ref="AZ3:BC3"/>
    <mergeCell ref="AO3:AR3"/>
    <mergeCell ref="AD3:AG3"/>
    <mergeCell ref="S3:V3"/>
    <mergeCell ref="AT3:AV3"/>
    <mergeCell ref="AW3:AY3"/>
    <mergeCell ref="B3:D3"/>
    <mergeCell ref="E3:G3"/>
    <mergeCell ref="H3:K3"/>
    <mergeCell ref="B1:K2"/>
    <mergeCell ref="M1:V2"/>
    <mergeCell ref="X1:AG2"/>
    <mergeCell ref="AI3:AK3"/>
    <mergeCell ref="AL3:AN3"/>
    <mergeCell ref="M3:O3"/>
    <mergeCell ref="BP3:BR3"/>
    <mergeCell ref="BS3:BU3"/>
    <mergeCell ref="BV3:BX3"/>
    <mergeCell ref="BP1:BY2"/>
    <mergeCell ref="P3:R3"/>
    <mergeCell ref="X3:Z3"/>
    <mergeCell ref="AA3:AC3"/>
    <mergeCell ref="BE1:BN2"/>
    <mergeCell ref="BE3:BG3"/>
    <mergeCell ref="BH3:BJ3"/>
    <mergeCell ref="BK3:BM3"/>
    <mergeCell ref="AI1:AR2"/>
    <mergeCell ref="AT1:BC2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E45FC-DFE6-4603-B8A1-024CF44B3E64}">
  <sheetPr codeName="Planilha5"/>
  <dimension ref="A1:P78"/>
  <sheetViews>
    <sheetView showGridLines="0" zoomScale="85" zoomScaleNormal="85" workbookViewId="0">
      <selection activeCell="S19" sqref="S19"/>
    </sheetView>
  </sheetViews>
  <sheetFormatPr defaultRowHeight="15" outlineLevelRow="1" x14ac:dyDescent="0.25"/>
  <cols>
    <col min="1" max="1" width="1.140625" customWidth="1"/>
    <col min="2" max="2" width="48" bestFit="1" customWidth="1"/>
    <col min="3" max="4" width="13.140625" hidden="1" customWidth="1"/>
    <col min="5" max="5" width="0.85546875" style="195" hidden="1" customWidth="1"/>
    <col min="6" max="6" width="14.5703125" bestFit="1" customWidth="1"/>
    <col min="7" max="7" width="15.140625" bestFit="1" customWidth="1"/>
    <col min="8" max="8" width="11.5703125" style="195" customWidth="1"/>
    <col min="9" max="10" width="16.140625" bestFit="1" customWidth="1"/>
    <col min="11" max="11" width="13" style="195" customWidth="1"/>
    <col min="12" max="13" width="15.5703125" bestFit="1" customWidth="1"/>
    <col min="14" max="14" width="13.42578125" style="195" customWidth="1"/>
    <col min="15" max="15" width="15.5703125" bestFit="1" customWidth="1"/>
    <col min="16" max="16" width="14" bestFit="1" customWidth="1"/>
  </cols>
  <sheetData>
    <row r="1" spans="2:15" x14ac:dyDescent="0.25">
      <c r="B1" s="194" t="s">
        <v>97</v>
      </c>
      <c r="E1" s="778"/>
      <c r="F1" s="202" t="s">
        <v>205</v>
      </c>
      <c r="G1" s="196">
        <v>46053</v>
      </c>
      <c r="H1" s="848" t="s">
        <v>206</v>
      </c>
      <c r="I1" s="196">
        <v>46265</v>
      </c>
      <c r="K1" s="849" t="s">
        <v>207</v>
      </c>
      <c r="N1" s="323">
        <v>1.5</v>
      </c>
    </row>
    <row r="2" spans="2:15" x14ac:dyDescent="0.25">
      <c r="B2" s="850"/>
      <c r="C2" s="105"/>
      <c r="E2" s="778"/>
      <c r="F2" s="105"/>
      <c r="G2" s="851"/>
      <c r="H2" s="778"/>
      <c r="I2" s="105"/>
      <c r="K2" s="778"/>
      <c r="L2" s="105"/>
      <c r="N2" s="778"/>
    </row>
    <row r="3" spans="2:15" ht="14.25" customHeight="1" x14ac:dyDescent="0.25">
      <c r="B3" s="140"/>
      <c r="C3" s="822" t="s">
        <v>208</v>
      </c>
      <c r="D3" s="822"/>
      <c r="E3" s="823"/>
      <c r="F3" s="822" t="s">
        <v>98</v>
      </c>
      <c r="G3" s="822"/>
      <c r="H3" s="823"/>
      <c r="I3" s="821" t="s">
        <v>99</v>
      </c>
      <c r="J3" s="822"/>
      <c r="K3" s="823"/>
      <c r="L3" s="822" t="s">
        <v>100</v>
      </c>
      <c r="M3" s="822"/>
      <c r="N3" s="823"/>
      <c r="O3" s="204"/>
    </row>
    <row r="4" spans="2:15" x14ac:dyDescent="0.25">
      <c r="B4" s="140"/>
      <c r="C4" s="51" t="s">
        <v>101</v>
      </c>
      <c r="D4" s="51" t="s">
        <v>102</v>
      </c>
      <c r="E4" s="699" t="s">
        <v>103</v>
      </c>
      <c r="F4" s="51" t="s">
        <v>101</v>
      </c>
      <c r="G4" s="51" t="s">
        <v>102</v>
      </c>
      <c r="H4" s="699" t="s">
        <v>103</v>
      </c>
      <c r="I4" s="82" t="s">
        <v>101</v>
      </c>
      <c r="J4" s="51" t="s">
        <v>102</v>
      </c>
      <c r="K4" s="699" t="s">
        <v>103</v>
      </c>
      <c r="L4" s="129" t="s">
        <v>101</v>
      </c>
      <c r="M4" s="129" t="s">
        <v>102</v>
      </c>
      <c r="N4" s="852" t="s">
        <v>103</v>
      </c>
      <c r="O4" s="165" t="s">
        <v>104</v>
      </c>
    </row>
    <row r="5" spans="2:15" x14ac:dyDescent="0.25">
      <c r="B5" s="268" t="s">
        <v>105</v>
      </c>
      <c r="C5" s="853">
        <v>0</v>
      </c>
      <c r="D5" s="853">
        <v>0</v>
      </c>
      <c r="E5" s="746" t="s">
        <v>181</v>
      </c>
      <c r="F5" s="854">
        <v>61130864.999551073</v>
      </c>
      <c r="G5" s="855">
        <v>61341231.920058869</v>
      </c>
      <c r="H5" s="746">
        <v>-3.4294537935258829E-3</v>
      </c>
      <c r="I5" s="854">
        <v>249028780.10044894</v>
      </c>
      <c r="J5" s="855">
        <v>219802294.80688247</v>
      </c>
      <c r="K5" s="746">
        <v>0.1329671526825722</v>
      </c>
      <c r="L5" s="854">
        <v>310159645.10000008</v>
      </c>
      <c r="M5" s="855">
        <v>281143526.72694135</v>
      </c>
      <c r="N5" s="746">
        <v>0.10320749231135751</v>
      </c>
      <c r="O5" s="856">
        <v>29016118.373058736</v>
      </c>
    </row>
    <row r="6" spans="2:15" x14ac:dyDescent="0.25">
      <c r="B6" s="205" t="s">
        <v>106</v>
      </c>
      <c r="C6" s="857">
        <v>0</v>
      </c>
      <c r="D6" s="857">
        <v>0</v>
      </c>
      <c r="E6" s="781" t="s">
        <v>181</v>
      </c>
      <c r="F6" s="858">
        <v>61072126.175380006</v>
      </c>
      <c r="G6" s="858">
        <v>61241499.426441848</v>
      </c>
      <c r="H6" s="859">
        <v>-2.7656614003267466E-3</v>
      </c>
      <c r="I6" s="860">
        <v>216197376.72462001</v>
      </c>
      <c r="J6" s="858">
        <v>194126560.31549951</v>
      </c>
      <c r="K6" s="859">
        <v>0.11369292472524339</v>
      </c>
      <c r="L6" s="858">
        <v>277269502.90000004</v>
      </c>
      <c r="M6" s="858">
        <v>255368059.74194136</v>
      </c>
      <c r="N6" s="859">
        <v>8.57642227465365E-2</v>
      </c>
      <c r="O6" s="861">
        <v>21901443.158058673</v>
      </c>
    </row>
    <row r="7" spans="2:15" s="76" customFormat="1" outlineLevel="1" x14ac:dyDescent="0.25">
      <c r="B7" s="242" t="s">
        <v>107</v>
      </c>
      <c r="C7" s="862">
        <v>0</v>
      </c>
      <c r="D7" s="862">
        <v>0</v>
      </c>
      <c r="E7" s="863" t="s">
        <v>181</v>
      </c>
      <c r="F7" s="864">
        <v>46604603.180000007</v>
      </c>
      <c r="G7" s="864">
        <v>48037070.734789066</v>
      </c>
      <c r="H7" s="715">
        <v>-2.9820043830267262E-2</v>
      </c>
      <c r="I7" s="865">
        <v>159749118.33000001</v>
      </c>
      <c r="J7" s="864">
        <v>155449553.43191162</v>
      </c>
      <c r="K7" s="716">
        <v>2.76589080069094E-2</v>
      </c>
      <c r="L7" s="864">
        <v>206353721.51000002</v>
      </c>
      <c r="M7" s="864">
        <v>203486624.16670069</v>
      </c>
      <c r="N7" s="716">
        <v>1.4089856544823975E-2</v>
      </c>
      <c r="O7" s="866">
        <v>2867097.3432993293</v>
      </c>
    </row>
    <row r="8" spans="2:15" s="76" customFormat="1" outlineLevel="1" x14ac:dyDescent="0.25">
      <c r="B8" s="242" t="s">
        <v>108</v>
      </c>
      <c r="C8" s="862">
        <v>0</v>
      </c>
      <c r="D8" s="862">
        <v>0</v>
      </c>
      <c r="E8" s="863" t="s">
        <v>181</v>
      </c>
      <c r="F8" s="864">
        <v>0</v>
      </c>
      <c r="G8" s="864">
        <v>0</v>
      </c>
      <c r="H8" s="716" t="s">
        <v>181</v>
      </c>
      <c r="I8" s="865">
        <v>52508799.180000007</v>
      </c>
      <c r="J8" s="864">
        <v>35288032.41697377</v>
      </c>
      <c r="K8" s="716">
        <v>0.48800586441149774</v>
      </c>
      <c r="L8" s="864">
        <v>52508799.180000007</v>
      </c>
      <c r="M8" s="864">
        <v>35288032.41697377</v>
      </c>
      <c r="N8" s="716">
        <v>0.48800586441149774</v>
      </c>
      <c r="O8" s="866">
        <v>17220766.763026237</v>
      </c>
    </row>
    <row r="9" spans="2:15" s="76" customFormat="1" outlineLevel="1" x14ac:dyDescent="0.25">
      <c r="B9" s="242" t="s">
        <v>109</v>
      </c>
      <c r="C9" s="862">
        <v>0</v>
      </c>
      <c r="D9" s="862">
        <v>0</v>
      </c>
      <c r="E9" s="863" t="s">
        <v>181</v>
      </c>
      <c r="F9" s="864">
        <v>0</v>
      </c>
      <c r="G9" s="864">
        <v>0</v>
      </c>
      <c r="H9" s="716" t="s">
        <v>181</v>
      </c>
      <c r="I9" s="865">
        <v>3435925.8999999994</v>
      </c>
      <c r="J9" s="864">
        <v>3057354.7219332638</v>
      </c>
      <c r="K9" s="716">
        <v>0.12382311262441692</v>
      </c>
      <c r="L9" s="864">
        <v>3435925.8999999994</v>
      </c>
      <c r="M9" s="864">
        <v>3057354.7219332638</v>
      </c>
      <c r="N9" s="716">
        <v>0.12382311262441692</v>
      </c>
      <c r="O9" s="866">
        <v>378571.17806673562</v>
      </c>
    </row>
    <row r="10" spans="2:15" s="76" customFormat="1" hidden="1" outlineLevel="1" x14ac:dyDescent="0.25">
      <c r="B10" s="242"/>
      <c r="C10" s="862"/>
      <c r="D10" s="862"/>
      <c r="E10" s="863"/>
      <c r="F10" s="864"/>
      <c r="G10" s="864"/>
      <c r="H10" s="716"/>
      <c r="I10" s="865"/>
      <c r="J10" s="864"/>
      <c r="K10" s="716"/>
      <c r="L10" s="864"/>
      <c r="M10" s="864"/>
      <c r="N10" s="716"/>
      <c r="O10" s="866"/>
    </row>
    <row r="11" spans="2:15" s="76" customFormat="1" outlineLevel="1" x14ac:dyDescent="0.25">
      <c r="B11" s="242" t="s">
        <v>110</v>
      </c>
      <c r="C11" s="867">
        <v>0</v>
      </c>
      <c r="D11" s="867">
        <v>0</v>
      </c>
      <c r="E11" s="723" t="s">
        <v>181</v>
      </c>
      <c r="F11" s="864">
        <v>14467522.995380001</v>
      </c>
      <c r="G11" s="864">
        <v>13204428.691652786</v>
      </c>
      <c r="H11" s="716">
        <v>9.5656868859891109E-2</v>
      </c>
      <c r="I11" s="865">
        <v>503533.31461999996</v>
      </c>
      <c r="J11" s="864">
        <v>331619.74468085117</v>
      </c>
      <c r="K11" s="716">
        <v>0.51840571225515353</v>
      </c>
      <c r="L11" s="864">
        <v>14971056.310000001</v>
      </c>
      <c r="M11" s="864">
        <v>13536048.436333638</v>
      </c>
      <c r="N11" s="716">
        <v>0.10601379571119862</v>
      </c>
      <c r="O11" s="866">
        <v>1435007.8736663628</v>
      </c>
    </row>
    <row r="12" spans="2:15" ht="15.75" customHeight="1" x14ac:dyDescent="0.25">
      <c r="B12" s="206" t="s">
        <v>111</v>
      </c>
      <c r="C12" s="867">
        <v>0</v>
      </c>
      <c r="D12" s="867">
        <v>0</v>
      </c>
      <c r="E12" s="723" t="s">
        <v>181</v>
      </c>
      <c r="F12" s="864">
        <v>0</v>
      </c>
      <c r="G12" s="864">
        <v>0</v>
      </c>
      <c r="H12" s="716" t="s">
        <v>181</v>
      </c>
      <c r="I12" s="865">
        <v>15698583.100000005</v>
      </c>
      <c r="J12" s="864">
        <v>13957800</v>
      </c>
      <c r="K12" s="716">
        <v>0.12471758443307723</v>
      </c>
      <c r="L12" s="864">
        <v>15698583.100000005</v>
      </c>
      <c r="M12" s="864">
        <v>13957800</v>
      </c>
      <c r="N12" s="716">
        <v>0.12471758443307723</v>
      </c>
      <c r="O12" s="866">
        <v>1740783.1000000052</v>
      </c>
    </row>
    <row r="13" spans="2:15" x14ac:dyDescent="0.25">
      <c r="B13" s="206" t="s">
        <v>112</v>
      </c>
      <c r="C13" s="867">
        <v>0</v>
      </c>
      <c r="D13" s="867">
        <v>0</v>
      </c>
      <c r="E13" s="723" t="s">
        <v>181</v>
      </c>
      <c r="F13" s="864">
        <v>58738.824171063825</v>
      </c>
      <c r="G13" s="864">
        <v>99732.49361702126</v>
      </c>
      <c r="H13" s="715">
        <v>-0.41103624264500571</v>
      </c>
      <c r="I13" s="865">
        <v>96386.155828936171</v>
      </c>
      <c r="J13" s="864">
        <v>134638.86638297874</v>
      </c>
      <c r="K13" s="715">
        <v>-0.28411343307981485</v>
      </c>
      <c r="L13" s="864">
        <v>155124.97999999998</v>
      </c>
      <c r="M13" s="864">
        <v>234371.36</v>
      </c>
      <c r="N13" s="715">
        <v>-0.33812313927776849</v>
      </c>
      <c r="O13" s="868">
        <v>-79246.38</v>
      </c>
    </row>
    <row r="14" spans="2:15" hidden="1" x14ac:dyDescent="0.25">
      <c r="B14" s="206" t="s">
        <v>113</v>
      </c>
      <c r="C14" s="867">
        <v>0</v>
      </c>
      <c r="D14" s="867">
        <v>0</v>
      </c>
      <c r="E14" s="723" t="s">
        <v>181</v>
      </c>
      <c r="F14" s="864">
        <v>0</v>
      </c>
      <c r="G14" s="864">
        <v>0</v>
      </c>
      <c r="H14" s="716" t="s">
        <v>181</v>
      </c>
      <c r="I14" s="865">
        <v>0</v>
      </c>
      <c r="J14" s="864">
        <v>0</v>
      </c>
      <c r="K14" s="716" t="s">
        <v>181</v>
      </c>
      <c r="L14" s="864">
        <v>0</v>
      </c>
      <c r="M14" s="864">
        <v>0</v>
      </c>
      <c r="N14" s="716" t="s">
        <v>181</v>
      </c>
      <c r="O14" s="866">
        <v>0</v>
      </c>
    </row>
    <row r="15" spans="2:15" ht="17.25" customHeight="1" x14ac:dyDescent="0.25">
      <c r="B15" s="206" t="s">
        <v>155</v>
      </c>
      <c r="C15" s="867">
        <v>0</v>
      </c>
      <c r="D15" s="867">
        <v>0</v>
      </c>
      <c r="E15" s="723" t="s">
        <v>181</v>
      </c>
      <c r="F15" s="864">
        <v>0</v>
      </c>
      <c r="G15" s="864">
        <v>0</v>
      </c>
      <c r="H15" s="716" t="s">
        <v>181</v>
      </c>
      <c r="I15" s="865">
        <v>2629523.9500000007</v>
      </c>
      <c r="J15" s="864">
        <v>2343577.5374999996</v>
      </c>
      <c r="K15" s="716">
        <v>0.12201278085513367</v>
      </c>
      <c r="L15" s="864">
        <v>2629523.9500000007</v>
      </c>
      <c r="M15" s="864">
        <v>2343577.5374999996</v>
      </c>
      <c r="N15" s="716">
        <v>0.12201278085513367</v>
      </c>
      <c r="O15" s="866">
        <v>285946.41250000102</v>
      </c>
    </row>
    <row r="16" spans="2:15" hidden="1" outlineLevel="1" x14ac:dyDescent="0.25">
      <c r="B16" s="244" t="s">
        <v>114</v>
      </c>
      <c r="C16" s="862">
        <v>0</v>
      </c>
      <c r="D16" s="862">
        <v>0</v>
      </c>
      <c r="E16" s="863" t="s">
        <v>181</v>
      </c>
      <c r="F16" s="864">
        <v>0</v>
      </c>
      <c r="G16" s="864">
        <v>0</v>
      </c>
      <c r="H16" s="716" t="s">
        <v>181</v>
      </c>
      <c r="I16" s="865">
        <v>0</v>
      </c>
      <c r="J16" s="864">
        <v>0</v>
      </c>
      <c r="K16" s="716" t="s">
        <v>181</v>
      </c>
      <c r="L16" s="864">
        <v>0</v>
      </c>
      <c r="M16" s="864">
        <v>0</v>
      </c>
      <c r="N16" s="716" t="s">
        <v>181</v>
      </c>
      <c r="O16" s="866">
        <v>0</v>
      </c>
    </row>
    <row r="17" spans="2:15" hidden="1" outlineLevel="1" x14ac:dyDescent="0.25">
      <c r="B17" s="244" t="s">
        <v>115</v>
      </c>
      <c r="C17" s="862">
        <v>0</v>
      </c>
      <c r="D17" s="862">
        <v>0</v>
      </c>
      <c r="E17" s="863" t="s">
        <v>181</v>
      </c>
      <c r="F17" s="864">
        <v>0</v>
      </c>
      <c r="G17" s="864">
        <v>0</v>
      </c>
      <c r="H17" s="716" t="s">
        <v>181</v>
      </c>
      <c r="I17" s="865">
        <v>0</v>
      </c>
      <c r="J17" s="864">
        <v>0</v>
      </c>
      <c r="K17" s="716" t="s">
        <v>181</v>
      </c>
      <c r="L17" s="864">
        <v>0</v>
      </c>
      <c r="M17" s="864">
        <v>0</v>
      </c>
      <c r="N17" s="716" t="s">
        <v>181</v>
      </c>
      <c r="O17" s="866">
        <v>0</v>
      </c>
    </row>
    <row r="18" spans="2:15" hidden="1" outlineLevel="1" x14ac:dyDescent="0.25">
      <c r="B18" s="244" t="s">
        <v>116</v>
      </c>
      <c r="C18" s="862">
        <v>0</v>
      </c>
      <c r="D18" s="862">
        <v>0</v>
      </c>
      <c r="E18" s="863" t="s">
        <v>181</v>
      </c>
      <c r="F18" s="864">
        <v>0</v>
      </c>
      <c r="G18" s="864">
        <v>0</v>
      </c>
      <c r="H18" s="716" t="s">
        <v>181</v>
      </c>
      <c r="I18" s="865">
        <v>0</v>
      </c>
      <c r="J18" s="864">
        <v>0</v>
      </c>
      <c r="K18" s="716" t="s">
        <v>181</v>
      </c>
      <c r="L18" s="864">
        <v>0</v>
      </c>
      <c r="M18" s="864">
        <v>0</v>
      </c>
      <c r="N18" s="716" t="s">
        <v>181</v>
      </c>
      <c r="O18" s="866">
        <v>0</v>
      </c>
    </row>
    <row r="19" spans="2:15" collapsed="1" x14ac:dyDescent="0.25">
      <c r="B19" s="206" t="s">
        <v>565</v>
      </c>
      <c r="C19" s="862"/>
      <c r="D19" s="862"/>
      <c r="E19" s="863"/>
      <c r="F19" s="864">
        <v>0</v>
      </c>
      <c r="G19" s="864">
        <v>0</v>
      </c>
      <c r="H19" s="716" t="s">
        <v>181</v>
      </c>
      <c r="I19" s="864">
        <v>14406910.169999998</v>
      </c>
      <c r="J19" s="864">
        <v>9239718.0874999985</v>
      </c>
      <c r="K19" s="716">
        <v>0.55923698467493965</v>
      </c>
      <c r="L19" s="864">
        <v>14406910.169999998</v>
      </c>
      <c r="M19" s="864">
        <v>9239718.0874999985</v>
      </c>
      <c r="N19" s="716">
        <v>0.55923698467493965</v>
      </c>
      <c r="O19" s="866">
        <v>5167192.0824999996</v>
      </c>
    </row>
    <row r="20" spans="2:15" hidden="1" outlineLevel="1" x14ac:dyDescent="0.25">
      <c r="B20" s="206" t="s">
        <v>10</v>
      </c>
      <c r="C20" s="867">
        <v>0</v>
      </c>
      <c r="D20" s="867">
        <v>0</v>
      </c>
      <c r="E20" s="723" t="s">
        <v>181</v>
      </c>
      <c r="F20" s="869">
        <v>0</v>
      </c>
      <c r="G20" s="869">
        <v>0</v>
      </c>
      <c r="H20" s="723" t="s">
        <v>181</v>
      </c>
      <c r="I20" s="870">
        <v>7864687.8300000001</v>
      </c>
      <c r="J20" s="869">
        <v>7276784.3799999999</v>
      </c>
      <c r="K20" s="723">
        <v>8.079165456871773E-2</v>
      </c>
      <c r="L20" s="869">
        <v>7864687.8300000001</v>
      </c>
      <c r="M20" s="869">
        <v>7276784.3799999999</v>
      </c>
      <c r="N20" s="723">
        <v>8.079165456871773E-2</v>
      </c>
      <c r="O20" s="871">
        <v>587903.45000000019</v>
      </c>
    </row>
    <row r="21" spans="2:15" hidden="1" outlineLevel="1" collapsed="1" x14ac:dyDescent="0.25">
      <c r="B21" s="206" t="s">
        <v>117</v>
      </c>
      <c r="C21" s="867">
        <v>0</v>
      </c>
      <c r="D21" s="867">
        <v>0</v>
      </c>
      <c r="E21" s="723" t="s">
        <v>181</v>
      </c>
      <c r="F21" s="869">
        <v>0</v>
      </c>
      <c r="G21" s="869">
        <v>0</v>
      </c>
      <c r="H21" s="723" t="s">
        <v>181</v>
      </c>
      <c r="I21" s="870">
        <v>625046.53999999771</v>
      </c>
      <c r="J21" s="869">
        <v>64560.134999999558</v>
      </c>
      <c r="K21" s="723">
        <v>8.6816176112395365</v>
      </c>
      <c r="L21" s="869">
        <v>625046.53999999771</v>
      </c>
      <c r="M21" s="869">
        <v>64560.134999999558</v>
      </c>
      <c r="N21" s="723">
        <v>8.6816176112395365</v>
      </c>
      <c r="O21" s="871">
        <v>560486.40499999817</v>
      </c>
    </row>
    <row r="22" spans="2:15" hidden="1" outlineLevel="1" collapsed="1" x14ac:dyDescent="0.25">
      <c r="B22" s="206" t="s">
        <v>264</v>
      </c>
      <c r="C22" s="867"/>
      <c r="D22" s="867"/>
      <c r="E22" s="723"/>
      <c r="F22" s="869">
        <v>0</v>
      </c>
      <c r="G22" s="869">
        <v>0</v>
      </c>
      <c r="H22" s="723" t="s">
        <v>181</v>
      </c>
      <c r="I22" s="872">
        <v>-101097.53000000001</v>
      </c>
      <c r="J22" s="869">
        <v>340278.17</v>
      </c>
      <c r="K22" s="715">
        <v>-1.2971026028498978</v>
      </c>
      <c r="L22" s="873">
        <v>-101097.53000000001</v>
      </c>
      <c r="M22" s="869">
        <v>340278.17</v>
      </c>
      <c r="N22" s="715">
        <v>-1.2971026028498978</v>
      </c>
      <c r="O22" s="868">
        <v>-441375.7</v>
      </c>
    </row>
    <row r="23" spans="2:15" hidden="1" outlineLevel="1" collapsed="1" x14ac:dyDescent="0.25">
      <c r="B23" s="206" t="s">
        <v>174</v>
      </c>
      <c r="C23" s="867">
        <v>0</v>
      </c>
      <c r="D23" s="867">
        <v>0</v>
      </c>
      <c r="E23" s="723" t="s">
        <v>181</v>
      </c>
      <c r="F23" s="869">
        <v>0</v>
      </c>
      <c r="G23" s="869">
        <v>0</v>
      </c>
      <c r="H23" s="723" t="s">
        <v>181</v>
      </c>
      <c r="I23" s="870">
        <v>6018273.3300000001</v>
      </c>
      <c r="J23" s="869">
        <v>1558095.4024999999</v>
      </c>
      <c r="K23" s="723">
        <v>2.8625833311256437</v>
      </c>
      <c r="L23" s="869">
        <v>6018273.3300000001</v>
      </c>
      <c r="M23" s="869">
        <v>1558095.4024999999</v>
      </c>
      <c r="N23" s="723">
        <v>2.8625833311256437</v>
      </c>
      <c r="O23" s="871">
        <v>4460177.9275000002</v>
      </c>
    </row>
    <row r="24" spans="2:15" collapsed="1" x14ac:dyDescent="0.25">
      <c r="B24" s="270" t="s">
        <v>118</v>
      </c>
      <c r="C24" s="874">
        <v>0</v>
      </c>
      <c r="D24" s="874">
        <v>0</v>
      </c>
      <c r="E24" s="746" t="s">
        <v>181</v>
      </c>
      <c r="F24" s="875">
        <v>-36197985.284475319</v>
      </c>
      <c r="G24" s="875">
        <v>-35595893.388007872</v>
      </c>
      <c r="H24" s="876">
        <v>1.691464489750083E-2</v>
      </c>
      <c r="I24" s="877">
        <v>-122435265.30552466</v>
      </c>
      <c r="J24" s="875">
        <v>-115735483.87104037</v>
      </c>
      <c r="K24" s="876">
        <v>5.7888740863170307E-2</v>
      </c>
      <c r="L24" s="875">
        <v>-158633250.58999994</v>
      </c>
      <c r="M24" s="875">
        <v>-151331377.25904822</v>
      </c>
      <c r="N24" s="876">
        <v>4.8250887973169121E-2</v>
      </c>
      <c r="O24" s="878">
        <v>7301873.3309517205</v>
      </c>
    </row>
    <row r="25" spans="2:15" x14ac:dyDescent="0.25">
      <c r="B25" s="205" t="s">
        <v>149</v>
      </c>
      <c r="C25" s="879">
        <v>0</v>
      </c>
      <c r="D25" s="879">
        <v>0</v>
      </c>
      <c r="E25" s="880" t="s">
        <v>181</v>
      </c>
      <c r="F25" s="881">
        <v>-36197985.284475319</v>
      </c>
      <c r="G25" s="881">
        <v>-35595893.388007872</v>
      </c>
      <c r="H25" s="882">
        <v>1.691464489750083E-2</v>
      </c>
      <c r="I25" s="883">
        <v>-122435265.30552466</v>
      </c>
      <c r="J25" s="881">
        <v>-115735483.87104037</v>
      </c>
      <c r="K25" s="882">
        <v>5.7888740863170307E-2</v>
      </c>
      <c r="L25" s="883">
        <v>-158633250.58999994</v>
      </c>
      <c r="M25" s="881">
        <v>-151331377.25904822</v>
      </c>
      <c r="N25" s="882">
        <v>4.8250887973169121E-2</v>
      </c>
      <c r="O25" s="884">
        <v>7301873.3309517205</v>
      </c>
    </row>
    <row r="26" spans="2:15" s="76" customFormat="1" outlineLevel="1" x14ac:dyDescent="0.25">
      <c r="B26" s="242" t="s">
        <v>120</v>
      </c>
      <c r="C26" s="885">
        <v>0</v>
      </c>
      <c r="D26" s="885">
        <v>0</v>
      </c>
      <c r="E26" s="886" t="s">
        <v>181</v>
      </c>
      <c r="F26" s="864">
        <v>0</v>
      </c>
      <c r="G26" s="864">
        <v>0</v>
      </c>
      <c r="H26" s="887" t="s">
        <v>181</v>
      </c>
      <c r="I26" s="872">
        <v>-39760954.130000003</v>
      </c>
      <c r="J26" s="873">
        <v>-42264571.613377489</v>
      </c>
      <c r="K26" s="882">
        <v>-5.9236788350294001E-2</v>
      </c>
      <c r="L26" s="873">
        <v>-39760954.130000003</v>
      </c>
      <c r="M26" s="873">
        <v>-42264571.613377489</v>
      </c>
      <c r="N26" s="882">
        <v>-5.9236788350294001E-2</v>
      </c>
      <c r="O26" s="888">
        <v>-2503617.4833774865</v>
      </c>
    </row>
    <row r="27" spans="2:15" s="76" customFormat="1" outlineLevel="1" x14ac:dyDescent="0.25">
      <c r="B27" s="242" t="s">
        <v>121</v>
      </c>
      <c r="C27" s="885">
        <v>0</v>
      </c>
      <c r="D27" s="885">
        <v>0</v>
      </c>
      <c r="E27" s="886" t="s">
        <v>181</v>
      </c>
      <c r="F27" s="873">
        <v>-42904055.504212521</v>
      </c>
      <c r="G27" s="873">
        <v>-41486606.636799105</v>
      </c>
      <c r="H27" s="882">
        <v>3.4166420980696E-2</v>
      </c>
      <c r="I27" s="872">
        <v>-102946157.31578745</v>
      </c>
      <c r="J27" s="873">
        <v>-90982640.432875514</v>
      </c>
      <c r="K27" s="882">
        <v>0.13149230255345556</v>
      </c>
      <c r="L27" s="873">
        <v>-145850212.81999996</v>
      </c>
      <c r="M27" s="873">
        <v>-132469247.06967461</v>
      </c>
      <c r="N27" s="882">
        <v>0.10101186536741902</v>
      </c>
      <c r="O27" s="888">
        <v>13380965.750325352</v>
      </c>
    </row>
    <row r="28" spans="2:15" s="76" customFormat="1" outlineLevel="1" x14ac:dyDescent="0.25">
      <c r="B28" s="242" t="s">
        <v>122</v>
      </c>
      <c r="C28" s="885">
        <v>0</v>
      </c>
      <c r="D28" s="885">
        <v>0</v>
      </c>
      <c r="E28" s="886" t="s">
        <v>181</v>
      </c>
      <c r="F28" s="864">
        <v>5043028.8197372034</v>
      </c>
      <c r="G28" s="864">
        <v>3935987.3276453125</v>
      </c>
      <c r="H28" s="739">
        <v>0.28126144724001789</v>
      </c>
      <c r="I28" s="865">
        <v>19259842.170262795</v>
      </c>
      <c r="J28" s="864">
        <v>15174127.906278569</v>
      </c>
      <c r="K28" s="739">
        <v>0.26925529356409927</v>
      </c>
      <c r="L28" s="864">
        <v>24302870.989999998</v>
      </c>
      <c r="M28" s="864">
        <v>19110115.233923882</v>
      </c>
      <c r="N28" s="739">
        <v>0.27172812369325983</v>
      </c>
      <c r="O28" s="889">
        <v>5192755.7560761161</v>
      </c>
    </row>
    <row r="29" spans="2:15" s="76" customFormat="1" outlineLevel="1" x14ac:dyDescent="0.25">
      <c r="B29" s="242" t="s">
        <v>17</v>
      </c>
      <c r="C29" s="885">
        <v>0</v>
      </c>
      <c r="D29" s="885">
        <v>0</v>
      </c>
      <c r="E29" s="886" t="s">
        <v>181</v>
      </c>
      <c r="F29" s="864">
        <v>1663041.4</v>
      </c>
      <c r="G29" s="864">
        <v>1954725.921145923</v>
      </c>
      <c r="H29" s="890">
        <v>-0.14922016329272814</v>
      </c>
      <c r="I29" s="865">
        <v>1012003.9699999999</v>
      </c>
      <c r="J29" s="864">
        <v>2337600.2689340585</v>
      </c>
      <c r="K29" s="890">
        <v>-0.56707569576834804</v>
      </c>
      <c r="L29" s="864">
        <v>2675045.3699999996</v>
      </c>
      <c r="M29" s="864">
        <v>4292326.1900799815</v>
      </c>
      <c r="N29" s="890">
        <v>-0.37678423038251108</v>
      </c>
      <c r="O29" s="891">
        <v>-1617280.8200799818</v>
      </c>
    </row>
    <row r="30" spans="2:15" ht="15.75" customHeight="1" x14ac:dyDescent="0.25">
      <c r="B30" s="207" t="s">
        <v>28</v>
      </c>
      <c r="C30" s="892">
        <v>0</v>
      </c>
      <c r="D30" s="892">
        <v>0</v>
      </c>
      <c r="E30" s="893" t="s">
        <v>181</v>
      </c>
      <c r="F30" s="894">
        <v>-1928898.7307333406</v>
      </c>
      <c r="G30" s="894">
        <v>-1266472.1072764969</v>
      </c>
      <c r="H30" s="882">
        <v>0.52304872697225724</v>
      </c>
      <c r="I30" s="895">
        <v>-7030303.8492666595</v>
      </c>
      <c r="J30" s="894">
        <v>-4490220.3803439448</v>
      </c>
      <c r="K30" s="882">
        <v>0.56569238339436412</v>
      </c>
      <c r="L30" s="894">
        <v>-8959202.5800000001</v>
      </c>
      <c r="M30" s="894">
        <v>-5756692.4876204412</v>
      </c>
      <c r="N30" s="882">
        <v>0.5563107807593406</v>
      </c>
      <c r="O30" s="896">
        <v>3202510.0923795588</v>
      </c>
    </row>
    <row r="31" spans="2:15" x14ac:dyDescent="0.25">
      <c r="B31" s="270" t="s">
        <v>123</v>
      </c>
      <c r="C31" s="897">
        <v>0</v>
      </c>
      <c r="D31" s="897">
        <v>0</v>
      </c>
      <c r="E31" s="746" t="s">
        <v>181</v>
      </c>
      <c r="F31" s="855">
        <v>23003980.984342411</v>
      </c>
      <c r="G31" s="855">
        <v>24478866.424774501</v>
      </c>
      <c r="H31" s="745">
        <v>-6.0251378263962097E-2</v>
      </c>
      <c r="I31" s="855">
        <v>119563210.94565761</v>
      </c>
      <c r="J31" s="855">
        <v>99576590.555498153</v>
      </c>
      <c r="K31" s="746">
        <v>0.20071605463354447</v>
      </c>
      <c r="L31" s="855">
        <v>142567191.93000013</v>
      </c>
      <c r="M31" s="855">
        <v>124055456.98027268</v>
      </c>
      <c r="N31" s="746">
        <v>0.1492214482162697</v>
      </c>
      <c r="O31" s="856">
        <v>18511734.949727446</v>
      </c>
    </row>
    <row r="32" spans="2:15" x14ac:dyDescent="0.25">
      <c r="B32" s="121" t="s">
        <v>24</v>
      </c>
      <c r="C32" s="898">
        <v>0</v>
      </c>
      <c r="D32" s="898">
        <v>0</v>
      </c>
      <c r="E32" s="899" t="s">
        <v>181</v>
      </c>
      <c r="F32" s="900">
        <v>-4649091.0482999999</v>
      </c>
      <c r="G32" s="900">
        <v>-4856547.8257016633</v>
      </c>
      <c r="H32" s="901">
        <v>-4.2716922564577153E-2</v>
      </c>
      <c r="I32" s="902">
        <v>-11464953.781699996</v>
      </c>
      <c r="J32" s="900">
        <v>-11242878.81768401</v>
      </c>
      <c r="K32" s="903">
        <v>1.9752500015092433E-2</v>
      </c>
      <c r="L32" s="900">
        <v>-16114044.829999998</v>
      </c>
      <c r="M32" s="900">
        <v>-16099426.643385673</v>
      </c>
      <c r="N32" s="903">
        <v>9.0799423719412076E-4</v>
      </c>
      <c r="O32" s="896">
        <v>14618.18661432527</v>
      </c>
    </row>
    <row r="33" spans="2:15" x14ac:dyDescent="0.25">
      <c r="B33" s="262" t="s">
        <v>24</v>
      </c>
      <c r="C33" s="904"/>
      <c r="D33" s="904"/>
      <c r="E33" s="905"/>
      <c r="F33" s="906">
        <v>-4649091.0482999999</v>
      </c>
      <c r="G33" s="907">
        <v>-4856547.8257016633</v>
      </c>
      <c r="H33" s="908">
        <v>-4.2716922564577153E-2</v>
      </c>
      <c r="I33" s="906">
        <v>-9495766.0716999974</v>
      </c>
      <c r="J33" s="907">
        <v>-11242878.81768401</v>
      </c>
      <c r="K33" s="882">
        <v>-0.1553972762951038</v>
      </c>
      <c r="L33" s="883">
        <v>-14144857.119999997</v>
      </c>
      <c r="M33" s="881">
        <v>-16099426.643385673</v>
      </c>
      <c r="N33" s="882">
        <v>-0.12140615729248316</v>
      </c>
      <c r="O33" s="884">
        <v>-1954569.5233856756</v>
      </c>
    </row>
    <row r="34" spans="2:15" ht="14.45" customHeight="1" x14ac:dyDescent="0.25">
      <c r="B34" s="246" t="s">
        <v>296</v>
      </c>
      <c r="C34" s="904">
        <v>0</v>
      </c>
      <c r="D34" s="904">
        <v>0</v>
      </c>
      <c r="E34" s="905" t="s">
        <v>181</v>
      </c>
      <c r="F34" s="909">
        <v>0</v>
      </c>
      <c r="G34" s="909">
        <v>0</v>
      </c>
      <c r="H34" s="910" t="s">
        <v>181</v>
      </c>
      <c r="I34" s="911">
        <v>-1969187.71</v>
      </c>
      <c r="J34" s="909">
        <v>0</v>
      </c>
      <c r="K34" s="912" t="s">
        <v>181</v>
      </c>
      <c r="L34" s="894">
        <v>-1969187.71</v>
      </c>
      <c r="M34" s="913">
        <v>0</v>
      </c>
      <c r="N34" s="914" t="s">
        <v>181</v>
      </c>
      <c r="O34" s="896">
        <v>1969187.71</v>
      </c>
    </row>
    <row r="35" spans="2:15" ht="14.45" customHeight="1" x14ac:dyDescent="0.25">
      <c r="B35" s="268" t="s">
        <v>125</v>
      </c>
      <c r="C35" s="853">
        <v>0</v>
      </c>
      <c r="D35" s="853">
        <v>0</v>
      </c>
      <c r="E35" s="746" t="s">
        <v>181</v>
      </c>
      <c r="F35" s="855">
        <v>18354889.936042413</v>
      </c>
      <c r="G35" s="855">
        <v>19622318.599072836</v>
      </c>
      <c r="H35" s="745">
        <v>-6.4591177471265304E-2</v>
      </c>
      <c r="I35" s="855">
        <v>108098257.16395761</v>
      </c>
      <c r="J35" s="855">
        <v>88333711.737814143</v>
      </c>
      <c r="K35" s="746">
        <v>0.22374861236225629</v>
      </c>
      <c r="L35" s="855">
        <v>126453147.10000013</v>
      </c>
      <c r="M35" s="855">
        <v>107956030.336887</v>
      </c>
      <c r="N35" s="746">
        <v>0.17133935645272547</v>
      </c>
      <c r="O35" s="856">
        <v>18497116.763113126</v>
      </c>
    </row>
    <row r="36" spans="2:15" x14ac:dyDescent="0.25">
      <c r="B36" s="206" t="s">
        <v>126</v>
      </c>
      <c r="C36" s="867">
        <v>0</v>
      </c>
      <c r="D36" s="867">
        <v>0</v>
      </c>
      <c r="E36" s="739" t="s">
        <v>181</v>
      </c>
      <c r="F36" s="873">
        <v>-3550605.4055734836</v>
      </c>
      <c r="G36" s="873">
        <v>-3855147.607028313</v>
      </c>
      <c r="H36" s="908">
        <v>-7.8996249300446797E-2</v>
      </c>
      <c r="I36" s="872">
        <v>-17146280.097190782</v>
      </c>
      <c r="J36" s="873">
        <v>-18543429.136829332</v>
      </c>
      <c r="K36" s="908">
        <v>-7.5344696459817895E-2</v>
      </c>
      <c r="L36" s="873">
        <v>-20696885.502764266</v>
      </c>
      <c r="M36" s="873">
        <v>-22398576.743857644</v>
      </c>
      <c r="N36" s="908">
        <v>-7.597318617844917E-2</v>
      </c>
      <c r="O36" s="915">
        <v>-1701691.2410933785</v>
      </c>
    </row>
    <row r="37" spans="2:15" x14ac:dyDescent="0.25">
      <c r="B37" s="206" t="s">
        <v>293</v>
      </c>
      <c r="C37" s="892">
        <v>0</v>
      </c>
      <c r="D37" s="892">
        <v>0</v>
      </c>
      <c r="E37" s="893" t="s">
        <v>181</v>
      </c>
      <c r="F37" s="894">
        <v>-492764.11508983898</v>
      </c>
      <c r="G37" s="894">
        <v>-383142.85714285698</v>
      </c>
      <c r="H37" s="914">
        <v>0.28611066578257804</v>
      </c>
      <c r="I37" s="895">
        <v>-2526406.7535101608</v>
      </c>
      <c r="J37" s="894">
        <v>-1358415.5844155841</v>
      </c>
      <c r="K37" s="882">
        <v>0.85981873477774373</v>
      </c>
      <c r="L37" s="894">
        <v>-3019170.8685999997</v>
      </c>
      <c r="M37" s="894">
        <v>-1741558.4415584411</v>
      </c>
      <c r="N37" s="882">
        <v>0.73360295959880717</v>
      </c>
      <c r="O37" s="896">
        <v>1277612.4270415585</v>
      </c>
    </row>
    <row r="38" spans="2:15" x14ac:dyDescent="0.25">
      <c r="B38" s="268" t="s">
        <v>127</v>
      </c>
      <c r="C38" s="853">
        <v>0</v>
      </c>
      <c r="D38" s="853">
        <v>0</v>
      </c>
      <c r="E38" s="746" t="s">
        <v>181</v>
      </c>
      <c r="F38" s="855">
        <v>14311520.41537909</v>
      </c>
      <c r="G38" s="855">
        <v>15384028.134901667</v>
      </c>
      <c r="H38" s="916">
        <v>6.9715662901667752E-2</v>
      </c>
      <c r="I38" s="855">
        <v>88425570.313256666</v>
      </c>
      <c r="J38" s="855">
        <v>68431867.016569227</v>
      </c>
      <c r="K38" s="746">
        <v>0.29216948431125545</v>
      </c>
      <c r="L38" s="855">
        <v>102737090.72863586</v>
      </c>
      <c r="M38" s="855">
        <v>83815895.151470914</v>
      </c>
      <c r="N38" s="746">
        <v>0.22574710373218387</v>
      </c>
      <c r="O38" s="856">
        <v>18921195.577164948</v>
      </c>
    </row>
    <row r="39" spans="2:15" ht="15.75" customHeight="1" x14ac:dyDescent="0.25">
      <c r="B39" s="205" t="s">
        <v>128</v>
      </c>
      <c r="C39" s="898">
        <v>0</v>
      </c>
      <c r="D39" s="898">
        <v>0</v>
      </c>
      <c r="E39" s="776" t="s">
        <v>181</v>
      </c>
      <c r="F39" s="883">
        <v>-4495014.7254576068</v>
      </c>
      <c r="G39" s="881">
        <v>-4260590.4790815506</v>
      </c>
      <c r="H39" s="882">
        <v>5.5021539274197284E-2</v>
      </c>
      <c r="I39" s="883">
        <v>-15361252.343178183</v>
      </c>
      <c r="J39" s="881">
        <v>-14961804.353532821</v>
      </c>
      <c r="K39" s="882">
        <v>2.6697848749174691E-2</v>
      </c>
      <c r="L39" s="883">
        <v>-19856267.068635792</v>
      </c>
      <c r="M39" s="881">
        <v>-19222394.83261437</v>
      </c>
      <c r="N39" s="882">
        <v>3.297571616549777E-2</v>
      </c>
      <c r="O39" s="884">
        <v>633872.23602142185</v>
      </c>
    </row>
    <row r="40" spans="2:15" ht="15.75" customHeight="1" x14ac:dyDescent="0.25">
      <c r="B40" s="207" t="s">
        <v>273</v>
      </c>
      <c r="C40" s="898"/>
      <c r="D40" s="898"/>
      <c r="E40" s="776"/>
      <c r="F40" s="894">
        <v>-650580.56140000001</v>
      </c>
      <c r="G40" s="894">
        <v>-653439.9614447226</v>
      </c>
      <c r="H40" s="908">
        <v>-4.3759185440703785E-3</v>
      </c>
      <c r="I40" s="895">
        <v>-2308362.1985999998</v>
      </c>
      <c r="J40" s="894">
        <v>-2316741.6814858345</v>
      </c>
      <c r="K40" s="908">
        <v>-3.6169258544442862E-3</v>
      </c>
      <c r="L40" s="895">
        <v>-2958942.76</v>
      </c>
      <c r="M40" s="894">
        <v>-2970181.642930557</v>
      </c>
      <c r="N40" s="908">
        <v>-3.7839042461619288E-3</v>
      </c>
      <c r="O40" s="917">
        <v>-11238.882930557244</v>
      </c>
    </row>
    <row r="41" spans="2:15" x14ac:dyDescent="0.25">
      <c r="B41" s="268" t="s">
        <v>129</v>
      </c>
      <c r="C41" s="853">
        <v>0</v>
      </c>
      <c r="D41" s="853">
        <v>0</v>
      </c>
      <c r="E41" s="746" t="s">
        <v>181</v>
      </c>
      <c r="F41" s="855">
        <v>9165925.1285214834</v>
      </c>
      <c r="G41" s="855">
        <v>10469997.694375394</v>
      </c>
      <c r="H41" s="745">
        <v>-0.12455328109140595</v>
      </c>
      <c r="I41" s="855">
        <v>70755955.771478489</v>
      </c>
      <c r="J41" s="855">
        <v>51153320.981550574</v>
      </c>
      <c r="K41" s="746">
        <v>0.38321333617807496</v>
      </c>
      <c r="L41" s="855">
        <v>79921880.900000066</v>
      </c>
      <c r="M41" s="855">
        <v>61623318.675925985</v>
      </c>
      <c r="N41" s="746">
        <v>0.29694217411927015</v>
      </c>
      <c r="O41" s="856">
        <v>18298562.224074081</v>
      </c>
    </row>
    <row r="42" spans="2:15" x14ac:dyDescent="0.25">
      <c r="B42" s="121" t="s">
        <v>42</v>
      </c>
      <c r="C42" s="898">
        <v>0</v>
      </c>
      <c r="D42" s="898">
        <v>0</v>
      </c>
      <c r="E42" s="776" t="s">
        <v>181</v>
      </c>
      <c r="F42" s="900">
        <v>-2561005.0925990995</v>
      </c>
      <c r="G42" s="900">
        <v>-3524588.1149786073</v>
      </c>
      <c r="H42" s="908">
        <v>-0.27338883039539397</v>
      </c>
      <c r="I42" s="902">
        <v>-19884638.097400904</v>
      </c>
      <c r="J42" s="900">
        <v>-12500906.739559695</v>
      </c>
      <c r="K42" s="882">
        <v>0.59065566295883576</v>
      </c>
      <c r="L42" s="900">
        <v>-22445643.190000005</v>
      </c>
      <c r="M42" s="900">
        <v>-16025494.854538303</v>
      </c>
      <c r="N42" s="882">
        <v>0.40062091022690405</v>
      </c>
      <c r="O42" s="918">
        <v>6420148.3354617022</v>
      </c>
    </row>
    <row r="43" spans="2:15" x14ac:dyDescent="0.25">
      <c r="B43" s="268" t="s">
        <v>132</v>
      </c>
      <c r="C43" s="919" t="e">
        <v>#REF!</v>
      </c>
      <c r="D43" s="919" t="e">
        <v>#REF!</v>
      </c>
      <c r="E43" s="746" t="s">
        <v>181</v>
      </c>
      <c r="F43" s="920">
        <v>6604920.0359223839</v>
      </c>
      <c r="G43" s="920">
        <v>6945409.5793967862</v>
      </c>
      <c r="H43" s="745">
        <v>-4.9023680976921447E-2</v>
      </c>
      <c r="I43" s="921">
        <v>50871317.674077585</v>
      </c>
      <c r="J43" s="920">
        <v>38652414.241990879</v>
      </c>
      <c r="K43" s="746">
        <v>0.31612264516228938</v>
      </c>
      <c r="L43" s="920">
        <v>57476237.71000006</v>
      </c>
      <c r="M43" s="920">
        <v>45597823.821387678</v>
      </c>
      <c r="N43" s="746">
        <v>0.26050396473177306</v>
      </c>
      <c r="O43" s="856">
        <v>11878413.888612382</v>
      </c>
    </row>
    <row r="44" spans="2:15" hidden="1" x14ac:dyDescent="0.25">
      <c r="B44" s="205" t="s">
        <v>135</v>
      </c>
      <c r="C44" s="766">
        <v>0</v>
      </c>
      <c r="D44" s="766">
        <v>0</v>
      </c>
      <c r="E44" s="766" t="s">
        <v>181</v>
      </c>
      <c r="F44" s="765">
        <v>8.417155502201068E-2</v>
      </c>
      <c r="G44" s="766">
        <v>8.8513229256239445E-2</v>
      </c>
      <c r="H44" s="922">
        <v>-4.3416742342287651E-3</v>
      </c>
      <c r="I44" s="765">
        <v>0.10671910731744663</v>
      </c>
      <c r="J44" s="766">
        <v>9.1328416104373589E-2</v>
      </c>
      <c r="K44" s="923">
        <v>1.5390691213073043E-2</v>
      </c>
      <c r="L44" s="766">
        <v>0.10229747748903389</v>
      </c>
      <c r="M44" s="766" t="e">
        <v>#DIV/0!</v>
      </c>
      <c r="N44" s="923" t="s">
        <v>181</v>
      </c>
      <c r="O44" s="781"/>
    </row>
    <row r="45" spans="2:15" hidden="1" x14ac:dyDescent="0.25">
      <c r="B45" s="206" t="s">
        <v>136</v>
      </c>
      <c r="C45" s="724">
        <v>0</v>
      </c>
      <c r="D45" s="724">
        <v>0</v>
      </c>
      <c r="E45" s="724" t="s">
        <v>181</v>
      </c>
      <c r="F45" s="770">
        <v>6.7160533180153303E-2</v>
      </c>
      <c r="G45" s="724">
        <v>7.0952418897179598E-2</v>
      </c>
      <c r="H45" s="924">
        <v>-3.7918857170262943E-3</v>
      </c>
      <c r="I45" s="770">
        <v>9.6485778659395519E-2</v>
      </c>
      <c r="J45" s="724">
        <v>8.1016812652754927E-2</v>
      </c>
      <c r="K45" s="925">
        <v>1.5468966006640592E-2</v>
      </c>
      <c r="L45" s="724">
        <v>9.0735026718006734E-2</v>
      </c>
      <c r="M45" s="724" t="e">
        <v>#DIV/0!</v>
      </c>
      <c r="N45" s="925" t="s">
        <v>181</v>
      </c>
      <c r="O45" s="723"/>
    </row>
    <row r="46" spans="2:15" hidden="1" x14ac:dyDescent="0.25">
      <c r="B46" s="206" t="s">
        <v>137</v>
      </c>
      <c r="C46" s="724">
        <v>0</v>
      </c>
      <c r="D46" s="724">
        <v>0</v>
      </c>
      <c r="E46" s="724" t="s">
        <v>181</v>
      </c>
      <c r="F46" s="772">
        <v>-0.34974903415662345</v>
      </c>
      <c r="G46" s="721">
        <v>-0.33154060099352112</v>
      </c>
      <c r="H46" s="924">
        <v>-1.8208433163102333E-2</v>
      </c>
      <c r="I46" s="772">
        <v>-0.27188574297443285</v>
      </c>
      <c r="J46" s="721">
        <v>-0.33647701034399546</v>
      </c>
      <c r="K46" s="925">
        <v>6.4591267369562611E-2</v>
      </c>
      <c r="L46" s="721">
        <v>-0.2844494025758148</v>
      </c>
      <c r="M46" s="721">
        <v>-0.3355029483555132</v>
      </c>
      <c r="N46" s="925">
        <v>5.1053545779698395E-2</v>
      </c>
      <c r="O46" s="723"/>
    </row>
    <row r="47" spans="2:15" hidden="1" x14ac:dyDescent="0.25">
      <c r="B47" s="206" t="s">
        <v>138</v>
      </c>
      <c r="C47" s="724">
        <v>0</v>
      </c>
      <c r="D47" s="724">
        <v>0</v>
      </c>
      <c r="E47" s="724" t="s">
        <v>181</v>
      </c>
      <c r="F47" s="772">
        <v>-0.37803025043144195</v>
      </c>
      <c r="G47" s="724" t="e">
        <v>#REF!</v>
      </c>
      <c r="H47" s="925" t="s">
        <v>181</v>
      </c>
      <c r="I47" s="770" t="e">
        <v>#REF!</v>
      </c>
      <c r="J47" s="724" t="e">
        <v>#REF!</v>
      </c>
      <c r="K47" s="925" t="s">
        <v>181</v>
      </c>
      <c r="L47" s="724" t="e">
        <v>#REF!</v>
      </c>
      <c r="M47" s="724" t="e">
        <v>#REF!</v>
      </c>
      <c r="N47" s="925" t="s">
        <v>181</v>
      </c>
      <c r="O47" s="723"/>
    </row>
    <row r="48" spans="2:15" hidden="1" x14ac:dyDescent="0.25">
      <c r="B48" s="206" t="s">
        <v>139</v>
      </c>
      <c r="C48" s="724">
        <v>0</v>
      </c>
      <c r="D48" s="724">
        <v>0</v>
      </c>
      <c r="E48" s="724" t="s">
        <v>181</v>
      </c>
      <c r="F48" s="259" t="e">
        <v>#DIV/0!</v>
      </c>
      <c r="G48" s="724" t="e">
        <v>#REF!</v>
      </c>
      <c r="H48" s="926" t="s">
        <v>181</v>
      </c>
      <c r="I48" s="770" t="e">
        <v>#REF!</v>
      </c>
      <c r="J48" s="724" t="e">
        <v>#REF!</v>
      </c>
      <c r="K48" s="926" t="s">
        <v>181</v>
      </c>
      <c r="L48" s="927" t="e">
        <v>#REF!</v>
      </c>
      <c r="M48" s="927" t="e">
        <v>#REF!</v>
      </c>
      <c r="N48" s="926" t="s">
        <v>181</v>
      </c>
      <c r="O48" s="723"/>
    </row>
    <row r="49" spans="1:16" hidden="1" x14ac:dyDescent="0.25">
      <c r="B49" s="121" t="s">
        <v>141</v>
      </c>
      <c r="C49" s="898" t="e">
        <v>#DIV/0!</v>
      </c>
      <c r="D49" s="898" t="e">
        <v>#DIV/0!</v>
      </c>
      <c r="E49" s="792" t="s">
        <v>181</v>
      </c>
      <c r="F49" s="928">
        <v>409948128.76500118</v>
      </c>
      <c r="G49" s="929">
        <v>414834030.41216481</v>
      </c>
      <c r="H49" s="930">
        <v>-1.177796730492231E-2</v>
      </c>
      <c r="I49" s="928">
        <v>1680531452.3949995</v>
      </c>
      <c r="J49" s="929">
        <v>1635470012.55937</v>
      </c>
      <c r="K49" s="931">
        <v>2.7552593131996428E-2</v>
      </c>
      <c r="L49" s="929">
        <v>2090479581.1600008</v>
      </c>
      <c r="M49" s="929" t="e">
        <v>#DIV/0!</v>
      </c>
      <c r="N49" s="931" t="s">
        <v>181</v>
      </c>
      <c r="O49" s="932" t="e">
        <v>#DIV/0!</v>
      </c>
    </row>
    <row r="50" spans="1:16" hidden="1" x14ac:dyDescent="0.25">
      <c r="B50" s="121" t="s">
        <v>142</v>
      </c>
      <c r="C50" s="898"/>
      <c r="D50" s="898"/>
      <c r="E50" s="933"/>
      <c r="F50" s="928">
        <v>408792797.59000021</v>
      </c>
      <c r="G50" s="929">
        <v>412815903.38043278</v>
      </c>
      <c r="H50" s="930">
        <v>-9.7455203578362681E-3</v>
      </c>
      <c r="I50" s="928">
        <v>1649996703.2949994</v>
      </c>
      <c r="J50" s="929">
        <v>1600986515.138206</v>
      </c>
      <c r="K50" s="931">
        <v>3.0612492793271606E-2</v>
      </c>
      <c r="L50" s="929">
        <v>2058789500.8849995</v>
      </c>
      <c r="M50" s="929">
        <v>2013802418.5186388</v>
      </c>
      <c r="N50" s="931">
        <v>2.2339372498843879E-2</v>
      </c>
      <c r="O50" s="934">
        <v>-44987082.366360664</v>
      </c>
    </row>
    <row r="51" spans="1:16" ht="13.5" hidden="1" customHeight="1" x14ac:dyDescent="0.25">
      <c r="B51" s="256"/>
      <c r="C51" s="257"/>
      <c r="D51" s="257"/>
      <c r="E51" s="257"/>
      <c r="F51" s="332"/>
      <c r="G51" s="333"/>
      <c r="H51" s="334"/>
      <c r="I51" s="332"/>
      <c r="J51" s="333"/>
      <c r="K51" s="789"/>
      <c r="L51" s="332"/>
      <c r="M51" s="333"/>
      <c r="N51" s="204"/>
      <c r="O51" s="204"/>
    </row>
    <row r="52" spans="1:16" ht="13.5" hidden="1" customHeight="1" x14ac:dyDescent="0.25">
      <c r="B52" s="253" t="s">
        <v>143</v>
      </c>
      <c r="C52" s="254">
        <v>1.9026331842685359E-2</v>
      </c>
      <c r="D52" s="255">
        <v>1.8722930033500899E-2</v>
      </c>
      <c r="E52" s="935">
        <v>1.6204825240578424E-2</v>
      </c>
      <c r="F52" s="335"/>
      <c r="G52" s="336"/>
      <c r="H52" s="935"/>
      <c r="I52" s="337"/>
      <c r="J52" s="338"/>
      <c r="K52" s="936"/>
      <c r="L52" s="337"/>
      <c r="M52" s="338"/>
      <c r="N52" s="204"/>
      <c r="O52" s="94"/>
    </row>
    <row r="53" spans="1:16" ht="13.5" hidden="1" customHeight="1" x14ac:dyDescent="0.25">
      <c r="B53" s="250" t="s">
        <v>144</v>
      </c>
      <c r="C53" s="251">
        <v>1.913468625214057E-2</v>
      </c>
      <c r="D53" s="252">
        <v>1.8785389948185068E-2</v>
      </c>
      <c r="E53" s="937">
        <v>1.8594040630455444E-2</v>
      </c>
      <c r="F53" s="339"/>
      <c r="G53" s="340"/>
      <c r="H53" s="937"/>
      <c r="I53" s="341"/>
      <c r="J53" s="342"/>
      <c r="K53" s="938"/>
      <c r="L53" s="341"/>
      <c r="M53" s="342"/>
      <c r="N53" s="230"/>
      <c r="O53" s="326"/>
    </row>
    <row r="54" spans="1:16" ht="13.5" hidden="1" customHeight="1" x14ac:dyDescent="0.25">
      <c r="B54" s="240"/>
      <c r="C54" s="182"/>
      <c r="D54" s="183"/>
      <c r="E54" s="936"/>
      <c r="F54" s="337"/>
      <c r="G54" s="338"/>
      <c r="H54" s="936"/>
      <c r="I54" s="337"/>
      <c r="J54" s="338"/>
      <c r="K54" s="936"/>
      <c r="L54" s="337"/>
      <c r="M54" s="338"/>
      <c r="N54" s="204"/>
      <c r="O54" s="94"/>
    </row>
    <row r="55" spans="1:16" ht="13.5" hidden="1" customHeight="1" x14ac:dyDescent="0.25">
      <c r="A55" s="26"/>
      <c r="B55" s="208" t="s">
        <v>145</v>
      </c>
      <c r="C55" s="222">
        <v>0.21616784330954691</v>
      </c>
      <c r="D55" s="184">
        <v>0.21770121365760361</v>
      </c>
      <c r="E55" s="715">
        <v>-7.0434625618043256E-3</v>
      </c>
      <c r="F55" s="343"/>
      <c r="G55" s="344"/>
      <c r="H55" s="723"/>
      <c r="I55" s="345"/>
      <c r="J55" s="346"/>
      <c r="K55" s="781"/>
      <c r="L55" s="345"/>
      <c r="M55" s="346"/>
      <c r="N55" s="347"/>
      <c r="O55" s="325"/>
    </row>
    <row r="56" spans="1:16" ht="13.5" hidden="1" customHeight="1" x14ac:dyDescent="0.25">
      <c r="B56" s="225" t="s">
        <v>146</v>
      </c>
      <c r="C56" s="939">
        <v>42965667.043961346</v>
      </c>
      <c r="D56" s="892">
        <v>43078624.990452737</v>
      </c>
      <c r="E56" s="784">
        <v>-2.622134446408686E-3</v>
      </c>
      <c r="F56" s="940"/>
      <c r="G56" s="913"/>
      <c r="H56" s="941"/>
      <c r="I56" s="940"/>
      <c r="J56" s="913"/>
      <c r="K56" s="941"/>
      <c r="L56" s="940"/>
      <c r="M56" s="913"/>
      <c r="N56" s="348"/>
      <c r="O56" s="327"/>
    </row>
    <row r="57" spans="1:16" ht="13.5" hidden="1" customHeight="1" x14ac:dyDescent="0.25">
      <c r="B57" s="201"/>
      <c r="C57" s="942"/>
      <c r="D57" s="22"/>
      <c r="E57" s="789"/>
      <c r="F57" s="942"/>
      <c r="G57" s="22"/>
      <c r="H57" s="789"/>
      <c r="I57" s="201"/>
      <c r="J57" s="22"/>
      <c r="K57" s="789"/>
      <c r="L57" s="201"/>
      <c r="M57" s="22"/>
      <c r="N57" s="204"/>
      <c r="O57" s="94"/>
    </row>
    <row r="58" spans="1:16" ht="13.5" hidden="1" customHeight="1" x14ac:dyDescent="0.25">
      <c r="B58" s="199" t="s">
        <v>147</v>
      </c>
      <c r="C58" s="943"/>
      <c r="D58" s="944"/>
      <c r="E58" s="789"/>
      <c r="F58" s="928"/>
      <c r="G58" s="944"/>
      <c r="H58" s="789"/>
      <c r="I58" s="928"/>
      <c r="J58" s="929"/>
      <c r="K58" s="776"/>
      <c r="L58" s="942"/>
      <c r="M58" s="944"/>
      <c r="N58" s="204"/>
      <c r="O58" s="94"/>
    </row>
    <row r="59" spans="1:16" ht="13.5" hidden="1" customHeight="1" x14ac:dyDescent="0.25">
      <c r="B59" s="199" t="s">
        <v>148</v>
      </c>
      <c r="C59" s="943"/>
      <c r="D59" s="944"/>
      <c r="E59" s="789"/>
      <c r="F59" s="928"/>
      <c r="G59" s="944"/>
      <c r="H59" s="789"/>
      <c r="I59" s="928"/>
      <c r="J59" s="929"/>
      <c r="K59" s="776"/>
      <c r="L59" s="942"/>
      <c r="M59" s="944"/>
      <c r="N59" s="204"/>
      <c r="O59" s="94"/>
    </row>
    <row r="60" spans="1:16" x14ac:dyDescent="0.25">
      <c r="B60" s="205" t="s">
        <v>135</v>
      </c>
      <c r="C60" s="766">
        <v>0</v>
      </c>
      <c r="D60" s="766" t="e">
        <v>#DIV/0!</v>
      </c>
      <c r="E60" s="945" t="e">
        <v>#VALUE!</v>
      </c>
      <c r="F60" s="319">
        <v>8.4289624716158834E-2</v>
      </c>
      <c r="G60" s="319">
        <v>8.8569390126835637E-2</v>
      </c>
      <c r="H60" s="946">
        <v>-0.42797654106768029</v>
      </c>
      <c r="I60" s="319">
        <v>0.10704574411227696</v>
      </c>
      <c r="J60" s="319">
        <v>9.1727730564929527E-2</v>
      </c>
      <c r="K60" s="947">
        <v>1.5318013547347435</v>
      </c>
      <c r="L60" s="319">
        <v>0.10257727613134957</v>
      </c>
      <c r="M60" s="319">
        <v>9.1086807065929046E-2</v>
      </c>
      <c r="N60" s="947">
        <v>1.1490469065420519</v>
      </c>
      <c r="O60" s="325"/>
      <c r="P60" s="103"/>
    </row>
    <row r="61" spans="1:16" x14ac:dyDescent="0.25">
      <c r="B61" s="206" t="s">
        <v>136</v>
      </c>
      <c r="C61" s="724">
        <v>0</v>
      </c>
      <c r="D61" s="724" t="e">
        <v>#DIV/0!</v>
      </c>
      <c r="E61" s="948" t="e">
        <v>#VALUE!</v>
      </c>
      <c r="F61" s="724">
        <v>6.7254741058448211E-2</v>
      </c>
      <c r="G61" s="724">
        <v>7.0997437587037082E-2</v>
      </c>
      <c r="H61" s="767">
        <v>-0.37426965285888708</v>
      </c>
      <c r="I61" s="724">
        <v>9.6781094149566038E-2</v>
      </c>
      <c r="J61" s="724">
        <v>8.137104177683635E-2</v>
      </c>
      <c r="K61" s="768">
        <v>1.5410052372729688</v>
      </c>
      <c r="L61" s="724">
        <v>9.0983200357370397E-2</v>
      </c>
      <c r="M61" s="724">
        <v>7.9265921437565723E-2</v>
      </c>
      <c r="N61" s="768">
        <v>1.1717278919804675</v>
      </c>
      <c r="O61" s="326"/>
      <c r="P61" s="85"/>
    </row>
    <row r="62" spans="1:16" x14ac:dyDescent="0.25">
      <c r="B62" s="206" t="s">
        <v>137</v>
      </c>
      <c r="C62" s="724" t="e">
        <v>#DIV/0!</v>
      </c>
      <c r="D62" s="724" t="e">
        <v>#DIV/0!</v>
      </c>
      <c r="E62" s="948" t="e">
        <v>#VALUE!</v>
      </c>
      <c r="F62" s="724">
        <v>0.34974903415662345</v>
      </c>
      <c r="G62" s="724">
        <v>0.33154060099352112</v>
      </c>
      <c r="H62" s="767">
        <v>-1.8208433163102333</v>
      </c>
      <c r="I62" s="724">
        <v>0.27188574297443285</v>
      </c>
      <c r="J62" s="724">
        <v>0.33647701034399546</v>
      </c>
      <c r="K62" s="768">
        <v>6.4591267369562608</v>
      </c>
      <c r="L62" s="724">
        <v>0.2844494025758148</v>
      </c>
      <c r="M62" s="724">
        <v>0.3355029483555132</v>
      </c>
      <c r="N62" s="768">
        <v>5.1053545779698393</v>
      </c>
      <c r="O62" s="326"/>
    </row>
    <row r="63" spans="1:16" ht="14.45" hidden="1" customHeight="1" x14ac:dyDescent="0.25">
      <c r="B63" s="206" t="s">
        <v>138</v>
      </c>
      <c r="C63" s="724" t="e">
        <v>#DIV/0!</v>
      </c>
      <c r="D63" s="724" t="e">
        <v>#DIV/0!</v>
      </c>
      <c r="E63" s="948" t="e">
        <v>#VALUE!</v>
      </c>
      <c r="F63" s="721">
        <v>-0.37803025043144195</v>
      </c>
      <c r="G63" s="721">
        <v>-0.3582346459752524</v>
      </c>
      <c r="H63" s="767">
        <v>-1.9795604456189553</v>
      </c>
      <c r="I63" s="721">
        <v>-0.291192368987088</v>
      </c>
      <c r="J63" s="721">
        <v>-0.35974293729089785</v>
      </c>
      <c r="K63" s="768">
        <v>6.8550568303809847</v>
      </c>
      <c r="L63" s="721">
        <v>-0.30520412685664955</v>
      </c>
      <c r="M63" s="721">
        <v>-0.35944531828610704</v>
      </c>
      <c r="N63" s="768">
        <v>5.4241191429457487</v>
      </c>
      <c r="O63" s="326"/>
    </row>
    <row r="64" spans="1:16" x14ac:dyDescent="0.25">
      <c r="B64" s="207" t="s">
        <v>139</v>
      </c>
      <c r="C64" s="927" t="e">
        <v>#DIV/0!</v>
      </c>
      <c r="D64" s="927" t="e">
        <v>#DIV/0!</v>
      </c>
      <c r="E64" s="949" t="e">
        <v>#VALUE!</v>
      </c>
      <c r="F64" s="927">
        <v>0.2227228834879629</v>
      </c>
      <c r="G64" s="927">
        <v>0.21694919253334413</v>
      </c>
      <c r="H64" s="950">
        <v>0.57736909546187709</v>
      </c>
      <c r="I64" s="927">
        <v>0.41915145567978235</v>
      </c>
      <c r="J64" s="927">
        <v>0.31245430612886127</v>
      </c>
      <c r="K64" s="950">
        <v>10.669714955092108</v>
      </c>
      <c r="L64" s="927">
        <v>0.38058008197147969</v>
      </c>
      <c r="M64" s="927">
        <v>0.29281968175934503</v>
      </c>
      <c r="N64" s="950">
        <v>8.7760400212134666</v>
      </c>
      <c r="O64" s="326"/>
    </row>
    <row r="65" spans="2:15" x14ac:dyDescent="0.25">
      <c r="B65" s="271" t="s">
        <v>566</v>
      </c>
      <c r="C65" s="951">
        <v>409373889.04875046</v>
      </c>
      <c r="D65" s="874" t="e">
        <v>#DIV/0!</v>
      </c>
      <c r="E65" s="746" t="s">
        <v>181</v>
      </c>
      <c r="F65" s="854">
        <v>409373889.04875046</v>
      </c>
      <c r="G65" s="855">
        <v>414570988.74204028</v>
      </c>
      <c r="H65" s="745">
        <v>-1.2536091126539528E-2</v>
      </c>
      <c r="I65" s="854">
        <v>1675403519.3625</v>
      </c>
      <c r="J65" s="855">
        <v>1628350389.9349086</v>
      </c>
      <c r="K65" s="746">
        <v>2.889619440535296E-2</v>
      </c>
      <c r="L65" s="854">
        <v>2084777408.4112504</v>
      </c>
      <c r="M65" s="952">
        <v>2042921378.676949</v>
      </c>
      <c r="N65" s="916">
        <v>2.0488321367221785E-2</v>
      </c>
      <c r="O65" s="953">
        <v>41856029.734301329</v>
      </c>
    </row>
    <row r="66" spans="2:15" x14ac:dyDescent="0.25">
      <c r="B66" s="207" t="s">
        <v>142</v>
      </c>
      <c r="C66" s="892">
        <v>407243401.62124985</v>
      </c>
      <c r="D66" s="892" t="e">
        <v>#DIV/0!</v>
      </c>
      <c r="E66" s="941" t="s">
        <v>181</v>
      </c>
      <c r="F66" s="939">
        <v>407243401.62124985</v>
      </c>
      <c r="G66" s="892">
        <v>412561305.74522102</v>
      </c>
      <c r="H66" s="784">
        <v>-1.2889973077735206E-2</v>
      </c>
      <c r="I66" s="892">
        <v>1650847494.3387504</v>
      </c>
      <c r="J66" s="892">
        <v>1594185226.7469027</v>
      </c>
      <c r="K66" s="941">
        <v>3.5543089122380689E-2</v>
      </c>
      <c r="L66" s="939">
        <v>2058090895.9600003</v>
      </c>
      <c r="M66" s="954">
        <v>2006746532.4921236</v>
      </c>
      <c r="N66" s="941">
        <v>2.5585873769575329E-2</v>
      </c>
      <c r="O66" s="317"/>
    </row>
    <row r="67" spans="2:15" x14ac:dyDescent="0.25">
      <c r="B67" s="121" t="s">
        <v>476</v>
      </c>
      <c r="C67" s="898"/>
      <c r="D67" s="898"/>
      <c r="E67" s="776"/>
      <c r="F67" s="321">
        <v>0.19636335629745846</v>
      </c>
      <c r="G67" s="322">
        <v>0.20558715266988523</v>
      </c>
      <c r="H67" s="776"/>
      <c r="I67" s="321">
        <v>0.80363664370254151</v>
      </c>
      <c r="J67" s="322">
        <v>0.79441284733011486</v>
      </c>
      <c r="K67" s="792"/>
      <c r="L67" s="943"/>
      <c r="M67" s="944"/>
      <c r="N67" s="776"/>
      <c r="O67" s="316"/>
    </row>
    <row r="68" spans="2:15" x14ac:dyDescent="0.25">
      <c r="B68" s="121" t="s">
        <v>146</v>
      </c>
      <c r="C68" s="898"/>
      <c r="D68" s="898"/>
      <c r="E68" s="776"/>
      <c r="F68" s="249">
        <v>44482991.144549467</v>
      </c>
      <c r="G68" s="257">
        <v>48020987.068177082</v>
      </c>
      <c r="H68" s="776"/>
      <c r="I68" s="249">
        <v>182051083.15170053</v>
      </c>
      <c r="J68" s="257">
        <v>185558720.82964665</v>
      </c>
      <c r="K68" s="792"/>
      <c r="L68" s="943">
        <v>226534074.29624999</v>
      </c>
      <c r="M68" s="944">
        <v>233579707.89782372</v>
      </c>
      <c r="N68" s="776"/>
      <c r="O68" s="316"/>
    </row>
    <row r="69" spans="2:15" x14ac:dyDescent="0.25">
      <c r="B69" s="121" t="s">
        <v>477</v>
      </c>
      <c r="C69" s="898"/>
      <c r="D69" s="898"/>
      <c r="E69" s="792"/>
      <c r="F69" s="324"/>
      <c r="G69" s="324"/>
      <c r="H69" s="950"/>
      <c r="I69" s="324"/>
      <c r="J69" s="324"/>
      <c r="K69" s="950"/>
      <c r="L69" s="943">
        <v>226534074.29625002</v>
      </c>
      <c r="M69" s="944">
        <v>233579707.89782372</v>
      </c>
      <c r="N69" s="776"/>
      <c r="O69" s="318"/>
    </row>
    <row r="70" spans="2:15" x14ac:dyDescent="0.25">
      <c r="B70" s="270" t="s">
        <v>577</v>
      </c>
      <c r="C70" s="874"/>
      <c r="D70" s="874"/>
      <c r="E70" s="746"/>
      <c r="F70" s="854"/>
      <c r="G70" s="855"/>
      <c r="H70" s="746"/>
      <c r="I70" s="854"/>
      <c r="J70" s="855"/>
      <c r="K70" s="746"/>
      <c r="L70" s="854"/>
      <c r="M70" s="952"/>
      <c r="N70" s="916"/>
      <c r="O70" s="953"/>
    </row>
    <row r="71" spans="2:15" x14ac:dyDescent="0.25">
      <c r="B71" s="955" t="s">
        <v>578</v>
      </c>
      <c r="C71" s="956"/>
      <c r="D71" s="956"/>
      <c r="E71" s="957"/>
      <c r="F71" s="958"/>
      <c r="G71" s="958"/>
      <c r="H71" s="957"/>
      <c r="I71" s="958"/>
      <c r="J71" s="958"/>
      <c r="K71" s="957"/>
      <c r="L71" s="958">
        <v>1501978.6136752141</v>
      </c>
      <c r="M71" s="959"/>
      <c r="N71" s="960"/>
      <c r="O71" s="961"/>
    </row>
    <row r="72" spans="2:15" x14ac:dyDescent="0.25">
      <c r="B72" s="955" t="s">
        <v>579</v>
      </c>
      <c r="C72" s="956"/>
      <c r="D72" s="956"/>
      <c r="E72" s="957"/>
      <c r="F72" s="958"/>
      <c r="G72" s="958"/>
      <c r="H72" s="957"/>
      <c r="I72" s="958"/>
      <c r="J72" s="958"/>
      <c r="K72" s="957"/>
      <c r="L72" s="958">
        <v>1390850.4264573995</v>
      </c>
      <c r="M72" s="959"/>
      <c r="N72" s="960"/>
      <c r="O72" s="961"/>
    </row>
    <row r="73" spans="2:15" x14ac:dyDescent="0.25">
      <c r="B73" s="14"/>
      <c r="E73" s="778"/>
      <c r="F73" s="851"/>
      <c r="G73" s="851"/>
      <c r="H73" s="778"/>
      <c r="I73" s="851"/>
      <c r="J73" s="211"/>
      <c r="K73" s="778"/>
      <c r="L73" s="851"/>
      <c r="M73" s="851"/>
      <c r="N73" s="79"/>
      <c r="O73" s="79"/>
    </row>
    <row r="74" spans="2:15" x14ac:dyDescent="0.25">
      <c r="B74" s="14"/>
      <c r="E74" s="778"/>
      <c r="F74" s="79"/>
      <c r="G74" s="79"/>
      <c r="H74" s="778"/>
      <c r="I74" s="79"/>
      <c r="J74" s="79"/>
      <c r="K74" s="778"/>
      <c r="L74" s="962" t="s">
        <v>101</v>
      </c>
      <c r="M74" s="962" t="s">
        <v>102</v>
      </c>
      <c r="N74" s="963" t="s">
        <v>451</v>
      </c>
      <c r="O74" s="79"/>
    </row>
    <row r="75" spans="2:15" x14ac:dyDescent="0.25">
      <c r="B75" s="14"/>
      <c r="E75" s="778"/>
      <c r="F75" s="851"/>
      <c r="G75" s="851"/>
      <c r="H75" s="778"/>
      <c r="J75" s="964" t="s">
        <v>175</v>
      </c>
      <c r="K75" s="964"/>
      <c r="L75" s="965">
        <v>-40553152.571400061</v>
      </c>
      <c r="M75" s="965">
        <v>-41620971.576472014</v>
      </c>
      <c r="N75" s="966">
        <v>-2.5655792371641395E-2</v>
      </c>
      <c r="O75" s="103"/>
    </row>
    <row r="76" spans="2:15" x14ac:dyDescent="0.25">
      <c r="B76" s="14"/>
      <c r="F76" s="58"/>
      <c r="G76" s="58"/>
      <c r="M76" s="58"/>
      <c r="N76" s="261"/>
    </row>
    <row r="77" spans="2:15" x14ac:dyDescent="0.25">
      <c r="B77" s="14"/>
      <c r="F77" s="50"/>
      <c r="G77" s="58"/>
      <c r="I77" s="50"/>
      <c r="J77" s="4"/>
      <c r="L77" s="50"/>
      <c r="M77" s="58"/>
    </row>
    <row r="78" spans="2:15" x14ac:dyDescent="0.25">
      <c r="F78" s="50"/>
      <c r="I78" s="50"/>
      <c r="J78" s="261"/>
      <c r="K78" s="261"/>
      <c r="L78" s="50"/>
    </row>
  </sheetData>
  <mergeCells count="5">
    <mergeCell ref="C3:E3"/>
    <mergeCell ref="F3:H3"/>
    <mergeCell ref="I3:K3"/>
    <mergeCell ref="L3:N3"/>
    <mergeCell ref="J75:K75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0C18F8-8AA7-4200-BCB2-A39B14C4B1EB}">
          <x14:formula1>
            <xm:f>'Lista de data para filtro'!$A$2:$A$25</xm:f>
          </x14:formula1>
          <xm:sqref>G1 I1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E5F19-0262-4B65-8EA9-BBA0AA6FDF85}">
  <dimension ref="B1:S95"/>
  <sheetViews>
    <sheetView zoomScale="85" zoomScaleNormal="85" workbookViewId="0">
      <selection activeCell="R27" sqref="R27"/>
    </sheetView>
  </sheetViews>
  <sheetFormatPr defaultRowHeight="15" outlineLevelRow="1" x14ac:dyDescent="0.25"/>
  <cols>
    <col min="1" max="1" width="1.140625" customWidth="1"/>
    <col min="2" max="2" width="32.28515625" customWidth="1"/>
    <col min="3" max="4" width="13.140625" hidden="1" customWidth="1"/>
    <col min="5" max="5" width="5.7109375" style="195" hidden="1" customWidth="1"/>
    <col min="6" max="6" width="14.5703125" bestFit="1" customWidth="1"/>
    <col min="7" max="7" width="15.140625" bestFit="1" customWidth="1"/>
    <col min="8" max="8" width="11.5703125" style="195" customWidth="1"/>
    <col min="9" max="10" width="14.5703125" bestFit="1" customWidth="1"/>
    <col min="11" max="11" width="13" style="195" customWidth="1"/>
    <col min="12" max="13" width="15.5703125" bestFit="1" customWidth="1"/>
    <col min="14" max="14" width="13.42578125" style="195" customWidth="1"/>
    <col min="15" max="15" width="15.5703125" bestFit="1" customWidth="1"/>
    <col min="16" max="16" width="17.42578125" customWidth="1"/>
    <col min="17" max="18" width="15.85546875" bestFit="1" customWidth="1"/>
    <col min="20" max="21" width="10.28515625" bestFit="1" customWidth="1"/>
  </cols>
  <sheetData>
    <row r="1" spans="2:19" x14ac:dyDescent="0.25">
      <c r="B1" s="194" t="s">
        <v>97</v>
      </c>
      <c r="F1" s="202" t="s">
        <v>205</v>
      </c>
      <c r="G1" s="517">
        <v>45688</v>
      </c>
      <c r="H1" s="203" t="s">
        <v>206</v>
      </c>
      <c r="I1" s="517">
        <v>45900</v>
      </c>
      <c r="K1" s="482" t="s">
        <v>207</v>
      </c>
      <c r="N1" s="483">
        <v>1.5</v>
      </c>
    </row>
    <row r="2" spans="2:19" x14ac:dyDescent="0.25">
      <c r="B2" s="24"/>
      <c r="C2" s="45"/>
      <c r="F2" s="45"/>
      <c r="G2" s="58"/>
      <c r="I2" s="45"/>
      <c r="L2" s="45"/>
    </row>
    <row r="3" spans="2:19" ht="14.25" customHeight="1" x14ac:dyDescent="0.25">
      <c r="B3" s="140"/>
      <c r="C3" s="822" t="s">
        <v>208</v>
      </c>
      <c r="D3" s="822"/>
      <c r="E3" s="823"/>
      <c r="F3" s="822" t="s">
        <v>98</v>
      </c>
      <c r="G3" s="822"/>
      <c r="H3" s="822"/>
      <c r="I3" s="821" t="s">
        <v>99</v>
      </c>
      <c r="J3" s="822"/>
      <c r="K3" s="823"/>
      <c r="L3" s="821" t="s">
        <v>100</v>
      </c>
      <c r="M3" s="822"/>
      <c r="N3" s="823"/>
      <c r="O3" s="204"/>
    </row>
    <row r="4" spans="2:19" x14ac:dyDescent="0.25">
      <c r="B4" s="140"/>
      <c r="C4" s="51" t="s">
        <v>101</v>
      </c>
      <c r="D4" s="51" t="s">
        <v>102</v>
      </c>
      <c r="E4" s="86" t="s">
        <v>103</v>
      </c>
      <c r="F4" s="51" t="s">
        <v>101</v>
      </c>
      <c r="G4" s="51" t="s">
        <v>102</v>
      </c>
      <c r="H4" s="87" t="s">
        <v>103</v>
      </c>
      <c r="I4" s="82" t="s">
        <v>101</v>
      </c>
      <c r="J4" s="51" t="s">
        <v>102</v>
      </c>
      <c r="K4" s="86" t="s">
        <v>103</v>
      </c>
      <c r="L4" s="518" t="s">
        <v>101</v>
      </c>
      <c r="M4" s="129" t="s">
        <v>102</v>
      </c>
      <c r="N4" s="139" t="s">
        <v>103</v>
      </c>
      <c r="O4" s="165" t="s">
        <v>104</v>
      </c>
    </row>
    <row r="5" spans="2:19" x14ac:dyDescent="0.25">
      <c r="B5" s="487" t="s">
        <v>105</v>
      </c>
      <c r="C5" s="967">
        <v>0</v>
      </c>
      <c r="D5" s="967">
        <v>0</v>
      </c>
      <c r="E5" s="92" t="s">
        <v>181</v>
      </c>
      <c r="F5" s="968">
        <v>57201692.519148931</v>
      </c>
      <c r="G5" s="967">
        <v>56372066.167283304</v>
      </c>
      <c r="H5" s="526">
        <v>1.4716976124375503E-2</v>
      </c>
      <c r="I5" s="968">
        <v>181611286.83085102</v>
      </c>
      <c r="J5" s="967">
        <v>190602087.97411835</v>
      </c>
      <c r="K5" s="92">
        <v>-4.7170528081980856E-2</v>
      </c>
      <c r="L5" s="968">
        <v>238812979.34999996</v>
      </c>
      <c r="M5" s="967">
        <v>246974154.14140168</v>
      </c>
      <c r="N5" s="92">
        <v>-3.3044651250143109E-2</v>
      </c>
      <c r="O5" s="969">
        <v>-8161174.7914017141</v>
      </c>
    </row>
    <row r="6" spans="2:19" x14ac:dyDescent="0.25">
      <c r="B6" s="205" t="s">
        <v>106</v>
      </c>
      <c r="C6" s="116">
        <v>0</v>
      </c>
      <c r="D6" s="116">
        <v>0</v>
      </c>
      <c r="E6" s="80" t="s">
        <v>181</v>
      </c>
      <c r="F6" s="116">
        <v>56891181.604255311</v>
      </c>
      <c r="G6" s="116">
        <v>55762052.925282001</v>
      </c>
      <c r="H6" s="77">
        <v>2.0249051455947686E-2</v>
      </c>
      <c r="I6" s="970">
        <v>159894534.24574465</v>
      </c>
      <c r="J6" s="116">
        <v>168781561.87141028</v>
      </c>
      <c r="K6" s="80">
        <v>-5.2654019355718451E-2</v>
      </c>
      <c r="L6" s="970">
        <v>216785715.84999996</v>
      </c>
      <c r="M6" s="116">
        <v>224543614.79669228</v>
      </c>
      <c r="N6" s="80">
        <v>-3.4549630608363247E-2</v>
      </c>
      <c r="O6" s="971">
        <v>-7757898.9466923177</v>
      </c>
    </row>
    <row r="7" spans="2:19" s="76" customFormat="1" hidden="1" outlineLevel="1" x14ac:dyDescent="0.25">
      <c r="B7" s="242" t="s">
        <v>107</v>
      </c>
      <c r="C7" s="75">
        <v>0</v>
      </c>
      <c r="D7" s="75">
        <v>0</v>
      </c>
      <c r="E7" s="243" t="s">
        <v>181</v>
      </c>
      <c r="F7" s="75">
        <v>44582919.239999987</v>
      </c>
      <c r="G7" s="75">
        <v>44238396.367044382</v>
      </c>
      <c r="H7" s="522">
        <v>7.7878698426838699E-3</v>
      </c>
      <c r="I7" s="523">
        <v>118354120.51999998</v>
      </c>
      <c r="J7" s="75">
        <v>115677028.04703265</v>
      </c>
      <c r="K7" s="243">
        <v>2.3142818571366242E-2</v>
      </c>
      <c r="L7" s="523">
        <v>162937039.75999996</v>
      </c>
      <c r="M7" s="75">
        <v>159915424.41407704</v>
      </c>
      <c r="N7" s="243">
        <v>1.8895083804417068E-2</v>
      </c>
      <c r="O7" s="972">
        <v>3021615.3459229171</v>
      </c>
      <c r="P7"/>
    </row>
    <row r="8" spans="2:19" s="76" customFormat="1" hidden="1" outlineLevel="1" x14ac:dyDescent="0.25">
      <c r="B8" s="242" t="s">
        <v>108</v>
      </c>
      <c r="C8" s="75">
        <v>0</v>
      </c>
      <c r="D8" s="75">
        <v>0</v>
      </c>
      <c r="E8" s="243" t="s">
        <v>181</v>
      </c>
      <c r="F8" s="75">
        <v>0</v>
      </c>
      <c r="G8" s="75">
        <v>0</v>
      </c>
      <c r="H8" s="522" t="s">
        <v>181</v>
      </c>
      <c r="I8" s="523">
        <v>38280773.430000007</v>
      </c>
      <c r="J8" s="75">
        <v>51596451.097802453</v>
      </c>
      <c r="K8" s="243">
        <v>-0.25807351832323167</v>
      </c>
      <c r="L8" s="523">
        <v>38280773.430000007</v>
      </c>
      <c r="M8" s="75">
        <v>51596451.097802453</v>
      </c>
      <c r="N8" s="243">
        <v>-0.25807351832323167</v>
      </c>
      <c r="O8" s="972">
        <v>-13315677.667802446</v>
      </c>
      <c r="P8"/>
      <c r="R8" s="58"/>
      <c r="S8" s="973"/>
    </row>
    <row r="9" spans="2:19" s="76" customFormat="1" hidden="1" outlineLevel="1" x14ac:dyDescent="0.25">
      <c r="B9" s="242" t="s">
        <v>109</v>
      </c>
      <c r="C9" s="75">
        <v>0</v>
      </c>
      <c r="D9" s="75">
        <v>0</v>
      </c>
      <c r="E9" s="243" t="s">
        <v>181</v>
      </c>
      <c r="F9" s="75">
        <v>0</v>
      </c>
      <c r="G9" s="75">
        <v>0</v>
      </c>
      <c r="H9" s="522" t="s">
        <v>181</v>
      </c>
      <c r="I9" s="523">
        <v>2920472.2299999995</v>
      </c>
      <c r="J9" s="75">
        <v>1188721.4208814725</v>
      </c>
      <c r="K9" s="243">
        <v>1.4568180388592493</v>
      </c>
      <c r="L9" s="523">
        <v>2920472.2299999995</v>
      </c>
      <c r="M9" s="75">
        <v>1188721.4208814725</v>
      </c>
      <c r="N9" s="243">
        <v>1.4568180388592493</v>
      </c>
      <c r="O9" s="972">
        <v>1731750.809118527</v>
      </c>
      <c r="P9"/>
      <c r="R9" s="973"/>
    </row>
    <row r="10" spans="2:19" s="76" customFormat="1" hidden="1" outlineLevel="1" x14ac:dyDescent="0.25">
      <c r="B10" s="242" t="s">
        <v>110</v>
      </c>
      <c r="C10" s="54">
        <v>0</v>
      </c>
      <c r="D10" s="54">
        <v>0</v>
      </c>
      <c r="E10" s="60" t="s">
        <v>181</v>
      </c>
      <c r="F10" s="54">
        <v>12308262.364255317</v>
      </c>
      <c r="G10" s="54">
        <v>11523656.55823762</v>
      </c>
      <c r="H10" s="63">
        <v>6.8086531566825093E-2</v>
      </c>
      <c r="I10" s="53">
        <v>339168.06574468082</v>
      </c>
      <c r="J10" s="54">
        <v>319361.30569369928</v>
      </c>
      <c r="K10" s="60">
        <v>6.2019911923764104E-2</v>
      </c>
      <c r="L10" s="53">
        <v>12647430.429999998</v>
      </c>
      <c r="M10" s="54">
        <v>11843017.863931319</v>
      </c>
      <c r="N10" s="60">
        <v>6.7922937828082564E-2</v>
      </c>
      <c r="O10" s="974">
        <v>804412.56606867909</v>
      </c>
      <c r="P10"/>
    </row>
    <row r="11" spans="2:19" ht="15.75" customHeight="1" collapsed="1" x14ac:dyDescent="0.25">
      <c r="B11" s="206" t="s">
        <v>111</v>
      </c>
      <c r="C11" s="54">
        <v>0</v>
      </c>
      <c r="D11" s="54">
        <v>0</v>
      </c>
      <c r="E11" s="60" t="s">
        <v>181</v>
      </c>
      <c r="F11" s="54">
        <v>0</v>
      </c>
      <c r="G11" s="54">
        <v>295536.06229492789</v>
      </c>
      <c r="H11" s="63">
        <v>-1</v>
      </c>
      <c r="I11" s="53">
        <v>10400476.4</v>
      </c>
      <c r="J11" s="54">
        <v>9307368</v>
      </c>
      <c r="K11" s="60">
        <v>0.11744549049742092</v>
      </c>
      <c r="L11" s="53">
        <v>10400476.4</v>
      </c>
      <c r="M11" s="54">
        <v>9602904.0622949284</v>
      </c>
      <c r="N11" s="60">
        <v>8.3055327068889406E-2</v>
      </c>
      <c r="O11" s="974">
        <v>797572.33770507202</v>
      </c>
      <c r="Q11" s="76"/>
    </row>
    <row r="12" spans="2:19" x14ac:dyDescent="0.25">
      <c r="B12" s="206" t="s">
        <v>112</v>
      </c>
      <c r="C12" s="54">
        <v>0</v>
      </c>
      <c r="D12" s="54">
        <v>0</v>
      </c>
      <c r="E12" s="60" t="s">
        <v>181</v>
      </c>
      <c r="F12" s="54">
        <v>310510.91489361704</v>
      </c>
      <c r="G12" s="54">
        <v>314477.17970637104</v>
      </c>
      <c r="H12" s="63">
        <v>-1.2612250009547021E-2</v>
      </c>
      <c r="I12" s="53">
        <v>419189.7351063831</v>
      </c>
      <c r="J12" s="54">
        <v>424544.19260360103</v>
      </c>
      <c r="K12" s="60">
        <v>-1.2612250009547132E-2</v>
      </c>
      <c r="L12" s="53">
        <v>729700.65000000014</v>
      </c>
      <c r="M12" s="54">
        <v>739021.37230997207</v>
      </c>
      <c r="N12" s="60">
        <v>-1.2612250009547021E-2</v>
      </c>
      <c r="O12" s="974">
        <v>-9320.7223099719267</v>
      </c>
      <c r="Q12" s="76"/>
    </row>
    <row r="13" spans="2:19" x14ac:dyDescent="0.25">
      <c r="B13" s="206" t="s">
        <v>113</v>
      </c>
      <c r="C13" s="54">
        <v>0</v>
      </c>
      <c r="D13" s="54">
        <v>0</v>
      </c>
      <c r="E13" s="60" t="s">
        <v>181</v>
      </c>
      <c r="F13" s="54">
        <v>0</v>
      </c>
      <c r="G13" s="54">
        <v>0</v>
      </c>
      <c r="H13" s="63" t="s">
        <v>181</v>
      </c>
      <c r="I13" s="53">
        <v>2222657.69</v>
      </c>
      <c r="J13" s="54">
        <v>4406879.9669411071</v>
      </c>
      <c r="K13" s="60">
        <v>-0.49563915816323312</v>
      </c>
      <c r="L13" s="53">
        <v>2222657.69</v>
      </c>
      <c r="M13" s="54">
        <v>4406879.9669411071</v>
      </c>
      <c r="N13" s="60">
        <v>-0.49563915816323312</v>
      </c>
      <c r="O13" s="974">
        <v>-2184222.2769411071</v>
      </c>
      <c r="Q13" s="76"/>
    </row>
    <row r="14" spans="2:19" ht="17.25" customHeight="1" x14ac:dyDescent="0.25">
      <c r="B14" s="206" t="s">
        <v>155</v>
      </c>
      <c r="C14" s="54">
        <v>0</v>
      </c>
      <c r="D14" s="54">
        <v>0</v>
      </c>
      <c r="E14" s="60" t="s">
        <v>181</v>
      </c>
      <c r="F14" s="54">
        <v>0</v>
      </c>
      <c r="G14" s="54">
        <v>0</v>
      </c>
      <c r="H14" s="63" t="s">
        <v>181</v>
      </c>
      <c r="I14" s="53">
        <v>3009272.7199999997</v>
      </c>
      <c r="J14" s="54">
        <v>2240000</v>
      </c>
      <c r="K14" s="60">
        <v>0.34342532142857141</v>
      </c>
      <c r="L14" s="53">
        <v>3009272.7199999997</v>
      </c>
      <c r="M14" s="54">
        <v>2240000</v>
      </c>
      <c r="N14" s="60">
        <v>0.34342532142857141</v>
      </c>
      <c r="O14" s="974">
        <v>769272.71999999974</v>
      </c>
      <c r="Q14" s="76"/>
    </row>
    <row r="15" spans="2:19" hidden="1" outlineLevel="1" x14ac:dyDescent="0.25">
      <c r="B15" s="244" t="s">
        <v>114</v>
      </c>
      <c r="C15" s="75">
        <v>0</v>
      </c>
      <c r="D15" s="75">
        <v>0</v>
      </c>
      <c r="E15" s="243" t="s">
        <v>181</v>
      </c>
      <c r="F15" s="75">
        <v>0</v>
      </c>
      <c r="G15" s="75">
        <v>0</v>
      </c>
      <c r="H15" s="522" t="s">
        <v>181</v>
      </c>
      <c r="I15" s="523">
        <v>410410.37</v>
      </c>
      <c r="J15" s="75">
        <v>0</v>
      </c>
      <c r="K15" s="243" t="s">
        <v>181</v>
      </c>
      <c r="L15" s="523">
        <v>410410.37</v>
      </c>
      <c r="M15" s="75">
        <v>0</v>
      </c>
      <c r="N15" s="243" t="s">
        <v>181</v>
      </c>
      <c r="O15" s="972">
        <v>410410.37</v>
      </c>
      <c r="Q15" s="76"/>
    </row>
    <row r="16" spans="2:19" hidden="1" outlineLevel="1" x14ac:dyDescent="0.25">
      <c r="B16" s="244" t="s">
        <v>115</v>
      </c>
      <c r="C16" s="75">
        <v>0</v>
      </c>
      <c r="D16" s="75">
        <v>0</v>
      </c>
      <c r="E16" s="243" t="s">
        <v>181</v>
      </c>
      <c r="F16" s="75">
        <v>0</v>
      </c>
      <c r="G16" s="75">
        <v>0</v>
      </c>
      <c r="H16" s="522" t="s">
        <v>181</v>
      </c>
      <c r="I16" s="523">
        <v>1667065.84</v>
      </c>
      <c r="J16" s="75">
        <v>0</v>
      </c>
      <c r="K16" s="243" t="s">
        <v>181</v>
      </c>
      <c r="L16" s="523">
        <v>1667065.84</v>
      </c>
      <c r="M16" s="75">
        <v>0</v>
      </c>
      <c r="N16" s="243" t="s">
        <v>181</v>
      </c>
      <c r="O16" s="972">
        <v>1667065.84</v>
      </c>
      <c r="Q16" s="76"/>
    </row>
    <row r="17" spans="2:17" hidden="1" outlineLevel="1" x14ac:dyDescent="0.25">
      <c r="B17" s="244" t="s">
        <v>116</v>
      </c>
      <c r="C17" s="75">
        <v>0</v>
      </c>
      <c r="D17" s="75">
        <v>0</v>
      </c>
      <c r="E17" s="243" t="s">
        <v>181</v>
      </c>
      <c r="F17" s="75">
        <v>0</v>
      </c>
      <c r="G17" s="75">
        <v>0</v>
      </c>
      <c r="H17" s="522" t="s">
        <v>181</v>
      </c>
      <c r="I17" s="523">
        <v>931428.16999999993</v>
      </c>
      <c r="J17" s="75">
        <v>0</v>
      </c>
      <c r="K17" s="243" t="s">
        <v>181</v>
      </c>
      <c r="L17" s="523">
        <v>931428.16999999993</v>
      </c>
      <c r="M17" s="75">
        <v>0</v>
      </c>
      <c r="N17" s="243" t="s">
        <v>181</v>
      </c>
      <c r="O17" s="972">
        <v>931428.16999999993</v>
      </c>
      <c r="Q17" s="76"/>
    </row>
    <row r="18" spans="2:17" collapsed="1" x14ac:dyDescent="0.25">
      <c r="B18" s="206" t="s">
        <v>10</v>
      </c>
      <c r="C18" s="54">
        <v>0</v>
      </c>
      <c r="D18" s="54">
        <v>0</v>
      </c>
      <c r="E18" s="60" t="s">
        <v>181</v>
      </c>
      <c r="F18" s="54">
        <v>0</v>
      </c>
      <c r="G18" s="54">
        <v>0</v>
      </c>
      <c r="H18" s="63" t="s">
        <v>181</v>
      </c>
      <c r="I18" s="53">
        <v>5432634.3399999999</v>
      </c>
      <c r="J18" s="54">
        <v>5046374.5320497621</v>
      </c>
      <c r="K18" s="60">
        <v>7.6542041320374343E-2</v>
      </c>
      <c r="L18" s="53">
        <v>5432634.3399999999</v>
      </c>
      <c r="M18" s="54">
        <v>5046374.5320497621</v>
      </c>
      <c r="N18" s="60">
        <v>7.6542041320374343E-2</v>
      </c>
      <c r="O18" s="974">
        <v>386259.80795023777</v>
      </c>
      <c r="Q18" s="76"/>
    </row>
    <row r="19" spans="2:17" x14ac:dyDescent="0.25">
      <c r="B19" s="207" t="s">
        <v>117</v>
      </c>
      <c r="C19" s="56">
        <v>0</v>
      </c>
      <c r="D19" s="56">
        <v>0</v>
      </c>
      <c r="E19" s="62" t="s">
        <v>181</v>
      </c>
      <c r="F19" s="56">
        <v>0</v>
      </c>
      <c r="G19" s="56">
        <v>0</v>
      </c>
      <c r="H19" s="81" t="s">
        <v>181</v>
      </c>
      <c r="I19" s="55">
        <v>232521.69999999925</v>
      </c>
      <c r="J19" s="56">
        <v>395359.41111358977</v>
      </c>
      <c r="K19" s="62">
        <v>-0.41187260638347623</v>
      </c>
      <c r="L19" s="55">
        <v>232521.69999999925</v>
      </c>
      <c r="M19" s="56">
        <v>395359.41111358977</v>
      </c>
      <c r="N19" s="62">
        <v>-0.41187260638347623</v>
      </c>
      <c r="O19" s="586">
        <v>-162837.71111359051</v>
      </c>
      <c r="Q19" s="76"/>
    </row>
    <row r="20" spans="2:17" x14ac:dyDescent="0.25">
      <c r="B20" s="491" t="s">
        <v>118</v>
      </c>
      <c r="C20" s="975">
        <v>0</v>
      </c>
      <c r="D20" s="975">
        <v>0</v>
      </c>
      <c r="E20" s="92" t="s">
        <v>181</v>
      </c>
      <c r="F20" s="975">
        <v>-30170601.12001428</v>
      </c>
      <c r="G20" s="975">
        <v>-28718194.047912125</v>
      </c>
      <c r="H20" s="526">
        <v>5.057445707341568E-2</v>
      </c>
      <c r="I20" s="976">
        <v>-86650295.109985724</v>
      </c>
      <c r="J20" s="975">
        <v>-90718020.263851255</v>
      </c>
      <c r="K20" s="92">
        <v>-4.4839218735535091E-2</v>
      </c>
      <c r="L20" s="976">
        <v>-116820896.23</v>
      </c>
      <c r="M20" s="975">
        <v>-119436214.31176338</v>
      </c>
      <c r="N20" s="92">
        <v>-2.1897195057912877E-2</v>
      </c>
      <c r="O20" s="977">
        <v>2615318.0817633718</v>
      </c>
      <c r="Q20" s="76"/>
    </row>
    <row r="21" spans="2:17" x14ac:dyDescent="0.25">
      <c r="B21" s="205" t="s">
        <v>119</v>
      </c>
      <c r="C21" s="168">
        <v>0</v>
      </c>
      <c r="D21" s="168">
        <v>0</v>
      </c>
      <c r="E21" s="169" t="s">
        <v>181</v>
      </c>
      <c r="F21" s="168">
        <v>-30170601.12001428</v>
      </c>
      <c r="G21" s="168">
        <v>-28718194.047912125</v>
      </c>
      <c r="H21" s="978">
        <v>5.057445707341568E-2</v>
      </c>
      <c r="I21" s="170">
        <v>-86650295.109985724</v>
      </c>
      <c r="J21" s="168">
        <v>-90718020.263851255</v>
      </c>
      <c r="K21" s="169">
        <v>-4.4839218735535091E-2</v>
      </c>
      <c r="L21" s="170">
        <v>-116820896.23</v>
      </c>
      <c r="M21" s="168">
        <v>-119436214.31176338</v>
      </c>
      <c r="N21" s="169">
        <v>-2.1897195057912877E-2</v>
      </c>
      <c r="O21" s="979">
        <v>2615318.0817633718</v>
      </c>
      <c r="Q21" s="76"/>
    </row>
    <row r="22" spans="2:17" s="76" customFormat="1" hidden="1" outlineLevel="1" x14ac:dyDescent="0.25">
      <c r="B22" s="242" t="s">
        <v>120</v>
      </c>
      <c r="C22" s="155">
        <v>0</v>
      </c>
      <c r="D22" s="155">
        <v>0</v>
      </c>
      <c r="E22" s="238" t="s">
        <v>181</v>
      </c>
      <c r="F22" s="155">
        <v>0</v>
      </c>
      <c r="G22" s="155">
        <v>0</v>
      </c>
      <c r="H22" s="524" t="s">
        <v>181</v>
      </c>
      <c r="I22" s="245">
        <v>-38532564.455600001</v>
      </c>
      <c r="J22" s="155">
        <v>-46536539.680778116</v>
      </c>
      <c r="K22" s="238">
        <v>-0.17199334716509129</v>
      </c>
      <c r="L22" s="245">
        <v>-38532564.455600001</v>
      </c>
      <c r="M22" s="155">
        <v>-46536539.680778116</v>
      </c>
      <c r="N22" s="238">
        <v>-0.17199334716509129</v>
      </c>
      <c r="O22" s="980">
        <v>8003975.2251781151</v>
      </c>
      <c r="P22"/>
    </row>
    <row r="23" spans="2:17" s="76" customFormat="1" hidden="1" outlineLevel="1" x14ac:dyDescent="0.25">
      <c r="B23" s="242" t="s">
        <v>121</v>
      </c>
      <c r="C23" s="155">
        <v>0</v>
      </c>
      <c r="D23" s="155">
        <v>0</v>
      </c>
      <c r="E23" s="238" t="s">
        <v>181</v>
      </c>
      <c r="F23" s="155">
        <v>-38083332.889018483</v>
      </c>
      <c r="G23" s="155">
        <v>-37029690.554401174</v>
      </c>
      <c r="H23" s="524">
        <v>2.8453987026150873E-2</v>
      </c>
      <c r="I23" s="245">
        <v>-60360530.045381524</v>
      </c>
      <c r="J23" s="155">
        <v>-56620762.998838499</v>
      </c>
      <c r="K23" s="238">
        <v>6.6049393340385398E-2</v>
      </c>
      <c r="L23" s="245">
        <v>-98443862.934400007</v>
      </c>
      <c r="M23" s="155">
        <v>-93650453.553239673</v>
      </c>
      <c r="N23" s="238">
        <v>5.1184048761016454E-2</v>
      </c>
      <c r="O23" s="980">
        <v>-4793409.3811603338</v>
      </c>
      <c r="P23"/>
    </row>
    <row r="24" spans="2:17" s="76" customFormat="1" hidden="1" outlineLevel="1" x14ac:dyDescent="0.25">
      <c r="B24" s="242" t="s">
        <v>122</v>
      </c>
      <c r="C24" s="155">
        <v>0</v>
      </c>
      <c r="D24" s="155">
        <v>0</v>
      </c>
      <c r="E24" s="238" t="s">
        <v>181</v>
      </c>
      <c r="F24" s="155">
        <v>3423388.7190042008</v>
      </c>
      <c r="G24" s="155">
        <v>3904485.3396815583</v>
      </c>
      <c r="H24" s="524">
        <v>-0.12321639827608999</v>
      </c>
      <c r="I24" s="245">
        <v>10687446.0609958</v>
      </c>
      <c r="J24" s="155">
        <v>12016867.996786393</v>
      </c>
      <c r="K24" s="238">
        <v>-0.11062965293004079</v>
      </c>
      <c r="L24" s="245">
        <v>14110834.780000001</v>
      </c>
      <c r="M24" s="155">
        <v>15921353.336467952</v>
      </c>
      <c r="N24" s="238">
        <v>-0.11371637311263905</v>
      </c>
      <c r="O24" s="980">
        <v>-1810518.5564679503</v>
      </c>
      <c r="P24"/>
    </row>
    <row r="25" spans="2:17" s="76" customFormat="1" hidden="1" outlineLevel="1" x14ac:dyDescent="0.25">
      <c r="B25" s="242" t="s">
        <v>17</v>
      </c>
      <c r="C25" s="155">
        <v>0</v>
      </c>
      <c r="D25" s="155">
        <v>0</v>
      </c>
      <c r="E25" s="238" t="s">
        <v>181</v>
      </c>
      <c r="F25" s="155">
        <v>4489343.05</v>
      </c>
      <c r="G25" s="155">
        <v>4407011.1668074895</v>
      </c>
      <c r="H25" s="524">
        <v>1.8682022821410849E-2</v>
      </c>
      <c r="I25" s="245">
        <v>1555353.3300000003</v>
      </c>
      <c r="J25" s="155">
        <v>422414.41897895653</v>
      </c>
      <c r="K25" s="238">
        <v>2.6820554889190076</v>
      </c>
      <c r="L25" s="245">
        <v>6044696.3799999999</v>
      </c>
      <c r="M25" s="155">
        <v>4829425.585786446</v>
      </c>
      <c r="N25" s="238">
        <v>0.25163878656505978</v>
      </c>
      <c r="O25" s="980">
        <v>1215270.7942135539</v>
      </c>
      <c r="P25"/>
    </row>
    <row r="26" spans="2:17" ht="15.75" customHeight="1" collapsed="1" x14ac:dyDescent="0.25">
      <c r="B26" s="207" t="s">
        <v>28</v>
      </c>
      <c r="C26" s="56">
        <v>0</v>
      </c>
      <c r="D26" s="56">
        <v>0</v>
      </c>
      <c r="E26" s="118" t="s">
        <v>181</v>
      </c>
      <c r="F26" s="56">
        <v>-1191640.0704358141</v>
      </c>
      <c r="G26" s="56">
        <v>-1246661.4106747841</v>
      </c>
      <c r="H26" s="981">
        <v>-4.413495097212361E-2</v>
      </c>
      <c r="I26" s="55">
        <v>-4440462.6595641859</v>
      </c>
      <c r="J26" s="56">
        <v>-4277389.9731294997</v>
      </c>
      <c r="K26" s="118">
        <v>3.8124343924474058E-2</v>
      </c>
      <c r="L26" s="55">
        <v>-5632102.7300000004</v>
      </c>
      <c r="M26" s="56">
        <v>-5524051.383804284</v>
      </c>
      <c r="N26" s="118">
        <v>1.9560163128190089E-2</v>
      </c>
      <c r="O26" s="586">
        <v>-108051.34619571641</v>
      </c>
      <c r="Q26" s="76"/>
    </row>
    <row r="27" spans="2:17" x14ac:dyDescent="0.25">
      <c r="B27" s="491" t="s">
        <v>123</v>
      </c>
      <c r="C27" s="982">
        <v>0</v>
      </c>
      <c r="D27" s="982">
        <v>0</v>
      </c>
      <c r="E27" s="92" t="s">
        <v>181</v>
      </c>
      <c r="F27" s="982">
        <v>25839451.328698836</v>
      </c>
      <c r="G27" s="982">
        <v>26407210.708696395</v>
      </c>
      <c r="H27" s="526">
        <v>-2.1500164718668446E-2</v>
      </c>
      <c r="I27" s="983">
        <v>90520529.061301112</v>
      </c>
      <c r="J27" s="982">
        <v>95606677.737137601</v>
      </c>
      <c r="K27" s="92">
        <v>-5.3198676036211867E-2</v>
      </c>
      <c r="L27" s="983">
        <v>116359980.38999996</v>
      </c>
      <c r="M27" s="982">
        <v>122013888.44583401</v>
      </c>
      <c r="N27" s="92">
        <v>-4.633823352285027E-2</v>
      </c>
      <c r="O27" s="984">
        <v>-5653908.0558340549</v>
      </c>
    </row>
    <row r="28" spans="2:17" x14ac:dyDescent="0.25">
      <c r="B28" s="121" t="s">
        <v>24</v>
      </c>
      <c r="C28" s="166">
        <v>0</v>
      </c>
      <c r="D28" s="166">
        <v>0</v>
      </c>
      <c r="E28" s="117" t="s">
        <v>181</v>
      </c>
      <c r="F28" s="166">
        <v>-3404014.3999999994</v>
      </c>
      <c r="G28" s="166">
        <v>-4778454.7115188194</v>
      </c>
      <c r="H28" s="530">
        <v>-0.287632800663702</v>
      </c>
      <c r="I28" s="167">
        <v>-11765228.41</v>
      </c>
      <c r="J28" s="166">
        <v>-5353404.2447287235</v>
      </c>
      <c r="K28" s="117">
        <v>1.197709695019713</v>
      </c>
      <c r="L28" s="167">
        <v>-15169242.809999999</v>
      </c>
      <c r="M28" s="166">
        <v>-10131858.956247542</v>
      </c>
      <c r="N28" s="117">
        <v>0.49718258766781265</v>
      </c>
      <c r="O28" s="576">
        <v>-5037383.8537524566</v>
      </c>
    </row>
    <row r="29" spans="2:17" hidden="1" x14ac:dyDescent="0.25">
      <c r="B29" s="495" t="s">
        <v>24</v>
      </c>
      <c r="C29" s="239">
        <v>0</v>
      </c>
      <c r="D29" s="239">
        <v>0</v>
      </c>
      <c r="E29" s="237" t="s">
        <v>181</v>
      </c>
      <c r="F29" s="239">
        <v>-3404014.3999999994</v>
      </c>
      <c r="G29" s="239">
        <v>-4778454.7115188194</v>
      </c>
      <c r="H29" s="985">
        <v>-0.287632800663702</v>
      </c>
      <c r="I29" s="986">
        <v>-7880148.8200000003</v>
      </c>
      <c r="J29" s="239">
        <v>-5353404.2447287235</v>
      </c>
      <c r="K29" s="237">
        <v>0.47198837594961329</v>
      </c>
      <c r="L29" s="167">
        <v>-11284163.219999999</v>
      </c>
      <c r="M29" s="166">
        <v>-10131858.956247542</v>
      </c>
      <c r="N29" s="117">
        <v>0.113730784126433</v>
      </c>
      <c r="O29" s="576">
        <v>-1152304.2637524568</v>
      </c>
    </row>
    <row r="30" spans="2:17" hidden="1" x14ac:dyDescent="0.25">
      <c r="B30" s="495" t="s">
        <v>124</v>
      </c>
      <c r="C30" s="239">
        <v>0</v>
      </c>
      <c r="D30" s="239">
        <v>0</v>
      </c>
      <c r="E30" s="237" t="s">
        <v>181</v>
      </c>
      <c r="F30" s="239">
        <v>0</v>
      </c>
      <c r="G30" s="239">
        <v>0</v>
      </c>
      <c r="H30" s="985" t="s">
        <v>181</v>
      </c>
      <c r="I30" s="986">
        <v>-3885079.5900000003</v>
      </c>
      <c r="J30" s="239">
        <v>0</v>
      </c>
      <c r="K30" s="237" t="s">
        <v>181</v>
      </c>
      <c r="L30" s="167">
        <v>-3885079.5900000003</v>
      </c>
      <c r="M30" s="166">
        <v>0</v>
      </c>
      <c r="N30" s="117" t="s">
        <v>181</v>
      </c>
      <c r="O30" s="576">
        <v>-3885079.5900000003</v>
      </c>
    </row>
    <row r="31" spans="2:17" x14ac:dyDescent="0.25">
      <c r="B31" s="487" t="s">
        <v>125</v>
      </c>
      <c r="C31" s="967">
        <v>0</v>
      </c>
      <c r="D31" s="967">
        <v>0</v>
      </c>
      <c r="E31" s="92" t="s">
        <v>181</v>
      </c>
      <c r="F31" s="967">
        <v>22435436.928698838</v>
      </c>
      <c r="G31" s="967">
        <v>21628755.997177575</v>
      </c>
      <c r="H31" s="526">
        <v>3.7296686486570474E-2</v>
      </c>
      <c r="I31" s="968">
        <v>78755300.651301116</v>
      </c>
      <c r="J31" s="967">
        <v>90253273.492408872</v>
      </c>
      <c r="K31" s="92">
        <v>-0.12739674026421699</v>
      </c>
      <c r="L31" s="968">
        <v>101190737.57999995</v>
      </c>
      <c r="M31" s="967">
        <v>111882029.48958647</v>
      </c>
      <c r="N31" s="92">
        <v>-9.5558616145603792E-2</v>
      </c>
      <c r="O31" s="969">
        <v>-10691291.909586519</v>
      </c>
    </row>
    <row r="32" spans="2:17" x14ac:dyDescent="0.25">
      <c r="B32" s="205" t="s">
        <v>480</v>
      </c>
      <c r="C32" s="519"/>
      <c r="D32" s="519"/>
      <c r="E32" s="520"/>
      <c r="F32" s="519">
        <v>-11965446.461059351</v>
      </c>
      <c r="G32" s="519">
        <v>-12806527.031505734</v>
      </c>
      <c r="H32" s="987">
        <v>-6.5675929811198186E-2</v>
      </c>
      <c r="I32" s="521">
        <v>-33958002.668940581</v>
      </c>
      <c r="J32" s="519">
        <v>-35313252.799722292</v>
      </c>
      <c r="K32" s="520">
        <v>-3.8377946615905323E-2</v>
      </c>
      <c r="L32" s="519">
        <v>-45923449.129999936</v>
      </c>
      <c r="M32" s="519">
        <v>-48119779.831228025</v>
      </c>
      <c r="N32" s="520">
        <v>-4.5642991487728102E-2</v>
      </c>
      <c r="O32" s="988">
        <v>2196330.7012280934</v>
      </c>
    </row>
    <row r="33" spans="2:17" x14ac:dyDescent="0.25">
      <c r="B33" s="206" t="s">
        <v>126</v>
      </c>
      <c r="C33" s="54">
        <v>0</v>
      </c>
      <c r="D33" s="54">
        <v>0</v>
      </c>
      <c r="E33" s="61" t="s">
        <v>181</v>
      </c>
      <c r="F33" s="54">
        <v>-6043160.8087677956</v>
      </c>
      <c r="G33" s="54">
        <v>-5493575.5521207005</v>
      </c>
      <c r="H33" s="354">
        <v>0.10004144867634279</v>
      </c>
      <c r="I33" s="53">
        <v>-20231964.031232208</v>
      </c>
      <c r="J33" s="54">
        <v>-17613199.270826481</v>
      </c>
      <c r="K33" s="61">
        <v>0.14868194699547299</v>
      </c>
      <c r="L33" s="53">
        <v>-26275124.840000004</v>
      </c>
      <c r="M33" s="54">
        <v>-23106774.822947182</v>
      </c>
      <c r="N33" s="61">
        <v>0.1371177951631033</v>
      </c>
      <c r="O33" s="974">
        <v>-3168350.0170528218</v>
      </c>
    </row>
    <row r="34" spans="2:17" ht="17.25" customHeight="1" x14ac:dyDescent="0.25">
      <c r="B34" s="206" t="s">
        <v>96</v>
      </c>
      <c r="C34" s="54">
        <v>0</v>
      </c>
      <c r="D34" s="54"/>
      <c r="E34" s="61" t="s">
        <v>181</v>
      </c>
      <c r="F34" s="54">
        <v>0</v>
      </c>
      <c r="G34" s="54"/>
      <c r="H34" s="354" t="s">
        <v>181</v>
      </c>
      <c r="I34" s="53">
        <v>0</v>
      </c>
      <c r="J34" s="54"/>
      <c r="K34" s="61" t="s">
        <v>181</v>
      </c>
      <c r="L34" s="53">
        <v>-6053617.0300000012</v>
      </c>
      <c r="M34" s="54">
        <v>-6043321.4805952385</v>
      </c>
      <c r="N34" s="61">
        <v>1.7036243128585316E-3</v>
      </c>
      <c r="O34" s="974">
        <v>-10295.549404762685</v>
      </c>
    </row>
    <row r="35" spans="2:17" x14ac:dyDescent="0.25">
      <c r="B35" s="207" t="s">
        <v>38</v>
      </c>
      <c r="C35" s="56">
        <v>0</v>
      </c>
      <c r="D35" s="56">
        <v>0</v>
      </c>
      <c r="E35" s="118" t="s">
        <v>181</v>
      </c>
      <c r="F35" s="56">
        <v>-2494051.2985971612</v>
      </c>
      <c r="G35" s="56">
        <v>-213920.8264170558</v>
      </c>
      <c r="H35" s="981">
        <v>10.658758711668439</v>
      </c>
      <c r="I35" s="55">
        <v>-1815485.3014028352</v>
      </c>
      <c r="J35" s="56">
        <v>-2387641.9863308724</v>
      </c>
      <c r="K35" s="118">
        <v>-0.2396325279097975</v>
      </c>
      <c r="L35" s="55">
        <v>-4309536.5999999959</v>
      </c>
      <c r="M35" s="56">
        <v>-2601562.8127479283</v>
      </c>
      <c r="N35" s="118">
        <v>0.65651837383391953</v>
      </c>
      <c r="O35" s="586">
        <v>-1707973.7872520676</v>
      </c>
    </row>
    <row r="36" spans="2:17" x14ac:dyDescent="0.25">
      <c r="B36" s="487" t="s">
        <v>127</v>
      </c>
      <c r="C36" s="967">
        <v>0</v>
      </c>
      <c r="D36" s="967">
        <v>0</v>
      </c>
      <c r="E36" s="92" t="s">
        <v>181</v>
      </c>
      <c r="F36" s="967">
        <v>13898224.821333881</v>
      </c>
      <c r="G36" s="967">
        <v>15921259.618639819</v>
      </c>
      <c r="H36" s="526">
        <v>-0.12706499647411496</v>
      </c>
      <c r="I36" s="968">
        <v>56707851.318666071</v>
      </c>
      <c r="J36" s="967">
        <v>70252432.235251516</v>
      </c>
      <c r="K36" s="92">
        <v>-0.19279874711282941</v>
      </c>
      <c r="L36" s="968">
        <v>64552459.109999955</v>
      </c>
      <c r="M36" s="967">
        <v>80130370.373296142</v>
      </c>
      <c r="N36" s="92">
        <v>-0.19440707924754086</v>
      </c>
      <c r="O36" s="969">
        <v>-15577911.263296187</v>
      </c>
    </row>
    <row r="37" spans="2:17" ht="15.75" customHeight="1" x14ac:dyDescent="0.25">
      <c r="B37" s="121" t="s">
        <v>128</v>
      </c>
      <c r="C37" s="166">
        <v>0</v>
      </c>
      <c r="D37" s="166">
        <v>0</v>
      </c>
      <c r="E37" s="90" t="s">
        <v>181</v>
      </c>
      <c r="F37" s="166">
        <v>-5922285.6522915559</v>
      </c>
      <c r="G37" s="166">
        <v>-7312951.4793850342</v>
      </c>
      <c r="H37" s="78">
        <v>-0.19016478244300117</v>
      </c>
      <c r="I37" s="167">
        <v>-13726038.637708373</v>
      </c>
      <c r="J37" s="166">
        <v>-17700053.52889581</v>
      </c>
      <c r="K37" s="90">
        <v>-0.22451993632108236</v>
      </c>
      <c r="L37" s="167">
        <v>-19648324.289999928</v>
      </c>
      <c r="M37" s="166">
        <v>-25013005.008280843</v>
      </c>
      <c r="N37" s="90">
        <v>-0.21447565842268357</v>
      </c>
      <c r="O37" s="576">
        <v>5364680.7182809152</v>
      </c>
    </row>
    <row r="38" spans="2:17" x14ac:dyDescent="0.25">
      <c r="B38" s="487" t="s">
        <v>129</v>
      </c>
      <c r="C38" s="967">
        <v>0</v>
      </c>
      <c r="D38" s="967">
        <v>0</v>
      </c>
      <c r="E38" s="92" t="s">
        <v>181</v>
      </c>
      <c r="F38" s="967">
        <v>7975939.1690423265</v>
      </c>
      <c r="G38" s="967">
        <v>8608308.1392547861</v>
      </c>
      <c r="H38" s="526">
        <v>-7.3460308341983138E-2</v>
      </c>
      <c r="I38" s="968">
        <v>42981812.680957697</v>
      </c>
      <c r="J38" s="967">
        <v>52552378.706355706</v>
      </c>
      <c r="K38" s="92">
        <v>-0.182114801670063</v>
      </c>
      <c r="L38" s="968">
        <v>44904134.820000023</v>
      </c>
      <c r="M38" s="967">
        <v>55117365.365015283</v>
      </c>
      <c r="N38" s="92">
        <v>-0.18529968690226828</v>
      </c>
      <c r="O38" s="969">
        <v>-10213230.545015261</v>
      </c>
    </row>
    <row r="39" spans="2:17" x14ac:dyDescent="0.25">
      <c r="B39" s="121" t="s">
        <v>42</v>
      </c>
      <c r="C39" s="166">
        <v>0</v>
      </c>
      <c r="D39" s="166">
        <v>0</v>
      </c>
      <c r="E39" s="90" t="s">
        <v>181</v>
      </c>
      <c r="F39" s="166">
        <v>-1955386.9754760389</v>
      </c>
      <c r="G39" s="166">
        <v>-1976823.5627638316</v>
      </c>
      <c r="H39" s="78">
        <v>-1.0843955774091363E-2</v>
      </c>
      <c r="I39" s="167">
        <v>-7013398.7085239338</v>
      </c>
      <c r="J39" s="166">
        <v>-13356570.936374731</v>
      </c>
      <c r="K39" s="90">
        <v>-0.4749102339265886</v>
      </c>
      <c r="L39" s="166">
        <v>-8968785.6839999724</v>
      </c>
      <c r="M39" s="166">
        <v>-15333394.499138564</v>
      </c>
      <c r="N39" s="90">
        <v>-0.41508152780495911</v>
      </c>
      <c r="O39" s="576">
        <v>6364608.8151385915</v>
      </c>
    </row>
    <row r="40" spans="2:17" x14ac:dyDescent="0.25">
      <c r="B40" s="487" t="s">
        <v>130</v>
      </c>
      <c r="C40" s="525">
        <v>0</v>
      </c>
      <c r="D40" s="525">
        <v>0</v>
      </c>
      <c r="E40" s="92" t="s">
        <v>181</v>
      </c>
      <c r="F40" s="525">
        <v>6020552.1935662879</v>
      </c>
      <c r="G40" s="525">
        <v>6631484.5764909545</v>
      </c>
      <c r="H40" s="526">
        <v>-9.2126035411506768E-2</v>
      </c>
      <c r="I40" s="527">
        <v>35968413.972433761</v>
      </c>
      <c r="J40" s="525">
        <v>39195807.769980974</v>
      </c>
      <c r="K40" s="92">
        <v>-8.2340280279131983E-2</v>
      </c>
      <c r="L40" s="527">
        <v>35935349.136000052</v>
      </c>
      <c r="M40" s="525">
        <v>39783970.865876719</v>
      </c>
      <c r="N40" s="92">
        <v>-9.673799890039847E-2</v>
      </c>
      <c r="O40" s="989">
        <v>-3848621.7298766673</v>
      </c>
    </row>
    <row r="41" spans="2:17" x14ac:dyDescent="0.25">
      <c r="B41" s="121" t="s">
        <v>47</v>
      </c>
      <c r="C41" s="166">
        <v>0</v>
      </c>
      <c r="D41" s="166">
        <v>0</v>
      </c>
      <c r="E41" s="90" t="s">
        <v>181</v>
      </c>
      <c r="F41" s="166">
        <v>0</v>
      </c>
      <c r="G41" s="166">
        <v>0</v>
      </c>
      <c r="H41" s="78" t="s">
        <v>181</v>
      </c>
      <c r="I41" s="167">
        <v>916457.71399999969</v>
      </c>
      <c r="J41" s="166">
        <v>1576502.595501604</v>
      </c>
      <c r="K41" s="90">
        <v>-0.41867668558553461</v>
      </c>
      <c r="L41" s="166">
        <v>916457.71399999969</v>
      </c>
      <c r="M41" s="166">
        <v>1576502.595501604</v>
      </c>
      <c r="N41" s="90">
        <v>-0.41867668558553461</v>
      </c>
      <c r="O41" s="576">
        <v>-660044.88150160434</v>
      </c>
    </row>
    <row r="42" spans="2:17" hidden="1" x14ac:dyDescent="0.25">
      <c r="B42" s="990" t="s">
        <v>481</v>
      </c>
      <c r="C42" s="54">
        <v>0</v>
      </c>
      <c r="D42" s="54">
        <v>0</v>
      </c>
      <c r="E42" s="63" t="s">
        <v>181</v>
      </c>
      <c r="F42" s="54">
        <v>0</v>
      </c>
      <c r="G42" s="54">
        <v>0</v>
      </c>
      <c r="H42" s="63" t="s">
        <v>181</v>
      </c>
      <c r="I42" s="54">
        <v>0</v>
      </c>
      <c r="J42" s="54">
        <v>0</v>
      </c>
      <c r="K42" s="63" t="s">
        <v>181</v>
      </c>
      <c r="L42" s="54">
        <v>0</v>
      </c>
      <c r="M42" s="54">
        <v>0</v>
      </c>
      <c r="N42" s="63" t="s">
        <v>181</v>
      </c>
      <c r="O42" s="974">
        <v>0</v>
      </c>
    </row>
    <row r="43" spans="2:17" hidden="1" x14ac:dyDescent="0.25">
      <c r="B43" s="504" t="s">
        <v>482</v>
      </c>
      <c r="C43" s="54">
        <v>0</v>
      </c>
      <c r="D43" s="54">
        <v>0</v>
      </c>
      <c r="E43" s="63" t="s">
        <v>181</v>
      </c>
      <c r="F43" s="54">
        <v>0</v>
      </c>
      <c r="G43" s="54">
        <v>0</v>
      </c>
      <c r="H43" s="63" t="s">
        <v>181</v>
      </c>
      <c r="I43" s="54">
        <v>0</v>
      </c>
      <c r="J43" s="54">
        <v>0</v>
      </c>
      <c r="K43" s="63" t="s">
        <v>181</v>
      </c>
      <c r="L43" s="54">
        <v>0</v>
      </c>
      <c r="M43" s="54">
        <v>0</v>
      </c>
      <c r="N43" s="63" t="s">
        <v>181</v>
      </c>
      <c r="O43" s="974">
        <v>0</v>
      </c>
    </row>
    <row r="44" spans="2:17" hidden="1" x14ac:dyDescent="0.25">
      <c r="B44" s="504" t="s">
        <v>483</v>
      </c>
      <c r="C44" s="54">
        <v>0</v>
      </c>
      <c r="D44" s="54">
        <v>0</v>
      </c>
      <c r="E44" s="63" t="s">
        <v>181</v>
      </c>
      <c r="F44" s="54">
        <v>0</v>
      </c>
      <c r="G44" s="54">
        <v>0</v>
      </c>
      <c r="H44" s="63" t="s">
        <v>181</v>
      </c>
      <c r="I44" s="54">
        <v>0</v>
      </c>
      <c r="J44" s="54">
        <v>0</v>
      </c>
      <c r="K44" s="63" t="s">
        <v>181</v>
      </c>
      <c r="L44" s="54">
        <v>0</v>
      </c>
      <c r="M44" s="54">
        <v>0</v>
      </c>
      <c r="N44" s="63" t="s">
        <v>181</v>
      </c>
      <c r="O44" s="974">
        <v>0</v>
      </c>
    </row>
    <row r="45" spans="2:17" hidden="1" x14ac:dyDescent="0.25">
      <c r="B45" s="504" t="s">
        <v>484</v>
      </c>
      <c r="C45" s="54">
        <v>0</v>
      </c>
      <c r="D45" s="54">
        <v>0</v>
      </c>
      <c r="E45" s="63" t="s">
        <v>181</v>
      </c>
      <c r="F45" s="54">
        <v>0</v>
      </c>
      <c r="G45" s="54">
        <v>0</v>
      </c>
      <c r="H45" s="63" t="s">
        <v>181</v>
      </c>
      <c r="I45" s="54">
        <v>0</v>
      </c>
      <c r="J45" s="54">
        <v>0</v>
      </c>
      <c r="K45" s="63" t="s">
        <v>181</v>
      </c>
      <c r="L45" s="54">
        <v>0</v>
      </c>
      <c r="M45" s="54">
        <v>0</v>
      </c>
      <c r="N45" s="63" t="s">
        <v>181</v>
      </c>
      <c r="O45" s="974">
        <v>0</v>
      </c>
    </row>
    <row r="46" spans="2:17" x14ac:dyDescent="0.25">
      <c r="B46" s="121" t="s">
        <v>485</v>
      </c>
      <c r="C46" s="166">
        <v>0</v>
      </c>
      <c r="D46" s="166">
        <v>0</v>
      </c>
      <c r="E46" s="90" t="s">
        <v>181</v>
      </c>
      <c r="F46" s="166">
        <v>0</v>
      </c>
      <c r="G46" s="166">
        <v>0</v>
      </c>
      <c r="H46" s="78" t="s">
        <v>181</v>
      </c>
      <c r="I46" s="167">
        <v>-1249875</v>
      </c>
      <c r="J46" s="166">
        <v>-1249875</v>
      </c>
      <c r="K46" s="90">
        <v>0</v>
      </c>
      <c r="L46" s="166">
        <v>-1249875</v>
      </c>
      <c r="M46" s="166">
        <v>-1249875</v>
      </c>
      <c r="N46" s="90">
        <v>0</v>
      </c>
      <c r="O46" s="576">
        <v>0</v>
      </c>
    </row>
    <row r="47" spans="2:17" x14ac:dyDescent="0.25">
      <c r="B47" s="121" t="s">
        <v>131</v>
      </c>
      <c r="C47" s="166"/>
      <c r="D47" s="166"/>
      <c r="E47" s="90"/>
      <c r="F47" s="166">
        <v>-187004.00425531913</v>
      </c>
      <c r="G47" s="166">
        <v>-860000.00000000012</v>
      </c>
      <c r="H47" s="78"/>
      <c r="I47" s="167">
        <v>-252455.40574468084</v>
      </c>
      <c r="J47" s="166">
        <v>-1140000</v>
      </c>
      <c r="K47" s="90"/>
      <c r="L47" s="166">
        <v>-439459.41</v>
      </c>
      <c r="M47" s="166">
        <v>-2000000</v>
      </c>
      <c r="N47" s="90">
        <v>-0.780270295</v>
      </c>
      <c r="O47" s="576">
        <v>1560540.59</v>
      </c>
      <c r="Q47" s="45"/>
    </row>
    <row r="48" spans="2:17" x14ac:dyDescent="0.25">
      <c r="B48" s="487" t="s">
        <v>132</v>
      </c>
      <c r="C48" s="525">
        <v>0</v>
      </c>
      <c r="D48" s="525">
        <v>0</v>
      </c>
      <c r="E48" s="92" t="s">
        <v>181</v>
      </c>
      <c r="F48" s="528">
        <v>5833548.1893109689</v>
      </c>
      <c r="G48" s="528">
        <v>5771484.5764909545</v>
      </c>
      <c r="H48" s="526">
        <v>1.0753491930450387E-2</v>
      </c>
      <c r="I48" s="528">
        <v>35382541.280689083</v>
      </c>
      <c r="J48" s="528">
        <v>38382435.365482576</v>
      </c>
      <c r="K48" s="92">
        <v>-7.815799222295583E-2</v>
      </c>
      <c r="L48" s="528">
        <v>35162472.440000057</v>
      </c>
      <c r="M48" s="528">
        <v>38110598.461378321</v>
      </c>
      <c r="N48" s="92">
        <v>-7.7357116928140734E-2</v>
      </c>
      <c r="O48" s="989">
        <v>-2948126.0213782638</v>
      </c>
      <c r="Q48" s="45"/>
    </row>
    <row r="49" spans="2:17" x14ac:dyDescent="0.25">
      <c r="B49" s="121" t="s">
        <v>96</v>
      </c>
      <c r="C49" s="529">
        <v>0</v>
      </c>
      <c r="D49" s="529">
        <v>0</v>
      </c>
      <c r="E49" s="117" t="s">
        <v>181</v>
      </c>
      <c r="F49" s="529">
        <v>0</v>
      </c>
      <c r="G49" s="529">
        <v>0</v>
      </c>
      <c r="H49" s="530" t="s">
        <v>181</v>
      </c>
      <c r="I49" s="531">
        <v>0</v>
      </c>
      <c r="J49" s="529">
        <v>0</v>
      </c>
      <c r="K49" s="117" t="s">
        <v>181</v>
      </c>
      <c r="L49" s="167">
        <v>0</v>
      </c>
      <c r="M49" s="166">
        <v>0</v>
      </c>
      <c r="N49" s="117" t="s">
        <v>181</v>
      </c>
      <c r="O49" s="576">
        <v>0</v>
      </c>
      <c r="Q49" s="93"/>
    </row>
    <row r="50" spans="2:17" x14ac:dyDescent="0.25">
      <c r="B50" s="991" t="s">
        <v>203</v>
      </c>
      <c r="C50" s="532">
        <v>0</v>
      </c>
      <c r="D50" s="532">
        <v>0</v>
      </c>
      <c r="E50" s="533" t="s">
        <v>181</v>
      </c>
      <c r="F50" s="534">
        <v>7975939.1690423265</v>
      </c>
      <c r="G50" s="532">
        <v>8608308.1392547861</v>
      </c>
      <c r="H50" s="533">
        <v>-7.3460308341983138E-2</v>
      </c>
      <c r="I50" s="534">
        <v>43898270.394957699</v>
      </c>
      <c r="J50" s="532">
        <v>54128881.301857308</v>
      </c>
      <c r="K50" s="533">
        <v>-0.18900466185227749</v>
      </c>
      <c r="L50" s="534">
        <v>51874209.564000025</v>
      </c>
      <c r="M50" s="532">
        <v>62737189.441112094</v>
      </c>
      <c r="N50" s="533">
        <v>-0.17315056625717262</v>
      </c>
      <c r="O50" s="992">
        <v>-10862979.877112068</v>
      </c>
    </row>
    <row r="51" spans="2:17" x14ac:dyDescent="0.25">
      <c r="B51" s="991" t="s">
        <v>134</v>
      </c>
      <c r="C51" s="532">
        <v>0</v>
      </c>
      <c r="D51" s="532">
        <v>0</v>
      </c>
      <c r="E51" s="533" t="s">
        <v>181</v>
      </c>
      <c r="F51" s="534">
        <v>6020552.1935662879</v>
      </c>
      <c r="G51" s="532">
        <v>6631484.5764909545</v>
      </c>
      <c r="H51" s="533">
        <v>-9.2126035411506768E-2</v>
      </c>
      <c r="I51" s="534">
        <v>36884871.686433762</v>
      </c>
      <c r="J51" s="532">
        <v>40772310.365482576</v>
      </c>
      <c r="K51" s="533">
        <v>-9.5345067380333659E-2</v>
      </c>
      <c r="L51" s="534">
        <v>42905423.880000047</v>
      </c>
      <c r="M51" s="532">
        <v>47403794.94197353</v>
      </c>
      <c r="N51" s="533">
        <v>-9.4894745610132891E-2</v>
      </c>
      <c r="O51" s="992">
        <v>-4498371.0619734824</v>
      </c>
    </row>
    <row r="52" spans="2:17" x14ac:dyDescent="0.25">
      <c r="B52" s="205" t="s">
        <v>135</v>
      </c>
      <c r="C52" s="77">
        <v>0</v>
      </c>
      <c r="D52" s="77">
        <v>0</v>
      </c>
      <c r="E52" s="77" t="s">
        <v>181</v>
      </c>
      <c r="F52" s="72">
        <v>9.794116209538048E-2</v>
      </c>
      <c r="G52" s="77">
        <v>0.10152166409240718</v>
      </c>
      <c r="H52" s="993">
        <v>-3.5805019970266971E-3</v>
      </c>
      <c r="I52" s="72">
        <v>0.10843846824160888</v>
      </c>
      <c r="J52" s="77">
        <v>0.11851883754081444</v>
      </c>
      <c r="K52" s="993">
        <v>-1.0080369299205555E-2</v>
      </c>
      <c r="L52" s="72">
        <v>0.10591754192395697</v>
      </c>
      <c r="M52" s="77">
        <v>0.11437445091603751</v>
      </c>
      <c r="N52" s="994">
        <v>-8.4569089920805418E-3</v>
      </c>
      <c r="O52" s="80"/>
    </row>
    <row r="53" spans="2:17" x14ac:dyDescent="0.25">
      <c r="B53" s="206" t="s">
        <v>136</v>
      </c>
      <c r="C53" s="63">
        <v>0</v>
      </c>
      <c r="D53" s="63">
        <v>0</v>
      </c>
      <c r="E53" s="63" t="s">
        <v>181</v>
      </c>
      <c r="F53" s="71">
        <v>8.5038677368271642E-2</v>
      </c>
      <c r="G53" s="63">
        <v>8.3151050116738928E-2</v>
      </c>
      <c r="H53" s="995">
        <v>1.8876272515327142E-3</v>
      </c>
      <c r="I53" s="71">
        <v>9.4344390792844984E-2</v>
      </c>
      <c r="J53" s="63">
        <v>0.11188248887785014</v>
      </c>
      <c r="K53" s="995">
        <v>-1.7538098085005158E-2</v>
      </c>
      <c r="L53" s="71">
        <v>9.2109625268266826E-2</v>
      </c>
      <c r="M53" s="63">
        <v>0.10487695993660699</v>
      </c>
      <c r="N53" s="996">
        <v>-1.2767334668340166E-2</v>
      </c>
      <c r="O53" s="60"/>
    </row>
    <row r="54" spans="2:17" x14ac:dyDescent="0.25">
      <c r="B54" s="206" t="s">
        <v>137</v>
      </c>
      <c r="C54" s="63">
        <v>0</v>
      </c>
      <c r="D54" s="63">
        <v>0</v>
      </c>
      <c r="E54" s="63" t="s">
        <v>181</v>
      </c>
      <c r="F54" s="71">
        <v>-0.4630689061021126</v>
      </c>
      <c r="G54" s="63">
        <v>-0.48496326146586549</v>
      </c>
      <c r="H54" s="995">
        <v>2.1894355363752893E-2</v>
      </c>
      <c r="I54" s="71">
        <v>-0.37514145156999684</v>
      </c>
      <c r="J54" s="63">
        <v>-0.36935968946450648</v>
      </c>
      <c r="K54" s="995">
        <v>-5.7817621054903623E-3</v>
      </c>
      <c r="L54" s="71">
        <v>-0.39466704081660903</v>
      </c>
      <c r="M54" s="63">
        <v>-0.3943795287910194</v>
      </c>
      <c r="N54" s="996">
        <v>-2.8751202558963129E-4</v>
      </c>
      <c r="O54" s="60"/>
    </row>
    <row r="55" spans="2:17" x14ac:dyDescent="0.25">
      <c r="B55" s="206" t="s">
        <v>138</v>
      </c>
      <c r="C55" s="63">
        <v>0</v>
      </c>
      <c r="D55" s="63">
        <v>0</v>
      </c>
      <c r="E55" s="63" t="s">
        <v>181</v>
      </c>
      <c r="F55" s="71">
        <v>-0.4630689061021126</v>
      </c>
      <c r="G55" s="63">
        <v>-0.48496326146586549</v>
      </c>
      <c r="H55" s="995">
        <v>2.1894355363752893E-2</v>
      </c>
      <c r="I55" s="71">
        <v>-0.37514145156999684</v>
      </c>
      <c r="J55" s="63">
        <v>-0.36935968946450648</v>
      </c>
      <c r="K55" s="995">
        <v>-5.7817621054903623E-3</v>
      </c>
      <c r="L55" s="71">
        <v>-0.44669194671389678</v>
      </c>
      <c r="M55" s="63">
        <v>-0.44390931230642688</v>
      </c>
      <c r="N55" s="996">
        <v>-2.7826344074698972E-3</v>
      </c>
      <c r="O55" s="60"/>
    </row>
    <row r="56" spans="2:17" x14ac:dyDescent="0.25">
      <c r="B56" s="206" t="s">
        <v>139</v>
      </c>
      <c r="C56" s="63">
        <v>0</v>
      </c>
      <c r="D56" s="63">
        <v>0</v>
      </c>
      <c r="E56" s="63" t="s">
        <v>181</v>
      </c>
      <c r="F56" s="71">
        <v>0.18133036319042498</v>
      </c>
      <c r="G56" s="63">
        <v>0.1892536673444819</v>
      </c>
      <c r="H56" s="995">
        <v>-7.923304154056926E-3</v>
      </c>
      <c r="I56" s="71">
        <v>0.34760105770405031</v>
      </c>
      <c r="J56" s="63">
        <v>0.4058375718199857</v>
      </c>
      <c r="K56" s="995">
        <v>-5.8236514115935389E-2</v>
      </c>
      <c r="L56" s="71">
        <v>0.262481944860884</v>
      </c>
      <c r="M56" s="63">
        <v>0.3047095673095519</v>
      </c>
      <c r="N56" s="997">
        <v>-4.2227622448667901E-2</v>
      </c>
      <c r="O56" s="60"/>
    </row>
    <row r="57" spans="2:17" x14ac:dyDescent="0.25">
      <c r="B57" s="998" t="s">
        <v>140</v>
      </c>
      <c r="C57" s="999">
        <v>0</v>
      </c>
      <c r="D57" s="999">
        <v>0</v>
      </c>
      <c r="E57" s="999" t="s">
        <v>181</v>
      </c>
      <c r="F57" s="1000">
        <v>0.18714320691936071</v>
      </c>
      <c r="G57" s="999">
        <v>0.21745406392515004</v>
      </c>
      <c r="H57" s="1001">
        <v>-0.13938970124845607</v>
      </c>
      <c r="I57" s="1000">
        <v>0.36236007780707541</v>
      </c>
      <c r="J57" s="999">
        <v>0.43110697064050779</v>
      </c>
      <c r="K57" s="1001">
        <v>-0.15946597368002002</v>
      </c>
      <c r="L57" s="1000">
        <v>0.32028177552986115</v>
      </c>
      <c r="M57" s="999">
        <v>0.37901241199971114</v>
      </c>
      <c r="N57" s="1002">
        <v>-0.15495702676326795</v>
      </c>
      <c r="O57" s="1003"/>
    </row>
    <row r="58" spans="2:17" x14ac:dyDescent="0.25">
      <c r="B58" s="121" t="s">
        <v>141</v>
      </c>
      <c r="C58" s="70">
        <v>0</v>
      </c>
      <c r="D58" s="70">
        <v>0</v>
      </c>
      <c r="E58" s="78" t="s">
        <v>181</v>
      </c>
      <c r="F58" s="413">
        <v>395739402.75797868</v>
      </c>
      <c r="G58" s="70">
        <v>390171067.59587777</v>
      </c>
      <c r="H58" s="1004">
        <v>1.4271522479643028E-2</v>
      </c>
      <c r="I58" s="413">
        <v>1252145993.8868012</v>
      </c>
      <c r="J58" s="70">
        <v>1210018758.0419035</v>
      </c>
      <c r="K58" s="1004">
        <v>3.4815357666908797E-2</v>
      </c>
      <c r="L58" s="413">
        <v>1647885396.6447799</v>
      </c>
      <c r="M58" s="70">
        <v>1600189825.6377811</v>
      </c>
      <c r="N58" s="171">
        <v>2.9806195641813193E-2</v>
      </c>
      <c r="O58" s="450">
        <v>-47695571.006998777</v>
      </c>
    </row>
    <row r="59" spans="2:17" x14ac:dyDescent="0.25">
      <c r="B59" s="121" t="s">
        <v>486</v>
      </c>
      <c r="C59" s="70"/>
      <c r="D59" s="70"/>
      <c r="E59" s="198"/>
      <c r="F59" s="413">
        <v>395691771.88797867</v>
      </c>
      <c r="G59" s="70">
        <v>389607947.83589101</v>
      </c>
      <c r="H59" s="1004">
        <v>1.56152462645609E-2</v>
      </c>
      <c r="I59" s="413">
        <v>1243110759.8270214</v>
      </c>
      <c r="J59" s="70">
        <v>1199767758.0419035</v>
      </c>
      <c r="K59" s="1004">
        <v>3.6126159829345861E-2</v>
      </c>
      <c r="L59" s="413">
        <v>1638802531.7150002</v>
      </c>
      <c r="M59" s="70">
        <v>1589375705.8777945</v>
      </c>
      <c r="N59" s="171">
        <v>3.1098264340153392E-2</v>
      </c>
      <c r="O59" s="450">
        <v>-49426825.837205648</v>
      </c>
    </row>
    <row r="60" spans="2:17" x14ac:dyDescent="0.25">
      <c r="B60" s="22"/>
      <c r="C60" s="22"/>
      <c r="D60" s="22"/>
      <c r="E60" s="22"/>
      <c r="F60" s="22"/>
      <c r="G60" s="22"/>
      <c r="H60" s="1005">
        <v>-6083824.0520876646</v>
      </c>
      <c r="I60" s="22"/>
      <c r="J60" s="22"/>
      <c r="K60" s="1005">
        <v>-43343001.785117865</v>
      </c>
      <c r="L60" s="22"/>
      <c r="M60" s="59"/>
      <c r="N60" s="59">
        <v>-49426825.837205648</v>
      </c>
      <c r="O60" s="204"/>
      <c r="Q60" s="26"/>
    </row>
    <row r="61" spans="2:17" s="26" customFormat="1" x14ac:dyDescent="0.25">
      <c r="B61" s="487" t="s">
        <v>487</v>
      </c>
      <c r="C61" s="454">
        <v>0</v>
      </c>
      <c r="D61" s="454">
        <v>0</v>
      </c>
      <c r="E61" s="535" t="s">
        <v>181</v>
      </c>
      <c r="F61" s="453">
        <v>1.7972063625687845E-2</v>
      </c>
      <c r="G61" s="454">
        <v>1.789043743685699E-2</v>
      </c>
      <c r="H61" s="535">
        <v>8.162618883085504E-5</v>
      </c>
      <c r="I61" s="453">
        <v>1.6078065950856417E-2</v>
      </c>
      <c r="J61" s="454">
        <v>1.7584815971683595E-2</v>
      </c>
      <c r="K61" s="535">
        <v>-1.5067500208271779E-3</v>
      </c>
      <c r="L61" s="453">
        <v>1.6535375041733566E-2</v>
      </c>
      <c r="M61" s="454">
        <v>1.7659733784646543E-2</v>
      </c>
      <c r="N61" s="1006">
        <v>-1.1243587429129766E-3</v>
      </c>
      <c r="O61" s="457"/>
      <c r="P61"/>
      <c r="Q61"/>
    </row>
    <row r="62" spans="2:17" x14ac:dyDescent="0.25">
      <c r="C62" s="79"/>
      <c r="D62" s="79"/>
      <c r="E62" s="536"/>
      <c r="F62" s="320"/>
      <c r="G62" s="320"/>
      <c r="H62" s="320"/>
      <c r="I62" s="320"/>
      <c r="J62" s="320"/>
      <c r="K62" s="320"/>
      <c r="L62" s="320"/>
      <c r="M62" s="320"/>
      <c r="N62" s="320"/>
      <c r="O62" s="320"/>
    </row>
    <row r="63" spans="2:17" x14ac:dyDescent="0.25">
      <c r="B63" s="48" t="s">
        <v>145</v>
      </c>
      <c r="C63" s="461">
        <v>0</v>
      </c>
      <c r="D63" s="462">
        <v>0</v>
      </c>
      <c r="E63" s="80" t="s">
        <v>181</v>
      </c>
      <c r="F63" s="461">
        <v>0.24014983297001977</v>
      </c>
      <c r="G63" s="462">
        <v>0.243827989245194</v>
      </c>
      <c r="H63" s="993">
        <v>-3.6781562751742325E-3</v>
      </c>
      <c r="I63" s="461">
        <v>0.75985016702998021</v>
      </c>
      <c r="J63" s="462">
        <v>0.75617201075480611</v>
      </c>
      <c r="K63" s="993">
        <v>3.6781562751740937E-3</v>
      </c>
      <c r="L63" s="461">
        <v>1</v>
      </c>
      <c r="M63" s="462">
        <v>1</v>
      </c>
      <c r="N63" s="994">
        <v>0</v>
      </c>
      <c r="O63" s="462">
        <v>1</v>
      </c>
    </row>
    <row r="64" spans="2:17" x14ac:dyDescent="0.25">
      <c r="B64" s="49" t="s">
        <v>146</v>
      </c>
      <c r="C64" s="465">
        <v>0</v>
      </c>
      <c r="D64" s="466">
        <v>0</v>
      </c>
      <c r="E64" s="62" t="s">
        <v>181</v>
      </c>
      <c r="F64" s="465">
        <v>48256244.18331562</v>
      </c>
      <c r="G64" s="466">
        <v>45744037.546064764</v>
      </c>
      <c r="H64" s="62">
        <v>5.4918777878341762E-2</v>
      </c>
      <c r="I64" s="465">
        <v>152685990.86433446</v>
      </c>
      <c r="J64" s="466">
        <v>141863782.57201225</v>
      </c>
      <c r="K64" s="62">
        <v>7.6285913826023233E-2</v>
      </c>
      <c r="L64" s="465">
        <v>200942235.0476501</v>
      </c>
      <c r="M64" s="466">
        <v>187607820.11807698</v>
      </c>
      <c r="N64" s="62">
        <v>7.1076008031971671E-2</v>
      </c>
      <c r="O64" s="466"/>
    </row>
    <row r="65" spans="2:15" x14ac:dyDescent="0.25">
      <c r="C65" s="58"/>
      <c r="D65" s="58"/>
      <c r="F65" s="58"/>
      <c r="G65" s="58"/>
      <c r="I65" s="58"/>
      <c r="J65" s="58"/>
      <c r="L65" s="58"/>
      <c r="M65" s="58"/>
      <c r="N65" s="221"/>
      <c r="O65" s="58"/>
    </row>
    <row r="66" spans="2:15" x14ac:dyDescent="0.25">
      <c r="B66" s="1007" t="s">
        <v>477</v>
      </c>
      <c r="C66" s="413"/>
      <c r="D66" s="59"/>
      <c r="E66" s="197"/>
      <c r="F66" s="413"/>
      <c r="G66" s="59"/>
      <c r="H66" s="197"/>
      <c r="I66" s="413"/>
      <c r="J66" s="59"/>
      <c r="K66" s="198"/>
      <c r="L66" s="413">
        <v>173872896.69825003</v>
      </c>
      <c r="M66" s="70">
        <v>187607820.11807698</v>
      </c>
      <c r="N66" s="90">
        <v>-7.3210825706425453E-2</v>
      </c>
      <c r="O66" s="70"/>
    </row>
    <row r="67" spans="2:15" x14ac:dyDescent="0.25">
      <c r="B67" s="1007" t="s">
        <v>148</v>
      </c>
      <c r="C67" s="413"/>
      <c r="D67" s="59"/>
      <c r="E67" s="197"/>
      <c r="F67" s="413"/>
      <c r="G67" s="59"/>
      <c r="H67" s="197"/>
      <c r="I67" s="413"/>
      <c r="J67" s="59"/>
      <c r="K67" s="198"/>
      <c r="L67" s="413">
        <v>200942235.0476501</v>
      </c>
      <c r="M67" s="70"/>
      <c r="N67" s="90"/>
      <c r="O67" s="70"/>
    </row>
    <row r="68" spans="2:15" x14ac:dyDescent="0.25">
      <c r="E68"/>
      <c r="H68"/>
      <c r="K68"/>
      <c r="N68"/>
    </row>
    <row r="69" spans="2:15" x14ac:dyDescent="0.25">
      <c r="B69" s="14" t="s">
        <v>567</v>
      </c>
      <c r="C69" s="50"/>
      <c r="D69" s="50"/>
      <c r="E69" s="690"/>
      <c r="F69" s="50"/>
      <c r="G69" s="50"/>
      <c r="H69" s="690"/>
      <c r="I69" s="50"/>
      <c r="J69" s="50"/>
      <c r="K69" s="195" t="s">
        <v>295</v>
      </c>
      <c r="L69" s="691">
        <v>-1.0000027716159821E-2</v>
      </c>
    </row>
    <row r="70" spans="2:15" x14ac:dyDescent="0.25">
      <c r="B70" s="14"/>
      <c r="C70" s="50"/>
      <c r="D70" s="50"/>
      <c r="E70" s="394"/>
      <c r="F70" s="50"/>
      <c r="G70" s="50"/>
      <c r="H70" s="394"/>
      <c r="I70" s="50"/>
      <c r="J70" s="50"/>
    </row>
    <row r="71" spans="2:15" x14ac:dyDescent="0.25">
      <c r="L71" s="58">
        <v>-45923449.129999936</v>
      </c>
      <c r="M71" s="58">
        <v>-48119779.831228025</v>
      </c>
      <c r="N71" s="63">
        <v>-4.5642991487728102E-2</v>
      </c>
      <c r="O71" s="58"/>
    </row>
    <row r="72" spans="2:15" x14ac:dyDescent="0.25">
      <c r="M72" s="58">
        <v>2196330.7012280896</v>
      </c>
      <c r="O72" s="58"/>
    </row>
    <row r="73" spans="2:15" x14ac:dyDescent="0.25">
      <c r="M73" s="45"/>
      <c r="O73" s="45"/>
    </row>
    <row r="74" spans="2:15" x14ac:dyDescent="0.25">
      <c r="L74" s="58"/>
      <c r="M74" s="58"/>
      <c r="O74" s="58"/>
    </row>
    <row r="75" spans="2:15" x14ac:dyDescent="0.25">
      <c r="L75" s="58"/>
      <c r="M75" s="58"/>
      <c r="O75" s="58"/>
    </row>
    <row r="78" spans="2:15" x14ac:dyDescent="0.25">
      <c r="B78" s="1008" t="s">
        <v>568</v>
      </c>
      <c r="C78" s="1009" t="s">
        <v>101</v>
      </c>
      <c r="D78" s="692" t="s">
        <v>102</v>
      </c>
      <c r="E78" s="692" t="s">
        <v>103</v>
      </c>
    </row>
    <row r="80" spans="2:15" x14ac:dyDescent="0.25">
      <c r="B80" s="114" t="s">
        <v>569</v>
      </c>
      <c r="C80" s="462">
        <v>3.8215165820213387E-3</v>
      </c>
      <c r="D80" s="462">
        <v>5.3301292598655365E-3</v>
      </c>
      <c r="E80" s="80">
        <v>-0.28303491421937033</v>
      </c>
      <c r="F80" s="79"/>
    </row>
    <row r="81" spans="2:12" x14ac:dyDescent="0.25">
      <c r="B81" s="201" t="s">
        <v>570</v>
      </c>
      <c r="C81" s="1004">
        <v>-4.0586233468748074E-3</v>
      </c>
      <c r="D81" s="1004">
        <v>-5.4875052749423633E-3</v>
      </c>
      <c r="E81" s="90">
        <v>-0.26038825595161985</v>
      </c>
      <c r="F81" s="109"/>
    </row>
    <row r="82" spans="2:12" x14ac:dyDescent="0.25">
      <c r="C82" s="320"/>
      <c r="D82" s="320"/>
      <c r="E82" s="63"/>
    </row>
    <row r="83" spans="2:12" x14ac:dyDescent="0.25">
      <c r="B83" s="1008" t="s">
        <v>571</v>
      </c>
      <c r="C83" s="1009" t="s">
        <v>101</v>
      </c>
      <c r="D83" s="692" t="s">
        <v>580</v>
      </c>
      <c r="E83" s="692" t="s">
        <v>103</v>
      </c>
      <c r="F83" s="692" t="s">
        <v>104</v>
      </c>
    </row>
    <row r="84" spans="2:12" x14ac:dyDescent="0.25">
      <c r="B84" s="34" t="s">
        <v>572</v>
      </c>
      <c r="C84" s="693">
        <v>1682073363.7999997</v>
      </c>
      <c r="D84" s="693">
        <v>1625228259.1078827</v>
      </c>
      <c r="E84" s="1010">
        <v>3.4976689811756279E-2</v>
      </c>
      <c r="F84" s="693">
        <v>56845104.692116976</v>
      </c>
      <c r="G84" s="85"/>
    </row>
    <row r="85" spans="2:12" x14ac:dyDescent="0.25">
      <c r="B85" s="34" t="s">
        <v>573</v>
      </c>
      <c r="C85" s="693">
        <v>1135490205.7549996</v>
      </c>
      <c r="D85" s="693">
        <v>1023501166.4172993</v>
      </c>
      <c r="E85" s="1010">
        <v>0.10941759815449048</v>
      </c>
      <c r="F85" s="693">
        <v>111989039.33770037</v>
      </c>
    </row>
    <row r="86" spans="2:12" x14ac:dyDescent="0.25">
      <c r="B86" s="34" t="s">
        <v>574</v>
      </c>
      <c r="C86" s="693">
        <v>546583158.04500008</v>
      </c>
      <c r="D86" s="693">
        <v>601727092.69058347</v>
      </c>
      <c r="E86" s="1010">
        <v>-9.1642765159552497E-2</v>
      </c>
      <c r="F86" s="693">
        <v>-55143934.645583391</v>
      </c>
    </row>
    <row r="87" spans="2:12" x14ac:dyDescent="0.25">
      <c r="B87" s="34" t="s">
        <v>149</v>
      </c>
      <c r="C87" s="694">
        <v>-116820783.38000001</v>
      </c>
      <c r="D87" s="694">
        <v>-119436214.31176336</v>
      </c>
      <c r="E87" s="1010">
        <v>-2.1898139913714254E-2</v>
      </c>
      <c r="F87" s="694">
        <v>2615430.931763351</v>
      </c>
    </row>
    <row r="88" spans="2:12" ht="15.75" x14ac:dyDescent="0.3">
      <c r="B88" s="113" t="s">
        <v>150</v>
      </c>
      <c r="C88" s="695">
        <v>-119229313.20999999</v>
      </c>
      <c r="D88" s="695">
        <v>-113771148.4722953</v>
      </c>
      <c r="E88" s="1011">
        <v>4.7974946293469323E-2</v>
      </c>
      <c r="F88" s="695">
        <v>-5458164.7377046943</v>
      </c>
    </row>
    <row r="89" spans="2:12" ht="15.75" x14ac:dyDescent="0.3">
      <c r="B89" s="113" t="s">
        <v>151</v>
      </c>
      <c r="C89" s="695">
        <v>-17747001.330000002</v>
      </c>
      <c r="D89" s="695">
        <v>-26415844.761722472</v>
      </c>
      <c r="E89" s="1011">
        <v>-0.3281683213206924</v>
      </c>
      <c r="F89" s="695">
        <v>8668843.4317224696</v>
      </c>
    </row>
    <row r="90" spans="2:12" ht="15.75" x14ac:dyDescent="0.3">
      <c r="B90" s="113" t="s">
        <v>152</v>
      </c>
      <c r="C90" s="695">
        <v>-2027145.5499999993</v>
      </c>
      <c r="D90" s="695">
        <v>-1742955.6317922818</v>
      </c>
      <c r="E90" s="1011">
        <v>0.16305057514027776</v>
      </c>
      <c r="F90" s="695">
        <v>-284189.91820771759</v>
      </c>
    </row>
    <row r="91" spans="2:12" ht="15.75" x14ac:dyDescent="0.3">
      <c r="B91" s="113" t="s">
        <v>153</v>
      </c>
      <c r="C91" s="695">
        <v>16137980.33</v>
      </c>
      <c r="D91" s="695">
        <v>17664308.968260236</v>
      </c>
      <c r="E91" s="1010">
        <v>-8.6407492135853636E-2</v>
      </c>
      <c r="F91" s="693">
        <v>-1526328.638260236</v>
      </c>
    </row>
    <row r="92" spans="2:12" ht="15.75" x14ac:dyDescent="0.3">
      <c r="B92" s="113" t="s">
        <v>154</v>
      </c>
      <c r="C92" s="695">
        <v>6044696.3799999999</v>
      </c>
      <c r="D92" s="695">
        <v>4829425.585786446</v>
      </c>
      <c r="E92" s="1010">
        <v>0.25163878656505978</v>
      </c>
      <c r="F92" s="693">
        <v>1215270.7942135539</v>
      </c>
    </row>
    <row r="93" spans="2:12" x14ac:dyDescent="0.25">
      <c r="I93" t="s">
        <v>581</v>
      </c>
      <c r="L93" s="45">
        <v>53903023.704000078</v>
      </c>
    </row>
    <row r="94" spans="2:12" x14ac:dyDescent="0.25">
      <c r="I94" t="s">
        <v>582</v>
      </c>
      <c r="L94" s="93">
        <v>255618698.26000005</v>
      </c>
    </row>
    <row r="95" spans="2:12" x14ac:dyDescent="0.25">
      <c r="I95" t="s">
        <v>583</v>
      </c>
      <c r="L95" s="79">
        <v>0.21087277288758097</v>
      </c>
    </row>
  </sheetData>
  <mergeCells count="4">
    <mergeCell ref="C3:E3"/>
    <mergeCell ref="F3:H3"/>
    <mergeCell ref="I3:K3"/>
    <mergeCell ref="L3:N3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060EB-16DD-4CF9-9A1B-442F68C3F7CC}">
  <dimension ref="A1:J69"/>
  <sheetViews>
    <sheetView topLeftCell="A4" workbookViewId="0">
      <selection activeCell="K5" sqref="K5"/>
    </sheetView>
  </sheetViews>
  <sheetFormatPr defaultRowHeight="15" x14ac:dyDescent="0.25"/>
  <cols>
    <col min="1" max="1" width="47.5703125" bestFit="1" customWidth="1"/>
    <col min="2" max="3" width="12.7109375" bestFit="1" customWidth="1"/>
    <col min="4" max="4" width="8.5703125" bestFit="1" customWidth="1"/>
    <col min="5" max="6" width="14" bestFit="1" customWidth="1"/>
    <col min="7" max="7" width="34.7109375" bestFit="1" customWidth="1"/>
    <col min="8" max="9" width="14" bestFit="1" customWidth="1"/>
    <col min="10" max="10" width="8.42578125" bestFit="1" customWidth="1"/>
  </cols>
  <sheetData>
    <row r="1" spans="1:10" x14ac:dyDescent="0.25">
      <c r="A1" s="194" t="s">
        <v>97</v>
      </c>
      <c r="B1" s="202" t="s">
        <v>205</v>
      </c>
      <c r="C1" s="196">
        <v>45688</v>
      </c>
      <c r="D1" s="203" t="s">
        <v>206</v>
      </c>
      <c r="E1" s="196">
        <v>46022</v>
      </c>
      <c r="G1" s="482" t="s">
        <v>207</v>
      </c>
      <c r="J1" s="483">
        <v>1</v>
      </c>
    </row>
    <row r="2" spans="1:10" x14ac:dyDescent="0.25">
      <c r="A2" s="24"/>
      <c r="B2" s="45"/>
      <c r="C2" s="58"/>
      <c r="D2" s="195"/>
      <c r="E2" s="45"/>
      <c r="G2" s="195"/>
      <c r="H2" s="45"/>
      <c r="J2" s="195"/>
    </row>
    <row r="3" spans="1:10" x14ac:dyDescent="0.25">
      <c r="A3" s="484"/>
      <c r="B3" s="817" t="s">
        <v>98</v>
      </c>
      <c r="C3" s="817"/>
      <c r="D3" s="818"/>
      <c r="E3" s="816" t="s">
        <v>99</v>
      </c>
      <c r="F3" s="817"/>
      <c r="G3" s="818"/>
      <c r="H3" s="817" t="s">
        <v>100</v>
      </c>
      <c r="I3" s="817"/>
      <c r="J3" s="818"/>
    </row>
    <row r="4" spans="1:10" x14ac:dyDescent="0.25">
      <c r="A4" s="484"/>
      <c r="B4" s="359" t="s">
        <v>101</v>
      </c>
      <c r="C4" s="359" t="s">
        <v>102</v>
      </c>
      <c r="D4" s="361" t="s">
        <v>103</v>
      </c>
      <c r="E4" s="357" t="s">
        <v>101</v>
      </c>
      <c r="F4" s="359" t="s">
        <v>102</v>
      </c>
      <c r="G4" s="361" t="s">
        <v>103</v>
      </c>
      <c r="H4" s="485" t="s">
        <v>101</v>
      </c>
      <c r="I4" s="485" t="s">
        <v>102</v>
      </c>
      <c r="J4" s="486" t="s">
        <v>103</v>
      </c>
    </row>
    <row r="5" spans="1:10" x14ac:dyDescent="0.25">
      <c r="A5" s="487" t="s">
        <v>105</v>
      </c>
      <c r="B5" s="435">
        <v>88269443.918068916</v>
      </c>
      <c r="C5" s="436">
        <v>84959052.245709285</v>
      </c>
      <c r="D5" s="433">
        <v>3.8964555098680576E-2</v>
      </c>
      <c r="E5" s="435">
        <v>272313864.071931</v>
      </c>
      <c r="F5" s="436">
        <v>293729283.70117211</v>
      </c>
      <c r="G5" s="433">
        <v>-7.2908697966350022E-2</v>
      </c>
      <c r="H5" s="436">
        <v>360583307.98999995</v>
      </c>
      <c r="I5" s="436">
        <v>378688335.94688129</v>
      </c>
      <c r="J5" s="433">
        <v>-4.7809837901690577E-2</v>
      </c>
    </row>
    <row r="6" spans="1:10" x14ac:dyDescent="0.25">
      <c r="A6" s="205" t="s">
        <v>106</v>
      </c>
      <c r="B6" s="398">
        <v>87920540.611735299</v>
      </c>
      <c r="C6" s="398">
        <v>83941999.62941049</v>
      </c>
      <c r="D6" s="463">
        <v>4.7396309355142607E-2</v>
      </c>
      <c r="E6" s="397">
        <v>235061838.28826463</v>
      </c>
      <c r="F6" s="398">
        <v>261894426.24448463</v>
      </c>
      <c r="G6" s="463">
        <v>-0.10245574272425007</v>
      </c>
      <c r="H6" s="398">
        <v>322982378.89999992</v>
      </c>
      <c r="I6" s="398">
        <v>345836425.87389511</v>
      </c>
      <c r="J6" s="463">
        <v>-6.6083400313154517E-2</v>
      </c>
    </row>
    <row r="7" spans="1:10" x14ac:dyDescent="0.25">
      <c r="A7" s="242" t="s">
        <v>107</v>
      </c>
      <c r="B7" s="488">
        <v>68686739.329999983</v>
      </c>
      <c r="C7" s="488">
        <v>66826764.839100353</v>
      </c>
      <c r="D7" s="489">
        <v>2.7832777710815604E-2</v>
      </c>
      <c r="E7" s="490">
        <v>183327120.24999994</v>
      </c>
      <c r="F7" s="488">
        <v>181242171.85207579</v>
      </c>
      <c r="G7" s="489">
        <v>1.150366041533557E-2</v>
      </c>
      <c r="H7" s="488">
        <v>252013859.57999992</v>
      </c>
      <c r="I7" s="488">
        <v>248068936.69117615</v>
      </c>
      <c r="J7" s="489">
        <v>1.5902526698596153E-2</v>
      </c>
    </row>
    <row r="8" spans="1:10" x14ac:dyDescent="0.25">
      <c r="A8" s="242" t="s">
        <v>108</v>
      </c>
      <c r="B8" s="488">
        <v>0</v>
      </c>
      <c r="C8" s="488">
        <v>0</v>
      </c>
      <c r="D8" s="489" t="s">
        <v>181</v>
      </c>
      <c r="E8" s="490">
        <v>46919033.060000002</v>
      </c>
      <c r="F8" s="488">
        <v>78348181.568348736</v>
      </c>
      <c r="G8" s="489">
        <v>-0.40114713423094361</v>
      </c>
      <c r="H8" s="488">
        <v>46919033.060000002</v>
      </c>
      <c r="I8" s="488">
        <v>78348181.568348736</v>
      </c>
      <c r="J8" s="489">
        <v>-0.40114713423094361</v>
      </c>
    </row>
    <row r="9" spans="1:10" x14ac:dyDescent="0.25">
      <c r="A9" s="242" t="s">
        <v>109</v>
      </c>
      <c r="B9" s="488">
        <v>0</v>
      </c>
      <c r="C9" s="488">
        <v>0</v>
      </c>
      <c r="D9" s="489" t="s">
        <v>181</v>
      </c>
      <c r="E9" s="490">
        <v>4285982.5799999991</v>
      </c>
      <c r="F9" s="488">
        <v>1816085.2834077682</v>
      </c>
      <c r="G9" s="489">
        <v>1.3600117346678928</v>
      </c>
      <c r="H9" s="488">
        <v>4285982.5799999991</v>
      </c>
      <c r="I9" s="488">
        <v>1816085.2834077682</v>
      </c>
      <c r="J9" s="489">
        <v>1.3600117346678928</v>
      </c>
    </row>
    <row r="10" spans="1:10" x14ac:dyDescent="0.25">
      <c r="A10" s="242"/>
      <c r="B10" s="488"/>
      <c r="C10" s="488"/>
      <c r="D10" s="489"/>
      <c r="E10" s="490"/>
      <c r="F10" s="488"/>
      <c r="G10" s="489"/>
      <c r="H10" s="488"/>
      <c r="I10" s="488"/>
      <c r="J10" s="489"/>
    </row>
    <row r="11" spans="1:10" x14ac:dyDescent="0.25">
      <c r="A11" s="242" t="s">
        <v>110</v>
      </c>
      <c r="B11" s="64">
        <v>19233801.281735316</v>
      </c>
      <c r="C11" s="64">
        <v>17115234.790310137</v>
      </c>
      <c r="D11" s="391">
        <v>0.1237824965524057</v>
      </c>
      <c r="E11" s="390">
        <v>529702.39826468087</v>
      </c>
      <c r="F11" s="64">
        <v>487987.5406523429</v>
      </c>
      <c r="G11" s="391">
        <v>8.5483448115444727E-2</v>
      </c>
      <c r="H11" s="64">
        <v>19763503.679999996</v>
      </c>
      <c r="I11" s="64">
        <v>17603222.330962479</v>
      </c>
      <c r="J11" s="391">
        <v>0.1227207898884386</v>
      </c>
    </row>
    <row r="12" spans="1:10" x14ac:dyDescent="0.25">
      <c r="A12" s="206" t="s">
        <v>111</v>
      </c>
      <c r="B12" s="64">
        <v>0</v>
      </c>
      <c r="C12" s="64">
        <v>531524.41414060327</v>
      </c>
      <c r="D12" s="391">
        <v>-1</v>
      </c>
      <c r="E12" s="390">
        <v>18145792.369999997</v>
      </c>
      <c r="F12" s="64">
        <v>14301322</v>
      </c>
      <c r="G12" s="391">
        <v>0.26881923013830455</v>
      </c>
      <c r="H12" s="64">
        <v>18145792.369999997</v>
      </c>
      <c r="I12" s="64">
        <v>14832846.414140603</v>
      </c>
      <c r="J12" s="391">
        <v>0.22335200293728263</v>
      </c>
    </row>
    <row r="13" spans="1:10" x14ac:dyDescent="0.25">
      <c r="A13" s="206" t="s">
        <v>112</v>
      </c>
      <c r="B13" s="64">
        <v>348903.30633361702</v>
      </c>
      <c r="C13" s="64">
        <v>485528.20215819799</v>
      </c>
      <c r="D13" s="391">
        <v>-0.28139435612035768</v>
      </c>
      <c r="E13" s="390">
        <v>493609.1936663831</v>
      </c>
      <c r="F13" s="64">
        <v>655463.07291356754</v>
      </c>
      <c r="G13" s="391">
        <v>-0.24693058378977095</v>
      </c>
      <c r="H13" s="64">
        <v>842512.50000000012</v>
      </c>
      <c r="I13" s="64">
        <v>1140991.2750717655</v>
      </c>
      <c r="J13" s="391">
        <v>-0.26159601882406314</v>
      </c>
    </row>
    <row r="14" spans="1:10" x14ac:dyDescent="0.25">
      <c r="A14" s="206" t="s">
        <v>113</v>
      </c>
      <c r="B14" s="64">
        <v>0</v>
      </c>
      <c r="C14" s="64">
        <v>0</v>
      </c>
      <c r="D14" s="391" t="s">
        <v>181</v>
      </c>
      <c r="E14" s="390">
        <v>4424123.92</v>
      </c>
      <c r="F14" s="64">
        <v>4857056.446978556</v>
      </c>
      <c r="G14" s="391">
        <v>-8.9134753055602589E-2</v>
      </c>
      <c r="H14" s="64">
        <v>4424123.92</v>
      </c>
      <c r="I14" s="64">
        <v>4857056.446978556</v>
      </c>
      <c r="J14" s="391">
        <v>-8.9134753055602589E-2</v>
      </c>
    </row>
    <row r="15" spans="1:10" x14ac:dyDescent="0.25">
      <c r="A15" s="206" t="s">
        <v>155</v>
      </c>
      <c r="B15" s="64">
        <v>0</v>
      </c>
      <c r="C15" s="64">
        <v>0</v>
      </c>
      <c r="D15" s="391" t="s">
        <v>181</v>
      </c>
      <c r="E15" s="390">
        <v>3983364.57</v>
      </c>
      <c r="F15" s="64">
        <v>3360000</v>
      </c>
      <c r="G15" s="391">
        <v>0.18552516964285704</v>
      </c>
      <c r="H15" s="64">
        <v>3983364.57</v>
      </c>
      <c r="I15" s="64">
        <v>3360000</v>
      </c>
      <c r="J15" s="391">
        <v>0.18552516964285704</v>
      </c>
    </row>
    <row r="16" spans="1:10" x14ac:dyDescent="0.25">
      <c r="A16" s="244" t="s">
        <v>114</v>
      </c>
      <c r="B16" s="488">
        <v>0</v>
      </c>
      <c r="C16" s="488">
        <v>0</v>
      </c>
      <c r="D16" s="489" t="s">
        <v>181</v>
      </c>
      <c r="E16" s="490">
        <v>410438.52999999997</v>
      </c>
      <c r="F16" s="488">
        <v>0</v>
      </c>
      <c r="G16" s="489" t="s">
        <v>181</v>
      </c>
      <c r="H16" s="488">
        <v>410438.52999999997</v>
      </c>
      <c r="I16" s="488">
        <v>0</v>
      </c>
      <c r="J16" s="489" t="s">
        <v>181</v>
      </c>
    </row>
    <row r="17" spans="1:10" x14ac:dyDescent="0.25">
      <c r="A17" s="244" t="s">
        <v>115</v>
      </c>
      <c r="B17" s="488">
        <v>0</v>
      </c>
      <c r="C17" s="488">
        <v>0</v>
      </c>
      <c r="D17" s="489" t="s">
        <v>181</v>
      </c>
      <c r="E17" s="490">
        <v>1667265.4340000001</v>
      </c>
      <c r="F17" s="488">
        <v>0</v>
      </c>
      <c r="G17" s="489" t="s">
        <v>181</v>
      </c>
      <c r="H17" s="488">
        <v>1667265.4340000001</v>
      </c>
      <c r="I17" s="488">
        <v>0</v>
      </c>
      <c r="J17" s="489" t="s">
        <v>181</v>
      </c>
    </row>
    <row r="18" spans="1:10" x14ac:dyDescent="0.25">
      <c r="A18" s="244" t="s">
        <v>116</v>
      </c>
      <c r="B18" s="488">
        <v>0</v>
      </c>
      <c r="C18" s="488">
        <v>0</v>
      </c>
      <c r="D18" s="489" t="s">
        <v>181</v>
      </c>
      <c r="E18" s="490">
        <v>931451.97499999998</v>
      </c>
      <c r="F18" s="488">
        <v>0</v>
      </c>
      <c r="G18" s="489" t="s">
        <v>181</v>
      </c>
      <c r="H18" s="488">
        <v>931451.97499999998</v>
      </c>
      <c r="I18" s="488">
        <v>0</v>
      </c>
      <c r="J18" s="489" t="s">
        <v>181</v>
      </c>
    </row>
    <row r="19" spans="1:10" x14ac:dyDescent="0.25">
      <c r="A19" s="206" t="s">
        <v>10</v>
      </c>
      <c r="B19" s="64">
        <v>0</v>
      </c>
      <c r="C19" s="64">
        <v>0</v>
      </c>
      <c r="D19" s="391" t="s">
        <v>181</v>
      </c>
      <c r="E19" s="390">
        <v>8976643.6699999999</v>
      </c>
      <c r="F19" s="64">
        <v>7888318.3509178814</v>
      </c>
      <c r="G19" s="391">
        <v>0.13796670857680104</v>
      </c>
      <c r="H19" s="64">
        <v>8976643.6699999999</v>
      </c>
      <c r="I19" s="64">
        <v>7888318.3509178814</v>
      </c>
      <c r="J19" s="391">
        <v>0.13796670857680104</v>
      </c>
    </row>
    <row r="20" spans="1:10" x14ac:dyDescent="0.25">
      <c r="A20" s="206" t="s">
        <v>117</v>
      </c>
      <c r="B20" s="64">
        <v>0</v>
      </c>
      <c r="C20" s="64">
        <v>0</v>
      </c>
      <c r="D20" s="391" t="s">
        <v>181</v>
      </c>
      <c r="E20" s="390">
        <v>683540.55000000133</v>
      </c>
      <c r="F20" s="64">
        <v>772697.58587743749</v>
      </c>
      <c r="G20" s="391">
        <v>-0.11538412634768858</v>
      </c>
      <c r="H20" s="64">
        <v>683540.55000000133</v>
      </c>
      <c r="I20" s="64">
        <v>772697.58587743749</v>
      </c>
      <c r="J20" s="391">
        <v>-0.11538412634768858</v>
      </c>
    </row>
    <row r="21" spans="1:10" x14ac:dyDescent="0.25">
      <c r="A21" s="206" t="s">
        <v>264</v>
      </c>
      <c r="B21" s="64">
        <v>0</v>
      </c>
      <c r="C21" s="64">
        <v>0</v>
      </c>
      <c r="D21" s="391" t="s">
        <v>181</v>
      </c>
      <c r="E21" s="390">
        <v>544951.51</v>
      </c>
      <c r="F21" s="64">
        <v>0</v>
      </c>
      <c r="G21" s="391" t="s">
        <v>181</v>
      </c>
      <c r="H21" s="64">
        <v>544951.51</v>
      </c>
      <c r="I21" s="64">
        <v>0</v>
      </c>
      <c r="J21" s="391" t="s">
        <v>181</v>
      </c>
    </row>
    <row r="22" spans="1:10" x14ac:dyDescent="0.25">
      <c r="A22" s="491" t="s">
        <v>118</v>
      </c>
      <c r="B22" s="432">
        <v>-48653179.238372304</v>
      </c>
      <c r="C22" s="432">
        <v>-45170056.628978945</v>
      </c>
      <c r="D22" s="433">
        <v>7.7111318190350664E-2</v>
      </c>
      <c r="E22" s="431">
        <v>-132054014.10162772</v>
      </c>
      <c r="F22" s="432">
        <v>-142108748.29065725</v>
      </c>
      <c r="G22" s="433">
        <v>-7.0753801648188674E-2</v>
      </c>
      <c r="H22" s="432">
        <v>-180707193.34000003</v>
      </c>
      <c r="I22" s="432">
        <v>-187278804.91963619</v>
      </c>
      <c r="J22" s="433">
        <v>-3.5089991002751897E-2</v>
      </c>
    </row>
    <row r="23" spans="1:10" x14ac:dyDescent="0.25">
      <c r="A23" s="205" t="s">
        <v>119</v>
      </c>
      <c r="B23" s="398">
        <v>-48653179.238372304</v>
      </c>
      <c r="C23" s="398">
        <v>-45170056.628978945</v>
      </c>
      <c r="D23" s="399">
        <v>7.7111318190350664E-2</v>
      </c>
      <c r="E23" s="397">
        <v>-132054014.10162772</v>
      </c>
      <c r="F23" s="398">
        <v>-142108748.29065725</v>
      </c>
      <c r="G23" s="399">
        <v>-7.0753801648188674E-2</v>
      </c>
      <c r="H23" s="398">
        <v>-180707193.34000003</v>
      </c>
      <c r="I23" s="398">
        <v>-187278804.91963619</v>
      </c>
      <c r="J23" s="399">
        <v>-3.5089991002751897E-2</v>
      </c>
    </row>
    <row r="24" spans="1:10" x14ac:dyDescent="0.25">
      <c r="A24" s="242" t="s">
        <v>120</v>
      </c>
      <c r="B24" s="488">
        <v>0</v>
      </c>
      <c r="C24" s="488">
        <v>0</v>
      </c>
      <c r="D24" s="492" t="s">
        <v>181</v>
      </c>
      <c r="E24" s="490">
        <v>-53112595.3156</v>
      </c>
      <c r="F24" s="488">
        <v>-77654065.203214914</v>
      </c>
      <c r="G24" s="492">
        <v>-0.31603586783759119</v>
      </c>
      <c r="H24" s="488">
        <v>-53112595.3156</v>
      </c>
      <c r="I24" s="488">
        <v>-77654065.203214914</v>
      </c>
      <c r="J24" s="492">
        <v>-0.31603586783759119</v>
      </c>
    </row>
    <row r="25" spans="1:10" x14ac:dyDescent="0.25">
      <c r="A25" s="242" t="s">
        <v>121</v>
      </c>
      <c r="B25" s="488">
        <v>-61004861.419318475</v>
      </c>
      <c r="C25" s="488">
        <v>-57980136.292790405</v>
      </c>
      <c r="D25" s="492">
        <v>5.2168299695842135E-2</v>
      </c>
      <c r="E25" s="490">
        <v>-100751943.36508156</v>
      </c>
      <c r="F25" s="488">
        <v>-84729262.193291232</v>
      </c>
      <c r="G25" s="492">
        <v>0.18910445762218608</v>
      </c>
      <c r="H25" s="488">
        <v>-161756804.78440005</v>
      </c>
      <c r="I25" s="488">
        <v>-142709398.48608163</v>
      </c>
      <c r="J25" s="492">
        <v>0.13346988005261684</v>
      </c>
    </row>
    <row r="26" spans="1:10" x14ac:dyDescent="0.25">
      <c r="A26" s="242" t="s">
        <v>122</v>
      </c>
      <c r="B26" s="488">
        <v>5493918.9309461713</v>
      </c>
      <c r="C26" s="488">
        <v>5922495.9634070927</v>
      </c>
      <c r="D26" s="492">
        <v>-7.2364259107805196E-2</v>
      </c>
      <c r="E26" s="490">
        <v>18476785.379053831</v>
      </c>
      <c r="F26" s="488">
        <v>18971718.877966382</v>
      </c>
      <c r="G26" s="492">
        <v>-2.6087962935575804E-2</v>
      </c>
      <c r="H26" s="488">
        <v>23970704.310000002</v>
      </c>
      <c r="I26" s="488">
        <v>24894214.841373473</v>
      </c>
      <c r="J26" s="492">
        <v>-3.7097395409258827E-2</v>
      </c>
    </row>
    <row r="27" spans="1:10" x14ac:dyDescent="0.25">
      <c r="A27" s="242" t="s">
        <v>17</v>
      </c>
      <c r="B27" s="488">
        <v>6857763.25</v>
      </c>
      <c r="C27" s="488">
        <v>6887583.7004043702</v>
      </c>
      <c r="D27" s="492">
        <v>-4.3295953561507394E-3</v>
      </c>
      <c r="E27" s="490">
        <v>3333739.2</v>
      </c>
      <c r="F27" s="488">
        <v>1302860.2278825049</v>
      </c>
      <c r="G27" s="492">
        <v>1.558784993704363</v>
      </c>
      <c r="H27" s="488">
        <v>10191502.449999999</v>
      </c>
      <c r="I27" s="488">
        <v>8190443.9282868747</v>
      </c>
      <c r="J27" s="492">
        <v>0.24431624698658649</v>
      </c>
    </row>
    <row r="28" spans="1:10" x14ac:dyDescent="0.25">
      <c r="A28" s="207" t="s">
        <v>28</v>
      </c>
      <c r="B28" s="466">
        <v>-1591790.6186705858</v>
      </c>
      <c r="C28" s="466">
        <v>-1792668.0663915609</v>
      </c>
      <c r="D28" s="424">
        <v>-0.11205501536339568</v>
      </c>
      <c r="E28" s="465">
        <v>-6527501.4713294124</v>
      </c>
      <c r="F28" s="466">
        <v>-6510661.0809474252</v>
      </c>
      <c r="G28" s="424">
        <v>2.5865868569427963E-3</v>
      </c>
      <c r="H28" s="466">
        <v>-8119292.089999998</v>
      </c>
      <c r="I28" s="466">
        <v>-8303329.1473389864</v>
      </c>
      <c r="J28" s="424">
        <v>-2.2164249311731554E-2</v>
      </c>
    </row>
    <row r="29" spans="1:10" x14ac:dyDescent="0.25">
      <c r="A29" s="491" t="s">
        <v>123</v>
      </c>
      <c r="B29" s="493">
        <v>38024474.061026029</v>
      </c>
      <c r="C29" s="493">
        <v>37996327.550338782</v>
      </c>
      <c r="D29" s="433">
        <v>7.4076924013133372E-4</v>
      </c>
      <c r="E29" s="494">
        <v>133732348.49897389</v>
      </c>
      <c r="F29" s="493">
        <v>145109874.32956743</v>
      </c>
      <c r="G29" s="433">
        <v>-7.840628270928951E-2</v>
      </c>
      <c r="H29" s="493">
        <v>171756822.55999991</v>
      </c>
      <c r="I29" s="493">
        <v>183106201.87990612</v>
      </c>
      <c r="J29" s="433">
        <v>-6.198249542279255E-2</v>
      </c>
    </row>
    <row r="30" spans="1:10" x14ac:dyDescent="0.25">
      <c r="A30" s="121" t="s">
        <v>24</v>
      </c>
      <c r="B30" s="70">
        <v>-5498186.0799999991</v>
      </c>
      <c r="C30" s="70">
        <v>-7372217.7786294352</v>
      </c>
      <c r="D30" s="412">
        <v>-0.25420189078812538</v>
      </c>
      <c r="E30" s="413">
        <v>-14656115.159999998</v>
      </c>
      <c r="F30" s="70">
        <v>-7837978.2707761629</v>
      </c>
      <c r="G30" s="412">
        <v>0.86988463780834935</v>
      </c>
      <c r="H30" s="70">
        <v>-20154301.239999998</v>
      </c>
      <c r="I30" s="70">
        <v>-15210196.049405597</v>
      </c>
      <c r="J30" s="412">
        <v>0.32505203578803399</v>
      </c>
    </row>
    <row r="31" spans="1:10" x14ac:dyDescent="0.25">
      <c r="A31" s="495" t="s">
        <v>24</v>
      </c>
      <c r="B31" s="496">
        <v>-5498186.0799999991</v>
      </c>
      <c r="C31" s="496">
        <v>-7372217.7786294352</v>
      </c>
      <c r="D31" s="497">
        <v>-0.25420189078812538</v>
      </c>
      <c r="E31" s="498">
        <v>-10630351.889999999</v>
      </c>
      <c r="F31" s="496">
        <v>-7837978.2707761629</v>
      </c>
      <c r="G31" s="497">
        <v>0.35626197505996893</v>
      </c>
      <c r="H31" s="70">
        <v>-16128537.969999999</v>
      </c>
      <c r="I31" s="70">
        <v>-15210196.049405597</v>
      </c>
      <c r="J31" s="412">
        <v>6.0376731345963774E-2</v>
      </c>
    </row>
    <row r="32" spans="1:10" x14ac:dyDescent="0.25">
      <c r="A32" s="495" t="s">
        <v>124</v>
      </c>
      <c r="B32" s="496">
        <v>0</v>
      </c>
      <c r="C32" s="496">
        <v>0</v>
      </c>
      <c r="D32" s="497" t="s">
        <v>181</v>
      </c>
      <c r="E32" s="498">
        <v>-4025763.27</v>
      </c>
      <c r="F32" s="496">
        <v>0</v>
      </c>
      <c r="G32" s="497" t="s">
        <v>181</v>
      </c>
      <c r="H32" s="70">
        <v>-4025763.27</v>
      </c>
      <c r="I32" s="70">
        <v>0</v>
      </c>
      <c r="J32" s="412" t="s">
        <v>181</v>
      </c>
    </row>
    <row r="33" spans="1:10" x14ac:dyDescent="0.25">
      <c r="A33" s="487" t="s">
        <v>125</v>
      </c>
      <c r="B33" s="436">
        <v>32526287.981026031</v>
      </c>
      <c r="C33" s="436">
        <v>30624109.771709345</v>
      </c>
      <c r="D33" s="433">
        <v>6.2113747093276217E-2</v>
      </c>
      <c r="E33" s="435">
        <v>119076233.33897389</v>
      </c>
      <c r="F33" s="436">
        <v>137271896.05879128</v>
      </c>
      <c r="G33" s="433">
        <v>-0.13255198800506462</v>
      </c>
      <c r="H33" s="436">
        <v>151602521.3199999</v>
      </c>
      <c r="I33" s="436">
        <v>167896005.83050051</v>
      </c>
      <c r="J33" s="433">
        <v>-9.704509901771996E-2</v>
      </c>
    </row>
    <row r="34" spans="1:10" x14ac:dyDescent="0.25">
      <c r="A34" s="205" t="s">
        <v>480</v>
      </c>
      <c r="B34" s="499">
        <v>-17658238.012278315</v>
      </c>
      <c r="C34" s="499">
        <v>-20638805.5347992</v>
      </c>
      <c r="D34" s="500">
        <v>-0.14441569874261062</v>
      </c>
      <c r="E34" s="501">
        <v>-52085354.287721559</v>
      </c>
      <c r="F34" s="499">
        <v>-55082876.757599086</v>
      </c>
      <c r="G34" s="500">
        <v>-5.4418408157377085E-2</v>
      </c>
      <c r="H34" s="499">
        <v>-69743592.299999863</v>
      </c>
      <c r="I34" s="499">
        <v>-75721682.292398289</v>
      </c>
      <c r="J34" s="500">
        <v>-7.8948193059342087E-2</v>
      </c>
    </row>
    <row r="35" spans="1:10" x14ac:dyDescent="0.25">
      <c r="A35" s="206" t="s">
        <v>126</v>
      </c>
      <c r="B35" s="64">
        <v>-9020916.0521943681</v>
      </c>
      <c r="C35" s="64">
        <v>-8317602.0712007023</v>
      </c>
      <c r="D35" s="404">
        <v>8.4557300887097897E-2</v>
      </c>
      <c r="E35" s="390">
        <v>-30259435.958541404</v>
      </c>
      <c r="F35" s="64">
        <v>-26684630.337192975</v>
      </c>
      <c r="G35" s="404">
        <v>0.13396496695574878</v>
      </c>
      <c r="H35" s="64">
        <v>-39280352.010735773</v>
      </c>
      <c r="I35" s="64">
        <v>-35002232.408393681</v>
      </c>
      <c r="J35" s="404">
        <v>0.12222419280080499</v>
      </c>
    </row>
    <row r="36" spans="1:10" x14ac:dyDescent="0.25">
      <c r="A36" s="206" t="s">
        <v>96</v>
      </c>
      <c r="B36" s="64">
        <v>0</v>
      </c>
      <c r="C36" s="64"/>
      <c r="D36" s="404" t="s">
        <v>181</v>
      </c>
      <c r="E36" s="390">
        <v>0</v>
      </c>
      <c r="F36" s="64"/>
      <c r="G36" s="404" t="s">
        <v>181</v>
      </c>
      <c r="H36" s="64">
        <v>-8210141.7700000014</v>
      </c>
      <c r="I36" s="64">
        <v>-8194948.9323452339</v>
      </c>
      <c r="J36" s="404">
        <v>1.8539270690025589E-3</v>
      </c>
    </row>
    <row r="37" spans="1:10" x14ac:dyDescent="0.25">
      <c r="A37" s="207" t="s">
        <v>38</v>
      </c>
      <c r="B37" s="466">
        <v>-2713906.0907658553</v>
      </c>
      <c r="C37" s="466">
        <v>-283764.47087644466</v>
      </c>
      <c r="D37" s="424">
        <v>8.5639390032994331</v>
      </c>
      <c r="E37" s="465">
        <v>-2649708.129234144</v>
      </c>
      <c r="F37" s="466">
        <v>-2628323.3652636828</v>
      </c>
      <c r="G37" s="424">
        <v>8.1362758681391423E-3</v>
      </c>
      <c r="H37" s="466">
        <v>-5363614.2199999988</v>
      </c>
      <c r="I37" s="466">
        <v>-2912087.8361401274</v>
      </c>
      <c r="J37" s="424">
        <v>0.84184493112999137</v>
      </c>
    </row>
    <row r="38" spans="1:10" x14ac:dyDescent="0.25">
      <c r="A38" s="487" t="s">
        <v>127</v>
      </c>
      <c r="B38" s="436">
        <v>20791465.838065807</v>
      </c>
      <c r="C38" s="436">
        <v>22022743.229632199</v>
      </c>
      <c r="D38" s="433">
        <v>-5.5909356011092926E-2</v>
      </c>
      <c r="E38" s="435">
        <v>86167089.251198336</v>
      </c>
      <c r="F38" s="436">
        <v>107958942.35633461</v>
      </c>
      <c r="G38" s="433">
        <v>-0.20185315481517974</v>
      </c>
      <c r="H38" s="436">
        <v>98748413.319264129</v>
      </c>
      <c r="I38" s="436">
        <v>121786736.65362146</v>
      </c>
      <c r="J38" s="433">
        <v>-0.18916939534952437</v>
      </c>
    </row>
    <row r="39" spans="1:10" x14ac:dyDescent="0.25">
      <c r="A39" s="121" t="s">
        <v>128</v>
      </c>
      <c r="B39" s="70">
        <v>-8637321.9600839466</v>
      </c>
      <c r="C39" s="70">
        <v>-12321203.463598497</v>
      </c>
      <c r="D39" s="448">
        <v>-0.29898714962366557</v>
      </c>
      <c r="E39" s="413">
        <v>-21825918.329180151</v>
      </c>
      <c r="F39" s="70">
        <v>-28398246.420406107</v>
      </c>
      <c r="G39" s="448">
        <v>-0.23143429329859189</v>
      </c>
      <c r="H39" s="70">
        <v>-30463240.289264098</v>
      </c>
      <c r="I39" s="70">
        <v>-40719449.884004608</v>
      </c>
      <c r="J39" s="448">
        <v>-0.25187495469503751</v>
      </c>
    </row>
    <row r="40" spans="1:10" x14ac:dyDescent="0.25">
      <c r="A40" s="487" t="s">
        <v>129</v>
      </c>
      <c r="B40" s="436">
        <v>12154143.87798186</v>
      </c>
      <c r="C40" s="436">
        <v>9701539.7660337016</v>
      </c>
      <c r="D40" s="433">
        <v>0.25280565467917082</v>
      </c>
      <c r="E40" s="435">
        <v>64341170.922018193</v>
      </c>
      <c r="F40" s="436">
        <v>79560695.935928509</v>
      </c>
      <c r="G40" s="433">
        <v>-0.1912945184160636</v>
      </c>
      <c r="H40" s="436">
        <v>68285173.030000046</v>
      </c>
      <c r="I40" s="436">
        <v>81067286.769616872</v>
      </c>
      <c r="J40" s="433">
        <v>-0.1576728943197766</v>
      </c>
    </row>
    <row r="41" spans="1:10" x14ac:dyDescent="0.25">
      <c r="A41" s="121" t="s">
        <v>42</v>
      </c>
      <c r="B41" s="70">
        <v>-2350694.5628749123</v>
      </c>
      <c r="C41" s="70">
        <v>-2591942.1796897165</v>
      </c>
      <c r="D41" s="448">
        <v>-9.3076002507001987E-2</v>
      </c>
      <c r="E41" s="413">
        <v>-10196004.881125065</v>
      </c>
      <c r="F41" s="70">
        <v>-20766279.049035661</v>
      </c>
      <c r="G41" s="448">
        <v>-0.50901146724219992</v>
      </c>
      <c r="H41" s="70">
        <v>-12546699.443999976</v>
      </c>
      <c r="I41" s="70">
        <v>-23358221.228725377</v>
      </c>
      <c r="J41" s="448">
        <v>-0.46285723895061204</v>
      </c>
    </row>
    <row r="42" spans="1:10" x14ac:dyDescent="0.25">
      <c r="A42" s="487" t="s">
        <v>130</v>
      </c>
      <c r="B42" s="502">
        <v>9803449.315106947</v>
      </c>
      <c r="C42" s="502">
        <v>7109597.5863439851</v>
      </c>
      <c r="D42" s="433">
        <v>0.37890354496818146</v>
      </c>
      <c r="E42" s="503">
        <v>54145166.04089313</v>
      </c>
      <c r="F42" s="502">
        <v>58794416.886892848</v>
      </c>
      <c r="G42" s="433">
        <v>-7.9076400314400996E-2</v>
      </c>
      <c r="H42" s="502">
        <v>55738473.58600007</v>
      </c>
      <c r="I42" s="502">
        <v>57709065.540891498</v>
      </c>
      <c r="J42" s="433">
        <v>-3.4147008557868674E-2</v>
      </c>
    </row>
    <row r="43" spans="1:10" x14ac:dyDescent="0.25">
      <c r="A43" s="121" t="s">
        <v>47</v>
      </c>
      <c r="B43" s="70">
        <v>0</v>
      </c>
      <c r="C43" s="70">
        <v>0</v>
      </c>
      <c r="D43" s="448" t="s">
        <v>181</v>
      </c>
      <c r="E43" s="413">
        <v>1868106.3439999998</v>
      </c>
      <c r="F43" s="70">
        <v>2222827.0487146014</v>
      </c>
      <c r="G43" s="448">
        <v>-0.15958088368581202</v>
      </c>
      <c r="H43" s="70">
        <v>1868106.3439999998</v>
      </c>
      <c r="I43" s="70">
        <v>2222827.0487146014</v>
      </c>
      <c r="J43" s="448">
        <v>-0.15958088368581202</v>
      </c>
    </row>
    <row r="44" spans="1:10" x14ac:dyDescent="0.25">
      <c r="A44" s="208" t="s">
        <v>481</v>
      </c>
      <c r="B44" s="64">
        <v>0</v>
      </c>
      <c r="C44" s="64">
        <v>0</v>
      </c>
      <c r="D44" s="391" t="s">
        <v>181</v>
      </c>
      <c r="E44" s="390">
        <v>0</v>
      </c>
      <c r="F44" s="64">
        <v>0</v>
      </c>
      <c r="G44" s="391" t="s">
        <v>181</v>
      </c>
      <c r="H44" s="64">
        <v>0</v>
      </c>
      <c r="I44" s="64">
        <v>0</v>
      </c>
      <c r="J44" s="392" t="s">
        <v>181</v>
      </c>
    </row>
    <row r="45" spans="1:10" x14ac:dyDescent="0.25">
      <c r="A45" s="504" t="s">
        <v>482</v>
      </c>
      <c r="B45" s="64">
        <v>0</v>
      </c>
      <c r="C45" s="64">
        <v>0</v>
      </c>
      <c r="D45" s="391" t="s">
        <v>181</v>
      </c>
      <c r="E45" s="390">
        <v>0</v>
      </c>
      <c r="F45" s="64">
        <v>0</v>
      </c>
      <c r="G45" s="391" t="s">
        <v>181</v>
      </c>
      <c r="H45" s="64">
        <v>0</v>
      </c>
      <c r="I45" s="64">
        <v>0</v>
      </c>
      <c r="J45" s="392" t="s">
        <v>181</v>
      </c>
    </row>
    <row r="46" spans="1:10" x14ac:dyDescent="0.25">
      <c r="A46" s="504" t="s">
        <v>483</v>
      </c>
      <c r="B46" s="64">
        <v>0</v>
      </c>
      <c r="C46" s="64">
        <v>0</v>
      </c>
      <c r="D46" s="391" t="s">
        <v>181</v>
      </c>
      <c r="E46" s="390">
        <v>0</v>
      </c>
      <c r="F46" s="64">
        <v>0</v>
      </c>
      <c r="G46" s="391" t="s">
        <v>181</v>
      </c>
      <c r="H46" s="64">
        <v>0</v>
      </c>
      <c r="I46" s="64">
        <v>0</v>
      </c>
      <c r="J46" s="392" t="s">
        <v>181</v>
      </c>
    </row>
    <row r="47" spans="1:10" x14ac:dyDescent="0.25">
      <c r="A47" s="504" t="s">
        <v>484</v>
      </c>
      <c r="B47" s="64">
        <v>0</v>
      </c>
      <c r="C47" s="64">
        <v>0</v>
      </c>
      <c r="D47" s="391" t="s">
        <v>181</v>
      </c>
      <c r="E47" s="390">
        <v>0</v>
      </c>
      <c r="F47" s="64">
        <v>0</v>
      </c>
      <c r="G47" s="391" t="s">
        <v>181</v>
      </c>
      <c r="H47" s="64">
        <v>0</v>
      </c>
      <c r="I47" s="64">
        <v>0</v>
      </c>
      <c r="J47" s="392" t="s">
        <v>181</v>
      </c>
    </row>
    <row r="48" spans="1:10" x14ac:dyDescent="0.25">
      <c r="A48" s="121" t="s">
        <v>485</v>
      </c>
      <c r="B48" s="70">
        <v>0</v>
      </c>
      <c r="C48" s="70">
        <v>0</v>
      </c>
      <c r="D48" s="448" t="s">
        <v>181</v>
      </c>
      <c r="E48" s="413">
        <v>-1249875</v>
      </c>
      <c r="F48" s="70">
        <v>-1249875</v>
      </c>
      <c r="G48" s="448">
        <v>0</v>
      </c>
      <c r="H48" s="70">
        <v>-1249875</v>
      </c>
      <c r="I48" s="70">
        <v>-1249875</v>
      </c>
      <c r="J48" s="448">
        <v>0</v>
      </c>
    </row>
    <row r="49" spans="1:10" x14ac:dyDescent="0.25">
      <c r="A49" s="121" t="s">
        <v>131</v>
      </c>
      <c r="B49" s="70">
        <v>-186920.00525531912</v>
      </c>
      <c r="C49" s="70">
        <v>-1290000.0000000002</v>
      </c>
      <c r="D49" s="448"/>
      <c r="E49" s="413">
        <v>-321978.75941134756</v>
      </c>
      <c r="F49" s="70">
        <v>-1710000</v>
      </c>
      <c r="G49" s="448"/>
      <c r="H49" s="70">
        <v>-508898.76466666668</v>
      </c>
      <c r="I49" s="70">
        <v>-3000000</v>
      </c>
      <c r="J49" s="448">
        <v>-0.83036707844444446</v>
      </c>
    </row>
    <row r="50" spans="1:10" x14ac:dyDescent="0.25">
      <c r="A50" s="487" t="s">
        <v>132</v>
      </c>
      <c r="B50" s="505">
        <v>9803449.315106947</v>
      </c>
      <c r="C50" s="505">
        <v>7109597.5863439851</v>
      </c>
      <c r="D50" s="433">
        <v>0.37890354496818146</v>
      </c>
      <c r="E50" s="506">
        <v>54763397.384893127</v>
      </c>
      <c r="F50" s="505">
        <v>59767368.935607448</v>
      </c>
      <c r="G50" s="433">
        <v>-8.3724139774423278E-2</v>
      </c>
      <c r="H50" s="505">
        <v>56356704.930000067</v>
      </c>
      <c r="I50" s="505">
        <v>58682017.589606099</v>
      </c>
      <c r="J50" s="433">
        <v>-3.962564266055324E-2</v>
      </c>
    </row>
    <row r="51" spans="1:10" x14ac:dyDescent="0.25">
      <c r="A51" s="121" t="s">
        <v>96</v>
      </c>
      <c r="B51" s="507">
        <v>0</v>
      </c>
      <c r="C51" s="507">
        <v>0</v>
      </c>
      <c r="D51" s="412" t="s">
        <v>181</v>
      </c>
      <c r="E51" s="508">
        <v>0</v>
      </c>
      <c r="F51" s="507">
        <v>0</v>
      </c>
      <c r="G51" s="412" t="s">
        <v>181</v>
      </c>
      <c r="H51" s="70">
        <v>0</v>
      </c>
      <c r="I51" s="70">
        <v>0</v>
      </c>
      <c r="J51" s="412" t="s">
        <v>181</v>
      </c>
    </row>
    <row r="52" spans="1:10" x14ac:dyDescent="0.25">
      <c r="A52" s="487" t="s">
        <v>203</v>
      </c>
      <c r="B52" s="506">
        <v>12154143.87798186</v>
      </c>
      <c r="C52" s="505">
        <v>10991539.766033702</v>
      </c>
      <c r="D52" s="455">
        <v>0.10577263392530889</v>
      </c>
      <c r="E52" s="506">
        <v>66209277.266018189</v>
      </c>
      <c r="F52" s="505">
        <v>83493522.984643117</v>
      </c>
      <c r="G52" s="455">
        <v>-0.20701301251600079</v>
      </c>
      <c r="H52" s="505">
        <v>78363421.144000053</v>
      </c>
      <c r="I52" s="505">
        <v>94485062.750676811</v>
      </c>
      <c r="J52" s="455">
        <v>-0.1706263523284931</v>
      </c>
    </row>
    <row r="53" spans="1:10" x14ac:dyDescent="0.25">
      <c r="A53" s="487" t="s">
        <v>134</v>
      </c>
      <c r="B53" s="506">
        <v>9803449.315106947</v>
      </c>
      <c r="C53" s="505">
        <v>8399597.5863439851</v>
      </c>
      <c r="D53" s="455">
        <v>0.16713321255357938</v>
      </c>
      <c r="E53" s="506">
        <v>56013272.384893127</v>
      </c>
      <c r="F53" s="505">
        <v>62727243.935607456</v>
      </c>
      <c r="G53" s="455">
        <v>-0.10703437819787753</v>
      </c>
      <c r="H53" s="505">
        <v>65816721.700000077</v>
      </c>
      <c r="I53" s="505">
        <v>71126841.521951437</v>
      </c>
      <c r="J53" s="455">
        <v>-7.4657045193164295E-2</v>
      </c>
    </row>
    <row r="54" spans="1:10" x14ac:dyDescent="0.25">
      <c r="A54" s="205" t="s">
        <v>135</v>
      </c>
      <c r="B54" s="438">
        <v>9.4871574926846086E-2</v>
      </c>
      <c r="C54" s="439">
        <v>9.6879823069103671E-2</v>
      </c>
      <c r="D54" s="440">
        <v>-2.0082481422575849E-3</v>
      </c>
      <c r="E54" s="438">
        <v>0.10329451208449832</v>
      </c>
      <c r="F54" s="439">
        <v>0.11412001659083297</v>
      </c>
      <c r="G54" s="440">
        <v>-1.0825504506334654E-2</v>
      </c>
      <c r="H54" s="439">
        <v>0.10130337759779302</v>
      </c>
      <c r="I54" s="439">
        <v>0.11005594928067708</v>
      </c>
      <c r="J54" s="440">
        <v>-8.7525716828840555E-3</v>
      </c>
    </row>
    <row r="55" spans="1:10" x14ac:dyDescent="0.25">
      <c r="A55" s="206" t="s">
        <v>136</v>
      </c>
      <c r="B55" s="445">
        <v>8.1153526603197898E-2</v>
      </c>
      <c r="C55" s="392">
        <v>7.8082765562051196E-2</v>
      </c>
      <c r="D55" s="441">
        <v>3.0707610411467023E-3</v>
      </c>
      <c r="E55" s="445">
        <v>9.1974167519413272E-2</v>
      </c>
      <c r="F55" s="392">
        <v>0.10795592738303668</v>
      </c>
      <c r="G55" s="441">
        <v>-1.5981759863623407E-2</v>
      </c>
      <c r="H55" s="392">
        <v>8.9416229487433913E-2</v>
      </c>
      <c r="I55" s="392">
        <v>0.10091386371625449</v>
      </c>
      <c r="J55" s="441">
        <v>-1.149763422882058E-2</v>
      </c>
    </row>
    <row r="56" spans="1:10" x14ac:dyDescent="0.25">
      <c r="A56" s="206" t="s">
        <v>137</v>
      </c>
      <c r="B56" s="445">
        <v>-0.46439138077066766</v>
      </c>
      <c r="C56" s="392">
        <v>-0.54317895610980382</v>
      </c>
      <c r="D56" s="441">
        <v>7.8787575339136162E-2</v>
      </c>
      <c r="E56" s="445">
        <v>-0.3894746100874853</v>
      </c>
      <c r="F56" s="392">
        <v>-0.37959426959806453</v>
      </c>
      <c r="G56" s="441">
        <v>-9.8803404894207691E-3</v>
      </c>
      <c r="H56" s="392">
        <v>-0.40606009857708153</v>
      </c>
      <c r="I56" s="392">
        <v>-0.41353969180171118</v>
      </c>
      <c r="J56" s="441">
        <v>7.4795932246296548E-3</v>
      </c>
    </row>
    <row r="57" spans="1:10" x14ac:dyDescent="0.25">
      <c r="A57" s="206" t="s">
        <v>138</v>
      </c>
      <c r="B57" s="445">
        <v>-0.46439138077066766</v>
      </c>
      <c r="C57" s="392">
        <v>-0.54317895610980382</v>
      </c>
      <c r="D57" s="441">
        <v>7.8787575339136162E-2</v>
      </c>
      <c r="E57" s="445">
        <v>-0.3894746100874853</v>
      </c>
      <c r="F57" s="392">
        <v>-0.37959426959806453</v>
      </c>
      <c r="G57" s="441">
        <v>-9.8803404894207691E-3</v>
      </c>
      <c r="H57" s="392">
        <v>-0.45386106303153245</v>
      </c>
      <c r="I57" s="392">
        <v>-0.45829486037715927</v>
      </c>
      <c r="J57" s="441">
        <v>4.433797345626822E-3</v>
      </c>
    </row>
    <row r="58" spans="1:10" x14ac:dyDescent="0.25">
      <c r="A58" s="206" t="s">
        <v>139</v>
      </c>
      <c r="B58" s="445">
        <v>0.2003762015037733</v>
      </c>
      <c r="C58" s="392">
        <v>0.15417525987964359</v>
      </c>
      <c r="D58" s="509">
        <v>4.6200941624129716E-2</v>
      </c>
      <c r="E58" s="445">
        <v>0.34651775917389749</v>
      </c>
      <c r="F58" s="392">
        <v>0.39976701125449421</v>
      </c>
      <c r="G58" s="509">
        <v>-5.3249252080596721E-2</v>
      </c>
      <c r="H58" s="468">
        <v>0.2723013901151658</v>
      </c>
      <c r="I58" s="468">
        <v>0.29998080236414515</v>
      </c>
      <c r="J58" s="509">
        <v>-2.7679412248979351E-2</v>
      </c>
    </row>
    <row r="59" spans="1:10" x14ac:dyDescent="0.25">
      <c r="A59" s="121" t="s">
        <v>140</v>
      </c>
      <c r="B59" s="510">
        <v>0.2003762015037733</v>
      </c>
      <c r="C59" s="449">
        <v>0.18214956965306281</v>
      </c>
      <c r="D59" s="511">
        <v>1.8226631850710495E-2</v>
      </c>
      <c r="E59" s="510">
        <v>0.35442639714979757</v>
      </c>
      <c r="F59" s="449">
        <v>0.41956477721792029</v>
      </c>
      <c r="G59" s="511">
        <v>-6.5138380068122725E-2</v>
      </c>
      <c r="H59" s="449">
        <v>0.31800980618000441</v>
      </c>
      <c r="I59" s="449">
        <v>0.36359838781619525</v>
      </c>
      <c r="J59" s="511">
        <v>-4.5588581636190839E-2</v>
      </c>
    </row>
    <row r="60" spans="1:10" x14ac:dyDescent="0.25">
      <c r="A60" s="121" t="s">
        <v>141</v>
      </c>
      <c r="B60" s="413">
        <v>400799439.56180847</v>
      </c>
      <c r="C60" s="70">
        <v>392200629.05395979</v>
      </c>
      <c r="D60" s="512">
        <v>2.1924519928971486E-2</v>
      </c>
      <c r="E60" s="413">
        <v>1294670411.8179717</v>
      </c>
      <c r="F60" s="70">
        <v>1271554970.4995732</v>
      </c>
      <c r="G60" s="512">
        <v>1.8178876929966226E-2</v>
      </c>
      <c r="H60" s="70">
        <v>1695469851.3797803</v>
      </c>
      <c r="I60" s="70">
        <v>1663755599.5535331</v>
      </c>
      <c r="J60" s="512">
        <v>1.9061845282298595E-2</v>
      </c>
    </row>
    <row r="61" spans="1:10" x14ac:dyDescent="0.25">
      <c r="A61" s="121" t="s">
        <v>486</v>
      </c>
      <c r="B61" s="413">
        <v>400751808.69180852</v>
      </c>
      <c r="C61" s="70">
        <v>391272703.43244958</v>
      </c>
      <c r="D61" s="512">
        <v>2.4226339267225283E-2</v>
      </c>
      <c r="E61" s="413">
        <v>1287262941.2481918</v>
      </c>
      <c r="F61" s="70">
        <v>1256422970.4995732</v>
      </c>
      <c r="G61" s="512">
        <v>2.4545850778544764E-2</v>
      </c>
      <c r="H61" s="70">
        <v>1688014749.9400003</v>
      </c>
      <c r="I61" s="70">
        <v>1647695673.9320228</v>
      </c>
      <c r="J61" s="512">
        <v>2.4469977463593695E-2</v>
      </c>
    </row>
    <row r="62" spans="1:10" x14ac:dyDescent="0.25">
      <c r="A62" s="201"/>
      <c r="B62" s="22"/>
      <c r="C62" s="59"/>
      <c r="D62" s="513"/>
      <c r="E62" s="201"/>
      <c r="F62" s="59"/>
      <c r="G62" s="513"/>
      <c r="H62" s="22"/>
      <c r="I62" s="59"/>
      <c r="J62" s="59"/>
    </row>
    <row r="63" spans="1:10" x14ac:dyDescent="0.25">
      <c r="A63" s="487" t="s">
        <v>487</v>
      </c>
      <c r="B63" s="514">
        <v>1.8282417093915336E-2</v>
      </c>
      <c r="C63" s="514">
        <v>1.7877982732807409E-2</v>
      </c>
      <c r="D63" s="515">
        <v>4.0443436110792694E-4</v>
      </c>
      <c r="E63" s="514">
        <v>1.5217160299066886E-2</v>
      </c>
      <c r="F63" s="514">
        <v>1.7370372902125425E-2</v>
      </c>
      <c r="G63" s="515">
        <v>-2.1532126030585387E-3</v>
      </c>
      <c r="H63" s="457">
        <v>1.5944883326773861E-2</v>
      </c>
      <c r="I63" s="514">
        <v>1.7490913287029064E-2</v>
      </c>
      <c r="J63" s="515">
        <v>-1.5460299602552026E-3</v>
      </c>
    </row>
    <row r="64" spans="1:10" x14ac:dyDescent="0.25">
      <c r="A64" s="223"/>
      <c r="B64" s="79"/>
      <c r="C64" s="79"/>
      <c r="D64" s="460"/>
      <c r="E64" s="459"/>
      <c r="F64" s="79"/>
      <c r="G64" s="460"/>
      <c r="H64" s="79"/>
      <c r="I64" s="79"/>
      <c r="J64" s="79"/>
    </row>
    <row r="65" spans="1:10" x14ac:dyDescent="0.25">
      <c r="A65" s="224" t="s">
        <v>145</v>
      </c>
      <c r="B65" s="461">
        <v>0.23639431820957255</v>
      </c>
      <c r="C65" s="462">
        <v>0.23573211663973145</v>
      </c>
      <c r="D65" s="440">
        <v>6.6220156984109213E-4</v>
      </c>
      <c r="E65" s="461">
        <v>0.76360568179042743</v>
      </c>
      <c r="F65" s="462">
        <v>0.76426788336026852</v>
      </c>
      <c r="G65" s="440">
        <v>-6.6220156984109213E-4</v>
      </c>
      <c r="H65" s="462">
        <v>1</v>
      </c>
      <c r="I65" s="462">
        <v>1</v>
      </c>
      <c r="J65" s="440">
        <v>0</v>
      </c>
    </row>
    <row r="66" spans="1:10" x14ac:dyDescent="0.25">
      <c r="A66" s="225" t="s">
        <v>146</v>
      </c>
      <c r="B66" s="465">
        <v>48925217.872853711</v>
      </c>
      <c r="C66" s="466">
        <v>46113738.29947859</v>
      </c>
      <c r="D66" s="467">
        <v>6.096837248622955E-2</v>
      </c>
      <c r="E66" s="465">
        <v>158039222.91154638</v>
      </c>
      <c r="F66" s="466">
        <v>149505505.08921099</v>
      </c>
      <c r="G66" s="467">
        <v>5.7079622701807997E-2</v>
      </c>
      <c r="H66" s="466">
        <v>206964440.78440011</v>
      </c>
      <c r="I66" s="466">
        <v>195619243.38868958</v>
      </c>
      <c r="J66" s="467">
        <v>5.7996325919571934E-2</v>
      </c>
    </row>
    <row r="67" spans="1:10" x14ac:dyDescent="0.25">
      <c r="A67" s="223"/>
      <c r="B67" s="79">
        <v>-0.19340684020808502</v>
      </c>
      <c r="C67" s="58"/>
      <c r="D67" s="221"/>
      <c r="E67" s="459">
        <v>-0.15846781671851559</v>
      </c>
      <c r="F67" s="58"/>
      <c r="G67" s="221"/>
      <c r="H67" s="79">
        <v>-0.18373973275996205</v>
      </c>
      <c r="I67" s="79">
        <v>-0.28813374863656821</v>
      </c>
      <c r="J67" s="195"/>
    </row>
    <row r="68" spans="1:10" x14ac:dyDescent="0.25">
      <c r="A68" s="121" t="s">
        <v>477</v>
      </c>
      <c r="B68" s="824"/>
      <c r="C68" s="825"/>
      <c r="D68" s="826"/>
      <c r="E68" s="824"/>
      <c r="F68" s="825"/>
      <c r="G68" s="826"/>
      <c r="H68" s="450">
        <v>179163884.79000002</v>
      </c>
      <c r="I68" s="414">
        <v>195619243.38868958</v>
      </c>
      <c r="J68" s="516">
        <v>-8.4119324426550679E-2</v>
      </c>
    </row>
    <row r="69" spans="1:10" x14ac:dyDescent="0.25">
      <c r="A69" s="121" t="s">
        <v>148</v>
      </c>
      <c r="B69" s="824"/>
      <c r="C69" s="825"/>
      <c r="D69" s="826"/>
      <c r="E69" s="824"/>
      <c r="F69" s="825"/>
      <c r="G69" s="826"/>
      <c r="H69" s="450">
        <v>206964440.78440011</v>
      </c>
      <c r="I69" s="414"/>
      <c r="J69" s="516"/>
    </row>
  </sheetData>
  <mergeCells count="7">
    <mergeCell ref="B69:D69"/>
    <mergeCell ref="E69:G69"/>
    <mergeCell ref="B3:D3"/>
    <mergeCell ref="E3:G3"/>
    <mergeCell ref="H3:J3"/>
    <mergeCell ref="B68:D68"/>
    <mergeCell ref="E68:G68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FEDD6-97E3-4E40-9FC3-806347174FF0}">
  <dimension ref="A1:AL117"/>
  <sheetViews>
    <sheetView showGridLines="0" topLeftCell="A58" zoomScale="65" workbookViewId="0">
      <selection activeCell="C79" sqref="C79"/>
    </sheetView>
  </sheetViews>
  <sheetFormatPr defaultRowHeight="15" x14ac:dyDescent="0.25"/>
  <cols>
    <col min="1" max="1" width="20.7109375" style="112" bestFit="1" customWidth="1"/>
    <col min="2" max="2" width="40.140625" style="677" bestFit="1" customWidth="1"/>
    <col min="3" max="3" width="20.5703125" style="112" bestFit="1" customWidth="1"/>
    <col min="4" max="5" width="20.42578125" style="112" bestFit="1" customWidth="1"/>
    <col min="6" max="6" width="17.7109375" style="112" bestFit="1" customWidth="1"/>
    <col min="7" max="7" width="17" style="112" bestFit="1" customWidth="1"/>
    <col min="8" max="8" width="17.7109375" style="112" bestFit="1" customWidth="1"/>
    <col min="9" max="9" width="16.5703125" style="112" bestFit="1" customWidth="1"/>
    <col min="10" max="10" width="17" style="112" bestFit="1" customWidth="1"/>
    <col min="11" max="11" width="24.140625" style="112" bestFit="1" customWidth="1"/>
    <col min="12" max="12" width="17" style="112" bestFit="1" customWidth="1"/>
    <col min="13" max="14" width="15" style="112" bestFit="1" customWidth="1"/>
    <col min="15" max="15" width="17.28515625" style="112" customWidth="1"/>
    <col min="16" max="16" width="13.28515625" style="112" bestFit="1" customWidth="1"/>
    <col min="17" max="18" width="14.28515625" style="112" bestFit="1" customWidth="1"/>
    <col min="19" max="20" width="15" style="112" bestFit="1" customWidth="1"/>
    <col min="21" max="21" width="18.140625" style="112" customWidth="1"/>
    <col min="22" max="22" width="13.28515625" style="112" bestFit="1" customWidth="1"/>
    <col min="23" max="24" width="14.28515625" style="112" bestFit="1" customWidth="1"/>
    <col min="25" max="26" width="15" style="112" bestFit="1" customWidth="1"/>
    <col min="27" max="27" width="16" style="112" customWidth="1"/>
    <col min="28" max="28" width="13.28515625" style="112" bestFit="1" customWidth="1"/>
    <col min="29" max="32" width="14.28515625" style="112" bestFit="1" customWidth="1"/>
    <col min="33" max="16384" width="9.140625" style="112"/>
  </cols>
  <sheetData>
    <row r="1" spans="1:24" x14ac:dyDescent="0.25">
      <c r="A1" s="112" t="s">
        <v>525</v>
      </c>
    </row>
    <row r="2" spans="1:24" x14ac:dyDescent="0.25">
      <c r="A2" s="112" t="s">
        <v>527</v>
      </c>
    </row>
    <row r="4" spans="1:24" s="644" customFormat="1" x14ac:dyDescent="0.25">
      <c r="A4" s="644" t="s">
        <v>526</v>
      </c>
      <c r="B4" s="678"/>
      <c r="V4" s="112"/>
      <c r="W4" s="112"/>
      <c r="X4" s="112"/>
    </row>
    <row r="5" spans="1:24" ht="15.75" thickBot="1" x14ac:dyDescent="0.3"/>
    <row r="6" spans="1:24" ht="15.75" thickBot="1" x14ac:dyDescent="0.3">
      <c r="B6" s="827" t="s">
        <v>528</v>
      </c>
      <c r="C6" s="828"/>
      <c r="D6" s="828"/>
      <c r="E6" s="828"/>
      <c r="F6" s="828"/>
      <c r="G6" s="828"/>
      <c r="H6" s="828"/>
      <c r="I6" s="828"/>
      <c r="J6" s="828"/>
      <c r="K6" s="829"/>
      <c r="L6" s="110"/>
      <c r="M6" s="110"/>
      <c r="N6" s="110"/>
    </row>
    <row r="7" spans="1:24" ht="15.75" thickBot="1" x14ac:dyDescent="0.3">
      <c r="B7" s="679"/>
      <c r="C7" s="606">
        <v>46023</v>
      </c>
      <c r="D7" s="607">
        <v>46054</v>
      </c>
      <c r="E7" s="608" t="s">
        <v>531</v>
      </c>
      <c r="F7" s="607">
        <v>46082</v>
      </c>
      <c r="G7" s="608" t="s">
        <v>532</v>
      </c>
      <c r="H7" s="607">
        <v>46113</v>
      </c>
      <c r="I7" s="608" t="s">
        <v>534</v>
      </c>
      <c r="J7" s="607">
        <v>46143</v>
      </c>
      <c r="K7" s="608" t="s">
        <v>533</v>
      </c>
      <c r="L7" s="607">
        <f>EDATE(J7,1)</f>
        <v>46174</v>
      </c>
      <c r="M7" s="608" t="s">
        <v>576</v>
      </c>
      <c r="N7" s="615"/>
    </row>
    <row r="8" spans="1:24" x14ac:dyDescent="0.25">
      <c r="B8" s="680" t="s">
        <v>529</v>
      </c>
      <c r="C8" s="598">
        <f>RESULTADO!CC8</f>
        <v>1823210.1300000015</v>
      </c>
      <c r="D8" s="599">
        <f>RESULTADO!CD8</f>
        <v>2383715.709999999</v>
      </c>
      <c r="E8" s="600">
        <f>(D8/C8)-1</f>
        <v>0.30742785528511574</v>
      </c>
      <c r="F8" s="599">
        <f>RESULTADO!CE8</f>
        <v>4565343.7299999995</v>
      </c>
      <c r="G8" s="600">
        <f>(F8/D8)-1</f>
        <v>0.91522156390033671</v>
      </c>
      <c r="H8" s="599">
        <f>RESULTADO!CF8</f>
        <v>6998345.0200000005</v>
      </c>
      <c r="I8" s="600">
        <f>(H8/F8)-1</f>
        <v>0.53292839135247361</v>
      </c>
      <c r="J8" s="599">
        <f>RESULTADO!CG8</f>
        <v>6574996.54</v>
      </c>
      <c r="K8" s="600">
        <f>(J8/H8)-1</f>
        <v>-6.0492656305190295E-2</v>
      </c>
      <c r="L8" s="599">
        <f>RESULTADO!CH8</f>
        <v>4794631.0500000007</v>
      </c>
      <c r="M8" s="600">
        <f>(L8/J8)-1</f>
        <v>-0.27077816378592334</v>
      </c>
      <c r="N8" s="616"/>
    </row>
    <row r="9" spans="1:24" x14ac:dyDescent="0.25">
      <c r="B9" s="681" t="s">
        <v>92</v>
      </c>
      <c r="C9" s="598">
        <f>RESULTADO!CC19</f>
        <v>1948578.9200000002</v>
      </c>
      <c r="D9" s="599">
        <f>RESULTADO!CD19</f>
        <v>1926006.63</v>
      </c>
      <c r="E9" s="600">
        <f>(D9/C9)-1</f>
        <v>-1.1583975259262358E-2</v>
      </c>
      <c r="F9" s="599">
        <f>RESULTADO!CE19</f>
        <v>3021711.39</v>
      </c>
      <c r="G9" s="600">
        <f>(F9/D9)-1</f>
        <v>0.56889978618609449</v>
      </c>
      <c r="H9" s="599">
        <f>RESULTADO!CF19</f>
        <v>2088290.5500000003</v>
      </c>
      <c r="I9" s="600">
        <f>(H9/F9)-1</f>
        <v>-0.30890469655343222</v>
      </c>
      <c r="J9" s="599">
        <f>RESULTADO!CG19</f>
        <v>2711002.88</v>
      </c>
      <c r="K9" s="600">
        <f>(J9/H9)-1</f>
        <v>0.29819238036584483</v>
      </c>
      <c r="L9" s="599">
        <f>RESULTADO!CH19</f>
        <v>3820296.8200000003</v>
      </c>
      <c r="M9" s="600">
        <f>(L9/J9)-1</f>
        <v>0.40918213262835068</v>
      </c>
      <c r="N9" s="616"/>
    </row>
    <row r="10" spans="1:24" x14ac:dyDescent="0.25">
      <c r="B10" s="681" t="s">
        <v>530</v>
      </c>
      <c r="C10" s="598">
        <f>RESULTADO!CC21</f>
        <v>3771789.0500000017</v>
      </c>
      <c r="D10" s="599">
        <f>RESULTADO!CD21</f>
        <v>4309722.3399999989</v>
      </c>
      <c r="E10" s="600">
        <f>(D10/C10)-1</f>
        <v>0.14262019505040913</v>
      </c>
      <c r="F10" s="599">
        <f>RESULTADO!CE21</f>
        <v>7587055.1199999992</v>
      </c>
      <c r="G10" s="600">
        <f>(F10/D10)-1</f>
        <v>0.76045102710723622</v>
      </c>
      <c r="H10" s="599">
        <f>RESULTADO!CF21</f>
        <v>9086635.5700000003</v>
      </c>
      <c r="I10" s="600">
        <f>(H10/F10)-1</f>
        <v>0.19764986892569203</v>
      </c>
      <c r="J10" s="599">
        <f>RESULTADO!CG21</f>
        <v>9285999.4199999999</v>
      </c>
      <c r="K10" s="600">
        <f>(J10/H10)-1</f>
        <v>2.1940337373957064E-2</v>
      </c>
      <c r="L10" s="599">
        <f>RESULTADO!CH21</f>
        <v>8614927.870000001</v>
      </c>
      <c r="M10" s="600">
        <f>(L10/J10)-1</f>
        <v>-7.2267024759301468E-2</v>
      </c>
      <c r="N10" s="616"/>
    </row>
    <row r="11" spans="1:24" ht="15.75" thickBot="1" x14ac:dyDescent="0.3">
      <c r="B11" s="682" t="s">
        <v>164</v>
      </c>
      <c r="C11" s="601">
        <f>RESULTADO!CC26</f>
        <v>3817153.8000000017</v>
      </c>
      <c r="D11" s="602">
        <f>RESULTADO!CD26</f>
        <v>4359452.6099999985</v>
      </c>
      <c r="E11" s="603">
        <f>(D11/C11)-1</f>
        <v>0.14206889174861037</v>
      </c>
      <c r="F11" s="602">
        <f>RESULTADO!CE26</f>
        <v>7672682.8899999987</v>
      </c>
      <c r="G11" s="603">
        <f>(F11/D11)-1</f>
        <v>0.76001061977366047</v>
      </c>
      <c r="H11" s="602">
        <f>RESULTADO!CF26</f>
        <v>9147910.0800000001</v>
      </c>
      <c r="I11" s="603">
        <f>(H11/F11)-1</f>
        <v>0.19227005874603553</v>
      </c>
      <c r="J11" s="602">
        <f>RESULTADO!CG26</f>
        <v>9308989.7899999991</v>
      </c>
      <c r="K11" s="603">
        <f>(J11/H11)-1</f>
        <v>1.7608361756000113E-2</v>
      </c>
      <c r="L11" s="602">
        <f>RESULTADO!CH26</f>
        <v>8697469.9200000018</v>
      </c>
      <c r="M11" s="603">
        <f>(L11/J11)-1</f>
        <v>-6.5691324600754331E-2</v>
      </c>
      <c r="N11" s="616"/>
    </row>
    <row r="12" spans="1:24" ht="15.75" thickBot="1" x14ac:dyDescent="0.3"/>
    <row r="13" spans="1:24" ht="15.75" thickBot="1" x14ac:dyDescent="0.3">
      <c r="C13" s="827" t="s">
        <v>535</v>
      </c>
      <c r="D13" s="828"/>
      <c r="E13" s="828"/>
      <c r="F13" s="828"/>
      <c r="G13" s="829"/>
      <c r="H13" s="110"/>
    </row>
    <row r="14" spans="1:24" ht="15.75" thickBot="1" x14ac:dyDescent="0.3">
      <c r="C14" s="596">
        <v>46023</v>
      </c>
      <c r="D14" s="597">
        <v>46054</v>
      </c>
      <c r="E14" s="597">
        <v>46082</v>
      </c>
      <c r="F14" s="597">
        <v>46113</v>
      </c>
      <c r="G14" s="596">
        <v>46143</v>
      </c>
      <c r="H14" s="596">
        <f>L7</f>
        <v>46174</v>
      </c>
    </row>
    <row r="15" spans="1:24" ht="15.75" thickBot="1" x14ac:dyDescent="0.3">
      <c r="C15" s="645">
        <f>C11</f>
        <v>3817153.8000000017</v>
      </c>
      <c r="D15" s="645">
        <f>SUM(C11,D11)</f>
        <v>8176606.4100000001</v>
      </c>
      <c r="E15" s="645">
        <f>SUM(C11,D11,F11)</f>
        <v>15849289.299999999</v>
      </c>
      <c r="F15" s="645">
        <f>C11+D11+F11+H11</f>
        <v>24997199.379999999</v>
      </c>
      <c r="G15" s="645">
        <f>SUM(C11,D11,F11,H11,J11)</f>
        <v>34306189.170000002</v>
      </c>
      <c r="H15" s="646">
        <f>G15+L11</f>
        <v>43003659.090000004</v>
      </c>
    </row>
    <row r="16" spans="1:24" ht="15.75" thickBot="1" x14ac:dyDescent="0.3"/>
    <row r="17" spans="1:8" ht="15.75" thickBot="1" x14ac:dyDescent="0.3">
      <c r="C17" s="827" t="s">
        <v>536</v>
      </c>
      <c r="D17" s="828"/>
      <c r="E17" s="828"/>
      <c r="F17" s="828"/>
      <c r="G17" s="829"/>
      <c r="H17" s="110"/>
    </row>
    <row r="18" spans="1:8" ht="15.75" thickBot="1" x14ac:dyDescent="0.3">
      <c r="C18" s="604">
        <v>46023</v>
      </c>
      <c r="D18" s="605">
        <v>46054</v>
      </c>
      <c r="E18" s="605">
        <v>46082</v>
      </c>
      <c r="F18" s="605">
        <v>46113</v>
      </c>
      <c r="G18" s="604">
        <v>46143</v>
      </c>
      <c r="H18" s="604">
        <f>L7</f>
        <v>46174</v>
      </c>
    </row>
    <row r="19" spans="1:8" x14ac:dyDescent="0.25">
      <c r="B19" s="683" t="s">
        <v>159</v>
      </c>
      <c r="C19" s="647">
        <f>'P&amp;L Mensal - Anualizado'!B42</f>
        <v>1438495.6519376624</v>
      </c>
      <c r="D19" s="647">
        <v>1101623.0931459202</v>
      </c>
      <c r="E19" s="647">
        <f>'P&amp;L Mensal - Anualizado'!X42</f>
        <v>733372.52354474273</v>
      </c>
      <c r="F19" s="647">
        <f>'P&amp;L Mensal - Anualizado'!AI42</f>
        <v>1208570.5820322742</v>
      </c>
      <c r="G19" s="648">
        <f>'P&amp;L Mensal - Anualizado'!AT42</f>
        <v>655794.90036327112</v>
      </c>
      <c r="H19" s="648">
        <f>'P&amp;L Mensal - Anualizado'!BE42</f>
        <v>877126.28336965339</v>
      </c>
    </row>
    <row r="20" spans="1:8" ht="15.75" thickBot="1" x14ac:dyDescent="0.3">
      <c r="B20" s="684" t="s">
        <v>162</v>
      </c>
      <c r="C20" s="601">
        <f>'P&amp;L Mensal - Anualizado'!E42</f>
        <v>2378658.1480623418</v>
      </c>
      <c r="D20" s="601">
        <v>3257829.5168540748</v>
      </c>
      <c r="E20" s="601">
        <f>'P&amp;L Mensal - Anualizado'!AA42</f>
        <v>6939310.3664552579</v>
      </c>
      <c r="F20" s="601">
        <f>'P&amp;L Mensal - Anualizado'!AL42</f>
        <v>7939339.4979677266</v>
      </c>
      <c r="G20" s="649">
        <f>'P&amp;L Mensal - Anualizado'!AW42</f>
        <v>8653194.8896367215</v>
      </c>
      <c r="H20" s="649">
        <f>'P&amp;L Mensal - Anualizado'!BH42</f>
        <v>7820343.63663036</v>
      </c>
    </row>
    <row r="21" spans="1:8" ht="15.75" thickBot="1" x14ac:dyDescent="0.3"/>
    <row r="22" spans="1:8" ht="15.75" thickBot="1" x14ac:dyDescent="0.3">
      <c r="C22" s="827" t="s">
        <v>537</v>
      </c>
      <c r="D22" s="828"/>
      <c r="E22" s="828"/>
      <c r="F22" s="828"/>
      <c r="G22" s="829"/>
      <c r="H22" s="110"/>
    </row>
    <row r="23" spans="1:8" ht="15.75" thickBot="1" x14ac:dyDescent="0.3">
      <c r="C23" s="604">
        <v>46023</v>
      </c>
      <c r="D23" s="605">
        <v>46054</v>
      </c>
      <c r="E23" s="605">
        <v>46082</v>
      </c>
      <c r="F23" s="605">
        <v>46113</v>
      </c>
      <c r="G23" s="604">
        <v>46143</v>
      </c>
      <c r="H23" s="604">
        <f>L7</f>
        <v>46174</v>
      </c>
    </row>
    <row r="24" spans="1:8" x14ac:dyDescent="0.25">
      <c r="B24" s="683" t="s">
        <v>101</v>
      </c>
      <c r="C24" s="650">
        <f t="shared" ref="C24:E24" si="0">C15</f>
        <v>3817153.8000000017</v>
      </c>
      <c r="D24" s="650">
        <f t="shared" si="0"/>
        <v>8176606.4100000001</v>
      </c>
      <c r="E24" s="650">
        <f t="shared" si="0"/>
        <v>15849289.299999999</v>
      </c>
      <c r="F24" s="650">
        <f>F15</f>
        <v>24997199.379999999</v>
      </c>
      <c r="G24" s="650">
        <f>G15</f>
        <v>34306189.170000002</v>
      </c>
      <c r="H24" s="650">
        <f>H15</f>
        <v>43003659.090000004</v>
      </c>
    </row>
    <row r="25" spans="1:8" x14ac:dyDescent="0.25">
      <c r="B25" s="685" t="s">
        <v>102</v>
      </c>
      <c r="C25" s="598">
        <f t="shared" ref="C25:F25" si="1">73400000</f>
        <v>73400000</v>
      </c>
      <c r="D25" s="598">
        <f t="shared" si="1"/>
        <v>73400000</v>
      </c>
      <c r="E25" s="598">
        <f t="shared" si="1"/>
        <v>73400000</v>
      </c>
      <c r="F25" s="598">
        <f t="shared" si="1"/>
        <v>73400000</v>
      </c>
      <c r="G25" s="598">
        <f>73400000</f>
        <v>73400000</v>
      </c>
      <c r="H25" s="598">
        <f>73400000</f>
        <v>73400000</v>
      </c>
    </row>
    <row r="26" spans="1:8" x14ac:dyDescent="0.25">
      <c r="B26" s="685" t="s">
        <v>538</v>
      </c>
      <c r="C26" s="651">
        <f t="shared" ref="C26:E26" si="2">C25-C24</f>
        <v>69582846.200000003</v>
      </c>
      <c r="D26" s="651">
        <f t="shared" si="2"/>
        <v>65223393.590000004</v>
      </c>
      <c r="E26" s="651">
        <f t="shared" si="2"/>
        <v>57550710.700000003</v>
      </c>
      <c r="F26" s="651">
        <f>F25-F24</f>
        <v>48402800.620000005</v>
      </c>
      <c r="G26" s="651">
        <f>G25-G24</f>
        <v>39093810.829999998</v>
      </c>
      <c r="H26" s="651">
        <f>H25-H24</f>
        <v>30396340.909999996</v>
      </c>
    </row>
    <row r="27" spans="1:8" ht="15.75" thickBot="1" x14ac:dyDescent="0.3">
      <c r="B27" s="684" t="s">
        <v>539</v>
      </c>
      <c r="C27" s="609">
        <f t="shared" ref="C27:E27" si="3">(C24/C25)</f>
        <v>5.2004820163487758E-2</v>
      </c>
      <c r="D27" s="609">
        <f t="shared" si="3"/>
        <v>0.11139790749318801</v>
      </c>
      <c r="E27" s="609">
        <f t="shared" si="3"/>
        <v>0.21593037193460488</v>
      </c>
      <c r="F27" s="609">
        <f>(F24/F25)</f>
        <v>0.34056129945504088</v>
      </c>
      <c r="G27" s="609">
        <f>(G24/G25)</f>
        <v>0.46738677343324253</v>
      </c>
      <c r="H27" s="609">
        <f>(H24/H25)</f>
        <v>0.5858809140326976</v>
      </c>
    </row>
    <row r="29" spans="1:8" s="652" customFormat="1" x14ac:dyDescent="0.25">
      <c r="A29" s="644" t="s">
        <v>540</v>
      </c>
      <c r="B29" s="686"/>
    </row>
    <row r="31" spans="1:8" ht="15.75" thickBot="1" x14ac:dyDescent="0.3"/>
    <row r="32" spans="1:8" ht="15.75" thickBot="1" x14ac:dyDescent="0.3">
      <c r="C32" s="842" t="s">
        <v>541</v>
      </c>
      <c r="D32" s="843"/>
      <c r="E32" s="843"/>
      <c r="F32" s="843"/>
      <c r="G32" s="843"/>
      <c r="H32" s="844"/>
    </row>
    <row r="33" spans="2:35" ht="15.75" thickBot="1" x14ac:dyDescent="0.3">
      <c r="C33" s="833">
        <v>46023</v>
      </c>
      <c r="D33" s="834"/>
      <c r="E33" s="835"/>
      <c r="F33" s="834">
        <v>46054</v>
      </c>
      <c r="G33" s="834"/>
      <c r="H33" s="835"/>
      <c r="I33" s="830" t="s">
        <v>531</v>
      </c>
      <c r="J33" s="831"/>
      <c r="K33" s="832"/>
      <c r="L33" s="839">
        <v>46082</v>
      </c>
      <c r="M33" s="840"/>
      <c r="N33" s="841"/>
      <c r="O33" s="830" t="s">
        <v>532</v>
      </c>
      <c r="P33" s="831"/>
      <c r="Q33" s="832"/>
      <c r="R33" s="839">
        <v>46113</v>
      </c>
      <c r="S33" s="840"/>
      <c r="T33" s="841"/>
      <c r="U33" s="836" t="s">
        <v>534</v>
      </c>
      <c r="V33" s="837"/>
      <c r="W33" s="838"/>
      <c r="X33" s="839">
        <v>46143</v>
      </c>
      <c r="Y33" s="840"/>
      <c r="Z33" s="841"/>
      <c r="AA33" s="836" t="s">
        <v>533</v>
      </c>
      <c r="AB33" s="837"/>
      <c r="AC33" s="838"/>
      <c r="AD33" s="839">
        <f>L7</f>
        <v>46174</v>
      </c>
      <c r="AE33" s="840"/>
      <c r="AF33" s="841"/>
      <c r="AG33" s="836" t="s">
        <v>576</v>
      </c>
      <c r="AH33" s="837"/>
      <c r="AI33" s="838"/>
    </row>
    <row r="34" spans="2:35" ht="15.75" thickBot="1" x14ac:dyDescent="0.3">
      <c r="C34" s="610" t="s">
        <v>159</v>
      </c>
      <c r="D34" s="610" t="s">
        <v>162</v>
      </c>
      <c r="E34" s="611" t="s">
        <v>2</v>
      </c>
      <c r="F34" s="610" t="s">
        <v>159</v>
      </c>
      <c r="G34" s="610" t="s">
        <v>162</v>
      </c>
      <c r="H34" s="611" t="s">
        <v>2</v>
      </c>
      <c r="I34" s="621" t="s">
        <v>546</v>
      </c>
      <c r="J34" s="621" t="s">
        <v>547</v>
      </c>
      <c r="K34" s="632" t="s">
        <v>545</v>
      </c>
      <c r="L34" s="617" t="s">
        <v>159</v>
      </c>
      <c r="M34" s="612" t="s">
        <v>162</v>
      </c>
      <c r="N34" s="614" t="s">
        <v>2</v>
      </c>
      <c r="O34" s="621" t="s">
        <v>546</v>
      </c>
      <c r="P34" s="621" t="s">
        <v>547</v>
      </c>
      <c r="Q34" s="625" t="s">
        <v>545</v>
      </c>
      <c r="R34" s="617" t="s">
        <v>159</v>
      </c>
      <c r="S34" s="612" t="s">
        <v>162</v>
      </c>
      <c r="T34" s="614" t="s">
        <v>2</v>
      </c>
      <c r="U34" s="621" t="s">
        <v>546</v>
      </c>
      <c r="V34" s="621" t="s">
        <v>547</v>
      </c>
      <c r="W34" s="621" t="s">
        <v>545</v>
      </c>
      <c r="X34" s="617" t="s">
        <v>159</v>
      </c>
      <c r="Y34" s="612" t="s">
        <v>162</v>
      </c>
      <c r="Z34" s="613" t="s">
        <v>2</v>
      </c>
      <c r="AA34" s="621" t="s">
        <v>546</v>
      </c>
      <c r="AB34" s="621" t="s">
        <v>547</v>
      </c>
      <c r="AC34" s="621" t="s">
        <v>545</v>
      </c>
      <c r="AD34" s="617" t="s">
        <v>159</v>
      </c>
      <c r="AE34" s="612" t="s">
        <v>162</v>
      </c>
      <c r="AF34" s="613" t="s">
        <v>2</v>
      </c>
      <c r="AG34" s="621" t="s">
        <v>546</v>
      </c>
      <c r="AH34" s="621" t="s">
        <v>547</v>
      </c>
      <c r="AI34" s="621" t="s">
        <v>545</v>
      </c>
    </row>
    <row r="35" spans="2:35" x14ac:dyDescent="0.25">
      <c r="B35" s="683" t="s">
        <v>542</v>
      </c>
      <c r="C35" s="647">
        <f>'P&amp;L Mensal - Anualizado'!B5</f>
        <v>7802027.8681999985</v>
      </c>
      <c r="D35" s="653">
        <f>'P&amp;L Mensal - Anualizado'!E5</f>
        <v>23859887.471799992</v>
      </c>
      <c r="E35" s="653">
        <f>D35+C35</f>
        <v>31661915.339999989</v>
      </c>
      <c r="F35" s="647">
        <f>'P&amp;L Mensal - Anualizado'!M5</f>
        <v>7098724.0639200006</v>
      </c>
      <c r="G35" s="653">
        <f>'P&amp;L Mensal - Anualizado'!P5</f>
        <v>23773864.136080004</v>
      </c>
      <c r="H35" s="653">
        <f>G35+F35</f>
        <v>30872588.200000003</v>
      </c>
      <c r="I35" s="654">
        <f>F35/C35-1</f>
        <v>-9.0143718551245922E-2</v>
      </c>
      <c r="J35" s="654">
        <f>G35/D35-1</f>
        <v>-3.6053537897720034E-3</v>
      </c>
      <c r="K35" s="629">
        <f>H35/E35-1</f>
        <v>-2.492986073406589E-2</v>
      </c>
      <c r="L35" s="655">
        <f>'P&amp;L Mensal - Anualizado'!X5</f>
        <v>7877352.9171399996</v>
      </c>
      <c r="M35" s="655">
        <f>'P&amp;L Mensal - Anualizado'!AA5</f>
        <v>33774612.562860012</v>
      </c>
      <c r="N35" s="656">
        <f t="shared" ref="N35:N46" si="4">M35+L35</f>
        <v>41651965.480000012</v>
      </c>
      <c r="O35" s="657">
        <f t="shared" ref="O35:O46" si="5">L35/F35-1</f>
        <v>0.10968574721441282</v>
      </c>
      <c r="P35" s="654">
        <f t="shared" ref="P35:P46" si="6">M35/G35-1</f>
        <v>0.42066146123896364</v>
      </c>
      <c r="Q35" s="626">
        <f t="shared" ref="Q35:Q46" si="7">N35/H35-1</f>
        <v>0.34915690288642565</v>
      </c>
      <c r="R35" s="655">
        <f>'P&amp;L Mensal - Anualizado'!AI5</f>
        <v>7513769.6753191482</v>
      </c>
      <c r="S35" s="656">
        <f>'P&amp;L Mensal - Anualizado'!AL5</f>
        <v>34391853.494680852</v>
      </c>
      <c r="T35" s="656">
        <f t="shared" ref="T35:T46" si="8">S35+R35</f>
        <v>41905623.170000002</v>
      </c>
      <c r="U35" s="654">
        <f t="shared" ref="U35:U46" si="9">R35/L35-1</f>
        <v>-4.6155510060968075E-2</v>
      </c>
      <c r="V35" s="654">
        <f t="shared" ref="V35:V46" si="10">S35/M35-1</f>
        <v>1.8275292741613436E-2</v>
      </c>
      <c r="W35" s="618">
        <f t="shared" ref="W35:W46" si="11">T35/N35-1</f>
        <v>6.0899332618957747E-3</v>
      </c>
      <c r="X35" s="655">
        <f>'P&amp;L Mensal - Anualizado'!AT5</f>
        <v>7585530.3955319142</v>
      </c>
      <c r="Y35" s="655">
        <f>'P&amp;L Mensal - Anualizado'!AW5</f>
        <v>37483957.694468081</v>
      </c>
      <c r="Z35" s="656">
        <f t="shared" ref="Z35:Z46" si="12">Y35+X35</f>
        <v>45069488.089999996</v>
      </c>
      <c r="AA35" s="654">
        <f t="shared" ref="AA35:AA46" si="13">X35/R35-1</f>
        <v>9.5505616107027791E-3</v>
      </c>
      <c r="AB35" s="654">
        <f t="shared" ref="AB35:AB46" si="14">Y35/S35-1</f>
        <v>8.9908041747894352E-2</v>
      </c>
      <c r="AC35" s="622">
        <f t="shared" ref="AC35:AC46" si="15">Z35/T35-1</f>
        <v>7.5499770213773854E-2</v>
      </c>
      <c r="AD35" s="655">
        <f>'P&amp;L Mensal - Anualizado'!BE5</f>
        <v>7768119.1371399993</v>
      </c>
      <c r="AE35" s="655">
        <f>'P&amp;L Mensal - Anualizado'!BH5</f>
        <v>34678251.452860005</v>
      </c>
      <c r="AF35" s="656">
        <f>'P&amp;L Mensal - Anualizado'!BK5</f>
        <v>42446370.589999996</v>
      </c>
      <c r="AG35" s="654">
        <f t="shared" ref="AG35:AG46" si="16">AD35/X35-1</f>
        <v>2.4070662443806734E-2</v>
      </c>
      <c r="AH35" s="654">
        <f t="shared" ref="AH35:AH46" si="17">AE35/Y35-1</f>
        <v>-7.4850853916691551E-2</v>
      </c>
      <c r="AI35" s="622">
        <f t="shared" ref="AI35:AI46" si="18">AF35/Z35-1</f>
        <v>-5.8201626225748426E-2</v>
      </c>
    </row>
    <row r="36" spans="2:35" x14ac:dyDescent="0.25">
      <c r="B36" s="685" t="s">
        <v>13</v>
      </c>
      <c r="C36" s="598">
        <f>'P&amp;L Mensal - Anualizado'!B21</f>
        <v>-4115579.3024543701</v>
      </c>
      <c r="D36" s="599">
        <f>'P&amp;L Mensal - Anualizado'!E21</f>
        <v>-13893293.137545601</v>
      </c>
      <c r="E36" s="599">
        <f>D36+C36</f>
        <v>-18008872.439999972</v>
      </c>
      <c r="F36" s="598">
        <f>'P&amp;L Mensal - Anualizado'!M21</f>
        <v>-3458538.1350000007</v>
      </c>
      <c r="G36" s="599">
        <f>'P&amp;L Mensal - Anualizado'!P21</f>
        <v>-11194223.064999999</v>
      </c>
      <c r="H36" s="599">
        <f>G36+F36</f>
        <v>-14652761.199999999</v>
      </c>
      <c r="I36" s="658">
        <f t="shared" ref="I36:I46" si="19">F36/C36-1</f>
        <v>-0.1596473106623254</v>
      </c>
      <c r="J36" s="658">
        <f t="shared" ref="J36:J46" si="20">G36/D36-1</f>
        <v>-0.1942714406026288</v>
      </c>
      <c r="K36" s="630">
        <f t="shared" ref="K36:K46" si="21">H36/E36-1</f>
        <v>-0.18635876572403431</v>
      </c>
      <c r="L36" s="659">
        <f>'P&amp;L Mensal - Anualizado'!X21</f>
        <v>-4803644.101999077</v>
      </c>
      <c r="M36" s="659">
        <f>'P&amp;L Mensal - Anualizado'!AA21</f>
        <v>-17862654.088000923</v>
      </c>
      <c r="N36" s="660">
        <f t="shared" si="4"/>
        <v>-22666298.190000001</v>
      </c>
      <c r="O36" s="661">
        <f t="shared" si="5"/>
        <v>0.38892327176813857</v>
      </c>
      <c r="P36" s="658">
        <f t="shared" si="6"/>
        <v>0.59570288927424775</v>
      </c>
      <c r="Q36" s="627">
        <f t="shared" si="7"/>
        <v>0.54689603417545651</v>
      </c>
      <c r="R36" s="659">
        <f>'P&amp;L Mensal - Anualizado'!AI21</f>
        <v>-4383516.3383478783</v>
      </c>
      <c r="S36" s="660">
        <f>'P&amp;L Mensal - Anualizado'!AL21</f>
        <v>-17657421.661652122</v>
      </c>
      <c r="T36" s="660">
        <f t="shared" si="8"/>
        <v>-22040938</v>
      </c>
      <c r="U36" s="658">
        <f t="shared" si="9"/>
        <v>-8.7460218686134295E-2</v>
      </c>
      <c r="V36" s="658">
        <f t="shared" si="10"/>
        <v>-1.148946989275601E-2</v>
      </c>
      <c r="W36" s="619">
        <f t="shared" si="11"/>
        <v>-2.7589868656889949E-2</v>
      </c>
      <c r="X36" s="659">
        <f>'P&amp;L Mensal - Anualizado'!AT21</f>
        <v>-4480613.6962589966</v>
      </c>
      <c r="Y36" s="659">
        <f>'P&amp;L Mensal - Anualizado'!AW21</f>
        <v>-15739911.173741005</v>
      </c>
      <c r="Z36" s="660">
        <f t="shared" si="12"/>
        <v>-20220524.870000001</v>
      </c>
      <c r="AA36" s="658">
        <f t="shared" si="13"/>
        <v>2.2150563706513582E-2</v>
      </c>
      <c r="AB36" s="658">
        <f t="shared" si="14"/>
        <v>-0.10859515758608806</v>
      </c>
      <c r="AC36" s="623">
        <f t="shared" si="15"/>
        <v>-8.2592361994757169E-2</v>
      </c>
      <c r="AD36" s="659">
        <f>'P&amp;L Mensal - Anualizado'!BE21</f>
        <v>-4804004.8994150003</v>
      </c>
      <c r="AE36" s="659">
        <f>'P&amp;L Mensal - Anualizado'!BH21</f>
        <v>-17194337.850584999</v>
      </c>
      <c r="AF36" s="660">
        <f>'P&amp;L Mensal - Anualizado'!BK21</f>
        <v>-21998342.75</v>
      </c>
      <c r="AG36" s="658">
        <f t="shared" si="16"/>
        <v>7.217564938169363E-2</v>
      </c>
      <c r="AH36" s="658">
        <f t="shared" si="17"/>
        <v>9.2403741087841995E-2</v>
      </c>
      <c r="AI36" s="623">
        <f t="shared" si="18"/>
        <v>8.7921450675973345E-2</v>
      </c>
    </row>
    <row r="37" spans="2:35" x14ac:dyDescent="0.25">
      <c r="B37" s="685" t="s">
        <v>543</v>
      </c>
      <c r="C37" s="598">
        <f>'P&amp;L Mensal - Anualizado'!B30</f>
        <v>3504281.6369456286</v>
      </c>
      <c r="D37" s="599">
        <f>'P&amp;L Mensal - Anualizado'!E30</f>
        <v>9570904.2130543906</v>
      </c>
      <c r="E37" s="599">
        <f t="shared" ref="E37:E46" si="22">D37+C37</f>
        <v>13075185.85000002</v>
      </c>
      <c r="F37" s="598">
        <f>'P&amp;L Mensal - Anualizado'!M30</f>
        <v>3464917.2297199997</v>
      </c>
      <c r="G37" s="599">
        <f>'P&amp;L Mensal - Anualizado'!P30</f>
        <v>11886876.890280005</v>
      </c>
      <c r="H37" s="599">
        <f t="shared" ref="H37:H46" si="23">G37+F37</f>
        <v>15351794.120000005</v>
      </c>
      <c r="I37" s="658">
        <f t="shared" si="19"/>
        <v>-1.1233231601766813E-2</v>
      </c>
      <c r="J37" s="658">
        <f t="shared" si="20"/>
        <v>0.24198055122803397</v>
      </c>
      <c r="K37" s="630">
        <f t="shared" si="21"/>
        <v>0.17411670442909855</v>
      </c>
      <c r="L37" s="659">
        <f>'P&amp;L Mensal - Anualizado'!X30</f>
        <v>2853178.9224075819</v>
      </c>
      <c r="M37" s="659">
        <f>'P&amp;L Mensal - Anualizado'!AA30</f>
        <v>15040297.36759243</v>
      </c>
      <c r="N37" s="660">
        <f t="shared" si="4"/>
        <v>17893476.29000001</v>
      </c>
      <c r="O37" s="661">
        <f t="shared" si="5"/>
        <v>-0.17655206943048751</v>
      </c>
      <c r="P37" s="658">
        <f t="shared" si="6"/>
        <v>0.26528586999088066</v>
      </c>
      <c r="Q37" s="627">
        <f t="shared" si="7"/>
        <v>0.16556254924554747</v>
      </c>
      <c r="R37" s="659">
        <f>'P&amp;L Mensal - Anualizado'!AI30</f>
        <v>2958757.4475712702</v>
      </c>
      <c r="S37" s="660">
        <f>'P&amp;L Mensal - Anualizado'!AL30</f>
        <v>15845884.80242873</v>
      </c>
      <c r="T37" s="660">
        <f t="shared" si="8"/>
        <v>18804642.25</v>
      </c>
      <c r="U37" s="658">
        <f t="shared" si="9"/>
        <v>3.7003822064757941E-2</v>
      </c>
      <c r="V37" s="658">
        <f t="shared" si="10"/>
        <v>5.3561935322642862E-2</v>
      </c>
      <c r="W37" s="619">
        <f t="shared" si="11"/>
        <v>5.0921684821479074E-2</v>
      </c>
      <c r="X37" s="659">
        <f>'P&amp;L Mensal - Anualizado'!AT30</f>
        <v>2791893.8748729178</v>
      </c>
      <c r="Y37" s="659">
        <f>'P&amp;L Mensal - Anualizado'!AW30</f>
        <v>20634238.325127076</v>
      </c>
      <c r="Z37" s="660">
        <f t="shared" si="12"/>
        <v>23426132.199999996</v>
      </c>
      <c r="AA37" s="658">
        <f t="shared" si="13"/>
        <v>-5.63965028073945E-2</v>
      </c>
      <c r="AB37" s="658">
        <f t="shared" si="14"/>
        <v>0.30218278009722921</v>
      </c>
      <c r="AC37" s="623">
        <f t="shared" si="15"/>
        <v>0.2457632476363647</v>
      </c>
      <c r="AD37" s="659">
        <f>'P&amp;L Mensal - Anualizado'!BE30</f>
        <v>2640144.9107249989</v>
      </c>
      <c r="AE37" s="659">
        <f>'P&amp;L Mensal - Anualizado'!BH30</f>
        <v>16335295.079275006</v>
      </c>
      <c r="AF37" s="660">
        <f>'P&amp;L Mensal - Anualizado'!BK30</f>
        <v>18975439.989999995</v>
      </c>
      <c r="AG37" s="658">
        <f t="shared" si="16"/>
        <v>-5.4353414187287563E-2</v>
      </c>
      <c r="AH37" s="658">
        <f t="shared" si="17"/>
        <v>-0.20834029238758411</v>
      </c>
      <c r="AI37" s="623">
        <f t="shared" si="18"/>
        <v>-0.18998835027491234</v>
      </c>
    </row>
    <row r="38" spans="2:35" x14ac:dyDescent="0.25">
      <c r="B38" s="685" t="s">
        <v>24</v>
      </c>
      <c r="C38" s="598">
        <f>'P&amp;L Mensal - Anualizado'!B31</f>
        <v>-725978.64</v>
      </c>
      <c r="D38" s="599">
        <f>'P&amp;L Mensal - Anualizado'!E31</f>
        <v>-1516697.22</v>
      </c>
      <c r="E38" s="599">
        <f t="shared" si="22"/>
        <v>-2242675.86</v>
      </c>
      <c r="F38" s="598">
        <f>'P&amp;L Mensal - Anualizado'!M31</f>
        <v>-403888.5083000001</v>
      </c>
      <c r="G38" s="599">
        <f>'P&amp;L Mensal - Anualizado'!P31</f>
        <v>-1775414.1117</v>
      </c>
      <c r="H38" s="599">
        <f t="shared" si="23"/>
        <v>-2179302.62</v>
      </c>
      <c r="I38" s="658">
        <f t="shared" si="19"/>
        <v>-0.44366337238241593</v>
      </c>
      <c r="J38" s="658">
        <f t="shared" si="20"/>
        <v>0.17057912963010513</v>
      </c>
      <c r="K38" s="630">
        <f t="shared" si="21"/>
        <v>-2.8257868705110045E-2</v>
      </c>
      <c r="L38" s="659">
        <f>'P&amp;L Mensal - Anualizado'!X31</f>
        <v>-610260.52</v>
      </c>
      <c r="M38" s="659">
        <f>'P&amp;L Mensal - Anualizado'!AA31</f>
        <v>-439697.64999999991</v>
      </c>
      <c r="N38" s="660">
        <f t="shared" si="4"/>
        <v>-1049958.17</v>
      </c>
      <c r="O38" s="661">
        <f t="shared" si="5"/>
        <v>0.51096282132075665</v>
      </c>
      <c r="P38" s="658">
        <f t="shared" si="6"/>
        <v>-0.75234079356337924</v>
      </c>
      <c r="Q38" s="627">
        <f t="shared" si="7"/>
        <v>-0.51821368892769937</v>
      </c>
      <c r="R38" s="659">
        <f>'P&amp;L Mensal - Anualizado'!AI31</f>
        <v>-483020.98000000056</v>
      </c>
      <c r="S38" s="660">
        <f>'P&amp;L Mensal - Anualizado'!AL31</f>
        <v>-2252289.5199999968</v>
      </c>
      <c r="T38" s="660">
        <f t="shared" si="8"/>
        <v>-2735310.4999999972</v>
      </c>
      <c r="U38" s="658">
        <f t="shared" si="9"/>
        <v>-0.2085003630908312</v>
      </c>
      <c r="V38" s="658">
        <f t="shared" si="10"/>
        <v>4.1223596942125962</v>
      </c>
      <c r="W38" s="619">
        <f t="shared" si="11"/>
        <v>1.6051614037157282</v>
      </c>
      <c r="X38" s="659">
        <f>'P&amp;L Mensal - Anualizado'!AT31</f>
        <v>-706208.47999999975</v>
      </c>
      <c r="Y38" s="659">
        <f>'P&amp;L Mensal - Anualizado'!AW31</f>
        <v>-2828879.540000001</v>
      </c>
      <c r="Z38" s="660">
        <f t="shared" si="12"/>
        <v>-3535088.0200000005</v>
      </c>
      <c r="AA38" s="658">
        <f t="shared" si="13"/>
        <v>0.46206585063861816</v>
      </c>
      <c r="AB38" s="658">
        <f t="shared" si="14"/>
        <v>0.25600173285004901</v>
      </c>
      <c r="AC38" s="623">
        <f t="shared" si="15"/>
        <v>0.29239003030917488</v>
      </c>
      <c r="AD38" s="659">
        <f>'P&amp;L Mensal - Anualizado'!BE31</f>
        <v>-455481.60999999981</v>
      </c>
      <c r="AE38" s="659">
        <f>'P&amp;L Mensal - Anualizado'!BH31</f>
        <v>-1360932.5900000003</v>
      </c>
      <c r="AF38" s="660">
        <f>'P&amp;L Mensal - Anualizado'!BK31</f>
        <v>-1816414.2000000002</v>
      </c>
      <c r="AG38" s="658">
        <f t="shared" si="16"/>
        <v>-0.35503236947820282</v>
      </c>
      <c r="AH38" s="658">
        <f t="shared" si="17"/>
        <v>-0.51891461946096162</v>
      </c>
      <c r="AI38" s="623">
        <f t="shared" si="18"/>
        <v>-0.48617567943895212</v>
      </c>
    </row>
    <row r="39" spans="2:35" x14ac:dyDescent="0.25">
      <c r="B39" s="685" t="s">
        <v>125</v>
      </c>
      <c r="C39" s="598">
        <f>'P&amp;L Mensal - Anualizado'!B34</f>
        <v>2778302.9969456284</v>
      </c>
      <c r="D39" s="599">
        <f>'P&amp;L Mensal - Anualizado'!E34</f>
        <v>8054206.9930543909</v>
      </c>
      <c r="E39" s="599">
        <f t="shared" si="22"/>
        <v>10832509.990000019</v>
      </c>
      <c r="F39" s="598">
        <f>'P&amp;L Mensal - Anualizado'!M34</f>
        <v>3061028.7214199994</v>
      </c>
      <c r="G39" s="599">
        <f>'P&amp;L Mensal - Anualizado'!P34</f>
        <v>10111462.778580004</v>
      </c>
      <c r="H39" s="599">
        <f t="shared" si="23"/>
        <v>13172491.500000004</v>
      </c>
      <c r="I39" s="658">
        <f t="shared" si="19"/>
        <v>0.10176201975997223</v>
      </c>
      <c r="J39" s="658">
        <f t="shared" si="20"/>
        <v>0.25542623715776158</v>
      </c>
      <c r="K39" s="630">
        <f t="shared" si="21"/>
        <v>0.21601471054816734</v>
      </c>
      <c r="L39" s="659">
        <f>'P&amp;L Mensal - Anualizado'!X34</f>
        <v>2242918.4024075819</v>
      </c>
      <c r="M39" s="659">
        <f>'P&amp;L Mensal - Anualizado'!AA34</f>
        <v>14600599.717592429</v>
      </c>
      <c r="N39" s="660">
        <f t="shared" si="4"/>
        <v>16843518.120000012</v>
      </c>
      <c r="O39" s="661">
        <f t="shared" si="5"/>
        <v>-0.26726646283570288</v>
      </c>
      <c r="P39" s="658">
        <f t="shared" si="6"/>
        <v>0.4439651351456444</v>
      </c>
      <c r="Q39" s="627">
        <f t="shared" si="7"/>
        <v>0.27868885852004599</v>
      </c>
      <c r="R39" s="659">
        <f>'P&amp;L Mensal - Anualizado'!AI34</f>
        <v>2475736.4675712697</v>
      </c>
      <c r="S39" s="660">
        <f>'P&amp;L Mensal - Anualizado'!AL34</f>
        <v>13593595.282428734</v>
      </c>
      <c r="T39" s="660">
        <f t="shared" si="8"/>
        <v>16069331.750000004</v>
      </c>
      <c r="U39" s="658">
        <f t="shared" si="9"/>
        <v>0.10380139772975139</v>
      </c>
      <c r="V39" s="658">
        <f t="shared" si="10"/>
        <v>-6.8970073465567605E-2</v>
      </c>
      <c r="W39" s="619">
        <f t="shared" si="11"/>
        <v>-4.5963459918788474E-2</v>
      </c>
      <c r="X39" s="659">
        <f>'P&amp;L Mensal - Anualizado'!AT34</f>
        <v>2085685.394872918</v>
      </c>
      <c r="Y39" s="659">
        <f>'P&amp;L Mensal - Anualizado'!AW34</f>
        <v>17805358.785127074</v>
      </c>
      <c r="Z39" s="660">
        <f t="shared" si="12"/>
        <v>19891044.179999992</v>
      </c>
      <c r="AA39" s="658">
        <f t="shared" si="13"/>
        <v>-0.15754951215829405</v>
      </c>
      <c r="AB39" s="658">
        <f t="shared" si="14"/>
        <v>0.30983440474666191</v>
      </c>
      <c r="AC39" s="623">
        <f t="shared" si="15"/>
        <v>0.23782646904405258</v>
      </c>
      <c r="AD39" s="659">
        <f>'P&amp;L Mensal - Anualizado'!BE34</f>
        <v>2184663.300724999</v>
      </c>
      <c r="AE39" s="659">
        <f>'P&amp;L Mensal - Anualizado'!BH34</f>
        <v>14974362.489275007</v>
      </c>
      <c r="AF39" s="660">
        <f>'P&amp;L Mensal - Anualizado'!BK34</f>
        <v>17159025.789999995</v>
      </c>
      <c r="AG39" s="658">
        <f t="shared" si="16"/>
        <v>4.7455817687265256E-2</v>
      </c>
      <c r="AH39" s="658">
        <f t="shared" si="17"/>
        <v>-0.15899686886494058</v>
      </c>
      <c r="AI39" s="623">
        <f t="shared" si="18"/>
        <v>-0.13734916906710115</v>
      </c>
    </row>
    <row r="40" spans="2:35" x14ac:dyDescent="0.25">
      <c r="B40" s="685" t="s">
        <v>175</v>
      </c>
      <c r="C40" s="598">
        <f>'P&amp;L Mensal - Anualizado'!B35+'P&amp;L Mensal - Anualizado'!B38</f>
        <v>-1088774.4178079658</v>
      </c>
      <c r="D40" s="599">
        <f>'P&amp;L Mensal - Anualizado'!E35+'P&amp;L Mensal - Anualizado'!E38</f>
        <v>-3729180.6021920498</v>
      </c>
      <c r="E40" s="599">
        <f t="shared" si="22"/>
        <v>-4817955.0200000154</v>
      </c>
      <c r="F40" s="598">
        <f>'P&amp;L Mensal - Anualizado'!M35+'P&amp;L Mensal - Anualizado'!M38</f>
        <v>-1106026.834840002</v>
      </c>
      <c r="G40" s="599">
        <f>'P&amp;L Mensal - Anualizado'!P35+'P&amp;L Mensal - Anualizado'!P38</f>
        <v>-4157786.4751600064</v>
      </c>
      <c r="H40" s="599">
        <f t="shared" si="23"/>
        <v>-5263813.310000008</v>
      </c>
      <c r="I40" s="658">
        <f t="shared" si="19"/>
        <v>1.5845722263359674E-2</v>
      </c>
      <c r="J40" s="658">
        <f t="shared" si="20"/>
        <v>0.11493298895634552</v>
      </c>
      <c r="K40" s="630">
        <f t="shared" si="21"/>
        <v>9.2540982252671933E-2</v>
      </c>
      <c r="L40" s="659">
        <f>'P&amp;L Mensal - Anualizado'!X35+'P&amp;L Mensal - Anualizado'!X38</f>
        <v>-1000224.8020000083</v>
      </c>
      <c r="M40" s="659">
        <f>'P&amp;L Mensal - Anualizado'!AA35+'P&amp;L Mensal - Anualizado'!AA38</f>
        <v>-3635830.4580000099</v>
      </c>
      <c r="N40" s="660">
        <f t="shared" si="4"/>
        <v>-4636055.2600000184</v>
      </c>
      <c r="O40" s="661">
        <f t="shared" si="5"/>
        <v>-9.5659553192756874E-2</v>
      </c>
      <c r="P40" s="658">
        <f t="shared" si="6"/>
        <v>-0.12553699433059751</v>
      </c>
      <c r="Q40" s="627">
        <f t="shared" si="7"/>
        <v>-0.11925917828571098</v>
      </c>
      <c r="R40" s="659">
        <f>'P&amp;L Mensal - Anualizado'!AI35+'P&amp;L Mensal - Anualizado'!AI38</f>
        <v>-989834.40973688825</v>
      </c>
      <c r="S40" s="660">
        <f>'P&amp;L Mensal - Anualizado'!AL35+'P&amp;L Mensal - Anualizado'!AL38</f>
        <v>-4316176.6016631164</v>
      </c>
      <c r="T40" s="660">
        <f t="shared" si="8"/>
        <v>-5306011.0114000048</v>
      </c>
      <c r="U40" s="658">
        <f t="shared" si="9"/>
        <v>-1.0388057007128637E-2</v>
      </c>
      <c r="V40" s="658">
        <f t="shared" si="10"/>
        <v>0.1871226261846517</v>
      </c>
      <c r="W40" s="619">
        <f t="shared" si="11"/>
        <v>0.14450987182581243</v>
      </c>
      <c r="X40" s="659">
        <f>'P&amp;L Mensal - Anualizado'!AT35+'P&amp;L Mensal - Anualizado'!AT38</f>
        <v>-973320.37926003011</v>
      </c>
      <c r="Y40" s="659">
        <f>'P&amp;L Mensal - Anualizado'!AW35+'P&amp;L Mensal - Anualizado'!AW38</f>
        <v>-4244167.1107399706</v>
      </c>
      <c r="Z40" s="660">
        <f t="shared" si="12"/>
        <v>-5217487.49</v>
      </c>
      <c r="AA40" s="658">
        <f t="shared" si="13"/>
        <v>-1.668362941761925E-2</v>
      </c>
      <c r="AB40" s="658">
        <f t="shared" si="14"/>
        <v>-1.6683629417619028E-2</v>
      </c>
      <c r="AC40" s="623">
        <f t="shared" si="15"/>
        <v>-1.668362941761925E-2</v>
      </c>
      <c r="AD40" s="659">
        <f>'P&amp;L Mensal - Anualizado'!BE35+'P&amp;L Mensal - Anualizado'!BE38</f>
        <v>-923210.49495534576</v>
      </c>
      <c r="AE40" s="659">
        <f>'P&amp;L Mensal - Anualizado'!BH35+'P&amp;L Mensal - Anualizado'!BH38</f>
        <v>-4032126.2450446468</v>
      </c>
      <c r="AF40" s="660">
        <f>'P&amp;L Mensal - Anualizado'!BK35+'P&amp;L Mensal - Anualizado'!BK38</f>
        <v>-4955336.7399999928</v>
      </c>
      <c r="AG40" s="658">
        <f t="shared" si="16"/>
        <v>-5.1483443039362364E-2</v>
      </c>
      <c r="AH40" s="658">
        <f t="shared" si="17"/>
        <v>-4.9960536463974026E-2</v>
      </c>
      <c r="AI40" s="623">
        <f t="shared" si="18"/>
        <v>-5.0244634127528554E-2</v>
      </c>
    </row>
    <row r="41" spans="2:35" x14ac:dyDescent="0.25">
      <c r="B41" s="685" t="s">
        <v>28</v>
      </c>
      <c r="C41" s="598">
        <f>'P&amp;L Mensal - Anualizado'!B29</f>
        <v>-182166.92879999999</v>
      </c>
      <c r="D41" s="599">
        <f>'P&amp;L Mensal - Anualizado'!E29</f>
        <v>-395690.12119999999</v>
      </c>
      <c r="E41" s="599">
        <f t="shared" si="22"/>
        <v>-577857.05000000005</v>
      </c>
      <c r="F41" s="598">
        <f>'P&amp;L Mensal - Anualizado'!M29</f>
        <v>-175268.6992</v>
      </c>
      <c r="G41" s="599">
        <f>'P&amp;L Mensal - Anualizado'!P29</f>
        <v>-692764.18080000009</v>
      </c>
      <c r="H41" s="599">
        <f t="shared" si="23"/>
        <v>-868032.88000000012</v>
      </c>
      <c r="I41" s="658">
        <f t="shared" si="19"/>
        <v>-3.786762858352577E-2</v>
      </c>
      <c r="J41" s="658">
        <f t="shared" si="20"/>
        <v>0.75077451693529951</v>
      </c>
      <c r="K41" s="630">
        <f t="shared" si="21"/>
        <v>0.50215850096490144</v>
      </c>
      <c r="L41" s="659">
        <f>'P&amp;L Mensal - Anualizado'!X29</f>
        <v>-220529.89273334079</v>
      </c>
      <c r="M41" s="659">
        <f>'P&amp;L Mensal - Anualizado'!AA29</f>
        <v>-871661.10726665927</v>
      </c>
      <c r="N41" s="660">
        <f t="shared" si="4"/>
        <v>-1092191</v>
      </c>
      <c r="O41" s="661">
        <f t="shared" si="5"/>
        <v>0.25823888543665752</v>
      </c>
      <c r="P41" s="658">
        <f t="shared" si="6"/>
        <v>0.25823639764410178</v>
      </c>
      <c r="Q41" s="627">
        <f t="shared" si="7"/>
        <v>0.25823689996627763</v>
      </c>
      <c r="R41" s="659">
        <f>'P&amp;L Mensal - Anualizado'!AI29</f>
        <v>-171495.88939999999</v>
      </c>
      <c r="S41" s="660">
        <f>'P&amp;L Mensal - Anualizado'!AL29</f>
        <v>-888547.03060000006</v>
      </c>
      <c r="T41" s="660">
        <f t="shared" si="8"/>
        <v>-1060042.92</v>
      </c>
      <c r="U41" s="658">
        <f t="shared" si="9"/>
        <v>-0.22234628931974987</v>
      </c>
      <c r="V41" s="658">
        <f t="shared" si="10"/>
        <v>1.9372119729296422E-2</v>
      </c>
      <c r="W41" s="619">
        <f t="shared" si="11"/>
        <v>-2.9434485360161466E-2</v>
      </c>
      <c r="X41" s="659">
        <f>'P&amp;L Mensal - Anualizado'!AT29</f>
        <v>-313022.82439999981</v>
      </c>
      <c r="Y41" s="659">
        <f>'P&amp;L Mensal - Anualizado'!AW29</f>
        <v>-1109808.1956</v>
      </c>
      <c r="Z41" s="660">
        <f t="shared" si="12"/>
        <v>-1422831.0199999998</v>
      </c>
      <c r="AA41" s="658">
        <f t="shared" si="13"/>
        <v>0.82524972169974253</v>
      </c>
      <c r="AB41" s="658">
        <f t="shared" si="14"/>
        <v>0.24901457928523052</v>
      </c>
      <c r="AC41" s="623">
        <f t="shared" si="15"/>
        <v>0.34223906707475571</v>
      </c>
      <c r="AD41" s="659">
        <f>'P&amp;L Mensal - Anualizado'!BE29</f>
        <v>-323969.32699999999</v>
      </c>
      <c r="AE41" s="659">
        <f>'P&amp;L Mensal - Anualizado'!BH29</f>
        <v>-1148618.523</v>
      </c>
      <c r="AF41" s="660">
        <f>'P&amp;L Mensal - Anualizado'!BK29</f>
        <v>-1472587.85</v>
      </c>
      <c r="AG41" s="658">
        <f t="shared" si="16"/>
        <v>3.4970301673631576E-2</v>
      </c>
      <c r="AH41" s="658">
        <f t="shared" si="17"/>
        <v>3.497030167363091E-2</v>
      </c>
      <c r="AI41" s="623">
        <f t="shared" si="18"/>
        <v>3.4970301673631132E-2</v>
      </c>
    </row>
    <row r="42" spans="2:35" x14ac:dyDescent="0.25">
      <c r="B42" s="685" t="s">
        <v>38</v>
      </c>
      <c r="C42" s="598">
        <f>'P&amp;L Mensal - Anualizado'!B36</f>
        <v>-37516.142400000019</v>
      </c>
      <c r="D42" s="599">
        <f>'P&amp;L Mensal - Anualizado'!E36</f>
        <v>-133011.77760000009</v>
      </c>
      <c r="E42" s="599">
        <f t="shared" si="22"/>
        <v>-170527.9200000001</v>
      </c>
      <c r="F42" s="598">
        <f>'P&amp;L Mensal - Anualizado'!M36</f>
        <v>-223720.53220000002</v>
      </c>
      <c r="G42" s="599">
        <f>'P&amp;L Mensal - Anualizado'!P36</f>
        <v>-793190.97779999999</v>
      </c>
      <c r="H42" s="599">
        <f t="shared" si="23"/>
        <v>-1016911.51</v>
      </c>
      <c r="I42" s="658">
        <f t="shared" si="19"/>
        <v>4.9633138667263372</v>
      </c>
      <c r="J42" s="658">
        <f t="shared" si="20"/>
        <v>4.9633138667263363</v>
      </c>
      <c r="K42" s="630">
        <f t="shared" si="21"/>
        <v>4.9633138667263363</v>
      </c>
      <c r="L42" s="659">
        <f>'P&amp;L Mensal - Anualizado'!X36</f>
        <v>-40765.594797838887</v>
      </c>
      <c r="M42" s="659">
        <f>'P&amp;L Mensal - Anualizado'!AA36</f>
        <v>-144532.2652021609</v>
      </c>
      <c r="N42" s="660">
        <f t="shared" si="4"/>
        <v>-185297.85999999978</v>
      </c>
      <c r="O42" s="661">
        <f t="shared" si="5"/>
        <v>-0.81778339968637492</v>
      </c>
      <c r="P42" s="658">
        <f t="shared" si="6"/>
        <v>-0.81778377560088167</v>
      </c>
      <c r="Q42" s="627">
        <f t="shared" si="7"/>
        <v>-0.81778369289969022</v>
      </c>
      <c r="R42" s="659">
        <f>'P&amp;L Mensal - Anualizado'!AI36</f>
        <v>-91815.923892000021</v>
      </c>
      <c r="S42" s="660">
        <f>'P&amp;L Mensal - Anualizado'!AL36</f>
        <v>-325529.18470799999</v>
      </c>
      <c r="T42" s="660">
        <f t="shared" si="8"/>
        <v>-417345.10860000004</v>
      </c>
      <c r="U42" s="658">
        <f t="shared" si="9"/>
        <v>1.2522895678899175</v>
      </c>
      <c r="V42" s="658">
        <f t="shared" si="10"/>
        <v>1.252294214393403</v>
      </c>
      <c r="W42" s="619">
        <f t="shared" si="11"/>
        <v>1.2522931921609914</v>
      </c>
      <c r="X42" s="659">
        <f>'P&amp;L Mensal - Anualizado'!AT36</f>
        <v>-35594.347800000018</v>
      </c>
      <c r="Y42" s="659">
        <f>'P&amp;L Mensal - Anualizado'!AW36</f>
        <v>-126198.14220000006</v>
      </c>
      <c r="Z42" s="660">
        <f t="shared" si="12"/>
        <v>-161792.49000000008</v>
      </c>
      <c r="AA42" s="658">
        <f t="shared" si="13"/>
        <v>-0.61232925301858909</v>
      </c>
      <c r="AB42" s="658">
        <f t="shared" si="14"/>
        <v>-0.61232925301858909</v>
      </c>
      <c r="AC42" s="623">
        <f t="shared" si="15"/>
        <v>-0.61232925301858909</v>
      </c>
      <c r="AD42" s="659">
        <f>'P&amp;L Mensal - Anualizado'!BE36</f>
        <v>16837.295200000008</v>
      </c>
      <c r="AE42" s="659">
        <f>'P&amp;L Mensal - Anualizado'!BH36</f>
        <v>59695.864800000025</v>
      </c>
      <c r="AF42" s="660">
        <f>'P&amp;L Mensal - Anualizado'!BK36</f>
        <v>76533.160000000033</v>
      </c>
      <c r="AG42" s="658">
        <f t="shared" si="16"/>
        <v>-1.4730328336006202</v>
      </c>
      <c r="AH42" s="658">
        <f t="shared" si="17"/>
        <v>-1.4730328336006202</v>
      </c>
      <c r="AI42" s="623">
        <f t="shared" si="18"/>
        <v>-1.4730328336006202</v>
      </c>
    </row>
    <row r="43" spans="2:35" x14ac:dyDescent="0.25">
      <c r="B43" s="685" t="s">
        <v>33</v>
      </c>
      <c r="C43" s="598">
        <f>'P&amp;L Mensal - Anualizado'!B39</f>
        <v>-98141.795400000003</v>
      </c>
      <c r="D43" s="599">
        <f>'P&amp;L Mensal - Anualizado'!E39</f>
        <v>-349715.66460000002</v>
      </c>
      <c r="E43" s="599">
        <f t="shared" si="22"/>
        <v>-447857.46</v>
      </c>
      <c r="F43" s="598">
        <f>'P&amp;L Mensal - Anualizado'!M39</f>
        <v>-95397.185399999988</v>
      </c>
      <c r="G43" s="599">
        <f>'P&amp;L Mensal - Anualizado'!P39</f>
        <v>-338226.38459999999</v>
      </c>
      <c r="H43" s="599">
        <f t="shared" si="23"/>
        <v>-433623.56999999995</v>
      </c>
      <c r="I43" s="658">
        <f t="shared" si="19"/>
        <v>-2.796576105841253E-2</v>
      </c>
      <c r="J43" s="658">
        <f t="shared" si="20"/>
        <v>-3.2853203796693875E-2</v>
      </c>
      <c r="K43" s="630">
        <f t="shared" si="21"/>
        <v>-3.1782188020268887E-2</v>
      </c>
      <c r="L43" s="659">
        <f>'P&amp;L Mensal - Anualizado'!X39</f>
        <v>-93401.923999999999</v>
      </c>
      <c r="M43" s="659">
        <f>'P&amp;L Mensal - Anualizado'!AA39</f>
        <v>-331152.27600000001</v>
      </c>
      <c r="N43" s="660">
        <f t="shared" si="4"/>
        <v>-424554.2</v>
      </c>
      <c r="O43" s="661">
        <f t="shared" si="5"/>
        <v>-2.0915306794785038E-2</v>
      </c>
      <c r="P43" s="658">
        <f t="shared" si="6"/>
        <v>-2.0915306794785149E-2</v>
      </c>
      <c r="Q43" s="627">
        <f t="shared" si="7"/>
        <v>-2.0915306794785038E-2</v>
      </c>
      <c r="R43" s="659">
        <f>'P&amp;L Mensal - Anualizado'!AI39</f>
        <v>-68173.243600000002</v>
      </c>
      <c r="S43" s="660">
        <f>'P&amp;L Mensal - Anualizado'!AL39</f>
        <v>-241705.13640000002</v>
      </c>
      <c r="T43" s="660">
        <f t="shared" si="8"/>
        <v>-309878.38</v>
      </c>
      <c r="U43" s="658">
        <f t="shared" si="9"/>
        <v>-0.27010878705239516</v>
      </c>
      <c r="V43" s="658">
        <f t="shared" si="10"/>
        <v>-0.27010878705239516</v>
      </c>
      <c r="W43" s="619">
        <f t="shared" si="11"/>
        <v>-0.27010878705239516</v>
      </c>
      <c r="X43" s="659">
        <f>'P&amp;L Mensal - Anualizado'!AT39</f>
        <v>-80103.962399999989</v>
      </c>
      <c r="Y43" s="659">
        <f>'P&amp;L Mensal - Anualizado'!AW39</f>
        <v>-284004.95759999997</v>
      </c>
      <c r="Z43" s="660">
        <f t="shared" si="12"/>
        <v>-364108.91999999993</v>
      </c>
      <c r="AA43" s="658">
        <f t="shared" si="13"/>
        <v>0.17500588456671262</v>
      </c>
      <c r="AB43" s="658">
        <f t="shared" si="14"/>
        <v>0.17500588456671262</v>
      </c>
      <c r="AC43" s="623">
        <f t="shared" si="15"/>
        <v>0.17500588456671262</v>
      </c>
      <c r="AD43" s="659">
        <f>'P&amp;L Mensal - Anualizado'!BE39</f>
        <v>-73558.007600000012</v>
      </c>
      <c r="AE43" s="659">
        <f>'P&amp;L Mensal - Anualizado'!BH39</f>
        <v>-260796.57240000006</v>
      </c>
      <c r="AF43" s="660">
        <f>'P&amp;L Mensal - Anualizado'!BK39</f>
        <v>-334354.58000000007</v>
      </c>
      <c r="AG43" s="658">
        <f t="shared" si="16"/>
        <v>-8.1718239695967587E-2</v>
      </c>
      <c r="AH43" s="658">
        <f t="shared" si="17"/>
        <v>-8.1718239695967587E-2</v>
      </c>
      <c r="AI43" s="623">
        <f t="shared" si="18"/>
        <v>-8.1718239695967476E-2</v>
      </c>
    </row>
    <row r="44" spans="2:35" x14ac:dyDescent="0.25">
      <c r="B44" s="685" t="s">
        <v>544</v>
      </c>
      <c r="C44" s="598">
        <f>'P&amp;L Mensal - Anualizado'!B40</f>
        <v>1553870.6413376625</v>
      </c>
      <c r="D44" s="599">
        <f>'P&amp;L Mensal - Anualizado'!E40</f>
        <v>3842298.9486623416</v>
      </c>
      <c r="E44" s="599">
        <f t="shared" si="22"/>
        <v>5396169.5900000036</v>
      </c>
      <c r="F44" s="598">
        <f>'P&amp;L Mensal - Anualizado'!M40</f>
        <v>1635884.168979997</v>
      </c>
      <c r="G44" s="599">
        <f>'P&amp;L Mensal - Anualizado'!P40</f>
        <v>4822258.9410199989</v>
      </c>
      <c r="H44" s="599">
        <f t="shared" si="23"/>
        <v>6458143.1099999957</v>
      </c>
      <c r="I44" s="658">
        <f t="shared" si="19"/>
        <v>5.2780151359145711E-2</v>
      </c>
      <c r="J44" s="658">
        <f t="shared" si="20"/>
        <v>0.25504522304252797</v>
      </c>
      <c r="K44" s="630">
        <f t="shared" si="21"/>
        <v>0.19680136109287694</v>
      </c>
      <c r="L44" s="659">
        <f>'P&amp;L Mensal - Anualizado'!X40</f>
        <v>1108526.0816097348</v>
      </c>
      <c r="M44" s="659">
        <f>'P&amp;L Mensal - Anualizado'!AA40</f>
        <v>10489084.718390258</v>
      </c>
      <c r="N44" s="660">
        <f t="shared" si="4"/>
        <v>11597610.799999993</v>
      </c>
      <c r="O44" s="661">
        <f t="shared" si="5"/>
        <v>-0.32236884332652926</v>
      </c>
      <c r="P44" s="658">
        <f t="shared" si="6"/>
        <v>1.1751392545858641</v>
      </c>
      <c r="Q44" s="627">
        <f t="shared" si="7"/>
        <v>0.79581198534326081</v>
      </c>
      <c r="R44" s="659">
        <f>'P&amp;L Mensal - Anualizado'!AI40</f>
        <v>1325912.8903423815</v>
      </c>
      <c r="S44" s="660">
        <f>'P&amp;L Mensal - Anualizado'!AL40</f>
        <v>8710184.3596576191</v>
      </c>
      <c r="T44" s="660">
        <f t="shared" si="8"/>
        <v>10036097.25</v>
      </c>
      <c r="U44" s="658">
        <f t="shared" si="9"/>
        <v>0.19610436988272828</v>
      </c>
      <c r="V44" s="658">
        <f t="shared" si="10"/>
        <v>-0.1695953847730618</v>
      </c>
      <c r="W44" s="619">
        <f t="shared" si="11"/>
        <v>-0.13464096846567697</v>
      </c>
      <c r="X44" s="659">
        <f>'P&amp;L Mensal - Anualizado'!AT40</f>
        <v>996666.70541288762</v>
      </c>
      <c r="Y44" s="659">
        <f>'P&amp;L Mensal - Anualizado'!AW40</f>
        <v>13150988.574587103</v>
      </c>
      <c r="Z44" s="660">
        <f t="shared" si="12"/>
        <v>14147655.27999999</v>
      </c>
      <c r="AA44" s="658">
        <f t="shared" si="13"/>
        <v>-0.2483166030948496</v>
      </c>
      <c r="AB44" s="658">
        <f t="shared" si="14"/>
        <v>0.50984043868206297</v>
      </c>
      <c r="AC44" s="623">
        <f t="shared" si="15"/>
        <v>0.40967698175702605</v>
      </c>
      <c r="AD44" s="659">
        <f>'P&amp;L Mensal - Anualizado'!BE40</f>
        <v>1204732.0933696534</v>
      </c>
      <c r="AE44" s="659">
        <f>'P&amp;L Mensal - Anualizado'!BH40</f>
        <v>10741135.53663036</v>
      </c>
      <c r="AF44" s="660">
        <f>'P&amp;L Mensal - Anualizado'!BK40</f>
        <v>11945867.630000003</v>
      </c>
      <c r="AG44" s="658">
        <f t="shared" si="16"/>
        <v>0.2087612507037353</v>
      </c>
      <c r="AH44" s="658">
        <f t="shared" si="17"/>
        <v>-0.18324501038754826</v>
      </c>
      <c r="AI44" s="623">
        <f t="shared" si="18"/>
        <v>-0.15562915595721161</v>
      </c>
    </row>
    <row r="45" spans="2:35" x14ac:dyDescent="0.25">
      <c r="B45" s="685" t="s">
        <v>42</v>
      </c>
      <c r="C45" s="598">
        <f>'P&amp;L Mensal - Anualizado'!B41</f>
        <v>-115374.98939999999</v>
      </c>
      <c r="D45" s="599">
        <f>'P&amp;L Mensal - Anualizado'!E41</f>
        <v>-1463640.8006</v>
      </c>
      <c r="E45" s="599">
        <f t="shared" si="22"/>
        <v>-1579015.79</v>
      </c>
      <c r="F45" s="598">
        <f>'P&amp;L Mensal - Anualizado'!M41</f>
        <v>-544207.12983407639</v>
      </c>
      <c r="G45" s="599">
        <f>'P&amp;L Mensal - Anualizado'!P41</f>
        <v>-1604213.6401659225</v>
      </c>
      <c r="H45" s="599">
        <f t="shared" si="23"/>
        <v>-2148420.7699999986</v>
      </c>
      <c r="I45" s="658">
        <f t="shared" si="19"/>
        <v>3.7168552964918096</v>
      </c>
      <c r="J45" s="658">
        <f t="shared" si="20"/>
        <v>9.6043263831055103E-2</v>
      </c>
      <c r="K45" s="630">
        <f t="shared" si="21"/>
        <v>0.3606075275536027</v>
      </c>
      <c r="L45" s="659">
        <f>'P&amp;L Mensal - Anualizado'!X41</f>
        <v>-375153.55806499202</v>
      </c>
      <c r="M45" s="659">
        <f>'P&amp;L Mensal - Anualizado'!AA41</f>
        <v>-3549774.3519350002</v>
      </c>
      <c r="N45" s="660">
        <f t="shared" si="4"/>
        <v>-3924927.9099999922</v>
      </c>
      <c r="O45" s="661">
        <f t="shared" si="5"/>
        <v>-0.31064196424737622</v>
      </c>
      <c r="P45" s="658">
        <f t="shared" si="6"/>
        <v>1.2127815541874147</v>
      </c>
      <c r="Q45" s="627">
        <f t="shared" si="7"/>
        <v>0.82688976238113487</v>
      </c>
      <c r="R45" s="659">
        <f>'P&amp;L Mensal - Anualizado'!AI41</f>
        <v>-117342.30831010734</v>
      </c>
      <c r="S45" s="660">
        <f>'P&amp;L Mensal - Anualizado'!AL41</f>
        <v>-770844.86168989295</v>
      </c>
      <c r="T45" s="660">
        <f t="shared" si="8"/>
        <v>-888187.17000000027</v>
      </c>
      <c r="U45" s="658">
        <f t="shared" si="9"/>
        <v>-0.68721525949174433</v>
      </c>
      <c r="V45" s="658">
        <f t="shared" si="10"/>
        <v>-0.78284679946777425</v>
      </c>
      <c r="W45" s="619">
        <f t="shared" si="11"/>
        <v>-0.77370611884690588</v>
      </c>
      <c r="X45" s="659">
        <f>'P&amp;L Mensal - Anualizado'!AT41</f>
        <v>-340871.80504961649</v>
      </c>
      <c r="Y45" s="659">
        <f>'P&amp;L Mensal - Anualizado'!AW41</f>
        <v>-4497793.6849503824</v>
      </c>
      <c r="Z45" s="660">
        <f t="shared" si="12"/>
        <v>-4838665.4899999993</v>
      </c>
      <c r="AA45" s="658">
        <f t="shared" si="13"/>
        <v>1.9049352271882598</v>
      </c>
      <c r="AB45" s="658">
        <f t="shared" si="14"/>
        <v>4.8348883264137559</v>
      </c>
      <c r="AC45" s="623">
        <f t="shared" si="15"/>
        <v>4.4477993529224227</v>
      </c>
      <c r="AD45" s="659">
        <f>'P&amp;L Mensal - Anualizado'!BE41</f>
        <v>-327605.81</v>
      </c>
      <c r="AE45" s="659">
        <f>'P&amp;L Mensal - Anualizado'!BH41</f>
        <v>-2920791.9</v>
      </c>
      <c r="AF45" s="660">
        <f>'P&amp;L Mensal - Anualizado'!BK41</f>
        <v>-3248397.71</v>
      </c>
      <c r="AG45" s="658">
        <f t="shared" si="16"/>
        <v>-3.8917841995425584E-2</v>
      </c>
      <c r="AH45" s="658">
        <f t="shared" si="17"/>
        <v>-0.35061674576738155</v>
      </c>
      <c r="AI45" s="623">
        <f t="shared" si="18"/>
        <v>-0.32865834252989445</v>
      </c>
    </row>
    <row r="46" spans="2:35" ht="15.75" thickBot="1" x14ac:dyDescent="0.3">
      <c r="B46" s="684" t="s">
        <v>132</v>
      </c>
      <c r="C46" s="601">
        <f>'P&amp;L Mensal - Anualizado'!B42</f>
        <v>1438495.6519376624</v>
      </c>
      <c r="D46" s="602">
        <f>'P&amp;L Mensal - Anualizado'!E42</f>
        <v>2378658.1480623418</v>
      </c>
      <c r="E46" s="602">
        <f t="shared" si="22"/>
        <v>3817153.8000000045</v>
      </c>
      <c r="F46" s="601">
        <f>'P&amp;L Mensal - Anualizado'!M42</f>
        <v>1091677.0391459207</v>
      </c>
      <c r="G46" s="602">
        <f>'P&amp;L Mensal - Anualizado'!P42</f>
        <v>3218045.3008540766</v>
      </c>
      <c r="H46" s="602">
        <f t="shared" si="23"/>
        <v>4309722.3399999971</v>
      </c>
      <c r="I46" s="662">
        <f t="shared" si="19"/>
        <v>-0.2410981307622132</v>
      </c>
      <c r="J46" s="662">
        <f t="shared" si="20"/>
        <v>0.35288263404957987</v>
      </c>
      <c r="K46" s="631">
        <f t="shared" si="21"/>
        <v>0.12904078950132747</v>
      </c>
      <c r="L46" s="663">
        <f>'P&amp;L Mensal - Anualizado'!X42</f>
        <v>733372.52354474273</v>
      </c>
      <c r="M46" s="663">
        <f>'P&amp;L Mensal - Anualizado'!AA42</f>
        <v>6939310.3664552579</v>
      </c>
      <c r="N46" s="664">
        <f t="shared" si="4"/>
        <v>7672682.8900000006</v>
      </c>
      <c r="O46" s="665">
        <f t="shared" si="5"/>
        <v>-0.32821475835151703</v>
      </c>
      <c r="P46" s="662">
        <f t="shared" si="6"/>
        <v>1.1563743570090668</v>
      </c>
      <c r="Q46" s="628">
        <f t="shared" si="7"/>
        <v>0.78031953910051799</v>
      </c>
      <c r="R46" s="663">
        <f>'P&amp;L Mensal - Anualizado'!AI42</f>
        <v>1208570.5820322742</v>
      </c>
      <c r="S46" s="664">
        <f>'P&amp;L Mensal - Anualizado'!AL42</f>
        <v>7939339.4979677266</v>
      </c>
      <c r="T46" s="664">
        <f t="shared" si="8"/>
        <v>9147910.0800000001</v>
      </c>
      <c r="U46" s="662">
        <f t="shared" si="9"/>
        <v>0.64796272457914061</v>
      </c>
      <c r="V46" s="662">
        <f t="shared" si="10"/>
        <v>0.14411073704767929</v>
      </c>
      <c r="W46" s="620">
        <f t="shared" si="11"/>
        <v>0.19227005874603531</v>
      </c>
      <c r="X46" s="663">
        <f>'P&amp;L Mensal - Anualizado'!AT42</f>
        <v>655794.90036327112</v>
      </c>
      <c r="Y46" s="663">
        <f>'P&amp;L Mensal - Anualizado'!AW42</f>
        <v>8653194.8896367215</v>
      </c>
      <c r="Z46" s="664">
        <f t="shared" si="12"/>
        <v>9308989.7899999917</v>
      </c>
      <c r="AA46" s="662">
        <f t="shared" si="13"/>
        <v>-0.4573797260061403</v>
      </c>
      <c r="AB46" s="662">
        <f t="shared" si="14"/>
        <v>8.99137002330892E-2</v>
      </c>
      <c r="AC46" s="624">
        <f t="shared" si="15"/>
        <v>1.7608361755999224E-2</v>
      </c>
      <c r="AD46" s="663">
        <f>'P&amp;L Mensal - Anualizado'!BE42</f>
        <v>877126.28336965339</v>
      </c>
      <c r="AE46" s="663">
        <f>'P&amp;L Mensal - Anualizado'!BH42</f>
        <v>7820343.63663036</v>
      </c>
      <c r="AF46" s="664">
        <f>'P&amp;L Mensal - Anualizado'!BK42</f>
        <v>8697469.9200000018</v>
      </c>
      <c r="AG46" s="662">
        <f t="shared" si="16"/>
        <v>0.33750092122365993</v>
      </c>
      <c r="AH46" s="662">
        <f t="shared" si="17"/>
        <v>-9.6247832578439274E-2</v>
      </c>
      <c r="AI46" s="624">
        <f t="shared" si="18"/>
        <v>-6.5691324600753553E-2</v>
      </c>
    </row>
    <row r="47" spans="2:35" ht="15.75" thickBot="1" x14ac:dyDescent="0.3"/>
    <row r="48" spans="2:35" ht="15.75" thickBot="1" x14ac:dyDescent="0.3">
      <c r="C48" s="827" t="s">
        <v>548</v>
      </c>
      <c r="D48" s="828"/>
      <c r="E48" s="828"/>
      <c r="F48" s="828"/>
      <c r="G48" s="828"/>
      <c r="H48" s="829"/>
      <c r="I48" s="635"/>
      <c r="O48" s="635"/>
      <c r="U48" s="635"/>
      <c r="AA48" s="635"/>
    </row>
    <row r="49" spans="2:38" ht="15.75" thickBot="1" x14ac:dyDescent="0.3">
      <c r="C49" s="833">
        <v>46023</v>
      </c>
      <c r="D49" s="834"/>
      <c r="E49" s="834"/>
      <c r="F49" s="834"/>
      <c r="G49" s="834"/>
      <c r="H49" s="835"/>
      <c r="I49" s="833">
        <v>46054</v>
      </c>
      <c r="J49" s="834"/>
      <c r="K49" s="834"/>
      <c r="L49" s="834"/>
      <c r="M49" s="834"/>
      <c r="N49" s="835"/>
      <c r="O49" s="833">
        <v>46082</v>
      </c>
      <c r="P49" s="834"/>
      <c r="Q49" s="834"/>
      <c r="R49" s="834"/>
      <c r="S49" s="834"/>
      <c r="T49" s="835"/>
      <c r="U49" s="833">
        <v>46113</v>
      </c>
      <c r="V49" s="834"/>
      <c r="W49" s="834"/>
      <c r="X49" s="834"/>
      <c r="Y49" s="834"/>
      <c r="Z49" s="835"/>
      <c r="AA49" s="833">
        <v>46143</v>
      </c>
      <c r="AB49" s="834"/>
      <c r="AC49" s="834"/>
      <c r="AD49" s="834"/>
      <c r="AE49" s="834"/>
      <c r="AF49" s="835"/>
      <c r="AG49" s="833">
        <f>L7</f>
        <v>46174</v>
      </c>
      <c r="AH49" s="834"/>
      <c r="AI49" s="834"/>
      <c r="AJ49" s="834"/>
      <c r="AK49" s="834"/>
      <c r="AL49" s="835"/>
    </row>
    <row r="50" spans="2:38" ht="15.75" thickBot="1" x14ac:dyDescent="0.3">
      <c r="C50" s="827" t="s">
        <v>159</v>
      </c>
      <c r="D50" s="829"/>
      <c r="E50" s="827" t="s">
        <v>162</v>
      </c>
      <c r="F50" s="829"/>
      <c r="G50" s="827" t="s">
        <v>2</v>
      </c>
      <c r="H50" s="829"/>
      <c r="I50" s="827" t="s">
        <v>159</v>
      </c>
      <c r="J50" s="829"/>
      <c r="K50" s="827" t="s">
        <v>162</v>
      </c>
      <c r="L50" s="829"/>
      <c r="M50" s="827" t="s">
        <v>2</v>
      </c>
      <c r="N50" s="829"/>
      <c r="O50" s="827" t="s">
        <v>159</v>
      </c>
      <c r="P50" s="829"/>
      <c r="Q50" s="827" t="s">
        <v>162</v>
      </c>
      <c r="R50" s="829"/>
      <c r="S50" s="827" t="s">
        <v>2</v>
      </c>
      <c r="T50" s="829"/>
      <c r="U50" s="827" t="s">
        <v>159</v>
      </c>
      <c r="V50" s="829"/>
      <c r="W50" s="827" t="s">
        <v>162</v>
      </c>
      <c r="X50" s="829"/>
      <c r="Y50" s="827" t="s">
        <v>2</v>
      </c>
      <c r="Z50" s="829"/>
      <c r="AA50" s="827" t="s">
        <v>159</v>
      </c>
      <c r="AB50" s="829"/>
      <c r="AC50" s="827" t="s">
        <v>162</v>
      </c>
      <c r="AD50" s="829"/>
      <c r="AE50" s="827" t="s">
        <v>2</v>
      </c>
      <c r="AF50" s="829"/>
      <c r="AG50" s="827" t="s">
        <v>159</v>
      </c>
      <c r="AH50" s="829"/>
      <c r="AI50" s="827" t="s">
        <v>162</v>
      </c>
      <c r="AJ50" s="829"/>
      <c r="AK50" s="827" t="s">
        <v>2</v>
      </c>
      <c r="AL50" s="829"/>
    </row>
    <row r="51" spans="2:38" ht="15.75" thickBot="1" x14ac:dyDescent="0.3">
      <c r="C51" s="634" t="s">
        <v>549</v>
      </c>
      <c r="D51" s="634" t="s">
        <v>102</v>
      </c>
      <c r="E51" s="634" t="s">
        <v>549</v>
      </c>
      <c r="F51" s="634" t="s">
        <v>102</v>
      </c>
      <c r="G51" s="634" t="s">
        <v>549</v>
      </c>
      <c r="H51" s="634" t="s">
        <v>102</v>
      </c>
      <c r="I51" s="634" t="s">
        <v>549</v>
      </c>
      <c r="J51" s="634" t="s">
        <v>102</v>
      </c>
      <c r="K51" s="634" t="s">
        <v>549</v>
      </c>
      <c r="L51" s="634" t="s">
        <v>102</v>
      </c>
      <c r="M51" s="634" t="s">
        <v>549</v>
      </c>
      <c r="N51" s="634" t="s">
        <v>102</v>
      </c>
      <c r="O51" s="634" t="s">
        <v>549</v>
      </c>
      <c r="P51" s="634" t="s">
        <v>102</v>
      </c>
      <c r="Q51" s="634" t="s">
        <v>549</v>
      </c>
      <c r="R51" s="634" t="s">
        <v>102</v>
      </c>
      <c r="S51" s="634" t="s">
        <v>549</v>
      </c>
      <c r="T51" s="634" t="s">
        <v>102</v>
      </c>
      <c r="U51" s="634" t="s">
        <v>549</v>
      </c>
      <c r="V51" s="634" t="s">
        <v>102</v>
      </c>
      <c r="W51" s="634" t="s">
        <v>549</v>
      </c>
      <c r="X51" s="634" t="s">
        <v>102</v>
      </c>
      <c r="Y51" s="634" t="s">
        <v>549</v>
      </c>
      <c r="Z51" s="634" t="s">
        <v>102</v>
      </c>
      <c r="AA51" s="634" t="s">
        <v>549</v>
      </c>
      <c r="AB51" s="634" t="s">
        <v>102</v>
      </c>
      <c r="AC51" s="634" t="s">
        <v>549</v>
      </c>
      <c r="AD51" s="634" t="s">
        <v>102</v>
      </c>
      <c r="AE51" s="634" t="s">
        <v>549</v>
      </c>
      <c r="AF51" s="634" t="s">
        <v>102</v>
      </c>
      <c r="AG51" s="634" t="s">
        <v>549</v>
      </c>
      <c r="AH51" s="634" t="s">
        <v>102</v>
      </c>
      <c r="AI51" s="634" t="s">
        <v>549</v>
      </c>
      <c r="AJ51" s="634" t="s">
        <v>102</v>
      </c>
      <c r="AK51" s="634" t="s">
        <v>549</v>
      </c>
      <c r="AL51" s="634" t="s">
        <v>102</v>
      </c>
    </row>
    <row r="52" spans="2:38" x14ac:dyDescent="0.25">
      <c r="B52" s="683" t="s">
        <v>542</v>
      </c>
      <c r="C52" s="647">
        <f>'P&amp;L Mensal - Anualizado'!B5</f>
        <v>7802027.8681999985</v>
      </c>
      <c r="D52" s="647">
        <f>'P&amp;L Mensal - Anualizado'!C5</f>
        <v>7701714.3278747303</v>
      </c>
      <c r="E52" s="647">
        <f>'P&amp;L Mensal - Anualizado'!E5</f>
        <v>23859887.471799992</v>
      </c>
      <c r="F52" s="647">
        <f>'P&amp;L Mensal - Anualizado'!F5</f>
        <v>24532548.447623588</v>
      </c>
      <c r="G52" s="647">
        <f>'P&amp;L Mensal - Anualizado'!H5</f>
        <v>31661915.339999989</v>
      </c>
      <c r="H52" s="647">
        <f>'P&amp;L Mensal - Anualizado'!I5</f>
        <v>32234262.775498319</v>
      </c>
      <c r="I52" s="666">
        <f>'P&amp;L Mensal - Anualizado'!M5</f>
        <v>7098724.0639200006</v>
      </c>
      <c r="J52" s="666">
        <f>'P&amp;L Mensal - Anualizado'!N5</f>
        <v>6991516.2159811109</v>
      </c>
      <c r="K52" s="666">
        <f>'P&amp;L Mensal - Anualizado'!P5</f>
        <v>23773864.136080004</v>
      </c>
      <c r="L52" s="666">
        <f>'P&amp;L Mensal - Anualizado'!Q5</f>
        <v>23417972.987558749</v>
      </c>
      <c r="M52" s="666">
        <f>'P&amp;L Mensal - Anualizado'!S5</f>
        <v>30872588.200000007</v>
      </c>
      <c r="N52" s="666">
        <f>'P&amp;L Mensal - Anualizado'!T5</f>
        <v>30409489.20353986</v>
      </c>
      <c r="O52" s="666">
        <f>'P&amp;L Mensal - Anualizado'!X5</f>
        <v>7877352.9171399996</v>
      </c>
      <c r="P52" s="666">
        <f>'P&amp;L Mensal - Anualizado'!Y5</f>
        <v>7759392.6523530688</v>
      </c>
      <c r="Q52" s="666">
        <f>'P&amp;L Mensal - Anualizado'!AA5</f>
        <v>33774612.562860012</v>
      </c>
      <c r="R52" s="666">
        <f>'P&amp;L Mensal - Anualizado'!AB5</f>
        <v>29464374.413464338</v>
      </c>
      <c r="S52" s="666">
        <f>'P&amp;L Mensal - Anualizado'!AD5</f>
        <v>41651965.480000012</v>
      </c>
      <c r="T52" s="666">
        <f>'P&amp;L Mensal - Anualizado'!AE5</f>
        <v>37223767.065817401</v>
      </c>
      <c r="U52" s="666">
        <f>'P&amp;L Mensal - Anualizado'!AI5</f>
        <v>7513769.6753191482</v>
      </c>
      <c r="V52" s="666">
        <f>'P&amp;L Mensal - Anualizado'!AJ5</f>
        <v>7551511.9999251757</v>
      </c>
      <c r="W52" s="666">
        <f>'P&amp;L Mensal - Anualizado'!AL5</f>
        <v>34391853.494680852</v>
      </c>
      <c r="X52" s="666">
        <f>'P&amp;L Mensal - Anualizado'!AM5</f>
        <v>27827307.230193719</v>
      </c>
      <c r="Y52" s="666">
        <f>'P&amp;L Mensal - Anualizado'!AO5</f>
        <v>41905623.170000002</v>
      </c>
      <c r="Z52" s="666">
        <f>'P&amp;L Mensal - Anualizado'!AP5</f>
        <v>35378819.230118893</v>
      </c>
      <c r="AA52" s="666">
        <f>'P&amp;L Mensal - Anualizado'!AT5</f>
        <v>7585530.3955319142</v>
      </c>
      <c r="AB52" s="666">
        <f>'P&amp;L Mensal - Anualizado'!AU5</f>
        <v>7837760.5070570959</v>
      </c>
      <c r="AC52" s="666">
        <f>'P&amp;L Mensal - Anualizado'!AW5</f>
        <v>37483957.694468081</v>
      </c>
      <c r="AD52" s="666">
        <f>'P&amp;L Mensal - Anualizado'!AX5</f>
        <v>26639239.322199102</v>
      </c>
      <c r="AE52" s="666">
        <f>'P&amp;L Mensal - Anualizado'!AZ5</f>
        <v>45069488.089999996</v>
      </c>
      <c r="AF52" s="666">
        <f>'P&amp;L Mensal - Anualizado'!BA5</f>
        <v>34476999.829256199</v>
      </c>
      <c r="AG52" s="666">
        <f>'P&amp;L Mensal - Anualizado'!BE5</f>
        <v>7768119.1371399993</v>
      </c>
      <c r="AH52" s="666">
        <f>'P&amp;L Mensal - Anualizado'!BF5</f>
        <v>7626952.7998885429</v>
      </c>
      <c r="AI52" s="666">
        <f>'P&amp;L Mensal - Anualizado'!BH5</f>
        <v>34678251.452860005</v>
      </c>
      <c r="AJ52" s="666">
        <f>'P&amp;L Mensal - Anualizado'!BI5</f>
        <v>29052905.883028273</v>
      </c>
      <c r="AK52" s="666">
        <f>'P&amp;L Mensal - Anualizado'!BK5</f>
        <v>42446370.589999996</v>
      </c>
      <c r="AL52" s="666">
        <f>'P&amp;L Mensal - Anualizado'!BL5</f>
        <v>36679858.682916813</v>
      </c>
    </row>
    <row r="53" spans="2:38" x14ac:dyDescent="0.25">
      <c r="B53" s="685" t="s">
        <v>13</v>
      </c>
      <c r="C53" s="598">
        <f>'P&amp;L Mensal - Anualizado'!B21</f>
        <v>-4115579.3024543701</v>
      </c>
      <c r="D53" s="598">
        <f>'P&amp;L Mensal - Anualizado'!C21</f>
        <v>-4007371.9567411523</v>
      </c>
      <c r="E53" s="598">
        <f>'P&amp;L Mensal - Anualizado'!E21</f>
        <v>-13893293.137545601</v>
      </c>
      <c r="F53" s="598">
        <f>'P&amp;L Mensal - Anualizado'!F21</f>
        <v>-13901145.164624136</v>
      </c>
      <c r="G53" s="598">
        <f>'P&amp;L Mensal - Anualizado'!H21</f>
        <v>-18008872.439999972</v>
      </c>
      <c r="H53" s="598">
        <f>'P&amp;L Mensal - Anualizado'!I21</f>
        <v>-17908517.121365286</v>
      </c>
      <c r="I53" s="667">
        <f>'P&amp;L Mensal - Anualizado'!M21</f>
        <v>-3458538.1350000007</v>
      </c>
      <c r="J53" s="667">
        <f>'P&amp;L Mensal - Anualizado'!N21</f>
        <v>-3324628.9282636922</v>
      </c>
      <c r="K53" s="667">
        <f>'P&amp;L Mensal - Anualizado'!P21</f>
        <v>-11194223.064999999</v>
      </c>
      <c r="L53" s="667">
        <f>'P&amp;L Mensal - Anualizado'!Q21</f>
        <v>-12699380.022852756</v>
      </c>
      <c r="M53" s="667">
        <f>'P&amp;L Mensal - Anualizado'!S21</f>
        <v>-14652761.199999999</v>
      </c>
      <c r="N53" s="667">
        <f>'P&amp;L Mensal - Anualizado'!T21</f>
        <v>-16024008.951116448</v>
      </c>
      <c r="O53" s="667">
        <f>'P&amp;L Mensal - Anualizado'!X21</f>
        <v>-4803644.101999077</v>
      </c>
      <c r="P53" s="667">
        <f>'P&amp;L Mensal - Anualizado'!Y21</f>
        <v>-4620516.8878536606</v>
      </c>
      <c r="Q53" s="667">
        <f>'P&amp;L Mensal - Anualizado'!AA21</f>
        <v>-17862654.088000923</v>
      </c>
      <c r="R53" s="667">
        <f>'P&amp;L Mensal - Anualizado'!AB21</f>
        <v>-15301310.231830858</v>
      </c>
      <c r="S53" s="667">
        <f>'P&amp;L Mensal - Anualizado'!AD21</f>
        <v>-22666298.190000001</v>
      </c>
      <c r="T53" s="667">
        <f>'P&amp;L Mensal - Anualizado'!AE21</f>
        <v>-19921827.119684517</v>
      </c>
      <c r="U53" s="667">
        <f>'P&amp;L Mensal - Anualizado'!AI21</f>
        <v>-4383516.3383478783</v>
      </c>
      <c r="V53" s="667">
        <f>'P&amp;L Mensal - Anualizado'!AJ21</f>
        <v>-4409897.2928085681</v>
      </c>
      <c r="W53" s="667">
        <f>'P&amp;L Mensal - Anualizado'!AL21</f>
        <v>-17657421.661652122</v>
      </c>
      <c r="X53" s="667">
        <f>'P&amp;L Mensal - Anualizado'!AM21</f>
        <v>-13769320.076793687</v>
      </c>
      <c r="Y53" s="667">
        <f>'P&amp;L Mensal - Anualizado'!AO21</f>
        <v>-22040938</v>
      </c>
      <c r="Z53" s="667">
        <f>'P&amp;L Mensal - Anualizado'!AP21</f>
        <v>-18179217.369602256</v>
      </c>
      <c r="AA53" s="667">
        <f>'P&amp;L Mensal - Anualizado'!AT21</f>
        <v>-4480613.6962589966</v>
      </c>
      <c r="AB53" s="667">
        <f>'P&amp;L Mensal - Anualizado'!AU21</f>
        <v>-4475938.9815478604</v>
      </c>
      <c r="AC53" s="667">
        <f>'P&amp;L Mensal - Anualizado'!AW21</f>
        <v>-15739911.173741005</v>
      </c>
      <c r="AD53" s="667">
        <f>'P&amp;L Mensal - Anualizado'!AX21</f>
        <v>-13995733.0223465</v>
      </c>
      <c r="AE53" s="667">
        <f>'P&amp;L Mensal - Anualizado'!AZ21</f>
        <v>-20220524.870000001</v>
      </c>
      <c r="AF53" s="667">
        <f>'P&amp;L Mensal - Anualizado'!BA21</f>
        <v>-18471672.003894359</v>
      </c>
      <c r="AG53" s="667">
        <f>'P&amp;L Mensal - Anualizado'!BE21</f>
        <v>-4804004.8994150003</v>
      </c>
      <c r="AH53" s="667">
        <f>'P&amp;L Mensal - Anualizado'!BF21</f>
        <v>-4848789.1478439961</v>
      </c>
      <c r="AI53" s="667">
        <f>'P&amp;L Mensal - Anualizado'!BH21</f>
        <v>-17194337.850584999</v>
      </c>
      <c r="AJ53" s="667">
        <f>'P&amp;L Mensal - Anualizado'!BI21</f>
        <v>-14559699.116610719</v>
      </c>
      <c r="AK53" s="667">
        <f>'P&amp;L Mensal - Anualizado'!BK21</f>
        <v>-21998342.75</v>
      </c>
      <c r="AL53" s="667">
        <f>'P&amp;L Mensal - Anualizado'!BL21</f>
        <v>-19408488.264454715</v>
      </c>
    </row>
    <row r="54" spans="2:38" x14ac:dyDescent="0.25">
      <c r="B54" s="685" t="s">
        <v>543</v>
      </c>
      <c r="C54" s="598">
        <f>'P&amp;L Mensal - Anualizado'!B30</f>
        <v>3504281.6369456286</v>
      </c>
      <c r="D54" s="598">
        <f>'P&amp;L Mensal - Anualizado'!C30</f>
        <v>3559264.371133578</v>
      </c>
      <c r="E54" s="598">
        <f>'P&amp;L Mensal - Anualizado'!E30</f>
        <v>9570904.2130543906</v>
      </c>
      <c r="F54" s="598">
        <f>'P&amp;L Mensal - Anualizado'!F30</f>
        <v>10152489.282999452</v>
      </c>
      <c r="G54" s="598">
        <f>'P&amp;L Mensal - Anualizado'!H30</f>
        <v>13075185.850000016</v>
      </c>
      <c r="H54" s="598">
        <f>'P&amp;L Mensal - Anualizado'!I30</f>
        <v>13711753.654133033</v>
      </c>
      <c r="I54" s="667">
        <f>'P&amp;L Mensal - Anualizado'!M30</f>
        <v>3464917.2297199997</v>
      </c>
      <c r="J54" s="667">
        <f>'P&amp;L Mensal - Anualizado'!N30</f>
        <v>3528656.9181298455</v>
      </c>
      <c r="K54" s="667">
        <f>'P&amp;L Mensal - Anualizado'!P30</f>
        <v>11886876.890280005</v>
      </c>
      <c r="L54" s="667">
        <f>'P&amp;L Mensal - Anualizado'!Q30</f>
        <v>10228503.47253187</v>
      </c>
      <c r="M54" s="667">
        <f>'P&amp;L Mensal - Anualizado'!S30</f>
        <v>15351794.120000007</v>
      </c>
      <c r="N54" s="667">
        <f>'P&amp;L Mensal - Anualizado'!T30</f>
        <v>13757160.390661715</v>
      </c>
      <c r="O54" s="667">
        <f>'P&amp;L Mensal - Anualizado'!X30</f>
        <v>2853178.9224075819</v>
      </c>
      <c r="P54" s="667">
        <f>'P&amp;L Mensal - Anualizado'!Y30</f>
        <v>2969869.9626783789</v>
      </c>
      <c r="Q54" s="667">
        <f>'P&amp;L Mensal - Anualizado'!AA30</f>
        <v>15040297.36759243</v>
      </c>
      <c r="R54" s="667">
        <f>'P&amp;L Mensal - Anualizado'!AB30</f>
        <v>13563861.793358922</v>
      </c>
      <c r="S54" s="667">
        <f>'P&amp;L Mensal - Anualizado'!AD30</f>
        <v>17893476.29000001</v>
      </c>
      <c r="T54" s="667">
        <f>'P&amp;L Mensal - Anualizado'!AE30</f>
        <v>16533731.756037295</v>
      </c>
      <c r="U54" s="667">
        <f>'P&amp;L Mensal - Anualizado'!AI30</f>
        <v>2958757.4475712702</v>
      </c>
      <c r="V54" s="667">
        <f>'P&amp;L Mensal - Anualizado'!AJ30</f>
        <v>2973212.0878759543</v>
      </c>
      <c r="W54" s="667">
        <f>'P&amp;L Mensal - Anualizado'!AL30</f>
        <v>15845884.80242873</v>
      </c>
      <c r="X54" s="667">
        <f>'P&amp;L Mensal - Anualizado'!AM30</f>
        <v>13460923.321546808</v>
      </c>
      <c r="Y54" s="667">
        <f>'P&amp;L Mensal - Anualizado'!AO30</f>
        <v>18804642.25</v>
      </c>
      <c r="Z54" s="667">
        <f>'P&amp;L Mensal - Anualizado'!AP30</f>
        <v>16434135.409422759</v>
      </c>
      <c r="AA54" s="667">
        <f>'P&amp;L Mensal - Anualizado'!AT30</f>
        <v>2791893.8748729178</v>
      </c>
      <c r="AB54" s="667">
        <f>'P&amp;L Mensal - Anualizado'!AU30</f>
        <v>3205174.6817209562</v>
      </c>
      <c r="AC54" s="667">
        <f>'P&amp;L Mensal - Anualizado'!AW30</f>
        <v>20634238.325127076</v>
      </c>
      <c r="AD54" s="667">
        <f>'P&amp;L Mensal - Anualizado'!AX30</f>
        <v>12088122.035512339</v>
      </c>
      <c r="AE54" s="667">
        <f>'P&amp;L Mensal - Anualizado'!AZ30</f>
        <v>23426132.199999996</v>
      </c>
      <c r="AF54" s="667">
        <f>'P&amp;L Mensal - Anualizado'!BA30</f>
        <v>15293296.717233298</v>
      </c>
      <c r="AG54" s="667">
        <f>'P&amp;L Mensal - Anualizado'!BE30</f>
        <v>2640144.9107249989</v>
      </c>
      <c r="AH54" s="667">
        <f>'P&amp;L Mensal - Anualizado'!BF30</f>
        <v>2608153.4776491439</v>
      </c>
      <c r="AI54" s="667">
        <f>'P&amp;L Mensal - Anualizado'!BH30</f>
        <v>16335295.079275006</v>
      </c>
      <c r="AJ54" s="667">
        <f>'P&amp;L Mensal - Anualizado'!BI30</f>
        <v>13890443.420833852</v>
      </c>
      <c r="AK54" s="667">
        <f>'P&amp;L Mensal - Anualizado'!BK30</f>
        <v>18975439.989999995</v>
      </c>
      <c r="AL54" s="667">
        <f>'P&amp;L Mensal - Anualizado'!BL30</f>
        <v>16498596.898482995</v>
      </c>
    </row>
    <row r="55" spans="2:38" x14ac:dyDescent="0.25">
      <c r="B55" s="685" t="s">
        <v>24</v>
      </c>
      <c r="C55" s="667">
        <f>'P&amp;L Mensal - Anualizado'!B31</f>
        <v>-725978.64</v>
      </c>
      <c r="D55" s="667">
        <f>'P&amp;L Mensal - Anualizado'!C31</f>
        <v>-724706.99754799716</v>
      </c>
      <c r="E55" s="667">
        <f>'P&amp;L Mensal - Anualizado'!E31</f>
        <v>-1516697.22</v>
      </c>
      <c r="F55" s="667">
        <f>'P&amp;L Mensal - Anualizado'!F31</f>
        <v>-1528471.5268365145</v>
      </c>
      <c r="G55" s="667">
        <f>'P&amp;L Mensal - Anualizado'!H31</f>
        <v>-2242675.86</v>
      </c>
      <c r="H55" s="667">
        <f>'P&amp;L Mensal - Anualizado'!I31</f>
        <v>-2253178.5243845116</v>
      </c>
      <c r="I55" s="667">
        <f>'P&amp;L Mensal - Anualizado'!M31</f>
        <v>-403888.5083000001</v>
      </c>
      <c r="J55" s="667">
        <f>'P&amp;L Mensal - Anualizado'!N31</f>
        <v>-555191.519429693</v>
      </c>
      <c r="K55" s="667">
        <f>'P&amp;L Mensal - Anualizado'!P31</f>
        <v>-1775414.1117</v>
      </c>
      <c r="L55" s="667">
        <f>'P&amp;L Mensal - Anualizado'!Q31</f>
        <v>-916664.33182585984</v>
      </c>
      <c r="M55" s="667">
        <f>'P&amp;L Mensal - Anualizado'!S31</f>
        <v>-2179302.62</v>
      </c>
      <c r="N55" s="667">
        <f>'P&amp;L Mensal - Anualizado'!T31</f>
        <v>-1471855.8512555528</v>
      </c>
      <c r="O55" s="667">
        <f>'P&amp;L Mensal - Anualizado'!X31</f>
        <v>-610260.52</v>
      </c>
      <c r="P55" s="667">
        <f>'P&amp;L Mensal - Anualizado'!Y31</f>
        <v>-577819.12003649399</v>
      </c>
      <c r="Q55" s="667">
        <f>'P&amp;L Mensal - Anualizado'!AA31</f>
        <v>-439697.64999999991</v>
      </c>
      <c r="R55" s="667">
        <f>'P&amp;L Mensal - Anualizado'!AB31</f>
        <v>-1292046.243950896</v>
      </c>
      <c r="S55" s="667">
        <f>'P&amp;L Mensal - Anualizado'!AD31</f>
        <v>-1049958.17</v>
      </c>
      <c r="T55" s="667">
        <f>'P&amp;L Mensal - Anualizado'!AE31</f>
        <v>-1869865.36398739</v>
      </c>
      <c r="U55" s="667">
        <f>'P&amp;L Mensal - Anualizado'!AI31</f>
        <v>-483020.98000000056</v>
      </c>
      <c r="V55" s="667">
        <f>'P&amp;L Mensal - Anualizado'!AJ31</f>
        <v>-572342.10295092128</v>
      </c>
      <c r="W55" s="667">
        <f>'P&amp;L Mensal - Anualizado'!AL31</f>
        <v>-2252289.5199999968</v>
      </c>
      <c r="X55" s="667">
        <f>'P&amp;L Mensal - Anualizado'!AM31</f>
        <v>-1105001.7614120618</v>
      </c>
      <c r="Y55" s="667">
        <f>'P&amp;L Mensal - Anualizado'!AO31</f>
        <v>-2735310.4999999972</v>
      </c>
      <c r="Z55" s="667">
        <f>'P&amp;L Mensal - Anualizado'!AP31</f>
        <v>-1677343.864362983</v>
      </c>
      <c r="AA55" s="667">
        <f>'P&amp;L Mensal - Anualizado'!AT31</f>
        <v>-706208.47999999975</v>
      </c>
      <c r="AB55" s="667">
        <f>'P&amp;L Mensal - Anualizado'!AU31</f>
        <v>-579408.77179348096</v>
      </c>
      <c r="AC55" s="667">
        <f>'P&amp;L Mensal - Anualizado'!AW31</f>
        <v>-2828879.540000001</v>
      </c>
      <c r="AD55" s="667">
        <f>'P&amp;L Mensal - Anualizado'!AX31</f>
        <v>-1110416.4405468479</v>
      </c>
      <c r="AE55" s="667">
        <f>'P&amp;L Mensal - Anualizado'!AZ31</f>
        <v>-3535088.0200000005</v>
      </c>
      <c r="AF55" s="667">
        <f>'P&amp;L Mensal - Anualizado'!BA31</f>
        <v>-1689825.2123403288</v>
      </c>
      <c r="AG55" s="667">
        <f>'P&amp;L Mensal - Anualizado'!BE31</f>
        <v>-455481.60999999981</v>
      </c>
      <c r="AH55" s="667">
        <f>'P&amp;L Mensal - Anualizado'!BF31</f>
        <v>-569041.41948436201</v>
      </c>
      <c r="AI55" s="667">
        <f>'P&amp;L Mensal - Anualizado'!BH31</f>
        <v>-1360932.5900000003</v>
      </c>
      <c r="AJ55" s="667">
        <f>'P&amp;L Mensal - Anualizado'!BI31</f>
        <v>-1629488.7716009766</v>
      </c>
      <c r="AK55" s="667">
        <f>'P&amp;L Mensal - Anualizado'!BK31</f>
        <v>-1816414.2000000002</v>
      </c>
      <c r="AL55" s="667">
        <f>'P&amp;L Mensal - Anualizado'!BL31</f>
        <v>-2198530.1910853386</v>
      </c>
    </row>
    <row r="56" spans="2:38" x14ac:dyDescent="0.25">
      <c r="B56" s="685" t="s">
        <v>125</v>
      </c>
      <c r="C56" s="667">
        <f>'P&amp;L Mensal - Anualizado'!B34</f>
        <v>2778302.9969456284</v>
      </c>
      <c r="D56" s="667">
        <f>'P&amp;L Mensal - Anualizado'!C34</f>
        <v>2834557.3735855808</v>
      </c>
      <c r="E56" s="667">
        <f>'P&amp;L Mensal - Anualizado'!E34</f>
        <v>8054206.9930543909</v>
      </c>
      <c r="F56" s="667">
        <f>'P&amp;L Mensal - Anualizado'!F34</f>
        <v>8624017.7561629377</v>
      </c>
      <c r="G56" s="667">
        <f>'P&amp;L Mensal - Anualizado'!H34</f>
        <v>10832509.990000017</v>
      </c>
      <c r="H56" s="667">
        <f>'P&amp;L Mensal - Anualizado'!I34</f>
        <v>11458575.129748521</v>
      </c>
      <c r="I56" s="667">
        <f>'P&amp;L Mensal - Anualizado'!M34</f>
        <v>3061028.7214199994</v>
      </c>
      <c r="J56" s="667">
        <f>'P&amp;L Mensal - Anualizado'!N34</f>
        <v>2973465.3987001525</v>
      </c>
      <c r="K56" s="667">
        <f>'P&amp;L Mensal - Anualizado'!P34</f>
        <v>10111462.778580004</v>
      </c>
      <c r="L56" s="667">
        <f>'P&amp;L Mensal - Anualizado'!Q34</f>
        <v>9311839.1407060102</v>
      </c>
      <c r="M56" s="667">
        <f>'P&amp;L Mensal - Anualizado'!S34</f>
        <v>13172491.500000007</v>
      </c>
      <c r="N56" s="667">
        <f>'P&amp;L Mensal - Anualizado'!T34</f>
        <v>12285304.539406162</v>
      </c>
      <c r="O56" s="667">
        <f>'P&amp;L Mensal - Anualizado'!X34</f>
        <v>2242918.4024075819</v>
      </c>
      <c r="P56" s="667">
        <f>'P&amp;L Mensal - Anualizado'!Y34</f>
        <v>2392050.8426418849</v>
      </c>
      <c r="Q56" s="667">
        <f>'P&amp;L Mensal - Anualizado'!AA34</f>
        <v>14600599.717592429</v>
      </c>
      <c r="R56" s="667">
        <f>'P&amp;L Mensal - Anualizado'!AB34</f>
        <v>12271815.549408026</v>
      </c>
      <c r="S56" s="667">
        <f>'P&amp;L Mensal - Anualizado'!AD34</f>
        <v>16843518.120000012</v>
      </c>
      <c r="T56" s="667">
        <f>'P&amp;L Mensal - Anualizado'!AE34</f>
        <v>14663866.392049905</v>
      </c>
      <c r="U56" s="667">
        <f>'P&amp;L Mensal - Anualizado'!AI34</f>
        <v>2475736.4675712697</v>
      </c>
      <c r="V56" s="667">
        <f>'P&amp;L Mensal - Anualizado'!AJ34</f>
        <v>2400869.9849250331</v>
      </c>
      <c r="W56" s="667">
        <f>'P&amp;L Mensal - Anualizado'!AL34</f>
        <v>13593595.282428734</v>
      </c>
      <c r="X56" s="667">
        <f>'P&amp;L Mensal - Anualizado'!AM34</f>
        <v>12355921.560134746</v>
      </c>
      <c r="Y56" s="667">
        <f>'P&amp;L Mensal - Anualizado'!AO34</f>
        <v>16069331.750000004</v>
      </c>
      <c r="Z56" s="667">
        <f>'P&amp;L Mensal - Anualizado'!AP34</f>
        <v>14756791.545059776</v>
      </c>
      <c r="AA56" s="667">
        <f>'P&amp;L Mensal - Anualizado'!AT34</f>
        <v>2085685.394872918</v>
      </c>
      <c r="AB56" s="667">
        <f>'P&amp;L Mensal - Anualizado'!AU34</f>
        <v>2625765.9099274753</v>
      </c>
      <c r="AC56" s="667">
        <f>'P&amp;L Mensal - Anualizado'!AW34</f>
        <v>17805358.785127074</v>
      </c>
      <c r="AD56" s="667">
        <f>'P&amp;L Mensal - Anualizado'!AX34</f>
        <v>10977705.594965491</v>
      </c>
      <c r="AE56" s="667">
        <f>'P&amp;L Mensal - Anualizado'!AZ34</f>
        <v>19891044.179999996</v>
      </c>
      <c r="AF56" s="667">
        <f>'P&amp;L Mensal - Anualizado'!BA34</f>
        <v>13603471.50489297</v>
      </c>
      <c r="AG56" s="667">
        <f>'P&amp;L Mensal - Anualizado'!BE34</f>
        <v>2184663.300724999</v>
      </c>
      <c r="AH56" s="667">
        <f>'P&amp;L Mensal - Anualizado'!BF34</f>
        <v>2039112.0581647819</v>
      </c>
      <c r="AI56" s="667">
        <f>'P&amp;L Mensal - Anualizado'!BH34</f>
        <v>14974362.489275007</v>
      </c>
      <c r="AJ56" s="667">
        <f>'P&amp;L Mensal - Anualizado'!BI34</f>
        <v>12260954.649232876</v>
      </c>
      <c r="AK56" s="667">
        <f>'P&amp;L Mensal - Anualizado'!BK34</f>
        <v>17159025.789999995</v>
      </c>
      <c r="AL56" s="667">
        <f>'P&amp;L Mensal - Anualizado'!BL34</f>
        <v>14300066.707397657</v>
      </c>
    </row>
    <row r="57" spans="2:38" x14ac:dyDescent="0.25">
      <c r="B57" s="685" t="s">
        <v>175</v>
      </c>
      <c r="C57" s="667">
        <f>'P&amp;L Mensal - Anualizado'!B35+'P&amp;L Mensal - Anualizado'!B38</f>
        <v>-1088774.4178079658</v>
      </c>
      <c r="D57" s="667">
        <f>'P&amp;L Mensal - Anualizado'!C35+'P&amp;L Mensal - Anualizado'!C38</f>
        <v>-1151833.2524413911</v>
      </c>
      <c r="E57" s="667">
        <f>'P&amp;L Mensal - Anualizado'!E35+'P&amp;L Mensal - Anualizado'!E38</f>
        <v>-3729180.6021920498</v>
      </c>
      <c r="F57" s="667">
        <f>'P&amp;L Mensal - Anualizado'!F35+'P&amp;L Mensal - Anualizado'!F38</f>
        <v>-3950637.0111697288</v>
      </c>
      <c r="G57" s="667">
        <f>'P&amp;L Mensal - Anualizado'!H35+'P&amp;L Mensal - Anualizado'!H38</f>
        <v>-4817955.0200000163</v>
      </c>
      <c r="H57" s="667">
        <f>'P&amp;L Mensal - Anualizado'!I35+'P&amp;L Mensal - Anualizado'!I38</f>
        <v>-5102470.2636111202</v>
      </c>
      <c r="I57" s="667">
        <f>'P&amp;L Mensal - Anualizado'!M35+'P&amp;L Mensal - Anualizado'!M38</f>
        <v>-1106026.834840002</v>
      </c>
      <c r="J57" s="667">
        <f>'P&amp;L Mensal - Anualizado'!N35+'P&amp;L Mensal - Anualizado'!N38</f>
        <v>-951971.64870808064</v>
      </c>
      <c r="K57" s="667">
        <f>'P&amp;L Mensal - Anualizado'!P35+'P&amp;L Mensal - Anualizado'!P38</f>
        <v>-4157786.4751600064</v>
      </c>
      <c r="L57" s="667">
        <f>'P&amp;L Mensal - Anualizado'!Q35+'P&amp;L Mensal - Anualizado'!Q38</f>
        <v>-4089001.5376808075</v>
      </c>
      <c r="M57" s="667">
        <f>'P&amp;L Mensal - Anualizado'!S35+'P&amp;L Mensal - Anualizado'!S38</f>
        <v>-5263813.310000008</v>
      </c>
      <c r="N57" s="667">
        <f>'P&amp;L Mensal - Anualizado'!T35+'P&amp;L Mensal - Anualizado'!T38</f>
        <v>-5040973.1863888875</v>
      </c>
      <c r="O57" s="667">
        <f>'P&amp;L Mensal - Anualizado'!X35+'P&amp;L Mensal - Anualizado'!X38</f>
        <v>-1000224.8020000083</v>
      </c>
      <c r="P57" s="667">
        <f>'P&amp;L Mensal - Anualizado'!Y35+'P&amp;L Mensal - Anualizado'!Y38</f>
        <v>-1062689.0946336011</v>
      </c>
      <c r="Q57" s="667">
        <f>'P&amp;L Mensal - Anualizado'!AA35+'P&amp;L Mensal - Anualizado'!AA38</f>
        <v>-3635830.4580000099</v>
      </c>
      <c r="R57" s="667">
        <f>'P&amp;L Mensal - Anualizado'!AB35+'P&amp;L Mensal - Anualizado'!AB38</f>
        <v>-4436094.71876729</v>
      </c>
      <c r="S57" s="667">
        <f>'P&amp;L Mensal - Anualizado'!AD35+'P&amp;L Mensal - Anualizado'!AD38</f>
        <v>-4636055.2600000184</v>
      </c>
      <c r="T57" s="667">
        <f>'P&amp;L Mensal - Anualizado'!AE35+'P&amp;L Mensal - Anualizado'!AE38</f>
        <v>-5498783.8134008907</v>
      </c>
      <c r="U57" s="667">
        <f>'P&amp;L Mensal - Anualizado'!AI35+'P&amp;L Mensal - Anualizado'!AI38</f>
        <v>-989834.40973688825</v>
      </c>
      <c r="V57" s="667">
        <f>'P&amp;L Mensal - Anualizado'!AJ35+'P&amp;L Mensal - Anualizado'!AJ38</f>
        <v>-974689.09463360044</v>
      </c>
      <c r="W57" s="667">
        <f>'P&amp;L Mensal - Anualizado'!AL35+'P&amp;L Mensal - Anualizado'!AL38</f>
        <v>-4316176.6016631164</v>
      </c>
      <c r="X57" s="667">
        <f>'P&amp;L Mensal - Anualizado'!AM35+'P&amp;L Mensal - Anualizado'!AM38</f>
        <v>-4124094.7187672895</v>
      </c>
      <c r="Y57" s="667">
        <f>'P&amp;L Mensal - Anualizado'!AO35+'P&amp;L Mensal - Anualizado'!AO38</f>
        <v>-5306011.0114000048</v>
      </c>
      <c r="Z57" s="667">
        <f>'P&amp;L Mensal - Anualizado'!AP35+'P&amp;L Mensal - Anualizado'!AP38</f>
        <v>-5098783.8134008897</v>
      </c>
      <c r="AA57" s="667">
        <f>'P&amp;L Mensal - Anualizado'!AT35+'P&amp;L Mensal - Anualizado'!AT38</f>
        <v>-973320.37926003011</v>
      </c>
      <c r="AB57" s="667">
        <f>'P&amp;L Mensal - Anualizado'!AU35+'P&amp;L Mensal - Anualizado'!AU38</f>
        <v>-974689.09463360044</v>
      </c>
      <c r="AC57" s="667">
        <f>'P&amp;L Mensal - Anualizado'!AW35+'P&amp;L Mensal - Anualizado'!AW38</f>
        <v>-4244167.1107399706</v>
      </c>
      <c r="AD57" s="667">
        <f>'P&amp;L Mensal - Anualizado'!AX35+'P&amp;L Mensal - Anualizado'!AX38</f>
        <v>-4124094.7187672895</v>
      </c>
      <c r="AE57" s="667">
        <f>'P&amp;L Mensal - Anualizado'!AZ35+'P&amp;L Mensal - Anualizado'!AZ38</f>
        <v>-5217487.49</v>
      </c>
      <c r="AF57" s="667">
        <f>'P&amp;L Mensal - Anualizado'!BA35+'P&amp;L Mensal - Anualizado'!BA38</f>
        <v>-5098783.8134008897</v>
      </c>
      <c r="AG57" s="667">
        <f>'P&amp;L Mensal - Anualizado'!BE35+'P&amp;L Mensal - Anualizado'!BE38</f>
        <v>-923210.49495534576</v>
      </c>
      <c r="AH57" s="667">
        <f>'P&amp;L Mensal - Anualizado'!BF35+'P&amp;L Mensal - Anualizado'!BF38</f>
        <v>-998843.13137541886</v>
      </c>
      <c r="AI57" s="667">
        <f>'P&amp;L Mensal - Anualizado'!BH35+'P&amp;L Mensal - Anualizado'!BH38</f>
        <v>-4032126.2450446468</v>
      </c>
      <c r="AJ57" s="667">
        <f>'P&amp;L Mensal - Anualizado'!BI35+'P&amp;L Mensal - Anualizado'!BI38</f>
        <v>-4255111.2819254715</v>
      </c>
      <c r="AK57" s="667">
        <f>'P&amp;L Mensal - Anualizado'!BK35+'P&amp;L Mensal - Anualizado'!BK38</f>
        <v>-4955336.7399999928</v>
      </c>
      <c r="AL57" s="667">
        <f>'P&amp;L Mensal - Anualizado'!BL35+'P&amp;L Mensal - Anualizado'!BL38</f>
        <v>-5253954.4133008905</v>
      </c>
    </row>
    <row r="58" spans="2:38" x14ac:dyDescent="0.25">
      <c r="B58" s="685" t="s">
        <v>28</v>
      </c>
      <c r="C58" s="667">
        <f>'P&amp;L Mensal - Anualizado'!B29</f>
        <v>-182166.92879999999</v>
      </c>
      <c r="D58" s="667">
        <f>'P&amp;L Mensal - Anualizado'!C29</f>
        <v>-135078</v>
      </c>
      <c r="E58" s="667">
        <f>'P&amp;L Mensal - Anualizado'!E29</f>
        <v>-395690.12119999999</v>
      </c>
      <c r="F58" s="667">
        <f>'P&amp;L Mensal - Anualizado'!F29</f>
        <v>-478914</v>
      </c>
      <c r="G58" s="667">
        <f>'P&amp;L Mensal - Anualizado'!H29</f>
        <v>-577857.05000000005</v>
      </c>
      <c r="H58" s="667">
        <f>'P&amp;L Mensal - Anualizado'!I29</f>
        <v>-613992</v>
      </c>
      <c r="I58" s="667">
        <f>'P&amp;L Mensal - Anualizado'!M29</f>
        <v>-175268.6992</v>
      </c>
      <c r="J58" s="667">
        <f>'P&amp;L Mensal - Anualizado'!N29</f>
        <v>-138230.36958757311</v>
      </c>
      <c r="K58" s="667">
        <f>'P&amp;L Mensal - Anualizado'!P29</f>
        <v>-692764.18080000009</v>
      </c>
      <c r="L58" s="667">
        <f>'P&amp;L Mensal - Anualizado'!Q29</f>
        <v>-490089.49217412295</v>
      </c>
      <c r="M58" s="667">
        <f>'P&amp;L Mensal - Anualizado'!S29</f>
        <v>-868032.88000000012</v>
      </c>
      <c r="N58" s="667">
        <f>'P&amp;L Mensal - Anualizado'!T29</f>
        <v>-628319.86176169605</v>
      </c>
      <c r="O58" s="667">
        <f>'P&amp;L Mensal - Anualizado'!X29</f>
        <v>-220529.89273334079</v>
      </c>
      <c r="P58" s="667">
        <f>'P&amp;L Mensal - Anualizado'!Y29</f>
        <v>-169005.8018210294</v>
      </c>
      <c r="Q58" s="667">
        <f>'P&amp;L Mensal - Anualizado'!AA29</f>
        <v>-871661.10726665927</v>
      </c>
      <c r="R58" s="667">
        <f>'P&amp;L Mensal - Anualizado'!AB29</f>
        <v>-599202.3882745587</v>
      </c>
      <c r="S58" s="667">
        <f>'P&amp;L Mensal - Anualizado'!AD29</f>
        <v>-1092191</v>
      </c>
      <c r="T58" s="667">
        <f>'P&amp;L Mensal - Anualizado'!AE29</f>
        <v>-768208.1900955881</v>
      </c>
      <c r="U58" s="667">
        <f>'P&amp;L Mensal - Anualizado'!AI29</f>
        <v>-171495.88939999999</v>
      </c>
      <c r="V58" s="667">
        <f>'P&amp;L Mensal - Anualizado'!AJ29</f>
        <v>-168402.61924065312</v>
      </c>
      <c r="W58" s="667">
        <f>'P&amp;L Mensal - Anualizado'!AL29</f>
        <v>-888547.03060000006</v>
      </c>
      <c r="X58" s="667">
        <f>'P&amp;L Mensal - Anualizado'!AM29</f>
        <v>-597063.83185322466</v>
      </c>
      <c r="Y58" s="667">
        <f>'P&amp;L Mensal - Anualizado'!AO29</f>
        <v>-1060042.92</v>
      </c>
      <c r="Z58" s="667">
        <f>'P&amp;L Mensal - Anualizado'!AP29</f>
        <v>-765466.45109387778</v>
      </c>
      <c r="AA58" s="667">
        <f>'P&amp;L Mensal - Anualizado'!AT29</f>
        <v>-313022.82439999981</v>
      </c>
      <c r="AB58" s="667">
        <f>'P&amp;L Mensal - Anualizado'!AU29</f>
        <v>-156646.84378827922</v>
      </c>
      <c r="AC58" s="667">
        <f>'P&amp;L Mensal - Anualizado'!AW29</f>
        <v>-1109808.1956</v>
      </c>
      <c r="AD58" s="667">
        <f>'P&amp;L Mensal - Anualizado'!AX29</f>
        <v>-555384.26434026298</v>
      </c>
      <c r="AE58" s="667">
        <f>'P&amp;L Mensal - Anualizado'!AZ29</f>
        <v>-1422831.0199999998</v>
      </c>
      <c r="AF58" s="667">
        <f>'P&amp;L Mensal - Anualizado'!BA29</f>
        <v>-712031.1081285422</v>
      </c>
      <c r="AG58" s="667">
        <f>'P&amp;L Mensal - Anualizado'!BE29</f>
        <v>-323969.32699999999</v>
      </c>
      <c r="AH58" s="667">
        <f>'P&amp;L Mensal - Anualizado'!BF29</f>
        <v>-170010.17439540266</v>
      </c>
      <c r="AI58" s="667">
        <f>'P&amp;L Mensal - Anualizado'!BH29</f>
        <v>-1148618.523</v>
      </c>
      <c r="AJ58" s="667">
        <f>'P&amp;L Mensal - Anualizado'!BI29</f>
        <v>-602763.34558370057</v>
      </c>
      <c r="AK58" s="667">
        <f>'P&amp;L Mensal - Anualizado'!BK29</f>
        <v>-1472587.85</v>
      </c>
      <c r="AL58" s="667">
        <f>'P&amp;L Mensal - Anualizado'!BL29</f>
        <v>-772773.51997910324</v>
      </c>
    </row>
    <row r="59" spans="2:38" x14ac:dyDescent="0.25">
      <c r="B59" s="685" t="s">
        <v>38</v>
      </c>
      <c r="C59" s="667">
        <f>'P&amp;L Mensal - Anualizado'!B36</f>
        <v>-37516.142400000019</v>
      </c>
      <c r="D59" s="667">
        <f>'P&amp;L Mensal - Anualizado'!C36</f>
        <v>0</v>
      </c>
      <c r="E59" s="667">
        <f>'P&amp;L Mensal - Anualizado'!E36</f>
        <v>-133011.77760000009</v>
      </c>
      <c r="F59" s="667">
        <f>'P&amp;L Mensal - Anualizado'!F36</f>
        <v>-180000</v>
      </c>
      <c r="G59" s="667">
        <f>'P&amp;L Mensal - Anualizado'!H36</f>
        <v>-170527.9200000001</v>
      </c>
      <c r="H59" s="667">
        <f>'P&amp;L Mensal - Anualizado'!I36</f>
        <v>-180000</v>
      </c>
      <c r="I59" s="667">
        <f>'P&amp;L Mensal - Anualizado'!M36</f>
        <v>-223720.53220000002</v>
      </c>
      <c r="J59" s="667">
        <f>'P&amp;L Mensal - Anualizado'!N36</f>
        <v>-42428.571428571428</v>
      </c>
      <c r="K59" s="667">
        <f>'P&amp;L Mensal - Anualizado'!P36</f>
        <v>-793190.97779999999</v>
      </c>
      <c r="L59" s="667">
        <f>'P&amp;L Mensal - Anualizado'!Q36</f>
        <v>-150428.57142857142</v>
      </c>
      <c r="M59" s="667">
        <f>'P&amp;L Mensal - Anualizado'!S36</f>
        <v>-1016911.51</v>
      </c>
      <c r="N59" s="667">
        <f>'P&amp;L Mensal - Anualizado'!T36</f>
        <v>-192857.14285714284</v>
      </c>
      <c r="O59" s="667">
        <f>'P&amp;L Mensal - Anualizado'!X36</f>
        <v>-40765.594797838887</v>
      </c>
      <c r="P59" s="667">
        <f>'P&amp;L Mensal - Anualizado'!Y36</f>
        <v>0</v>
      </c>
      <c r="Q59" s="667">
        <f>'P&amp;L Mensal - Anualizado'!AA36</f>
        <v>-144532.2652021609</v>
      </c>
      <c r="R59" s="667">
        <f>'P&amp;L Mensal - Anualizado'!AB36</f>
        <v>-233766.23376623381</v>
      </c>
      <c r="S59" s="667">
        <f>'P&amp;L Mensal - Anualizado'!AD36</f>
        <v>-185297.85999999978</v>
      </c>
      <c r="T59" s="667">
        <f>'P&amp;L Mensal - Anualizado'!AE36</f>
        <v>-233766.23376623381</v>
      </c>
      <c r="U59" s="667">
        <f>'P&amp;L Mensal - Anualizado'!AI36</f>
        <v>-91815.923892000021</v>
      </c>
      <c r="V59" s="667">
        <f>'P&amp;L Mensal - Anualizado'!AJ36</f>
        <v>0</v>
      </c>
      <c r="W59" s="667">
        <f>'P&amp;L Mensal - Anualizado'!AL36</f>
        <v>-325529.18470799999</v>
      </c>
      <c r="X59" s="667">
        <f>'P&amp;L Mensal - Anualizado'!AM36</f>
        <v>-202207.7922077922</v>
      </c>
      <c r="Y59" s="667">
        <f>'P&amp;L Mensal - Anualizado'!AO36</f>
        <v>-417345.10860000004</v>
      </c>
      <c r="Z59" s="667">
        <f>'P&amp;L Mensal - Anualizado'!AP36</f>
        <v>-202207.7922077922</v>
      </c>
      <c r="AA59" s="667">
        <f>'P&amp;L Mensal - Anualizado'!AT36</f>
        <v>-35594.347800000018</v>
      </c>
      <c r="AB59" s="667">
        <f>'P&amp;L Mensal - Anualizado'!AU36</f>
        <v>0</v>
      </c>
      <c r="AC59" s="667">
        <f>'P&amp;L Mensal - Anualizado'!AW36</f>
        <v>-126198.14220000006</v>
      </c>
      <c r="AD59" s="667">
        <f>'P&amp;L Mensal - Anualizado'!AX36</f>
        <v>-209220.77922077922</v>
      </c>
      <c r="AE59" s="667">
        <f>'P&amp;L Mensal - Anualizado'!AZ36</f>
        <v>-161792.49000000008</v>
      </c>
      <c r="AF59" s="667">
        <f>'P&amp;L Mensal - Anualizado'!BA36</f>
        <v>-209220.77922077922</v>
      </c>
      <c r="AG59" s="667">
        <f>'P&amp;L Mensal - Anualizado'!BE36</f>
        <v>16837.295200000008</v>
      </c>
      <c r="AH59" s="667">
        <f>'P&amp;L Mensal - Anualizado'!BF36</f>
        <v>-48857.142857142841</v>
      </c>
      <c r="AI59" s="667">
        <f>'P&amp;L Mensal - Anualizado'!BH36</f>
        <v>59695.864800000025</v>
      </c>
      <c r="AJ59" s="667">
        <f>'P&amp;L Mensal - Anualizado'!BI36</f>
        <v>-173220.77922077916</v>
      </c>
      <c r="AK59" s="667">
        <f>'P&amp;L Mensal - Anualizado'!BK36</f>
        <v>76533.160000000033</v>
      </c>
      <c r="AL59" s="667">
        <f>'P&amp;L Mensal - Anualizado'!BL36</f>
        <v>-222077.922077922</v>
      </c>
    </row>
    <row r="60" spans="2:38" x14ac:dyDescent="0.25">
      <c r="B60" s="685" t="s">
        <v>33</v>
      </c>
      <c r="C60" s="667">
        <f>'P&amp;L Mensal - Anualizado'!B39</f>
        <v>-98141.795400000003</v>
      </c>
      <c r="D60" s="667">
        <f>'P&amp;L Mensal - Anualizado'!C39</f>
        <v>-107178.78868736117</v>
      </c>
      <c r="E60" s="667">
        <f>'P&amp;L Mensal - Anualizado'!E39</f>
        <v>-349715.66460000002</v>
      </c>
      <c r="F60" s="667">
        <f>'P&amp;L Mensal - Anualizado'!F39</f>
        <v>-379997.52352791687</v>
      </c>
      <c r="G60" s="667">
        <f>'P&amp;L Mensal - Anualizado'!H39</f>
        <v>-447857.46</v>
      </c>
      <c r="H60" s="667">
        <f>'P&amp;L Mensal - Anualizado'!I39</f>
        <v>-487176.31221527804</v>
      </c>
      <c r="I60" s="667">
        <f>'P&amp;L Mensal - Anualizado'!M39</f>
        <v>-95397.185399999988</v>
      </c>
      <c r="J60" s="667">
        <f>'P&amp;L Mensal - Anualizado'!N39</f>
        <v>-97517.008537361151</v>
      </c>
      <c r="K60" s="667">
        <f>'P&amp;L Mensal - Anualizado'!P39</f>
        <v>-338226.38459999999</v>
      </c>
      <c r="L60" s="667">
        <f>'P&amp;L Mensal - Anualizado'!Q39</f>
        <v>-345742.12117791682</v>
      </c>
      <c r="M60" s="667">
        <f>'P&amp;L Mensal - Anualizado'!S39</f>
        <v>-433623.56999999995</v>
      </c>
      <c r="N60" s="667">
        <f>'P&amp;L Mensal - Anualizado'!T39</f>
        <v>-443259.12971527799</v>
      </c>
      <c r="O60" s="667">
        <f>'P&amp;L Mensal - Anualizado'!X39</f>
        <v>-93401.923999999999</v>
      </c>
      <c r="P60" s="667">
        <f>'P&amp;L Mensal - Anualizado'!Y39</f>
        <v>-88082.1663806945</v>
      </c>
      <c r="Q60" s="667">
        <f>'P&amp;L Mensal - Anualizado'!AA39</f>
        <v>-331152.27600000001</v>
      </c>
      <c r="R60" s="667">
        <f>'P&amp;L Mensal - Anualizado'!AB39</f>
        <v>-312291.31716791692</v>
      </c>
      <c r="S60" s="667">
        <f>'P&amp;L Mensal - Anualizado'!AD39</f>
        <v>-424554.2</v>
      </c>
      <c r="T60" s="667">
        <f>'P&amp;L Mensal - Anualizado'!AE39</f>
        <v>-400373.4835486114</v>
      </c>
      <c r="U60" s="667">
        <f>'P&amp;L Mensal - Anualizado'!AI39</f>
        <v>-68173.243600000002</v>
      </c>
      <c r="V60" s="667">
        <f>'P&amp;L Mensal - Anualizado'!AJ39</f>
        <v>-79650.622939861176</v>
      </c>
      <c r="W60" s="667">
        <f>'P&amp;L Mensal - Anualizado'!AL39</f>
        <v>-241705.13640000002</v>
      </c>
      <c r="X60" s="667">
        <f>'P&amp;L Mensal - Anualizado'!AM39</f>
        <v>-282397.66315041692</v>
      </c>
      <c r="Y60" s="667">
        <f>'P&amp;L Mensal - Anualizado'!AO39</f>
        <v>-309878.38</v>
      </c>
      <c r="Z60" s="667">
        <f>'P&amp;L Mensal - Anualizado'!AP39</f>
        <v>-362048.28609027807</v>
      </c>
      <c r="AA60" s="667">
        <f>'P&amp;L Mensal - Anualizado'!AT39</f>
        <v>-80103.962399999989</v>
      </c>
      <c r="AB60" s="667">
        <f>'P&amp;L Mensal - Anualizado'!AU39</f>
        <v>-75611.866194027825</v>
      </c>
      <c r="AC60" s="667">
        <f>'P&amp;L Mensal - Anualizado'!AW39</f>
        <v>-284004.95759999997</v>
      </c>
      <c r="AD60" s="667">
        <f>'P&amp;L Mensal - Anualizado'!AX39</f>
        <v>-268078.43468791683</v>
      </c>
      <c r="AE60" s="667">
        <f>'P&amp;L Mensal - Anualizado'!AZ39</f>
        <v>-364108.91999999993</v>
      </c>
      <c r="AF60" s="667">
        <f>'P&amp;L Mensal - Anualizado'!BA39</f>
        <v>-343690.30088194465</v>
      </c>
      <c r="AG60" s="667">
        <f>'P&amp;L Mensal - Anualizado'!BE39</f>
        <v>-73558.007600000012</v>
      </c>
      <c r="AH60" s="667">
        <f>'P&amp;L Mensal - Anualizado'!BF39</f>
        <v>-73105.709519027834</v>
      </c>
      <c r="AI60" s="667">
        <f>'P&amp;L Mensal - Anualizado'!BH39</f>
        <v>-260796.57240000006</v>
      </c>
      <c r="AJ60" s="667">
        <f>'P&amp;L Mensal - Anualizado'!BI39</f>
        <v>-259192.97011291687</v>
      </c>
      <c r="AK60" s="667">
        <f>'P&amp;L Mensal - Anualizado'!BK39</f>
        <v>-334354.58000000007</v>
      </c>
      <c r="AL60" s="667">
        <f>'P&amp;L Mensal - Anualizado'!BL39</f>
        <v>-332298.67963194469</v>
      </c>
    </row>
    <row r="61" spans="2:38" x14ac:dyDescent="0.25">
      <c r="B61" s="685" t="s">
        <v>544</v>
      </c>
      <c r="C61" s="667">
        <f>'P&amp;L Mensal - Anualizado'!B40</f>
        <v>1553870.6413376625</v>
      </c>
      <c r="D61" s="667">
        <f>'P&amp;L Mensal - Anualizado'!C40</f>
        <v>1575545.3324568288</v>
      </c>
      <c r="E61" s="667">
        <f>'P&amp;L Mensal - Anualizado'!E40</f>
        <v>3842298.9486623416</v>
      </c>
      <c r="F61" s="667">
        <f>'P&amp;L Mensal - Anualizado'!F40</f>
        <v>4113383.221465291</v>
      </c>
      <c r="G61" s="667">
        <f>'P&amp;L Mensal - Anualizado'!H40</f>
        <v>5396169.5900000017</v>
      </c>
      <c r="H61" s="667">
        <f>'P&amp;L Mensal - Anualizado'!I40</f>
        <v>5688928.5539221223</v>
      </c>
      <c r="I61" s="667">
        <f>'P&amp;L Mensal - Anualizado'!M40</f>
        <v>1635884.168979997</v>
      </c>
      <c r="J61" s="667">
        <f>'P&amp;L Mensal - Anualizado'!N40</f>
        <v>1881548.1700261396</v>
      </c>
      <c r="K61" s="667">
        <f>'P&amp;L Mensal - Anualizado'!P40</f>
        <v>4822258.9410199989</v>
      </c>
      <c r="L61" s="667">
        <f>'P&amp;L Mensal - Anualizado'!Q40</f>
        <v>4726666.9104187144</v>
      </c>
      <c r="M61" s="667">
        <f>'P&amp;L Mensal - Anualizado'!S40</f>
        <v>6458143.1099999994</v>
      </c>
      <c r="N61" s="667">
        <f>'P&amp;L Mensal - Anualizado'!T40</f>
        <v>6608215.0804448528</v>
      </c>
      <c r="O61" s="667">
        <f>'P&amp;L Mensal - Anualizado'!X40</f>
        <v>1108526.0816097348</v>
      </c>
      <c r="P61" s="667">
        <f>'P&amp;L Mensal - Anualizado'!Y40</f>
        <v>1241279.5816275894</v>
      </c>
      <c r="Q61" s="667">
        <f>'P&amp;L Mensal - Anualizado'!AA40</f>
        <v>10489084.718390258</v>
      </c>
      <c r="R61" s="667">
        <f>'P&amp;L Mensal - Anualizado'!AB40</f>
        <v>7289663.2797065852</v>
      </c>
      <c r="S61" s="667">
        <f>'P&amp;L Mensal - Anualizado'!AD40</f>
        <v>11597610.799999995</v>
      </c>
      <c r="T61" s="667">
        <f>'P&amp;L Mensal - Anualizado'!AE40</f>
        <v>8530942.8613341693</v>
      </c>
      <c r="U61" s="667">
        <f>'P&amp;L Mensal - Anualizado'!AI40</f>
        <v>1325912.8903423815</v>
      </c>
      <c r="V61" s="667">
        <f>'P&amp;L Mensal - Anualizado'!AJ40</f>
        <v>1346530.2673515717</v>
      </c>
      <c r="W61" s="667">
        <f>'P&amp;L Mensal - Anualizado'!AL40</f>
        <v>8710184.3596576191</v>
      </c>
      <c r="X61" s="667">
        <f>'P&amp;L Mensal - Anualizado'!AM40</f>
        <v>7747221.386009248</v>
      </c>
      <c r="Y61" s="667">
        <f>'P&amp;L Mensal - Anualizado'!AO40</f>
        <v>10036097.249999998</v>
      </c>
      <c r="Z61" s="667">
        <f>'P&amp;L Mensal - Anualizado'!AP40</f>
        <v>9093751.6533608176</v>
      </c>
      <c r="AA61" s="667">
        <f>'P&amp;L Mensal - Anualizado'!AT40</f>
        <v>996666.70541288762</v>
      </c>
      <c r="AB61" s="667">
        <f>'P&amp;L Mensal - Anualizado'!AU40</f>
        <v>1575464.9490998471</v>
      </c>
      <c r="AC61" s="667">
        <f>'P&amp;L Mensal - Anualizado'!AW40</f>
        <v>13150988.574587103</v>
      </c>
      <c r="AD61" s="667">
        <f>'P&amp;L Mensal - Anualizado'!AX40</f>
        <v>6376311.6622895049</v>
      </c>
      <c r="AE61" s="667">
        <f>'P&amp;L Mensal - Anualizado'!AZ40</f>
        <v>14147655.279999996</v>
      </c>
      <c r="AF61" s="667">
        <f>'P&amp;L Mensal - Anualizado'!BA40</f>
        <v>7951776.6113893576</v>
      </c>
      <c r="AG61" s="667">
        <f>'P&amp;L Mensal - Anualizado'!BE40</f>
        <v>1204732.0933696534</v>
      </c>
      <c r="AH61" s="667">
        <f>'P&amp;L Mensal - Anualizado'!BF40</f>
        <v>918306.07441319246</v>
      </c>
      <c r="AI61" s="667">
        <f>'P&amp;L Mensal - Anualizado'!BH40</f>
        <v>10741135.53663036</v>
      </c>
      <c r="AJ61" s="667">
        <f>'P&amp;L Mensal - Anualizado'!BI40</f>
        <v>7573429.6179737095</v>
      </c>
      <c r="AK61" s="667">
        <f>'P&amp;L Mensal - Anualizado'!BK40</f>
        <v>11945867.630000003</v>
      </c>
      <c r="AL61" s="667">
        <f>'P&amp;L Mensal - Anualizado'!BL40</f>
        <v>8491735.6923868991</v>
      </c>
    </row>
    <row r="62" spans="2:38" x14ac:dyDescent="0.25">
      <c r="B62" s="685" t="s">
        <v>42</v>
      </c>
      <c r="C62" s="667">
        <f>'P&amp;L Mensal - Anualizado'!B41</f>
        <v>-115374.98939999999</v>
      </c>
      <c r="D62" s="667">
        <f>'P&amp;L Mensal - Anualizado'!C41</f>
        <v>-325141</v>
      </c>
      <c r="E62" s="667">
        <f>'P&amp;L Mensal - Anualizado'!E41</f>
        <v>-1463640.8006</v>
      </c>
      <c r="F62" s="667">
        <f>'P&amp;L Mensal - Anualizado'!F41</f>
        <v>-1157412.4228173625</v>
      </c>
      <c r="G62" s="667">
        <f>'P&amp;L Mensal - Anualizado'!H41</f>
        <v>-1579015.79</v>
      </c>
      <c r="H62" s="667">
        <f>'P&amp;L Mensal - Anualizado'!I41</f>
        <v>-1482553.4228173625</v>
      </c>
      <c r="I62" s="667">
        <f>'P&amp;L Mensal - Anualizado'!M41</f>
        <v>-544207.12983407639</v>
      </c>
      <c r="J62" s="667">
        <f>'P&amp;L Mensal - Anualizado'!N41</f>
        <v>-489202.52420679631</v>
      </c>
      <c r="K62" s="667">
        <f>'P&amp;L Mensal - Anualizado'!P41</f>
        <v>-1604213.6401659225</v>
      </c>
      <c r="L62" s="667">
        <f>'P&amp;L Mensal - Anualizado'!Q41</f>
        <v>-1228933.3967088659</v>
      </c>
      <c r="M62" s="667">
        <f>'P&amp;L Mensal - Anualizado'!S41</f>
        <v>-2148420.7699999986</v>
      </c>
      <c r="N62" s="667">
        <f>'P&amp;L Mensal - Anualizado'!T41</f>
        <v>-1718135.9209156623</v>
      </c>
      <c r="O62" s="667">
        <f>'P&amp;L Mensal - Anualizado'!X41</f>
        <v>-375153.55806499202</v>
      </c>
      <c r="P62" s="667">
        <f>'P&amp;L Mensal - Anualizado'!Y41</f>
        <v>-487969.93166831072</v>
      </c>
      <c r="Q62" s="667">
        <f>'P&amp;L Mensal - Anualizado'!AA41</f>
        <v>-3549774.3519350002</v>
      </c>
      <c r="R62" s="667">
        <f>'P&amp;L Mensal - Anualizado'!AB41</f>
        <v>-1730075.2122785561</v>
      </c>
      <c r="S62" s="667">
        <f>'P&amp;L Mensal - Anualizado'!AD41</f>
        <v>-3924927.9099999922</v>
      </c>
      <c r="T62" s="667">
        <f>'P&amp;L Mensal - Anualizado'!AE41</f>
        <v>-2218045.143946867</v>
      </c>
      <c r="U62" s="667">
        <f>'P&amp;L Mensal - Anualizado'!AI41</f>
        <v>-117342.30831010734</v>
      </c>
      <c r="V62" s="667">
        <f>'P&amp;L Mensal - Anualizado'!AJ41</f>
        <v>-520162.59457223688</v>
      </c>
      <c r="W62" s="667">
        <f>'P&amp;L Mensal - Anualizado'!AL41</f>
        <v>-770844.86168989295</v>
      </c>
      <c r="X62" s="667">
        <f>'P&amp;L Mensal - Anualizado'!AM41</f>
        <v>-1844212.8353015673</v>
      </c>
      <c r="Y62" s="667">
        <f>'P&amp;L Mensal - Anualizado'!AO41</f>
        <v>-888187.17000000027</v>
      </c>
      <c r="Z62" s="667">
        <f>'P&amp;L Mensal - Anualizado'!AP41</f>
        <v>-2364375.4298738041</v>
      </c>
      <c r="AA62" s="667">
        <f>'P&amp;L Mensal - Anualizado'!AT41</f>
        <v>-340871.80504961649</v>
      </c>
      <c r="AB62" s="667">
        <f>'P&amp;L Mensal - Anualizado'!AU41</f>
        <v>-454841.62217146665</v>
      </c>
      <c r="AC62" s="667">
        <f>'P&amp;L Mensal - Anualizado'!AW41</f>
        <v>-4497793.6849503824</v>
      </c>
      <c r="AD62" s="667">
        <f>'P&amp;L Mensal - Anualizado'!AX41</f>
        <v>-1612620.2967897453</v>
      </c>
      <c r="AE62" s="667">
        <f>'P&amp;L Mensal - Anualizado'!AZ41</f>
        <v>-4838665.4899999993</v>
      </c>
      <c r="AF62" s="667">
        <f>'P&amp;L Mensal - Anualizado'!BA41</f>
        <v>-2067461.918961212</v>
      </c>
      <c r="AG62" s="667">
        <f>'P&amp;L Mensal - Anualizado'!BE41</f>
        <v>-327605.81</v>
      </c>
      <c r="AH62" s="667">
        <f>'P&amp;L Mensal - Anualizado'!BF41</f>
        <v>-485727.28160452959</v>
      </c>
      <c r="AI62" s="667">
        <f>'P&amp;L Mensal - Anualizado'!BH41</f>
        <v>-2920791.9</v>
      </c>
      <c r="AJ62" s="667">
        <f>'P&amp;L Mensal - Anualizado'!BI41</f>
        <v>-1722123.9984160594</v>
      </c>
      <c r="AK62" s="667">
        <f>'P&amp;L Mensal - Anualizado'!BK41</f>
        <v>-3248397.71</v>
      </c>
      <c r="AL62" s="667">
        <f>'P&amp;L Mensal - Anualizado'!BL41</f>
        <v>-2207851.280020589</v>
      </c>
    </row>
    <row r="63" spans="2:38" ht="15.75" thickBot="1" x14ac:dyDescent="0.3">
      <c r="B63" s="684" t="s">
        <v>132</v>
      </c>
      <c r="C63" s="668">
        <f>'P&amp;L Mensal - Anualizado'!B42</f>
        <v>1438495.6519376624</v>
      </c>
      <c r="D63" s="668">
        <f>'P&amp;L Mensal - Anualizado'!C42</f>
        <v>1250404.3324568288</v>
      </c>
      <c r="E63" s="668">
        <f>'P&amp;L Mensal - Anualizado'!E42</f>
        <v>2378658.1480623418</v>
      </c>
      <c r="F63" s="668">
        <f>'P&amp;L Mensal - Anualizado'!F42</f>
        <v>2955970.7986479285</v>
      </c>
      <c r="G63" s="668">
        <f>'P&amp;L Mensal - Anualizado'!H42</f>
        <v>3817153.8000000017</v>
      </c>
      <c r="H63" s="668">
        <f>'P&amp;L Mensal - Anualizado'!I42</f>
        <v>4206375.1311047599</v>
      </c>
      <c r="I63" s="668">
        <f>'P&amp;L Mensal - Anualizado'!M42</f>
        <v>1091677.0391459207</v>
      </c>
      <c r="J63" s="668">
        <f>'P&amp;L Mensal - Anualizado'!N42</f>
        <v>1392345.6458193432</v>
      </c>
      <c r="K63" s="668">
        <f>'P&amp;L Mensal - Anualizado'!P42</f>
        <v>3218045.3008540766</v>
      </c>
      <c r="L63" s="668">
        <f>'P&amp;L Mensal - Anualizado'!Q42</f>
        <v>3497733.5137098487</v>
      </c>
      <c r="M63" s="668">
        <f>'P&amp;L Mensal - Anualizado'!S42</f>
        <v>4309722.3400000008</v>
      </c>
      <c r="N63" s="668">
        <f>'P&amp;L Mensal - Anualizado'!T42</f>
        <v>4890079.1595291905</v>
      </c>
      <c r="O63" s="668">
        <f>'P&amp;L Mensal - Anualizado'!X42</f>
        <v>733372.52354474273</v>
      </c>
      <c r="P63" s="668">
        <f>'P&amp;L Mensal - Anualizado'!Y42</f>
        <v>753309.64995927876</v>
      </c>
      <c r="Q63" s="668">
        <f>'P&amp;L Mensal - Anualizado'!AA42</f>
        <v>6939310.3664552579</v>
      </c>
      <c r="R63" s="668">
        <f>'P&amp;L Mensal - Anualizado'!AB42</f>
        <v>5559588.0674280291</v>
      </c>
      <c r="S63" s="668">
        <f>'P&amp;L Mensal - Anualizado'!AD42</f>
        <v>7672682.8900000025</v>
      </c>
      <c r="T63" s="668">
        <f>'P&amp;L Mensal - Anualizado'!AE42</f>
        <v>6312897.7173873018</v>
      </c>
      <c r="U63" s="668">
        <f>'P&amp;L Mensal - Anualizado'!AI42</f>
        <v>1208570.5820322742</v>
      </c>
      <c r="V63" s="668">
        <f>'P&amp;L Mensal - Anualizado'!AJ42</f>
        <v>826367.67277933483</v>
      </c>
      <c r="W63" s="668">
        <f>'P&amp;L Mensal - Anualizado'!AL42</f>
        <v>7939339.4979677266</v>
      </c>
      <c r="X63" s="668">
        <f>'P&amp;L Mensal - Anualizado'!AM42</f>
        <v>5903008.5507076811</v>
      </c>
      <c r="Y63" s="668">
        <f>'P&amp;L Mensal - Anualizado'!AO42</f>
        <v>9147910.0799999982</v>
      </c>
      <c r="Z63" s="668">
        <f>'P&amp;L Mensal - Anualizado'!AP42</f>
        <v>6729376.223487014</v>
      </c>
      <c r="AA63" s="668">
        <f>'P&amp;L Mensal - Anualizado'!AT42</f>
        <v>655794.90036327112</v>
      </c>
      <c r="AB63" s="668">
        <f>'P&amp;L Mensal - Anualizado'!AU42</f>
        <v>1120623.3269283804</v>
      </c>
      <c r="AC63" s="668">
        <f>'P&amp;L Mensal - Anualizado'!AW42</f>
        <v>8653194.8896367215</v>
      </c>
      <c r="AD63" s="668">
        <f>'P&amp;L Mensal - Anualizado'!AX42</f>
        <v>4763691.3654997591</v>
      </c>
      <c r="AE63" s="668">
        <f>'P&amp;L Mensal - Anualizado'!AZ42</f>
        <v>9308989.7899999954</v>
      </c>
      <c r="AF63" s="668">
        <f>'P&amp;L Mensal - Anualizado'!BA42</f>
        <v>5884314.6924281456</v>
      </c>
      <c r="AG63" s="668">
        <f>'P&amp;L Mensal - Anualizado'!BE42</f>
        <v>877126.28336965339</v>
      </c>
      <c r="AH63" s="668">
        <f>'P&amp;L Mensal - Anualizado'!BF42</f>
        <v>432578.79280866287</v>
      </c>
      <c r="AI63" s="668">
        <f>'P&amp;L Mensal - Anualizado'!BH42</f>
        <v>7820343.63663036</v>
      </c>
      <c r="AJ63" s="668">
        <f>'P&amp;L Mensal - Anualizado'!BI42</f>
        <v>5851305.6195576498</v>
      </c>
      <c r="AK63" s="668">
        <f>'P&amp;L Mensal - Anualizado'!BK42</f>
        <v>8697469.9200000018</v>
      </c>
      <c r="AL63" s="668">
        <f>'P&amp;L Mensal - Anualizado'!BL42</f>
        <v>6283884.4123663101</v>
      </c>
    </row>
    <row r="65" spans="1:11" s="652" customFormat="1" x14ac:dyDescent="0.25">
      <c r="A65" s="644" t="s">
        <v>550</v>
      </c>
      <c r="B65" s="686"/>
    </row>
    <row r="66" spans="1:11" ht="15.75" thickBot="1" x14ac:dyDescent="0.3"/>
    <row r="67" spans="1:11" ht="15.75" thickBot="1" x14ac:dyDescent="0.3">
      <c r="C67" s="827" t="s">
        <v>554</v>
      </c>
      <c r="D67" s="828"/>
      <c r="E67" s="828"/>
      <c r="F67" s="828"/>
      <c r="G67" s="828"/>
      <c r="H67" s="829"/>
    </row>
    <row r="68" spans="1:11" ht="15.75" thickBot="1" x14ac:dyDescent="0.3">
      <c r="C68" s="827" t="s">
        <v>551</v>
      </c>
      <c r="D68" s="828"/>
      <c r="E68" s="829"/>
      <c r="F68" s="827" t="s">
        <v>552</v>
      </c>
      <c r="G68" s="828"/>
      <c r="H68" s="829"/>
      <c r="I68" s="830" t="s">
        <v>553</v>
      </c>
      <c r="J68" s="831"/>
      <c r="K68" s="832"/>
    </row>
    <row r="69" spans="1:11" ht="15.75" thickBot="1" x14ac:dyDescent="0.3">
      <c r="C69" s="610" t="s">
        <v>159</v>
      </c>
      <c r="D69" s="610" t="s">
        <v>162</v>
      </c>
      <c r="E69" s="611" t="s">
        <v>2</v>
      </c>
      <c r="F69" s="610" t="s">
        <v>159</v>
      </c>
      <c r="G69" s="610" t="s">
        <v>162</v>
      </c>
      <c r="H69" s="610" t="s">
        <v>2</v>
      </c>
      <c r="I69" s="621" t="s">
        <v>546</v>
      </c>
      <c r="J69" s="621" t="s">
        <v>547</v>
      </c>
      <c r="K69" s="632" t="s">
        <v>545</v>
      </c>
    </row>
    <row r="70" spans="1:11" x14ac:dyDescent="0.25">
      <c r="B70" s="683" t="s">
        <v>542</v>
      </c>
      <c r="C70" s="647">
        <f>'P&amp;L Acumulado'!F5</f>
        <v>61130864.999551073</v>
      </c>
      <c r="D70" s="653">
        <f>'P&amp;L Acumulado'!I5</f>
        <v>249028780.10044894</v>
      </c>
      <c r="E70" s="653">
        <f>'P&amp;L Acumulado'!L5</f>
        <v>310159645.10000008</v>
      </c>
      <c r="F70" s="666" t="e">
        <f>'Comparativo 2026 x 2025'!#REF!</f>
        <v>#REF!</v>
      </c>
      <c r="G70" s="669" t="e">
        <f>'Comparativo 2026 x 2025'!#REF!</f>
        <v>#REF!</v>
      </c>
      <c r="H70" s="666">
        <f>'Comparativo 2026 x 2025'!D5</f>
        <v>0</v>
      </c>
      <c r="I70" s="670" t="e">
        <f t="shared" ref="I70:I81" si="24">C70/F70-1</f>
        <v>#REF!</v>
      </c>
      <c r="J70" s="670" t="e">
        <f t="shared" ref="J70:J81" si="25">D70/G70-1</f>
        <v>#REF!</v>
      </c>
      <c r="K70" s="636" t="e">
        <f t="shared" ref="K70:K81" si="26">E70/H70-1</f>
        <v>#DIV/0!</v>
      </c>
    </row>
    <row r="71" spans="1:11" x14ac:dyDescent="0.25">
      <c r="B71" s="685" t="s">
        <v>13</v>
      </c>
      <c r="C71" s="667">
        <f>'P&amp;L Acumulado'!F24</f>
        <v>-36197985.284475319</v>
      </c>
      <c r="D71" s="671">
        <f>'P&amp;L Acumulado'!I24</f>
        <v>-122435265.30552466</v>
      </c>
      <c r="E71" s="671">
        <f>'P&amp;L Acumulado'!L24</f>
        <v>-158633250.58999994</v>
      </c>
      <c r="F71" s="667" t="e">
        <f>'Comparativo 2026 x 2025'!#REF!</f>
        <v>#REF!</v>
      </c>
      <c r="G71" s="671" t="e">
        <f>'Comparativo 2026 x 2025'!#REF!</f>
        <v>#REF!</v>
      </c>
      <c r="H71" s="667">
        <f>'Comparativo 2026 x 2025'!D20</f>
        <v>0</v>
      </c>
      <c r="I71" s="672" t="e">
        <f t="shared" si="24"/>
        <v>#REF!</v>
      </c>
      <c r="J71" s="672" t="e">
        <f t="shared" si="25"/>
        <v>#REF!</v>
      </c>
      <c r="K71" s="637" t="e">
        <f t="shared" si="26"/>
        <v>#DIV/0!</v>
      </c>
    </row>
    <row r="72" spans="1:11" x14ac:dyDescent="0.25">
      <c r="B72" s="685" t="s">
        <v>543</v>
      </c>
      <c r="C72" s="667">
        <f>'P&amp;L Acumulado'!F31</f>
        <v>23003980.984342411</v>
      </c>
      <c r="D72" s="671">
        <f>'P&amp;L Acumulado'!I31</f>
        <v>119563210.94565761</v>
      </c>
      <c r="E72" s="671">
        <f>'P&amp;L Acumulado'!L31</f>
        <v>142567191.93000013</v>
      </c>
      <c r="F72" s="667" t="e">
        <f>'Comparativo 2026 x 2025'!#REF!</f>
        <v>#REF!</v>
      </c>
      <c r="G72" s="671" t="e">
        <f>'Comparativo 2026 x 2025'!#REF!</f>
        <v>#REF!</v>
      </c>
      <c r="H72" s="667">
        <f>'Comparativo 2026 x 2025'!D27</f>
        <v>0</v>
      </c>
      <c r="I72" s="672" t="e">
        <f t="shared" si="24"/>
        <v>#REF!</v>
      </c>
      <c r="J72" s="672" t="e">
        <f t="shared" si="25"/>
        <v>#REF!</v>
      </c>
      <c r="K72" s="637" t="e">
        <f t="shared" si="26"/>
        <v>#DIV/0!</v>
      </c>
    </row>
    <row r="73" spans="1:11" x14ac:dyDescent="0.25">
      <c r="B73" s="685" t="s">
        <v>24</v>
      </c>
      <c r="C73" s="667">
        <f>'P&amp;L Acumulado'!F32</f>
        <v>-4649091.0482999999</v>
      </c>
      <c r="D73" s="671">
        <f>'P&amp;L Acumulado'!I32</f>
        <v>-11464953.781699996</v>
      </c>
      <c r="E73" s="671">
        <f>'P&amp;L Acumulado'!L32</f>
        <v>-16114044.829999998</v>
      </c>
      <c r="F73" s="667" t="e">
        <f>'Comparativo 2026 x 2025'!#REF!</f>
        <v>#REF!</v>
      </c>
      <c r="G73" s="671" t="e">
        <f>'Comparativo 2026 x 2025'!#REF!</f>
        <v>#REF!</v>
      </c>
      <c r="H73" s="667">
        <f>'Comparativo 2026 x 2025'!D28</f>
        <v>0</v>
      </c>
      <c r="I73" s="672" t="e">
        <f t="shared" si="24"/>
        <v>#REF!</v>
      </c>
      <c r="J73" s="672" t="e">
        <f t="shared" si="25"/>
        <v>#REF!</v>
      </c>
      <c r="K73" s="637" t="e">
        <f t="shared" si="26"/>
        <v>#DIV/0!</v>
      </c>
    </row>
    <row r="74" spans="1:11" x14ac:dyDescent="0.25">
      <c r="B74" s="685" t="s">
        <v>125</v>
      </c>
      <c r="C74" s="667">
        <f>'P&amp;L Acumulado'!F35</f>
        <v>18354889.936042413</v>
      </c>
      <c r="D74" s="671">
        <f>'P&amp;L Acumulado'!I35</f>
        <v>108098257.16395761</v>
      </c>
      <c r="E74" s="671">
        <f>'P&amp;L Acumulado'!L35</f>
        <v>126453147.10000013</v>
      </c>
      <c r="F74" s="667" t="e">
        <f>'Comparativo 2026 x 2025'!#REF!</f>
        <v>#REF!</v>
      </c>
      <c r="G74" s="671" t="e">
        <f>'Comparativo 2026 x 2025'!#REF!</f>
        <v>#REF!</v>
      </c>
      <c r="H74" s="667">
        <f>'Comparativo 2026 x 2025'!D31</f>
        <v>0</v>
      </c>
      <c r="I74" s="672" t="e">
        <f t="shared" si="24"/>
        <v>#REF!</v>
      </c>
      <c r="J74" s="672" t="e">
        <f t="shared" si="25"/>
        <v>#REF!</v>
      </c>
      <c r="K74" s="637" t="e">
        <f t="shared" si="26"/>
        <v>#DIV/0!</v>
      </c>
    </row>
    <row r="75" spans="1:11" x14ac:dyDescent="0.25">
      <c r="B75" s="685" t="s">
        <v>175</v>
      </c>
      <c r="C75" s="667">
        <f>'P&amp;L Acumulado'!F36+'P&amp;L Acumulado'!F39</f>
        <v>-8045620.1310310904</v>
      </c>
      <c r="D75" s="671">
        <f>'P&amp;L Acumulado'!I36+'P&amp;L Acumulado'!I39</f>
        <v>-32507532.440368965</v>
      </c>
      <c r="E75" s="671">
        <f>'P&amp;L Acumulado'!L36+'P&amp;L Acumulado'!L39</f>
        <v>-40553152.571400061</v>
      </c>
      <c r="F75" s="667" t="e">
        <f>'Comparativo 2026 x 2025'!#REF!+'Comparativo 2026 x 2025'!#REF!</f>
        <v>#REF!</v>
      </c>
      <c r="G75" s="671" t="e">
        <f>'Comparativo 2026 x 2025'!#REF!+'Comparativo 2026 x 2025'!#REF!</f>
        <v>#REF!</v>
      </c>
      <c r="H75" s="667">
        <f>'Comparativo 2026 x 2025'!D32+'Comparativo 2026 x 2025'!D36</f>
        <v>0</v>
      </c>
      <c r="I75" s="672" t="e">
        <f t="shared" si="24"/>
        <v>#REF!</v>
      </c>
      <c r="J75" s="672" t="e">
        <f t="shared" si="25"/>
        <v>#REF!</v>
      </c>
      <c r="K75" s="637" t="e">
        <f t="shared" si="26"/>
        <v>#DIV/0!</v>
      </c>
    </row>
    <row r="76" spans="1:11" x14ac:dyDescent="0.25">
      <c r="B76" s="685" t="s">
        <v>28</v>
      </c>
      <c r="C76" s="667">
        <f>'P&amp;L Acumulado'!F30</f>
        <v>-1928898.7307333406</v>
      </c>
      <c r="D76" s="671">
        <f>'P&amp;L Acumulado'!I30</f>
        <v>-7030303.8492666595</v>
      </c>
      <c r="E76" s="671">
        <f>'P&amp;L Acumulado'!L30</f>
        <v>-8959202.5800000001</v>
      </c>
      <c r="F76" s="667" t="e">
        <f>'Comparativo 2026 x 2025'!#REF!</f>
        <v>#REF!</v>
      </c>
      <c r="G76" s="671" t="e">
        <f>'Comparativo 2026 x 2025'!#REF!</f>
        <v>#REF!</v>
      </c>
      <c r="H76" s="667">
        <f>'Comparativo 2026 x 2025'!D26</f>
        <v>0</v>
      </c>
      <c r="I76" s="672" t="e">
        <f t="shared" si="24"/>
        <v>#REF!</v>
      </c>
      <c r="J76" s="672" t="e">
        <f t="shared" si="25"/>
        <v>#REF!</v>
      </c>
      <c r="K76" s="637" t="e">
        <f t="shared" si="26"/>
        <v>#DIV/0!</v>
      </c>
    </row>
    <row r="77" spans="1:11" x14ac:dyDescent="0.25">
      <c r="B77" s="685" t="s">
        <v>38</v>
      </c>
      <c r="C77" s="667">
        <f>'P&amp;L Acumulado'!F37</f>
        <v>-492764.11508983898</v>
      </c>
      <c r="D77" s="671">
        <f>'P&amp;L Acumulado'!I37</f>
        <v>-2526406.7535101608</v>
      </c>
      <c r="E77" s="671">
        <f>'P&amp;L Acumulado'!L37</f>
        <v>-3019170.8685999997</v>
      </c>
      <c r="F77" s="667" t="e">
        <f>'Comparativo 2026 x 2025'!#REF!</f>
        <v>#REF!</v>
      </c>
      <c r="G77" s="671" t="e">
        <f>'Comparativo 2026 x 2025'!#REF!</f>
        <v>#REF!</v>
      </c>
      <c r="H77" s="667">
        <f>'Comparativo 2026 x 2025'!D34</f>
        <v>0</v>
      </c>
      <c r="I77" s="672" t="e">
        <f t="shared" si="24"/>
        <v>#REF!</v>
      </c>
      <c r="J77" s="672" t="e">
        <f t="shared" si="25"/>
        <v>#REF!</v>
      </c>
      <c r="K77" s="637" t="e">
        <f t="shared" si="26"/>
        <v>#DIV/0!</v>
      </c>
    </row>
    <row r="78" spans="1:11" x14ac:dyDescent="0.25">
      <c r="B78" s="685" t="s">
        <v>33</v>
      </c>
      <c r="C78" s="667">
        <f>'P&amp;L Acumulado'!F40</f>
        <v>-650580.56140000001</v>
      </c>
      <c r="D78" s="671">
        <f>'P&amp;L Acumulado'!I40</f>
        <v>-2308362.1985999998</v>
      </c>
      <c r="E78" s="671">
        <f>'P&amp;L Acumulado'!L40</f>
        <v>-2958942.76</v>
      </c>
      <c r="F78" s="667" t="e">
        <f>'Comparativo 2026 x 2025'!#REF!</f>
        <v>#REF!</v>
      </c>
      <c r="G78" s="671" t="e">
        <f>'Comparativo 2026 x 2025'!#REF!</f>
        <v>#REF!</v>
      </c>
      <c r="H78" s="667">
        <f>'Comparativo 2026 x 2025'!D33</f>
        <v>0</v>
      </c>
      <c r="I78" s="672" t="e">
        <f>IF(F78=0,"",C78/F78-1)</f>
        <v>#REF!</v>
      </c>
      <c r="J78" s="672" t="e">
        <f>IF(G78=0,"",D78/G78-1)</f>
        <v>#REF!</v>
      </c>
      <c r="K78" s="637" t="e">
        <f t="shared" si="26"/>
        <v>#DIV/0!</v>
      </c>
    </row>
    <row r="79" spans="1:11" x14ac:dyDescent="0.25">
      <c r="B79" s="685" t="s">
        <v>544</v>
      </c>
      <c r="C79" s="667">
        <f>'P&amp;L Acumulado'!F41</f>
        <v>9165925.1285214834</v>
      </c>
      <c r="D79" s="671">
        <f>'P&amp;L Acumulado'!I41</f>
        <v>70755955.771478489</v>
      </c>
      <c r="E79" s="671">
        <f>'P&amp;L Acumulado'!L41</f>
        <v>79921880.900000066</v>
      </c>
      <c r="F79" s="667" t="e">
        <f>'Comparativo 2026 x 2025'!#REF!</f>
        <v>#REF!</v>
      </c>
      <c r="G79" s="671" t="e">
        <f>'Comparativo 2026 x 2025'!#REF!</f>
        <v>#REF!</v>
      </c>
      <c r="H79" s="667">
        <f>'Comparativo 2026 x 2025'!D37</f>
        <v>0</v>
      </c>
      <c r="I79" s="672" t="e">
        <f t="shared" si="24"/>
        <v>#REF!</v>
      </c>
      <c r="J79" s="672" t="e">
        <f t="shared" si="25"/>
        <v>#REF!</v>
      </c>
      <c r="K79" s="637" t="e">
        <f t="shared" si="26"/>
        <v>#DIV/0!</v>
      </c>
    </row>
    <row r="80" spans="1:11" x14ac:dyDescent="0.25">
      <c r="B80" s="685" t="s">
        <v>42</v>
      </c>
      <c r="C80" s="667">
        <f>'P&amp;L Acumulado'!F42</f>
        <v>-2561005.0925990995</v>
      </c>
      <c r="D80" s="671">
        <f>'P&amp;L Acumulado'!I42</f>
        <v>-19884638.097400904</v>
      </c>
      <c r="E80" s="671">
        <f>'P&amp;L Acumulado'!L42</f>
        <v>-22445643.190000005</v>
      </c>
      <c r="F80" s="667" t="e">
        <f>'Comparativo 2026 x 2025'!#REF!</f>
        <v>#REF!</v>
      </c>
      <c r="G80" s="671" t="e">
        <f>'Comparativo 2026 x 2025'!#REF!</f>
        <v>#REF!</v>
      </c>
      <c r="H80" s="667">
        <f>'Comparativo 2026 x 2025'!D38</f>
        <v>0</v>
      </c>
      <c r="I80" s="672" t="e">
        <f t="shared" si="24"/>
        <v>#REF!</v>
      </c>
      <c r="J80" s="672" t="e">
        <f t="shared" si="25"/>
        <v>#REF!</v>
      </c>
      <c r="K80" s="637" t="e">
        <f t="shared" si="26"/>
        <v>#DIV/0!</v>
      </c>
    </row>
    <row r="81" spans="2:11" ht="15.75" thickBot="1" x14ac:dyDescent="0.3">
      <c r="B81" s="684" t="s">
        <v>132</v>
      </c>
      <c r="C81" s="668">
        <f>'P&amp;L Acumulado'!F43</f>
        <v>6604920.0359223839</v>
      </c>
      <c r="D81" s="673">
        <f>'P&amp;L Acumulado'!I43</f>
        <v>50871317.674077585</v>
      </c>
      <c r="E81" s="673">
        <f>'P&amp;L Acumulado'!L43</f>
        <v>57476237.71000006</v>
      </c>
      <c r="F81" s="668" t="e">
        <f>'Comparativo 2026 x 2025'!#REF!</f>
        <v>#REF!</v>
      </c>
      <c r="G81" s="673" t="e">
        <f>'Comparativo 2026 x 2025'!#REF!</f>
        <v>#REF!</v>
      </c>
      <c r="H81" s="668">
        <f>'Comparativo 2026 x 2025'!D47</f>
        <v>0</v>
      </c>
      <c r="I81" s="674" t="e">
        <f t="shared" si="24"/>
        <v>#REF!</v>
      </c>
      <c r="J81" s="674" t="e">
        <f t="shared" si="25"/>
        <v>#REF!</v>
      </c>
      <c r="K81" s="638" t="e">
        <f t="shared" si="26"/>
        <v>#DIV/0!</v>
      </c>
    </row>
    <row r="82" spans="2:11" ht="15.75" thickBot="1" x14ac:dyDescent="0.3"/>
    <row r="83" spans="2:11" ht="15.75" thickBot="1" x14ac:dyDescent="0.3">
      <c r="C83" s="827" t="s">
        <v>548</v>
      </c>
      <c r="D83" s="828"/>
      <c r="E83" s="828"/>
      <c r="F83" s="828"/>
      <c r="G83" s="828"/>
      <c r="H83" s="829"/>
    </row>
    <row r="84" spans="2:11" ht="15.75" thickBot="1" x14ac:dyDescent="0.3">
      <c r="C84" s="833" t="s">
        <v>551</v>
      </c>
      <c r="D84" s="834"/>
      <c r="E84" s="834"/>
      <c r="F84" s="834"/>
      <c r="G84" s="834"/>
      <c r="H84" s="835"/>
    </row>
    <row r="85" spans="2:11" ht="15.75" thickBot="1" x14ac:dyDescent="0.3">
      <c r="C85" s="827" t="s">
        <v>159</v>
      </c>
      <c r="D85" s="829"/>
      <c r="E85" s="827" t="s">
        <v>162</v>
      </c>
      <c r="F85" s="829"/>
      <c r="G85" s="827" t="s">
        <v>2</v>
      </c>
      <c r="H85" s="829"/>
    </row>
    <row r="86" spans="2:11" ht="15.75" thickBot="1" x14ac:dyDescent="0.3">
      <c r="C86" s="634" t="s">
        <v>549</v>
      </c>
      <c r="D86" s="634" t="s">
        <v>102</v>
      </c>
      <c r="E86" s="634" t="s">
        <v>549</v>
      </c>
      <c r="F86" s="634" t="s">
        <v>102</v>
      </c>
      <c r="G86" s="634" t="s">
        <v>549</v>
      </c>
      <c r="H86" s="634" t="s">
        <v>102</v>
      </c>
    </row>
    <row r="87" spans="2:11" x14ac:dyDescent="0.25">
      <c r="B87" s="683" t="s">
        <v>542</v>
      </c>
      <c r="C87" s="647">
        <f>'P&amp;L Acumulado'!F5</f>
        <v>61130864.999551073</v>
      </c>
      <c r="D87" s="647">
        <f>'P&amp;L Acumulado'!G5</f>
        <v>61341231.920058869</v>
      </c>
      <c r="E87" s="647">
        <f>'P&amp;L Acumulado'!I5</f>
        <v>249028780.10044894</v>
      </c>
      <c r="F87" s="647">
        <f>'P&amp;L Acumulado'!J5</f>
        <v>219802294.80688247</v>
      </c>
      <c r="G87" s="647">
        <f>'P&amp;L Acumulado'!L5</f>
        <v>310159645.10000008</v>
      </c>
      <c r="H87" s="647">
        <f>'P&amp;L Acumulado'!M5</f>
        <v>281143526.72694135</v>
      </c>
    </row>
    <row r="88" spans="2:11" x14ac:dyDescent="0.25">
      <c r="B88" s="685" t="s">
        <v>13</v>
      </c>
      <c r="C88" s="598">
        <f>'P&amp;L Acumulado'!F24</f>
        <v>-36197985.284475319</v>
      </c>
      <c r="D88" s="598">
        <f>'P&amp;L Acumulado'!G24</f>
        <v>-35595893.388007872</v>
      </c>
      <c r="E88" s="598">
        <f>'P&amp;L Acumulado'!I24</f>
        <v>-122435265.30552466</v>
      </c>
      <c r="F88" s="598">
        <f>'P&amp;L Acumulado'!J24</f>
        <v>-115735483.87104037</v>
      </c>
      <c r="G88" s="598">
        <f>'P&amp;L Acumulado'!L24</f>
        <v>-158633250.58999994</v>
      </c>
      <c r="H88" s="598">
        <f>'P&amp;L Acumulado'!M24</f>
        <v>-151331377.25904822</v>
      </c>
    </row>
    <row r="89" spans="2:11" x14ac:dyDescent="0.25">
      <c r="B89" s="685" t="s">
        <v>543</v>
      </c>
      <c r="C89" s="598">
        <f>'P&amp;L Acumulado'!F31</f>
        <v>23003980.984342411</v>
      </c>
      <c r="D89" s="598">
        <f>'P&amp;L Acumulado'!G31</f>
        <v>24478866.424774501</v>
      </c>
      <c r="E89" s="598">
        <f>'P&amp;L Acumulado'!I31</f>
        <v>119563210.94565761</v>
      </c>
      <c r="F89" s="598">
        <f>'P&amp;L Acumulado'!J31</f>
        <v>99576590.555498153</v>
      </c>
      <c r="G89" s="598">
        <f>'P&amp;L Acumulado'!L31</f>
        <v>142567191.93000013</v>
      </c>
      <c r="H89" s="598">
        <f>'P&amp;L Acumulado'!M31</f>
        <v>124055456.98027268</v>
      </c>
    </row>
    <row r="90" spans="2:11" x14ac:dyDescent="0.25">
      <c r="B90" s="685" t="s">
        <v>24</v>
      </c>
      <c r="C90" s="667">
        <f>'P&amp;L Acumulado'!F32</f>
        <v>-4649091.0482999999</v>
      </c>
      <c r="D90" s="667">
        <f>'P&amp;L Acumulado'!G32</f>
        <v>-4856547.8257016633</v>
      </c>
      <c r="E90" s="667">
        <f>'P&amp;L Acumulado'!I32</f>
        <v>-11464953.781699996</v>
      </c>
      <c r="F90" s="667">
        <f>'P&amp;L Acumulado'!J32</f>
        <v>-11242878.81768401</v>
      </c>
      <c r="G90" s="667">
        <f>'P&amp;L Acumulado'!L32</f>
        <v>-16114044.829999998</v>
      </c>
      <c r="H90" s="667">
        <f>'P&amp;L Acumulado'!M32</f>
        <v>-16099426.643385673</v>
      </c>
    </row>
    <row r="91" spans="2:11" x14ac:dyDescent="0.25">
      <c r="B91" s="685" t="s">
        <v>125</v>
      </c>
      <c r="C91" s="667">
        <f>'P&amp;L Acumulado'!F35</f>
        <v>18354889.936042413</v>
      </c>
      <c r="D91" s="667">
        <f>'P&amp;L Acumulado'!G35</f>
        <v>19622318.599072836</v>
      </c>
      <c r="E91" s="667">
        <f>'P&amp;L Acumulado'!I35</f>
        <v>108098257.16395761</v>
      </c>
      <c r="F91" s="667">
        <f>'P&amp;L Acumulado'!J35</f>
        <v>88333711.737814143</v>
      </c>
      <c r="G91" s="667">
        <f>'P&amp;L Acumulado'!L35</f>
        <v>126453147.10000013</v>
      </c>
      <c r="H91" s="667">
        <f>'P&amp;L Acumulado'!M35</f>
        <v>107956030.336887</v>
      </c>
    </row>
    <row r="92" spans="2:11" x14ac:dyDescent="0.25">
      <c r="B92" s="685" t="s">
        <v>175</v>
      </c>
      <c r="C92" s="667">
        <f>'P&amp;L Acumulado'!F36+'P&amp;L Acumulado'!F39</f>
        <v>-8045620.1310310904</v>
      </c>
      <c r="D92" s="667">
        <f>'P&amp;L Acumulado'!G36+'P&amp;L Acumulado'!G39</f>
        <v>-8115738.0861098636</v>
      </c>
      <c r="E92" s="667">
        <f>'P&amp;L Acumulado'!I36+'P&amp;L Acumulado'!I39</f>
        <v>-32507532.440368965</v>
      </c>
      <c r="F92" s="667">
        <f>'P&amp;L Acumulado'!J36+'P&amp;L Acumulado'!J39</f>
        <v>-33505233.490362152</v>
      </c>
      <c r="G92" s="667">
        <f>'P&amp;L Acumulado'!L36+'P&amp;L Acumulado'!L39</f>
        <v>-40553152.571400061</v>
      </c>
      <c r="H92" s="667">
        <f>'P&amp;L Acumulado'!M36+'P&amp;L Acumulado'!M39</f>
        <v>-41620971.576472014</v>
      </c>
    </row>
    <row r="93" spans="2:11" x14ac:dyDescent="0.25">
      <c r="B93" s="685" t="s">
        <v>28</v>
      </c>
      <c r="C93" s="667">
        <f>'P&amp;L Acumulado'!F30</f>
        <v>-1928898.7307333406</v>
      </c>
      <c r="D93" s="667">
        <f>'P&amp;L Acumulado'!G30</f>
        <v>-1266472.1072764969</v>
      </c>
      <c r="E93" s="667">
        <f>'P&amp;L Acumulado'!I30</f>
        <v>-7030303.8492666595</v>
      </c>
      <c r="F93" s="667">
        <f>'P&amp;L Acumulado'!J30</f>
        <v>-4490220.3803439448</v>
      </c>
      <c r="G93" s="667">
        <f>'P&amp;L Acumulado'!L30</f>
        <v>-8959202.5800000001</v>
      </c>
      <c r="H93" s="667">
        <f>'P&amp;L Acumulado'!M30</f>
        <v>-5756692.4876204412</v>
      </c>
    </row>
    <row r="94" spans="2:11" x14ac:dyDescent="0.25">
      <c r="B94" s="685" t="s">
        <v>38</v>
      </c>
      <c r="C94" s="667">
        <f>'P&amp;L Acumulado'!F37</f>
        <v>-492764.11508983898</v>
      </c>
      <c r="D94" s="667">
        <f>'P&amp;L Acumulado'!G37</f>
        <v>-383142.85714285698</v>
      </c>
      <c r="E94" s="667">
        <f>'P&amp;L Acumulado'!I37</f>
        <v>-2526406.7535101608</v>
      </c>
      <c r="F94" s="667">
        <f>'P&amp;L Acumulado'!J37</f>
        <v>-1358415.5844155841</v>
      </c>
      <c r="G94" s="667">
        <f>'P&amp;L Acumulado'!L37</f>
        <v>-3019170.8685999997</v>
      </c>
      <c r="H94" s="667">
        <f>'P&amp;L Acumulado'!M37</f>
        <v>-1741558.4415584411</v>
      </c>
    </row>
    <row r="95" spans="2:11" x14ac:dyDescent="0.25">
      <c r="B95" s="685" t="s">
        <v>33</v>
      </c>
      <c r="C95" s="667">
        <f>'P&amp;L Acumulado'!F40</f>
        <v>-650580.56140000001</v>
      </c>
      <c r="D95" s="667">
        <f>'P&amp;L Acumulado'!G40</f>
        <v>-653439.9614447226</v>
      </c>
      <c r="E95" s="667">
        <f>'P&amp;L Acumulado'!I40</f>
        <v>-2308362.1985999998</v>
      </c>
      <c r="F95" s="667">
        <f>'P&amp;L Acumulado'!J40</f>
        <v>-2316741.6814858345</v>
      </c>
      <c r="G95" s="667">
        <f>'P&amp;L Acumulado'!L40</f>
        <v>-2958942.76</v>
      </c>
      <c r="H95" s="667">
        <f>'P&amp;L Acumulado'!M40</f>
        <v>-2970181.642930557</v>
      </c>
    </row>
    <row r="96" spans="2:11" x14ac:dyDescent="0.25">
      <c r="B96" s="685" t="s">
        <v>544</v>
      </c>
      <c r="C96" s="667">
        <f>'P&amp;L Acumulado'!F41</f>
        <v>9165925.1285214834</v>
      </c>
      <c r="D96" s="667">
        <f>'P&amp;L Acumulado'!G41</f>
        <v>10469997.694375394</v>
      </c>
      <c r="E96" s="667">
        <f>'P&amp;L Acumulado'!I41</f>
        <v>70755955.771478489</v>
      </c>
      <c r="F96" s="667">
        <f>'P&amp;L Acumulado'!J41</f>
        <v>51153320.981550574</v>
      </c>
      <c r="G96" s="667">
        <f>'P&amp;L Acumulado'!L41</f>
        <v>79921880.900000066</v>
      </c>
      <c r="H96" s="667">
        <f>'P&amp;L Acumulado'!M41</f>
        <v>61623318.675925985</v>
      </c>
    </row>
    <row r="97" spans="1:11" x14ac:dyDescent="0.25">
      <c r="B97" s="685" t="s">
        <v>42</v>
      </c>
      <c r="C97" s="667">
        <f>'P&amp;L Acumulado'!F42</f>
        <v>-2561005.0925990995</v>
      </c>
      <c r="D97" s="667">
        <f>'P&amp;L Acumulado'!G42</f>
        <v>-3524588.1149786073</v>
      </c>
      <c r="E97" s="667">
        <f>'P&amp;L Acumulado'!I42</f>
        <v>-19884638.097400904</v>
      </c>
      <c r="F97" s="667">
        <f>'P&amp;L Acumulado'!J42</f>
        <v>-12500906.739559695</v>
      </c>
      <c r="G97" s="667">
        <f>'P&amp;L Acumulado'!L42</f>
        <v>-22445643.190000005</v>
      </c>
      <c r="H97" s="667">
        <f>'P&amp;L Acumulado'!M42</f>
        <v>-16025494.854538303</v>
      </c>
    </row>
    <row r="98" spans="1:11" ht="15.75" thickBot="1" x14ac:dyDescent="0.3">
      <c r="B98" s="684" t="s">
        <v>132</v>
      </c>
      <c r="C98" s="668">
        <f>'P&amp;L Acumulado'!F43</f>
        <v>6604920.0359223839</v>
      </c>
      <c r="D98" s="668">
        <f>'P&amp;L Acumulado'!G43</f>
        <v>6945409.5793967862</v>
      </c>
      <c r="E98" s="668">
        <f>'P&amp;L Acumulado'!I43</f>
        <v>50871317.674077585</v>
      </c>
      <c r="F98" s="668">
        <f>'P&amp;L Acumulado'!J43</f>
        <v>38652414.241990879</v>
      </c>
      <c r="G98" s="668">
        <f>'P&amp;L Acumulado'!L43</f>
        <v>57476237.71000006</v>
      </c>
      <c r="H98" s="668">
        <f>'P&amp;L Acumulado'!M43</f>
        <v>45597823.821387678</v>
      </c>
    </row>
    <row r="100" spans="1:11" s="652" customFormat="1" x14ac:dyDescent="0.25">
      <c r="A100" s="644" t="s">
        <v>550</v>
      </c>
      <c r="B100" s="686"/>
    </row>
    <row r="101" spans="1:11" ht="15.75" thickBot="1" x14ac:dyDescent="0.3"/>
    <row r="102" spans="1:11" ht="15.75" thickBot="1" x14ac:dyDescent="0.3">
      <c r="C102" s="827" t="s">
        <v>554</v>
      </c>
      <c r="D102" s="828"/>
      <c r="E102" s="828"/>
      <c r="F102" s="828"/>
      <c r="G102" s="828"/>
      <c r="H102" s="829"/>
    </row>
    <row r="103" spans="1:11" ht="15.75" thickBot="1" x14ac:dyDescent="0.3">
      <c r="C103" s="827" t="s">
        <v>551</v>
      </c>
      <c r="D103" s="828"/>
      <c r="E103" s="829"/>
      <c r="F103" s="827" t="s">
        <v>552</v>
      </c>
      <c r="G103" s="828"/>
      <c r="H103" s="829"/>
      <c r="I103" s="830" t="s">
        <v>553</v>
      </c>
      <c r="J103" s="831"/>
      <c r="K103" s="832"/>
    </row>
    <row r="104" spans="1:11" ht="15.75" thickBot="1" x14ac:dyDescent="0.3">
      <c r="C104" s="610" t="s">
        <v>159</v>
      </c>
      <c r="D104" s="610" t="s">
        <v>162</v>
      </c>
      <c r="E104" s="610" t="s">
        <v>2</v>
      </c>
      <c r="F104" s="610" t="s">
        <v>159</v>
      </c>
      <c r="G104" s="610" t="s">
        <v>162</v>
      </c>
      <c r="H104" s="610" t="s">
        <v>2</v>
      </c>
      <c r="I104" s="621" t="s">
        <v>546</v>
      </c>
      <c r="J104" s="621" t="s">
        <v>547</v>
      </c>
      <c r="K104" s="632" t="s">
        <v>545</v>
      </c>
    </row>
    <row r="105" spans="1:11" x14ac:dyDescent="0.25">
      <c r="B105" s="687" t="s">
        <v>556</v>
      </c>
      <c r="C105" s="647">
        <f>'P&amp;L Acumulado'!F31</f>
        <v>23003980.984342411</v>
      </c>
      <c r="D105" s="647">
        <f>'P&amp;L Acumulado'!I31</f>
        <v>119563210.94565761</v>
      </c>
      <c r="E105" s="647">
        <f>'P&amp;L Acumulado'!L31</f>
        <v>142567191.93000013</v>
      </c>
      <c r="F105" s="666" t="e">
        <f>'Comparativo 2026 x 2025'!#REF!</f>
        <v>#REF!</v>
      </c>
      <c r="G105" s="666" t="e">
        <f>'Comparativo 2026 x 2025'!#REF!</f>
        <v>#REF!</v>
      </c>
      <c r="H105" s="666">
        <f>'Comparativo 2026 x 2025'!D27</f>
        <v>0</v>
      </c>
      <c r="I105" s="670" t="e">
        <f t="shared" ref="I105:K109" si="27">C105/F105-1</f>
        <v>#REF!</v>
      </c>
      <c r="J105" s="670" t="e">
        <f t="shared" si="27"/>
        <v>#REF!</v>
      </c>
      <c r="K105" s="639" t="e">
        <f t="shared" si="27"/>
        <v>#DIV/0!</v>
      </c>
    </row>
    <row r="106" spans="1:11" x14ac:dyDescent="0.25">
      <c r="B106" s="688" t="s">
        <v>555</v>
      </c>
      <c r="C106" s="667">
        <f>'P&amp;L Acumulado'!F35</f>
        <v>18354889.936042413</v>
      </c>
      <c r="D106" s="667">
        <f>'P&amp;L Acumulado'!I35</f>
        <v>108098257.16395761</v>
      </c>
      <c r="E106" s="667">
        <f>'P&amp;L Acumulado'!L35</f>
        <v>126453147.10000013</v>
      </c>
      <c r="F106" s="667" t="e">
        <f>'Comparativo 2026 x 2025'!#REF!</f>
        <v>#REF!</v>
      </c>
      <c r="G106" s="667" t="e">
        <f>'Comparativo 2026 x 2025'!#REF!</f>
        <v>#REF!</v>
      </c>
      <c r="H106" s="667">
        <f>'Comparativo 2026 x 2025'!D31</f>
        <v>0</v>
      </c>
      <c r="I106" s="672" t="e">
        <f t="shared" si="27"/>
        <v>#REF!</v>
      </c>
      <c r="J106" s="672" t="e">
        <f t="shared" si="27"/>
        <v>#REF!</v>
      </c>
      <c r="K106" s="640" t="e">
        <f t="shared" si="27"/>
        <v>#DIV/0!</v>
      </c>
    </row>
    <row r="107" spans="1:11" x14ac:dyDescent="0.25">
      <c r="B107" s="688" t="s">
        <v>557</v>
      </c>
      <c r="C107" s="667">
        <f>'P&amp;L Acumulado'!F38</f>
        <v>14311520.41537909</v>
      </c>
      <c r="D107" s="667">
        <f>'P&amp;L Acumulado'!I38</f>
        <v>88425570.313256666</v>
      </c>
      <c r="E107" s="667">
        <f>'P&amp;L Acumulado'!L38</f>
        <v>102737090.72863586</v>
      </c>
      <c r="F107" s="667" t="e">
        <f>'Comparativo 2026 x 2025'!#REF!</f>
        <v>#REF!</v>
      </c>
      <c r="G107" s="667" t="e">
        <f>'Comparativo 2026 x 2025'!#REF!</f>
        <v>#REF!</v>
      </c>
      <c r="H107" s="667">
        <f>'Comparativo 2026 x 2025'!D35</f>
        <v>0</v>
      </c>
      <c r="I107" s="672" t="e">
        <f t="shared" si="27"/>
        <v>#REF!</v>
      </c>
      <c r="J107" s="672" t="e">
        <f t="shared" si="27"/>
        <v>#REF!</v>
      </c>
      <c r="K107" s="640" t="e">
        <f t="shared" si="27"/>
        <v>#DIV/0!</v>
      </c>
    </row>
    <row r="108" spans="1:11" x14ac:dyDescent="0.25">
      <c r="B108" s="688" t="s">
        <v>558</v>
      </c>
      <c r="C108" s="667">
        <f>'P&amp;L Acumulado'!F41</f>
        <v>9165925.1285214834</v>
      </c>
      <c r="D108" s="667">
        <f>'P&amp;L Acumulado'!I41</f>
        <v>70755955.771478489</v>
      </c>
      <c r="E108" s="667">
        <f>'P&amp;L Acumulado'!L41</f>
        <v>79921880.900000066</v>
      </c>
      <c r="F108" s="667" t="e">
        <f>'Comparativo 2026 x 2025'!#REF!</f>
        <v>#REF!</v>
      </c>
      <c r="G108" s="667" t="e">
        <f>'Comparativo 2026 x 2025'!#REF!</f>
        <v>#REF!</v>
      </c>
      <c r="H108" s="667">
        <f>'Comparativo 2026 x 2025'!D37</f>
        <v>0</v>
      </c>
      <c r="I108" s="672" t="e">
        <f t="shared" si="27"/>
        <v>#REF!</v>
      </c>
      <c r="J108" s="672" t="e">
        <f t="shared" si="27"/>
        <v>#REF!</v>
      </c>
      <c r="K108" s="640" t="e">
        <f t="shared" si="27"/>
        <v>#DIV/0!</v>
      </c>
    </row>
    <row r="109" spans="1:11" x14ac:dyDescent="0.25">
      <c r="B109" s="688" t="s">
        <v>559</v>
      </c>
      <c r="C109" s="667">
        <f>'P&amp;L Acumulado'!F43</f>
        <v>6604920.0359223839</v>
      </c>
      <c r="D109" s="667">
        <f>'P&amp;L Acumulado'!I43</f>
        <v>50871317.674077585</v>
      </c>
      <c r="E109" s="667">
        <f>'P&amp;L Acumulado'!L43</f>
        <v>57476237.71000006</v>
      </c>
      <c r="F109" s="667" t="e">
        <f>'Comparativo 2026 x 2025'!#REF!</f>
        <v>#REF!</v>
      </c>
      <c r="G109" s="667" t="e">
        <f>'Comparativo 2026 x 2025'!#REF!</f>
        <v>#REF!</v>
      </c>
      <c r="H109" s="667">
        <f>'Comparativo 2026 x 2025'!D47</f>
        <v>0</v>
      </c>
      <c r="I109" s="672" t="e">
        <f t="shared" si="27"/>
        <v>#REF!</v>
      </c>
      <c r="J109" s="672" t="e">
        <f t="shared" si="27"/>
        <v>#REF!</v>
      </c>
      <c r="K109" s="640" t="e">
        <f t="shared" si="27"/>
        <v>#DIV/0!</v>
      </c>
    </row>
    <row r="110" spans="1:11" x14ac:dyDescent="0.25">
      <c r="B110" s="688" t="s">
        <v>560</v>
      </c>
      <c r="C110" s="667">
        <f>'P&amp;L Acumulado'!F50</f>
        <v>408792797.59000021</v>
      </c>
      <c r="D110" s="667">
        <f>'P&amp;L Acumulado'!I50</f>
        <v>1649996703.2949994</v>
      </c>
      <c r="E110" s="667">
        <f>'P&amp;L Acumulado'!L50</f>
        <v>2058789500.8849995</v>
      </c>
      <c r="F110" s="667" t="e">
        <f>'Comparativo 2026 x 2025'!#REF!</f>
        <v>#REF!</v>
      </c>
      <c r="G110" s="667" t="e">
        <f>'Comparativo 2026 x 2025'!#REF!</f>
        <v>#REF!</v>
      </c>
      <c r="H110" s="667">
        <f>'Comparativo 2026 x 2025'!D58</f>
        <v>0</v>
      </c>
      <c r="I110" s="672" t="e">
        <f t="shared" ref="I110:K111" si="28">IF(F110=0,"",C110/F110-1)</f>
        <v>#REF!</v>
      </c>
      <c r="J110" s="672" t="e">
        <f t="shared" si="28"/>
        <v>#REF!</v>
      </c>
      <c r="K110" s="640" t="str">
        <f t="shared" si="28"/>
        <v/>
      </c>
    </row>
    <row r="111" spans="1:11" ht="15.75" thickBot="1" x14ac:dyDescent="0.3">
      <c r="B111" s="689" t="s">
        <v>561</v>
      </c>
      <c r="C111" s="668">
        <f>'P&amp;L Acumulado'!F69</f>
        <v>0</v>
      </c>
      <c r="D111" s="668">
        <f>'P&amp;L Acumulado'!I69</f>
        <v>0</v>
      </c>
      <c r="E111" s="668">
        <f>'P&amp;L Acumulado'!L69</f>
        <v>226534074.29625002</v>
      </c>
      <c r="F111" s="668" t="e">
        <f>'Comparativo 2026 x 2025'!#REF!</f>
        <v>#REF!</v>
      </c>
      <c r="G111" s="668" t="e">
        <f>'Comparativo 2026 x 2025'!#REF!</f>
        <v>#REF!</v>
      </c>
      <c r="H111" s="668">
        <f>'Comparativo 2026 x 2025'!D65</f>
        <v>0</v>
      </c>
      <c r="I111" s="674" t="e">
        <f t="shared" si="28"/>
        <v>#REF!</v>
      </c>
      <c r="J111" s="674" t="e">
        <f t="shared" si="28"/>
        <v>#REF!</v>
      </c>
      <c r="K111" s="641" t="str">
        <f t="shared" si="28"/>
        <v/>
      </c>
    </row>
    <row r="112" spans="1:11" ht="15.75" thickBot="1" x14ac:dyDescent="0.3">
      <c r="C112" s="675"/>
      <c r="D112" s="675"/>
      <c r="E112" s="675"/>
      <c r="F112" s="675"/>
      <c r="G112" s="675"/>
      <c r="H112" s="675"/>
    </row>
    <row r="113" spans="2:8" ht="15.75" thickBot="1" x14ac:dyDescent="0.3">
      <c r="C113" s="633" t="s">
        <v>562</v>
      </c>
      <c r="D113" s="110"/>
      <c r="E113" s="110"/>
      <c r="F113" s="110"/>
      <c r="G113" s="110"/>
      <c r="H113" s="675"/>
    </row>
    <row r="114" spans="2:8" x14ac:dyDescent="0.25">
      <c r="B114" s="683" t="s">
        <v>563</v>
      </c>
      <c r="C114" s="650">
        <f>H15</f>
        <v>43003659.090000004</v>
      </c>
      <c r="D114" s="676"/>
      <c r="E114" s="676"/>
      <c r="F114" s="676"/>
      <c r="G114" s="676"/>
      <c r="H114" s="675"/>
    </row>
    <row r="115" spans="2:8" x14ac:dyDescent="0.25">
      <c r="B115" s="685" t="s">
        <v>564</v>
      </c>
      <c r="C115" s="598">
        <v>56360000</v>
      </c>
      <c r="D115" s="163"/>
      <c r="E115" s="163"/>
      <c r="F115" s="163"/>
      <c r="G115" s="163"/>
      <c r="H115" s="675"/>
    </row>
    <row r="116" spans="2:8" x14ac:dyDescent="0.25">
      <c r="B116" s="685" t="s">
        <v>538</v>
      </c>
      <c r="C116" s="651">
        <f>C115-C114</f>
        <v>13356340.909999996</v>
      </c>
      <c r="D116" s="676"/>
      <c r="E116" s="676"/>
      <c r="F116" s="676"/>
      <c r="G116" s="676"/>
    </row>
    <row r="117" spans="2:8" ht="15.75" thickBot="1" x14ac:dyDescent="0.3">
      <c r="B117" s="684" t="s">
        <v>539</v>
      </c>
      <c r="C117" s="643">
        <f t="shared" ref="C117" si="29">(C114/C115)</f>
        <v>0.76301737207239184</v>
      </c>
      <c r="D117" s="642"/>
      <c r="E117" s="642"/>
      <c r="F117" s="642"/>
      <c r="G117" s="642"/>
    </row>
  </sheetData>
  <mergeCells count="54">
    <mergeCell ref="AD33:AF33"/>
    <mergeCell ref="AG33:AI33"/>
    <mergeCell ref="AG49:AL49"/>
    <mergeCell ref="AG50:AH50"/>
    <mergeCell ref="AI50:AJ50"/>
    <mergeCell ref="AK50:AL50"/>
    <mergeCell ref="AA49:AF49"/>
    <mergeCell ref="AA50:AB50"/>
    <mergeCell ref="AC50:AD50"/>
    <mergeCell ref="AE50:AF50"/>
    <mergeCell ref="C13:G13"/>
    <mergeCell ref="B6:K6"/>
    <mergeCell ref="C32:H32"/>
    <mergeCell ref="C33:E33"/>
    <mergeCell ref="O33:Q33"/>
    <mergeCell ref="C17:G17"/>
    <mergeCell ref="F33:H33"/>
    <mergeCell ref="I33:K33"/>
    <mergeCell ref="R33:T33"/>
    <mergeCell ref="U33:W33"/>
    <mergeCell ref="O49:T49"/>
    <mergeCell ref="AA33:AC33"/>
    <mergeCell ref="X33:Z33"/>
    <mergeCell ref="L33:N33"/>
    <mergeCell ref="C22:G22"/>
    <mergeCell ref="C48:H48"/>
    <mergeCell ref="O50:P50"/>
    <mergeCell ref="Q50:R50"/>
    <mergeCell ref="S50:T50"/>
    <mergeCell ref="U49:Z49"/>
    <mergeCell ref="U50:V50"/>
    <mergeCell ref="W50:X50"/>
    <mergeCell ref="Y50:Z50"/>
    <mergeCell ref="C50:D50"/>
    <mergeCell ref="E50:F50"/>
    <mergeCell ref="C49:H49"/>
    <mergeCell ref="G50:H50"/>
    <mergeCell ref="I49:N49"/>
    <mergeCell ref="I50:J50"/>
    <mergeCell ref="K50:L50"/>
    <mergeCell ref="M50:N50"/>
    <mergeCell ref="F68:H68"/>
    <mergeCell ref="C68:E68"/>
    <mergeCell ref="I68:K68"/>
    <mergeCell ref="C67:H67"/>
    <mergeCell ref="C83:H83"/>
    <mergeCell ref="C102:H102"/>
    <mergeCell ref="C103:E103"/>
    <mergeCell ref="F103:H103"/>
    <mergeCell ref="I103:K103"/>
    <mergeCell ref="C84:H84"/>
    <mergeCell ref="C85:D85"/>
    <mergeCell ref="E85:F85"/>
    <mergeCell ref="G85:H85"/>
  </mergeCells>
  <phoneticPr fontId="59" type="noConversion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4881F-2031-4024-946A-DD18FDCDBDDE}">
  <sheetPr codeName="Planilha11">
    <tabColor theme="4" tint="0.59999389629810485"/>
  </sheetPr>
  <dimension ref="A1:AZ143"/>
  <sheetViews>
    <sheetView showGridLines="0" topLeftCell="A101" zoomScaleNormal="100" workbookViewId="0">
      <selection activeCell="AQ118" sqref="AQ118"/>
    </sheetView>
  </sheetViews>
  <sheetFormatPr defaultRowHeight="15" x14ac:dyDescent="0.25"/>
  <cols>
    <col min="1" max="1" width="38.28515625" customWidth="1"/>
    <col min="2" max="2" width="14.7109375" hidden="1" customWidth="1"/>
    <col min="3" max="3" width="15" hidden="1" customWidth="1"/>
    <col min="4" max="4" width="15.28515625" hidden="1" customWidth="1"/>
    <col min="5" max="7" width="14.85546875" hidden="1" customWidth="1"/>
    <col min="8" max="11" width="14.28515625" hidden="1" customWidth="1"/>
    <col min="12" max="16" width="15.140625" hidden="1" customWidth="1"/>
    <col min="17" max="24" width="16.28515625" hidden="1" customWidth="1"/>
    <col min="25" max="39" width="15.140625" hidden="1" customWidth="1"/>
    <col min="40" max="51" width="15.140625" customWidth="1"/>
  </cols>
  <sheetData>
    <row r="1" spans="1:51" ht="15.75" customHeight="1" x14ac:dyDescent="0.25">
      <c r="L1" s="98"/>
    </row>
    <row r="2" spans="1:51" s="286" customFormat="1" x14ac:dyDescent="0.25">
      <c r="A2" s="284" t="s">
        <v>159</v>
      </c>
      <c r="B2" s="285">
        <f>EOMONTH(C2,-1)</f>
        <v>44895</v>
      </c>
      <c r="C2" s="285">
        <f>EOMONTH(D2,-1)</f>
        <v>44926</v>
      </c>
      <c r="D2" s="285">
        <v>44957</v>
      </c>
      <c r="E2" s="285">
        <f>EOMONTH(D2,1)</f>
        <v>44985</v>
      </c>
      <c r="F2" s="285">
        <f t="shared" ref="F2:R2" si="0">EOMONTH(E2,1)</f>
        <v>45016</v>
      </c>
      <c r="G2" s="285">
        <f t="shared" si="0"/>
        <v>45046</v>
      </c>
      <c r="H2" s="285">
        <f t="shared" si="0"/>
        <v>45077</v>
      </c>
      <c r="I2" s="285">
        <f t="shared" si="0"/>
        <v>45107</v>
      </c>
      <c r="J2" s="285">
        <f t="shared" si="0"/>
        <v>45138</v>
      </c>
      <c r="K2" s="285">
        <f t="shared" si="0"/>
        <v>45169</v>
      </c>
      <c r="L2" s="285">
        <f t="shared" si="0"/>
        <v>45199</v>
      </c>
      <c r="M2" s="285">
        <f t="shared" si="0"/>
        <v>45230</v>
      </c>
      <c r="N2" s="285">
        <f t="shared" si="0"/>
        <v>45260</v>
      </c>
      <c r="O2" s="285">
        <f t="shared" si="0"/>
        <v>45291</v>
      </c>
      <c r="P2" s="285">
        <f t="shared" si="0"/>
        <v>45322</v>
      </c>
      <c r="Q2" s="285">
        <f t="shared" si="0"/>
        <v>45351</v>
      </c>
      <c r="R2" s="285">
        <f t="shared" si="0"/>
        <v>45382</v>
      </c>
      <c r="S2" s="285">
        <f t="shared" ref="S2:AE2" si="1">EOMONTH(R2,1)</f>
        <v>45412</v>
      </c>
      <c r="T2" s="285">
        <f t="shared" si="1"/>
        <v>45443</v>
      </c>
      <c r="U2" s="285">
        <f t="shared" si="1"/>
        <v>45473</v>
      </c>
      <c r="V2" s="285">
        <f t="shared" si="1"/>
        <v>45504</v>
      </c>
      <c r="W2" s="285">
        <f t="shared" si="1"/>
        <v>45535</v>
      </c>
      <c r="X2" s="285">
        <f t="shared" si="1"/>
        <v>45565</v>
      </c>
      <c r="Y2" s="285">
        <f t="shared" si="1"/>
        <v>45596</v>
      </c>
      <c r="Z2" s="285">
        <f t="shared" si="1"/>
        <v>45626</v>
      </c>
      <c r="AA2" s="285">
        <f t="shared" si="1"/>
        <v>45657</v>
      </c>
      <c r="AB2" s="285">
        <f t="shared" si="1"/>
        <v>45688</v>
      </c>
      <c r="AC2" s="285">
        <f t="shared" si="1"/>
        <v>45716</v>
      </c>
      <c r="AD2" s="285">
        <f t="shared" si="1"/>
        <v>45747</v>
      </c>
      <c r="AE2" s="285">
        <f t="shared" si="1"/>
        <v>45777</v>
      </c>
      <c r="AF2" s="285">
        <f t="shared" ref="AF2" si="2">EOMONTH(AE2,1)</f>
        <v>45808</v>
      </c>
      <c r="AG2" s="285">
        <f t="shared" ref="AG2:AH2" si="3">EOMONTH(AF2,1)</f>
        <v>45838</v>
      </c>
      <c r="AH2" s="285">
        <f t="shared" si="3"/>
        <v>45869</v>
      </c>
      <c r="AI2" s="285">
        <v>45900</v>
      </c>
      <c r="AJ2" s="285">
        <v>45930</v>
      </c>
      <c r="AK2" s="285">
        <f>EOMONTH(AJ2,1)</f>
        <v>45961</v>
      </c>
      <c r="AL2" s="285">
        <f t="shared" ref="AL2" si="4">EOMONTH(AK2,1)</f>
        <v>45991</v>
      </c>
      <c r="AM2" s="285">
        <f t="shared" ref="AM2" si="5">EOMONTH(AL2,1)</f>
        <v>46022</v>
      </c>
      <c r="AN2" s="285">
        <f t="shared" ref="AN2:AO2" si="6">EOMONTH(AM2,1)</f>
        <v>46053</v>
      </c>
      <c r="AO2" s="285">
        <f t="shared" si="6"/>
        <v>46081</v>
      </c>
      <c r="AP2" s="285">
        <f t="shared" ref="AP2" si="7">EOMONTH(AO2,1)</f>
        <v>46112</v>
      </c>
      <c r="AQ2" s="285">
        <f t="shared" ref="AQ2" si="8">EOMONTH(AP2,1)</f>
        <v>46142</v>
      </c>
      <c r="AR2" s="285">
        <f t="shared" ref="AR2" si="9">EOMONTH(AQ2,1)</f>
        <v>46173</v>
      </c>
      <c r="AS2" s="285">
        <f t="shared" ref="AS2" si="10">EOMONTH(AR2,1)</f>
        <v>46203</v>
      </c>
      <c r="AT2" s="285">
        <f t="shared" ref="AT2" si="11">EOMONTH(AS2,1)</f>
        <v>46234</v>
      </c>
      <c r="AU2" s="285">
        <f t="shared" ref="AU2" si="12">EOMONTH(AT2,1)</f>
        <v>46265</v>
      </c>
      <c r="AV2" s="285">
        <f t="shared" ref="AV2" si="13">EOMONTH(AU2,1)</f>
        <v>46295</v>
      </c>
      <c r="AW2" s="285">
        <f t="shared" ref="AW2" si="14">EOMONTH(AV2,1)</f>
        <v>46326</v>
      </c>
      <c r="AX2" s="285">
        <f t="shared" ref="AX2" si="15">EOMONTH(AW2,1)</f>
        <v>46356</v>
      </c>
      <c r="AY2" s="285">
        <f t="shared" ref="AY2" si="16">EOMONTH(AX2,1)</f>
        <v>46387</v>
      </c>
    </row>
    <row r="3" spans="1:51" hidden="1" x14ac:dyDescent="0.25">
      <c r="A3" s="29" t="s">
        <v>105</v>
      </c>
      <c r="B3" s="29"/>
      <c r="C3" s="39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85"/>
    </row>
    <row r="4" spans="1:51" hidden="1" x14ac:dyDescent="0.25">
      <c r="A4" s="31" t="s">
        <v>106</v>
      </c>
      <c r="B4" s="31"/>
      <c r="C4" s="40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85"/>
    </row>
    <row r="5" spans="1:51" hidden="1" x14ac:dyDescent="0.25">
      <c r="A5" s="84" t="s">
        <v>107</v>
      </c>
      <c r="B5" s="31"/>
      <c r="C5" s="40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85"/>
    </row>
    <row r="6" spans="1:51" hidden="1" x14ac:dyDescent="0.25">
      <c r="A6" s="84" t="s">
        <v>108</v>
      </c>
      <c r="B6" s="31"/>
      <c r="C6" s="40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85"/>
    </row>
    <row r="7" spans="1:51" hidden="1" x14ac:dyDescent="0.25">
      <c r="A7" s="84" t="s">
        <v>109</v>
      </c>
      <c r="B7" s="31"/>
      <c r="C7" s="40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85"/>
    </row>
    <row r="8" spans="1:51" hidden="1" x14ac:dyDescent="0.25">
      <c r="A8" s="84" t="s">
        <v>110</v>
      </c>
      <c r="B8" s="31"/>
      <c r="C8" s="40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85"/>
    </row>
    <row r="9" spans="1:51" hidden="1" x14ac:dyDescent="0.25">
      <c r="A9" s="31" t="s">
        <v>111</v>
      </c>
      <c r="B9" s="31"/>
      <c r="C9" s="40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85"/>
    </row>
    <row r="10" spans="1:51" hidden="1" x14ac:dyDescent="0.25">
      <c r="A10" s="31" t="s">
        <v>112</v>
      </c>
      <c r="B10" s="31"/>
      <c r="C10" s="4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85"/>
    </row>
    <row r="11" spans="1:51" hidden="1" x14ac:dyDescent="0.25">
      <c r="A11" s="31" t="s">
        <v>113</v>
      </c>
      <c r="B11" s="31"/>
      <c r="C11" s="4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85"/>
    </row>
    <row r="12" spans="1:51" hidden="1" x14ac:dyDescent="0.25">
      <c r="A12" s="31" t="s">
        <v>155</v>
      </c>
      <c r="B12" s="31"/>
      <c r="C12" s="40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85"/>
    </row>
    <row r="13" spans="1:51" hidden="1" x14ac:dyDescent="0.25">
      <c r="A13" s="84" t="s">
        <v>114</v>
      </c>
      <c r="B13" s="31"/>
      <c r="C13" s="40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85"/>
    </row>
    <row r="14" spans="1:51" hidden="1" x14ac:dyDescent="0.25">
      <c r="A14" s="84" t="s">
        <v>115</v>
      </c>
      <c r="B14" s="31"/>
      <c r="C14" s="40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85"/>
    </row>
    <row r="15" spans="1:51" hidden="1" x14ac:dyDescent="0.25">
      <c r="A15" s="84" t="s">
        <v>116</v>
      </c>
      <c r="B15" s="31"/>
      <c r="C15" s="40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85"/>
    </row>
    <row r="16" spans="1:51" hidden="1" x14ac:dyDescent="0.25">
      <c r="A16" s="31" t="s">
        <v>10</v>
      </c>
      <c r="B16" s="31"/>
      <c r="C16" s="40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85"/>
    </row>
    <row r="17" spans="1:40" hidden="1" x14ac:dyDescent="0.25">
      <c r="A17" s="34" t="s">
        <v>117</v>
      </c>
      <c r="B17" s="34"/>
      <c r="C17" s="41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85"/>
    </row>
    <row r="18" spans="1:40" hidden="1" x14ac:dyDescent="0.25">
      <c r="A18" s="29" t="s">
        <v>118</v>
      </c>
      <c r="B18" s="29"/>
      <c r="C18" s="39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85"/>
    </row>
    <row r="19" spans="1:40" hidden="1" x14ac:dyDescent="0.25">
      <c r="A19" s="31" t="s">
        <v>149</v>
      </c>
      <c r="B19" s="31"/>
      <c r="C19" s="40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85"/>
    </row>
    <row r="20" spans="1:40" hidden="1" x14ac:dyDescent="0.25">
      <c r="A20" s="84" t="s">
        <v>120</v>
      </c>
      <c r="B20" s="31"/>
      <c r="C20" s="40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85"/>
    </row>
    <row r="21" spans="1:40" hidden="1" x14ac:dyDescent="0.25">
      <c r="A21" s="84" t="s">
        <v>121</v>
      </c>
      <c r="B21" s="31"/>
      <c r="C21" s="40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85"/>
    </row>
    <row r="22" spans="1:40" hidden="1" x14ac:dyDescent="0.25">
      <c r="A22" s="84" t="s">
        <v>156</v>
      </c>
      <c r="B22" s="31"/>
      <c r="C22" s="40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85"/>
    </row>
    <row r="23" spans="1:40" hidden="1" x14ac:dyDescent="0.25">
      <c r="A23" s="84" t="s">
        <v>17</v>
      </c>
      <c r="B23" s="31"/>
      <c r="C23" s="40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85"/>
    </row>
    <row r="24" spans="1:40" hidden="1" x14ac:dyDescent="0.25">
      <c r="A24" s="31" t="s">
        <v>28</v>
      </c>
      <c r="B24" s="31"/>
      <c r="C24" s="40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85"/>
    </row>
    <row r="25" spans="1:40" hidden="1" x14ac:dyDescent="0.25">
      <c r="A25" s="35" t="s">
        <v>123</v>
      </c>
      <c r="B25" s="35"/>
      <c r="C25" s="42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85"/>
    </row>
    <row r="26" spans="1:40" hidden="1" x14ac:dyDescent="0.25">
      <c r="A26" s="31" t="s">
        <v>24</v>
      </c>
      <c r="B26" s="31"/>
      <c r="C26" s="40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85"/>
    </row>
    <row r="27" spans="1:40" hidden="1" x14ac:dyDescent="0.25">
      <c r="A27" s="84" t="s">
        <v>24</v>
      </c>
      <c r="B27" s="31"/>
      <c r="C27" s="40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85"/>
    </row>
    <row r="28" spans="1:40" hidden="1" x14ac:dyDescent="0.25">
      <c r="A28" s="84" t="s">
        <v>124</v>
      </c>
      <c r="B28" s="31"/>
      <c r="C28" s="40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85"/>
    </row>
    <row r="29" spans="1:40" hidden="1" x14ac:dyDescent="0.25">
      <c r="A29" s="36" t="s">
        <v>125</v>
      </c>
      <c r="B29" s="36"/>
      <c r="C29" s="4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85"/>
    </row>
    <row r="30" spans="1:40" hidden="1" x14ac:dyDescent="0.25">
      <c r="A30" s="34" t="s">
        <v>126</v>
      </c>
      <c r="B30" s="34"/>
      <c r="C30" s="41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85"/>
    </row>
    <row r="31" spans="1:40" hidden="1" x14ac:dyDescent="0.25">
      <c r="A31" s="31" t="s">
        <v>157</v>
      </c>
      <c r="B31" s="31"/>
      <c r="C31" s="40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85"/>
    </row>
    <row r="32" spans="1:40" hidden="1" x14ac:dyDescent="0.25">
      <c r="A32" s="29" t="s">
        <v>127</v>
      </c>
      <c r="B32" s="29"/>
      <c r="C32" s="39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85"/>
    </row>
    <row r="33" spans="1:43" hidden="1" x14ac:dyDescent="0.25">
      <c r="A33" s="31" t="s">
        <v>128</v>
      </c>
      <c r="B33" s="31"/>
      <c r="C33" s="40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85"/>
    </row>
    <row r="34" spans="1:43" hidden="1" x14ac:dyDescent="0.25">
      <c r="A34" s="36" t="s">
        <v>129</v>
      </c>
      <c r="B34" s="36"/>
      <c r="C34" s="43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85"/>
    </row>
    <row r="35" spans="1:43" hidden="1" x14ac:dyDescent="0.25">
      <c r="A35" s="31" t="s">
        <v>42</v>
      </c>
      <c r="B35" s="31"/>
      <c r="C35" s="40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85"/>
    </row>
    <row r="36" spans="1:43" hidden="1" x14ac:dyDescent="0.25">
      <c r="A36" s="37" t="s">
        <v>130</v>
      </c>
      <c r="B36" s="37"/>
      <c r="C36" s="44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85"/>
    </row>
    <row r="37" spans="1:43" hidden="1" x14ac:dyDescent="0.25">
      <c r="A37" s="31" t="s">
        <v>158</v>
      </c>
      <c r="B37" s="31"/>
      <c r="C37" s="40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85"/>
    </row>
    <row r="38" spans="1:43" hidden="1" x14ac:dyDescent="0.25">
      <c r="A38" s="37" t="s">
        <v>132</v>
      </c>
      <c r="B38" s="37"/>
      <c r="C38" s="44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85"/>
    </row>
    <row r="39" spans="1:43" s="3" customFormat="1" x14ac:dyDescent="0.25">
      <c r="A39" s="272" t="s">
        <v>105</v>
      </c>
      <c r="B39" s="272"/>
      <c r="C39" s="287"/>
      <c r="D39" s="280"/>
      <c r="E39" s="280"/>
      <c r="F39" s="280"/>
      <c r="G39" s="280"/>
      <c r="H39" s="280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Y39" s="280"/>
      <c r="Z39" s="280"/>
      <c r="AA39" s="280"/>
      <c r="AB39" s="280"/>
      <c r="AC39" s="280"/>
      <c r="AD39" s="280"/>
      <c r="AE39" s="280"/>
      <c r="AF39" s="280"/>
      <c r="AG39" s="280"/>
      <c r="AH39" s="280"/>
      <c r="AI39" s="280"/>
      <c r="AJ39" s="280"/>
      <c r="AK39" s="288"/>
      <c r="AL39" s="289">
        <v>7704640</v>
      </c>
      <c r="AM39" s="280"/>
      <c r="AN39" s="290"/>
    </row>
    <row r="40" spans="1:43" x14ac:dyDescent="0.25">
      <c r="A40" s="34" t="s">
        <v>106</v>
      </c>
      <c r="B40" s="34"/>
      <c r="C40" s="178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79"/>
      <c r="AE40" s="15"/>
      <c r="AF40" s="15"/>
      <c r="AG40" s="15"/>
      <c r="AH40" s="15"/>
      <c r="AI40" s="15"/>
      <c r="AJ40" s="15"/>
      <c r="AK40" s="33"/>
      <c r="AL40" s="212">
        <v>7667128</v>
      </c>
      <c r="AM40" s="15"/>
      <c r="AN40" s="85"/>
    </row>
    <row r="41" spans="1:43" x14ac:dyDescent="0.25">
      <c r="A41" s="180" t="s">
        <v>107</v>
      </c>
      <c r="B41" s="34"/>
      <c r="C41" s="178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81"/>
      <c r="AE41" s="15"/>
      <c r="AF41" s="15"/>
      <c r="AG41" s="15"/>
      <c r="AH41" s="15"/>
      <c r="AI41" s="15"/>
      <c r="AJ41" s="15"/>
      <c r="AK41" s="211">
        <v>5780803.1200000001</v>
      </c>
      <c r="AL41" s="212">
        <v>5984628.8799999999</v>
      </c>
      <c r="AM41" s="15">
        <v>6787327.1599999983</v>
      </c>
      <c r="AN41" s="85">
        <v>6026159.8999999994</v>
      </c>
      <c r="AO41" s="45">
        <v>5423105.9100000001</v>
      </c>
      <c r="AP41" s="45">
        <v>6041460.75</v>
      </c>
      <c r="AQ41" s="45">
        <v>5722335.46</v>
      </c>
    </row>
    <row r="42" spans="1:43" x14ac:dyDescent="0.25">
      <c r="A42" s="180" t="s">
        <v>270</v>
      </c>
      <c r="B42" s="34"/>
      <c r="C42" s="178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81"/>
      <c r="AE42" s="15"/>
      <c r="AF42" s="15"/>
      <c r="AG42" s="15"/>
      <c r="AH42" s="15"/>
      <c r="AI42" s="15"/>
      <c r="AJ42" s="15"/>
      <c r="AK42" s="211"/>
      <c r="AL42" s="212"/>
      <c r="AM42" s="15"/>
      <c r="AN42" s="85">
        <v>-40115.11</v>
      </c>
      <c r="AO42" s="45"/>
      <c r="AP42" s="45"/>
    </row>
    <row r="43" spans="1:43" x14ac:dyDescent="0.25">
      <c r="A43" s="180" t="s">
        <v>108</v>
      </c>
      <c r="B43" s="34"/>
      <c r="C43" s="178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81"/>
      <c r="AE43" s="15"/>
      <c r="AF43" s="15"/>
      <c r="AG43" s="15"/>
      <c r="AH43" s="15"/>
      <c r="AI43" s="15"/>
      <c r="AJ43" s="15"/>
      <c r="AK43" s="33"/>
      <c r="AL43" s="33">
        <v>0</v>
      </c>
      <c r="AM43" s="15"/>
      <c r="AN43" s="85"/>
      <c r="AO43" s="93"/>
      <c r="AP43" s="93"/>
    </row>
    <row r="44" spans="1:43" x14ac:dyDescent="0.25">
      <c r="A44" s="180" t="s">
        <v>109</v>
      </c>
      <c r="B44" s="34"/>
      <c r="C44" s="178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81"/>
      <c r="AE44" s="15"/>
      <c r="AF44" s="15"/>
      <c r="AG44" s="15"/>
      <c r="AH44" s="15"/>
      <c r="AI44" s="15"/>
      <c r="AJ44" s="15"/>
      <c r="AK44" s="33"/>
      <c r="AL44" s="33">
        <v>0</v>
      </c>
      <c r="AM44" s="15"/>
      <c r="AN44" s="85"/>
      <c r="AO44" s="79"/>
      <c r="AP44" s="79"/>
    </row>
    <row r="45" spans="1:43" x14ac:dyDescent="0.25">
      <c r="A45" s="180" t="s">
        <v>110</v>
      </c>
      <c r="B45" s="34"/>
      <c r="C45" s="178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79"/>
      <c r="AE45" s="15"/>
      <c r="AF45" s="15"/>
      <c r="AG45" s="15"/>
      <c r="AH45" s="15"/>
      <c r="AI45" s="15"/>
      <c r="AJ45" s="15"/>
      <c r="AK45" s="125">
        <v>1785340.0299999998</v>
      </c>
      <c r="AL45" s="216">
        <v>1689706.2299999997</v>
      </c>
      <c r="AM45" s="15">
        <v>1830512.3974799998</v>
      </c>
      <c r="AN45" s="85">
        <v>1806981.4213</v>
      </c>
      <c r="AO45" s="85">
        <v>1667454.7840800001</v>
      </c>
      <c r="AP45" s="85">
        <v>1827012.67</v>
      </c>
      <c r="AQ45" s="45">
        <v>1782935.7599999998</v>
      </c>
    </row>
    <row r="46" spans="1:43" x14ac:dyDescent="0.25">
      <c r="A46" s="31" t="s">
        <v>111</v>
      </c>
      <c r="B46" s="31"/>
      <c r="C46" s="40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47"/>
      <c r="AE46" s="15"/>
      <c r="AF46" s="15"/>
      <c r="AG46" s="15"/>
      <c r="AH46" s="15"/>
      <c r="AI46" s="15"/>
      <c r="AJ46" s="15"/>
      <c r="AK46" s="33"/>
      <c r="AL46" s="33">
        <v>0</v>
      </c>
      <c r="AM46" s="15"/>
      <c r="AN46" s="85"/>
      <c r="AO46" s="93"/>
      <c r="AP46" s="93"/>
    </row>
    <row r="47" spans="1:43" x14ac:dyDescent="0.25">
      <c r="A47" s="31" t="s">
        <v>112</v>
      </c>
      <c r="B47" s="31"/>
      <c r="C47" s="40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47"/>
      <c r="AE47" s="15"/>
      <c r="AF47" s="15"/>
      <c r="AG47" s="15"/>
      <c r="AH47" s="15"/>
      <c r="AI47" s="15"/>
      <c r="AJ47" s="15"/>
      <c r="AK47" s="33"/>
      <c r="AL47" s="33">
        <v>11986.79652</v>
      </c>
      <c r="AM47" s="15">
        <v>12480.27492</v>
      </c>
      <c r="AN47" s="45">
        <v>9001.6569</v>
      </c>
      <c r="AO47" s="45">
        <v>8163.3698400000003</v>
      </c>
      <c r="AP47" s="45">
        <v>8879.4971400000013</v>
      </c>
      <c r="AQ47" s="45">
        <v>8498.4553191489358</v>
      </c>
    </row>
    <row r="48" spans="1:43" x14ac:dyDescent="0.25">
      <c r="A48" s="31" t="s">
        <v>113</v>
      </c>
      <c r="B48" s="31"/>
      <c r="C48" s="40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33"/>
      <c r="AL48" s="33">
        <v>0</v>
      </c>
      <c r="AM48" s="15"/>
      <c r="AN48" s="85"/>
    </row>
    <row r="49" spans="1:44" x14ac:dyDescent="0.25">
      <c r="A49" s="31" t="s">
        <v>155</v>
      </c>
      <c r="B49" s="31"/>
      <c r="C49" s="40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33"/>
      <c r="AL49" s="33">
        <v>0</v>
      </c>
      <c r="AM49" s="15"/>
      <c r="AN49" s="85"/>
    </row>
    <row r="50" spans="1:44" x14ac:dyDescent="0.25">
      <c r="A50" s="84" t="s">
        <v>114</v>
      </c>
      <c r="B50" s="31"/>
      <c r="C50" s="40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48"/>
      <c r="AE50" s="15"/>
      <c r="AF50" s="15"/>
      <c r="AG50" s="15"/>
      <c r="AH50" s="15"/>
      <c r="AI50" s="15"/>
      <c r="AJ50" s="15"/>
      <c r="AK50" s="33"/>
      <c r="AL50" s="33" t="s">
        <v>160</v>
      </c>
      <c r="AM50" s="15"/>
      <c r="AN50" s="85"/>
    </row>
    <row r="51" spans="1:44" x14ac:dyDescent="0.25">
      <c r="A51" s="84" t="s">
        <v>115</v>
      </c>
      <c r="B51" s="31"/>
      <c r="C51" s="40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48"/>
      <c r="AE51" s="15"/>
      <c r="AF51" s="15"/>
      <c r="AG51" s="15"/>
      <c r="AH51" s="15"/>
      <c r="AI51" s="15"/>
      <c r="AJ51" s="15"/>
      <c r="AK51" s="33"/>
      <c r="AL51" s="33" t="s">
        <v>160</v>
      </c>
      <c r="AM51" s="15"/>
      <c r="AN51" s="85"/>
    </row>
    <row r="52" spans="1:44" x14ac:dyDescent="0.25">
      <c r="A52" s="84" t="s">
        <v>116</v>
      </c>
      <c r="B52" s="31"/>
      <c r="C52" s="40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48"/>
      <c r="AE52" s="15"/>
      <c r="AF52" s="15"/>
      <c r="AG52" s="15"/>
      <c r="AH52" s="15"/>
      <c r="AI52" s="15"/>
      <c r="AJ52" s="15"/>
      <c r="AK52" s="33"/>
      <c r="AL52" s="33" t="s">
        <v>160</v>
      </c>
      <c r="AM52" s="15"/>
      <c r="AN52" s="85"/>
    </row>
    <row r="53" spans="1:44" x14ac:dyDescent="0.25">
      <c r="A53" s="31" t="s">
        <v>10</v>
      </c>
      <c r="B53" s="31"/>
      <c r="C53" s="40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33"/>
      <c r="AL53" s="33">
        <v>0</v>
      </c>
      <c r="AM53" s="15"/>
      <c r="AN53" s="85"/>
    </row>
    <row r="54" spans="1:44" x14ac:dyDescent="0.25">
      <c r="A54" s="34" t="s">
        <v>117</v>
      </c>
      <c r="B54" s="34"/>
      <c r="C54" s="41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33"/>
      <c r="AL54" s="33">
        <v>0</v>
      </c>
      <c r="AM54" s="15"/>
      <c r="AN54" s="85"/>
    </row>
    <row r="55" spans="1:44" x14ac:dyDescent="0.25">
      <c r="A55" s="34" t="s">
        <v>264</v>
      </c>
      <c r="B55" s="34"/>
      <c r="C55" s="41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>
        <v>0</v>
      </c>
      <c r="AL55" s="15">
        <v>0</v>
      </c>
      <c r="AM55" s="15">
        <v>0</v>
      </c>
      <c r="AN55" s="85"/>
    </row>
    <row r="56" spans="1:44" s="3" customFormat="1" ht="15.75" customHeight="1" x14ac:dyDescent="0.25">
      <c r="A56" s="272" t="s">
        <v>118</v>
      </c>
      <c r="B56" s="272"/>
      <c r="C56" s="287"/>
      <c r="D56" s="291"/>
      <c r="E56" s="291"/>
      <c r="F56" s="291"/>
      <c r="G56" s="291"/>
      <c r="H56" s="291"/>
      <c r="I56" s="291"/>
      <c r="J56" s="291"/>
      <c r="K56" s="291"/>
      <c r="L56" s="291"/>
      <c r="M56" s="291"/>
      <c r="N56" s="291"/>
      <c r="O56" s="291"/>
      <c r="P56" s="291"/>
      <c r="Q56" s="291"/>
      <c r="R56" s="291"/>
      <c r="S56" s="291"/>
      <c r="T56" s="291"/>
      <c r="U56" s="291"/>
      <c r="V56" s="291"/>
      <c r="W56" s="291"/>
      <c r="X56" s="291"/>
      <c r="Y56" s="291"/>
      <c r="Z56" s="291"/>
      <c r="AA56" s="291"/>
      <c r="AB56" s="291"/>
      <c r="AC56" s="291"/>
      <c r="AD56" s="291"/>
      <c r="AE56" s="291"/>
      <c r="AF56" s="291"/>
      <c r="AG56" s="291"/>
      <c r="AH56" s="291"/>
      <c r="AI56" s="291"/>
      <c r="AJ56" s="291"/>
      <c r="AK56" s="292"/>
      <c r="AL56" s="293">
        <v>-2876490</v>
      </c>
      <c r="AM56" s="291"/>
      <c r="AN56" s="290"/>
    </row>
    <row r="57" spans="1:44" x14ac:dyDescent="0.25">
      <c r="A57" s="31" t="s">
        <v>149</v>
      </c>
      <c r="B57" s="31"/>
      <c r="C57" s="40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5"/>
      <c r="AE57" s="17"/>
      <c r="AF57" s="17"/>
      <c r="AG57" s="17"/>
      <c r="AH57" s="17"/>
      <c r="AI57" s="17"/>
      <c r="AJ57" s="17"/>
      <c r="AK57" s="210"/>
      <c r="AL57" s="213">
        <v>-2876490</v>
      </c>
      <c r="AM57" s="17"/>
      <c r="AN57" s="85"/>
    </row>
    <row r="58" spans="1:44" x14ac:dyDescent="0.25">
      <c r="A58" s="84" t="s">
        <v>120</v>
      </c>
      <c r="B58" s="31"/>
      <c r="C58" s="40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5"/>
      <c r="AE58" s="17"/>
      <c r="AF58" s="17"/>
      <c r="AG58" s="17"/>
      <c r="AH58" s="17"/>
      <c r="AI58" s="17"/>
      <c r="AJ58" s="17"/>
      <c r="AK58" s="210">
        <v>0</v>
      </c>
      <c r="AL58" s="210">
        <v>0</v>
      </c>
      <c r="AM58" s="17"/>
      <c r="AN58" s="85"/>
    </row>
    <row r="59" spans="1:44" x14ac:dyDescent="0.25">
      <c r="A59" s="180" t="s">
        <v>121</v>
      </c>
      <c r="B59" s="34"/>
      <c r="C59" s="178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5"/>
      <c r="AE59" s="17"/>
      <c r="AF59" s="17"/>
      <c r="AG59" s="17"/>
      <c r="AH59" s="17"/>
      <c r="AI59" s="17"/>
      <c r="AJ59" s="17"/>
      <c r="AK59" s="263">
        <f>-5871866.4330656-400000</f>
        <v>-6271866.4330655998</v>
      </c>
      <c r="AL59" s="263">
        <v>-4850067.463731694</v>
      </c>
      <c r="AM59" s="17">
        <f>-5329177.64590947-200000</f>
        <v>-5529177.6459094696</v>
      </c>
      <c r="AN59" s="309">
        <v>-4984061.2384543698</v>
      </c>
      <c r="AO59" s="85">
        <v>-4152791.1750000003</v>
      </c>
      <c r="AP59" s="85">
        <v>-5760280.4879999999</v>
      </c>
      <c r="AQ59" s="85">
        <v>-5204115.9459999995</v>
      </c>
    </row>
    <row r="60" spans="1:44" x14ac:dyDescent="0.25">
      <c r="A60" s="180" t="s">
        <v>156</v>
      </c>
      <c r="B60" s="34"/>
      <c r="C60" s="178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5"/>
      <c r="AE60" s="17"/>
      <c r="AF60" s="17"/>
      <c r="AG60" s="17"/>
      <c r="AH60" s="17"/>
      <c r="AI60" s="17"/>
      <c r="AJ60" s="17"/>
      <c r="AK60" s="263">
        <f>AK124*0.22</f>
        <v>525337.88780000049</v>
      </c>
      <c r="AL60" s="263">
        <f>AL124*0.22</f>
        <v>361726.37160000001</v>
      </c>
      <c r="AM60" s="263">
        <f>AM124*0.22</f>
        <v>569799.21460000018</v>
      </c>
      <c r="AN60" s="310">
        <v>533676.17599999998</v>
      </c>
      <c r="AO60" s="85">
        <v>421756.82000000007</v>
      </c>
      <c r="AP60" s="85">
        <v>683833.17600092292</v>
      </c>
      <c r="AQ60" s="85">
        <v>632916.76765212091</v>
      </c>
    </row>
    <row r="61" spans="1:44" x14ac:dyDescent="0.25">
      <c r="A61" s="180" t="s">
        <v>17</v>
      </c>
      <c r="B61" s="34"/>
      <c r="C61" s="178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7"/>
      <c r="AK61" s="125">
        <v>721180.7</v>
      </c>
      <c r="AL61" s="216">
        <v>815785</v>
      </c>
      <c r="AM61" s="15">
        <v>230403.36</v>
      </c>
      <c r="AN61" s="108">
        <v>334805.76000000001</v>
      </c>
      <c r="AO61" s="85">
        <v>272496.21999999997</v>
      </c>
      <c r="AP61" s="85">
        <v>272803.21000000002</v>
      </c>
      <c r="AQ61" s="85">
        <v>187682.84</v>
      </c>
      <c r="AR61" s="4"/>
    </row>
    <row r="62" spans="1:44" x14ac:dyDescent="0.25">
      <c r="A62" s="34" t="s">
        <v>28</v>
      </c>
      <c r="B62" s="34"/>
      <c r="C62" s="178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5"/>
      <c r="AE62" s="17"/>
      <c r="AF62" s="17"/>
      <c r="AG62" s="17"/>
      <c r="AH62" s="17"/>
      <c r="AI62" s="17"/>
      <c r="AJ62" s="17"/>
      <c r="AK62" s="263">
        <v>-158251.40760000001</v>
      </c>
      <c r="AL62" s="263">
        <v>-141845.04340000002</v>
      </c>
      <c r="AM62" s="17">
        <v>45425.775100000028</v>
      </c>
      <c r="AN62" s="108">
        <v>-182166.92879999999</v>
      </c>
      <c r="AO62" s="85">
        <v>-175268.6992</v>
      </c>
      <c r="AP62" s="85">
        <v>-220529.89273334079</v>
      </c>
      <c r="AQ62">
        <v>-171495.88939999999</v>
      </c>
    </row>
    <row r="63" spans="1:44" s="3" customFormat="1" ht="15.75" customHeight="1" x14ac:dyDescent="0.25">
      <c r="A63" s="272" t="s">
        <v>123</v>
      </c>
      <c r="B63" s="272"/>
      <c r="C63" s="287"/>
      <c r="D63" s="291"/>
      <c r="E63" s="291"/>
      <c r="F63" s="291"/>
      <c r="G63" s="291"/>
      <c r="H63" s="291"/>
      <c r="I63" s="291"/>
      <c r="J63" s="291"/>
      <c r="K63" s="291"/>
      <c r="L63" s="291"/>
      <c r="M63" s="291"/>
      <c r="N63" s="291"/>
      <c r="O63" s="291"/>
      <c r="P63" s="291"/>
      <c r="Q63" s="291"/>
      <c r="R63" s="291"/>
      <c r="S63" s="291"/>
      <c r="T63" s="291"/>
      <c r="U63" s="291"/>
      <c r="V63" s="291"/>
      <c r="W63" s="291"/>
      <c r="X63" s="291"/>
      <c r="Y63" s="291"/>
      <c r="Z63" s="291"/>
      <c r="AA63" s="291"/>
      <c r="AB63" s="291"/>
      <c r="AC63" s="291"/>
      <c r="AD63" s="291"/>
      <c r="AE63" s="291"/>
      <c r="AF63" s="291"/>
      <c r="AG63" s="291"/>
      <c r="AH63" s="291"/>
      <c r="AI63" s="291"/>
      <c r="AJ63" s="291"/>
      <c r="AK63" s="292"/>
      <c r="AL63" s="293">
        <v>4626194</v>
      </c>
      <c r="AM63" s="291"/>
      <c r="AN63" s="290"/>
    </row>
    <row r="64" spans="1:44" x14ac:dyDescent="0.25">
      <c r="A64" s="31" t="s">
        <v>24</v>
      </c>
      <c r="B64" s="31"/>
      <c r="C64" s="40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5"/>
      <c r="AE64" s="17"/>
      <c r="AF64" s="17"/>
      <c r="AG64" s="17"/>
      <c r="AH64" s="17"/>
      <c r="AI64" s="17"/>
      <c r="AJ64" s="17"/>
      <c r="AK64" s="210"/>
      <c r="AL64" s="210">
        <v>-625.62699999999995</v>
      </c>
      <c r="AM64" s="17"/>
      <c r="AN64" s="85"/>
    </row>
    <row r="65" spans="1:52" x14ac:dyDescent="0.25">
      <c r="A65" s="84" t="s">
        <v>24</v>
      </c>
      <c r="B65" s="31"/>
      <c r="C65" s="40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5"/>
      <c r="AE65" s="17"/>
      <c r="AF65" s="17"/>
      <c r="AG65" s="17"/>
      <c r="AH65" s="17"/>
      <c r="AI65" s="17"/>
      <c r="AJ65" s="17"/>
      <c r="AK65" s="210">
        <f>(-22914.15+590582.46)*-1</f>
        <v>-567668.30999999994</v>
      </c>
      <c r="AL65" s="210">
        <f>-625627.07</f>
        <v>-625627.06999999995</v>
      </c>
      <c r="AM65" s="17">
        <f>-407566.37+29100.91</f>
        <v>-378465.46</v>
      </c>
      <c r="AN65" s="45">
        <v>-725978.64</v>
      </c>
      <c r="AO65" s="45">
        <v>-403888.5083000001</v>
      </c>
      <c r="AP65" s="45">
        <v>-610260.52</v>
      </c>
      <c r="AQ65" s="45">
        <v>-483020.98000000056</v>
      </c>
    </row>
    <row r="66" spans="1:52" x14ac:dyDescent="0.25">
      <c r="A66" s="84" t="s">
        <v>124</v>
      </c>
      <c r="B66" s="31"/>
      <c r="C66" s="40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5"/>
      <c r="AE66" s="17"/>
      <c r="AF66" s="17"/>
      <c r="AG66" s="17"/>
      <c r="AH66" s="17"/>
      <c r="AI66" s="17"/>
      <c r="AJ66" s="17"/>
      <c r="AK66" s="210"/>
      <c r="AL66" s="210">
        <v>0</v>
      </c>
      <c r="AM66" s="17"/>
      <c r="AN66" s="85"/>
    </row>
    <row r="67" spans="1:52" s="3" customFormat="1" ht="15.75" customHeight="1" x14ac:dyDescent="0.25">
      <c r="A67" s="272" t="s">
        <v>125</v>
      </c>
      <c r="B67" s="272"/>
      <c r="C67" s="287"/>
      <c r="D67" s="291"/>
      <c r="E67" s="291"/>
      <c r="F67" s="291"/>
      <c r="G67" s="291"/>
      <c r="H67" s="291"/>
      <c r="I67" s="291"/>
      <c r="J67" s="291"/>
      <c r="K67" s="291"/>
      <c r="L67" s="291"/>
      <c r="M67" s="291"/>
      <c r="N67" s="291"/>
      <c r="O67" s="291"/>
      <c r="P67" s="291"/>
      <c r="Q67" s="291"/>
      <c r="R67" s="291"/>
      <c r="S67" s="291"/>
      <c r="T67" s="291"/>
      <c r="U67" s="291"/>
      <c r="V67" s="291"/>
      <c r="W67" s="291"/>
      <c r="X67" s="291"/>
      <c r="Y67" s="291"/>
      <c r="Z67" s="291"/>
      <c r="AA67" s="291"/>
      <c r="AB67" s="291"/>
      <c r="AC67" s="291"/>
      <c r="AD67" s="291"/>
      <c r="AE67" s="291"/>
      <c r="AF67" s="291"/>
      <c r="AG67" s="291"/>
      <c r="AH67" s="291"/>
      <c r="AI67" s="291"/>
      <c r="AJ67" s="291"/>
      <c r="AK67" s="292"/>
      <c r="AL67" s="293">
        <v>4000567</v>
      </c>
      <c r="AM67" s="291"/>
      <c r="AN67" s="290"/>
    </row>
    <row r="68" spans="1:52" x14ac:dyDescent="0.25">
      <c r="A68" s="34" t="s">
        <v>126</v>
      </c>
      <c r="B68" s="34"/>
      <c r="C68" s="178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5"/>
      <c r="AC68" s="15"/>
      <c r="AD68" s="15"/>
      <c r="AE68" s="17"/>
      <c r="AF68" s="17"/>
      <c r="AG68" s="17"/>
      <c r="AH68" s="17"/>
      <c r="AI68" s="17"/>
      <c r="AJ68" s="17"/>
      <c r="AK68" s="263">
        <f>-372628.14</f>
        <v>-372628.14</v>
      </c>
      <c r="AL68" s="263">
        <f>-380711.67</f>
        <v>-380711.67</v>
      </c>
      <c r="AM68" s="15">
        <f>-382900.13</f>
        <v>-382900.13</v>
      </c>
      <c r="AN68" s="108">
        <v>-412401.31</v>
      </c>
      <c r="AO68" s="108">
        <v>-472978.65624000062</v>
      </c>
      <c r="AP68" s="85">
        <v>-466515.01000000304</v>
      </c>
      <c r="AQ68">
        <v>-447760.78</v>
      </c>
      <c r="AR68" s="4"/>
    </row>
    <row r="69" spans="1:52" x14ac:dyDescent="0.25">
      <c r="A69" s="34" t="s">
        <v>96</v>
      </c>
      <c r="B69" s="34"/>
      <c r="C69" s="41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49"/>
      <c r="AE69" s="17"/>
      <c r="AF69" s="17"/>
      <c r="AG69" s="17"/>
      <c r="AH69" s="17"/>
      <c r="AI69" s="17"/>
      <c r="AJ69" s="17"/>
      <c r="AK69" s="210"/>
      <c r="AL69" s="210" t="s">
        <v>161</v>
      </c>
      <c r="AM69" s="17"/>
      <c r="AN69" s="108">
        <v>-98141.795400000003</v>
      </c>
      <c r="AO69" s="108">
        <v>-95397.185399999988</v>
      </c>
      <c r="AP69" s="108">
        <v>-93401.923999999999</v>
      </c>
      <c r="AQ69" s="108">
        <v>-68173.243600000002</v>
      </c>
    </row>
    <row r="70" spans="1:52" x14ac:dyDescent="0.25">
      <c r="A70" s="34" t="s">
        <v>157</v>
      </c>
      <c r="B70" s="34"/>
      <c r="C70" s="178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5"/>
      <c r="AE70" s="17"/>
      <c r="AF70" s="17"/>
      <c r="AG70" s="17"/>
      <c r="AH70" s="17"/>
      <c r="AI70" s="17"/>
      <c r="AJ70" s="17"/>
      <c r="AK70" s="263">
        <f>-38968.1248</f>
        <v>-38968.124799999998</v>
      </c>
      <c r="AL70" s="263">
        <v>0</v>
      </c>
      <c r="AM70" s="17"/>
      <c r="AN70" s="108">
        <v>-37516.142400000019</v>
      </c>
      <c r="AO70" s="85">
        <v>-223720.53220000002</v>
      </c>
      <c r="AP70" s="85">
        <v>-40765.594797838894</v>
      </c>
      <c r="AQ70" s="85">
        <v>-91815.923892000021</v>
      </c>
      <c r="AS70" s="4"/>
    </row>
    <row r="71" spans="1:52" s="3" customFormat="1" ht="15.75" customHeight="1" x14ac:dyDescent="0.25">
      <c r="A71" s="272" t="s">
        <v>127</v>
      </c>
      <c r="B71" s="272"/>
      <c r="C71" s="287"/>
      <c r="D71" s="291"/>
      <c r="E71" s="291"/>
      <c r="F71" s="291"/>
      <c r="G71" s="291"/>
      <c r="H71" s="291"/>
      <c r="I71" s="291"/>
      <c r="J71" s="291"/>
      <c r="K71" s="291"/>
      <c r="L71" s="291"/>
      <c r="M71" s="291"/>
      <c r="N71" s="291"/>
      <c r="O71" s="291"/>
      <c r="P71" s="291"/>
      <c r="Q71" s="291"/>
      <c r="R71" s="291"/>
      <c r="S71" s="291"/>
      <c r="T71" s="291"/>
      <c r="U71" s="291"/>
      <c r="V71" s="291"/>
      <c r="W71" s="291"/>
      <c r="X71" s="291"/>
      <c r="Y71" s="291"/>
      <c r="Z71" s="291"/>
      <c r="AA71" s="291"/>
      <c r="AB71" s="291"/>
      <c r="AC71" s="291"/>
      <c r="AD71" s="291"/>
      <c r="AE71" s="291"/>
      <c r="AF71" s="291"/>
      <c r="AG71" s="291"/>
      <c r="AH71" s="291"/>
      <c r="AI71" s="291"/>
      <c r="AJ71" s="291"/>
      <c r="AK71" s="292"/>
      <c r="AL71" s="293">
        <v>2988682</v>
      </c>
      <c r="AM71" s="291"/>
      <c r="AN71" s="290"/>
    </row>
    <row r="72" spans="1:52" x14ac:dyDescent="0.25">
      <c r="A72" s="34" t="s">
        <v>128</v>
      </c>
      <c r="B72" s="34"/>
      <c r="C72" s="178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25">
        <v>-640653.60259999905</v>
      </c>
      <c r="AL72" s="263">
        <v>-788752.4717599944</v>
      </c>
      <c r="AM72" s="15">
        <v>-639065.16959998908</v>
      </c>
      <c r="AN72" s="108">
        <v>-676373.10780796572</v>
      </c>
      <c r="AO72" s="85">
        <v>-633048.1786000015</v>
      </c>
      <c r="AP72" s="85">
        <v>-533709.79200000525</v>
      </c>
      <c r="AQ72">
        <v>-542073.62973688822</v>
      </c>
      <c r="AR72" s="4"/>
      <c r="AS72" s="4"/>
    </row>
    <row r="73" spans="1:52" s="3" customFormat="1" ht="15.75" customHeight="1" x14ac:dyDescent="0.25">
      <c r="A73" s="272" t="s">
        <v>129</v>
      </c>
      <c r="B73" s="272"/>
      <c r="C73" s="287"/>
      <c r="D73" s="291"/>
      <c r="E73" s="291"/>
      <c r="F73" s="291"/>
      <c r="G73" s="291"/>
      <c r="H73" s="291"/>
      <c r="I73" s="291"/>
      <c r="J73" s="291"/>
      <c r="K73" s="291"/>
      <c r="L73" s="291"/>
      <c r="M73" s="291"/>
      <c r="N73" s="291"/>
      <c r="O73" s="291"/>
      <c r="P73" s="291"/>
      <c r="Q73" s="291"/>
      <c r="R73" s="291"/>
      <c r="S73" s="291"/>
      <c r="T73" s="291"/>
      <c r="U73" s="291"/>
      <c r="V73" s="291"/>
      <c r="W73" s="291"/>
      <c r="X73" s="291"/>
      <c r="Y73" s="291"/>
      <c r="Z73" s="291"/>
      <c r="AA73" s="291"/>
      <c r="AB73" s="291"/>
      <c r="AC73" s="291"/>
      <c r="AD73" s="291"/>
      <c r="AE73" s="291"/>
      <c r="AF73" s="291"/>
      <c r="AG73" s="291"/>
      <c r="AH73" s="291"/>
      <c r="AI73" s="291"/>
      <c r="AJ73" s="291"/>
      <c r="AK73" s="292"/>
      <c r="AL73" s="293">
        <v>2168549</v>
      </c>
      <c r="AM73" s="291"/>
      <c r="AN73" s="290"/>
    </row>
    <row r="74" spans="1:52" x14ac:dyDescent="0.25">
      <c r="A74" s="31" t="s">
        <v>42</v>
      </c>
      <c r="B74" s="31"/>
      <c r="C74" s="40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33">
        <v>93602.119599999962</v>
      </c>
      <c r="AL74" s="33">
        <v>-232806.66200000001</v>
      </c>
      <c r="AM74" s="15">
        <v>-241015.18539999996</v>
      </c>
      <c r="AN74" s="45">
        <v>-115374.98939999999</v>
      </c>
      <c r="AO74" s="45">
        <v>-544207.12983407639</v>
      </c>
      <c r="AP74" s="45">
        <v>-375153.55806499202</v>
      </c>
      <c r="AQ74" s="45">
        <v>-117342.30831010734</v>
      </c>
    </row>
    <row r="75" spans="1:52" s="3" customFormat="1" ht="15.75" customHeight="1" x14ac:dyDescent="0.25">
      <c r="A75" s="272" t="s">
        <v>130</v>
      </c>
      <c r="B75" s="272"/>
      <c r="C75" s="287"/>
      <c r="D75" s="291"/>
      <c r="E75" s="291"/>
      <c r="F75" s="291"/>
      <c r="G75" s="291"/>
      <c r="H75" s="291"/>
      <c r="I75" s="291"/>
      <c r="J75" s="291"/>
      <c r="K75" s="291"/>
      <c r="L75" s="291"/>
      <c r="M75" s="291"/>
      <c r="N75" s="291"/>
      <c r="O75" s="291"/>
      <c r="P75" s="291"/>
      <c r="Q75" s="291"/>
      <c r="R75" s="291"/>
      <c r="S75" s="291"/>
      <c r="T75" s="291"/>
      <c r="U75" s="291"/>
      <c r="V75" s="291"/>
      <c r="W75" s="291"/>
      <c r="X75" s="291"/>
      <c r="Y75" s="291"/>
      <c r="Z75" s="291"/>
      <c r="AA75" s="291"/>
      <c r="AB75" s="291"/>
      <c r="AC75" s="291"/>
      <c r="AD75" s="291"/>
      <c r="AE75" s="291"/>
      <c r="AF75" s="291"/>
      <c r="AG75" s="291"/>
      <c r="AH75" s="291"/>
      <c r="AI75" s="291"/>
      <c r="AJ75" s="291"/>
      <c r="AK75" s="292"/>
      <c r="AL75" s="293">
        <v>1725628</v>
      </c>
      <c r="AM75" s="291"/>
      <c r="AN75" s="290"/>
    </row>
    <row r="76" spans="1:52" x14ac:dyDescent="0.25">
      <c r="A76" s="31" t="s">
        <v>158</v>
      </c>
      <c r="B76" s="31"/>
      <c r="C76" s="40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15"/>
      <c r="AE76" s="21"/>
      <c r="AF76" s="21"/>
      <c r="AG76" s="21"/>
      <c r="AH76" s="21"/>
      <c r="AI76" s="21"/>
      <c r="AJ76" s="21"/>
      <c r="AK76" s="33"/>
      <c r="AL76" s="33" t="s">
        <v>160</v>
      </c>
      <c r="AM76" s="21"/>
      <c r="AN76" s="85"/>
    </row>
    <row r="77" spans="1:52" x14ac:dyDescent="0.25">
      <c r="A77" s="31" t="s">
        <v>131</v>
      </c>
      <c r="B77" s="31"/>
      <c r="C77" s="40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15"/>
      <c r="AE77" s="21"/>
      <c r="AF77" s="21"/>
      <c r="AG77" s="21"/>
      <c r="AH77" s="21"/>
      <c r="AI77" s="21"/>
      <c r="AJ77" s="21"/>
      <c r="AK77" s="33"/>
      <c r="AL77" s="33">
        <v>83.998999999999995</v>
      </c>
      <c r="AM77" s="21"/>
      <c r="AN77" s="85"/>
    </row>
    <row r="78" spans="1:52" s="283" customFormat="1" ht="15.75" customHeight="1" x14ac:dyDescent="0.25">
      <c r="A78" s="294" t="s">
        <v>132</v>
      </c>
      <c r="B78" s="294"/>
      <c r="C78" s="295"/>
      <c r="D78" s="296"/>
      <c r="E78" s="296"/>
      <c r="F78" s="296"/>
      <c r="G78" s="296"/>
      <c r="H78" s="296"/>
      <c r="I78" s="296"/>
      <c r="J78" s="296"/>
      <c r="K78" s="296"/>
      <c r="L78" s="296"/>
      <c r="M78" s="296"/>
      <c r="N78" s="296"/>
      <c r="O78" s="296"/>
      <c r="P78" s="296"/>
      <c r="Q78" s="296"/>
      <c r="R78" s="296"/>
      <c r="S78" s="296"/>
      <c r="T78" s="296"/>
      <c r="U78" s="296"/>
      <c r="V78" s="296"/>
      <c r="W78" s="296"/>
      <c r="X78" s="296"/>
      <c r="Y78" s="296"/>
      <c r="Z78" s="296"/>
      <c r="AA78" s="296"/>
      <c r="AB78" s="296"/>
      <c r="AC78" s="296"/>
      <c r="AD78" s="296"/>
      <c r="AE78" s="296"/>
      <c r="AF78" s="296"/>
      <c r="AG78" s="296"/>
      <c r="AH78" s="296"/>
      <c r="AI78" s="296"/>
      <c r="AJ78" s="296"/>
      <c r="AK78" s="297"/>
      <c r="AL78" s="298">
        <v>1809628</v>
      </c>
      <c r="AM78" s="296"/>
      <c r="AN78" s="299"/>
    </row>
    <row r="79" spans="1:52" x14ac:dyDescent="0.25">
      <c r="AN79" s="85"/>
    </row>
    <row r="80" spans="1:52" s="286" customFormat="1" x14ac:dyDescent="0.25">
      <c r="A80" s="284" t="s">
        <v>162</v>
      </c>
      <c r="B80" s="284"/>
      <c r="C80" s="285"/>
      <c r="D80" s="285"/>
      <c r="E80" s="285"/>
      <c r="F80" s="285"/>
      <c r="G80" s="285"/>
      <c r="H80" s="285"/>
      <c r="I80" s="285"/>
      <c r="J80" s="285"/>
      <c r="K80" s="285"/>
      <c r="L80" s="285"/>
      <c r="M80" s="285"/>
      <c r="N80" s="285"/>
      <c r="O80" s="285"/>
      <c r="P80" s="285"/>
      <c r="Q80" s="285"/>
      <c r="R80" s="285"/>
      <c r="S80" s="285"/>
      <c r="T80" s="285"/>
      <c r="U80" s="285"/>
      <c r="V80" s="285"/>
      <c r="W80" s="285"/>
      <c r="X80" s="285"/>
      <c r="Y80" s="285"/>
      <c r="Z80" s="285"/>
      <c r="AA80" s="285"/>
      <c r="AB80" s="285"/>
      <c r="AC80" s="285"/>
      <c r="AD80" s="285"/>
      <c r="AE80" s="285"/>
      <c r="AF80" s="285"/>
      <c r="AG80" s="285"/>
      <c r="AH80" s="285"/>
      <c r="AI80" s="285"/>
      <c r="AJ80" s="285"/>
      <c r="AK80" s="285">
        <f>AK2</f>
        <v>45961</v>
      </c>
      <c r="AL80" s="285">
        <f>AL2</f>
        <v>45991</v>
      </c>
      <c r="AM80" s="285">
        <f>AM2</f>
        <v>46022</v>
      </c>
      <c r="AN80" s="300">
        <f>AN2</f>
        <v>46053</v>
      </c>
      <c r="AO80" s="300">
        <f t="shared" ref="AO80:AY80" si="17">AO2</f>
        <v>46081</v>
      </c>
      <c r="AP80" s="300">
        <f t="shared" si="17"/>
        <v>46112</v>
      </c>
      <c r="AQ80" s="300">
        <f t="shared" si="17"/>
        <v>46142</v>
      </c>
      <c r="AR80" s="300">
        <f t="shared" si="17"/>
        <v>46173</v>
      </c>
      <c r="AS80" s="300">
        <f t="shared" si="17"/>
        <v>46203</v>
      </c>
      <c r="AT80" s="300">
        <f t="shared" si="17"/>
        <v>46234</v>
      </c>
      <c r="AU80" s="300">
        <f t="shared" si="17"/>
        <v>46265</v>
      </c>
      <c r="AV80" s="300">
        <f t="shared" si="17"/>
        <v>46295</v>
      </c>
      <c r="AW80" s="300">
        <f t="shared" si="17"/>
        <v>46326</v>
      </c>
      <c r="AX80" s="300">
        <f t="shared" si="17"/>
        <v>46356</v>
      </c>
      <c r="AY80" s="300">
        <f t="shared" si="17"/>
        <v>46387</v>
      </c>
      <c r="AZ80" s="300"/>
    </row>
    <row r="81" spans="1:45" s="3" customFormat="1" x14ac:dyDescent="0.25">
      <c r="A81" s="272" t="s">
        <v>105</v>
      </c>
      <c r="B81" s="272"/>
      <c r="C81" s="287"/>
      <c r="D81" s="280"/>
      <c r="E81" s="280"/>
      <c r="F81" s="280"/>
      <c r="G81" s="280"/>
      <c r="H81" s="280"/>
      <c r="I81" s="280"/>
      <c r="J81" s="280"/>
      <c r="K81" s="280"/>
      <c r="L81" s="280"/>
      <c r="M81" s="280"/>
      <c r="N81" s="280"/>
      <c r="O81" s="280"/>
      <c r="P81" s="280"/>
      <c r="Q81" s="280"/>
      <c r="R81" s="280"/>
      <c r="S81" s="280"/>
      <c r="T81" s="280"/>
      <c r="U81" s="280"/>
      <c r="V81" s="280"/>
      <c r="W81" s="280"/>
      <c r="X81" s="280"/>
      <c r="Y81" s="280"/>
      <c r="Z81" s="280"/>
      <c r="AA81" s="280"/>
      <c r="AB81" s="280"/>
      <c r="AC81" s="280"/>
      <c r="AD81" s="280"/>
      <c r="AE81" s="280"/>
      <c r="AF81" s="280"/>
      <c r="AG81" s="280"/>
      <c r="AH81" s="280"/>
      <c r="AI81" s="280"/>
      <c r="AJ81" s="280"/>
      <c r="AK81" s="288"/>
      <c r="AL81" s="289">
        <v>23069690</v>
      </c>
      <c r="AM81" s="280"/>
      <c r="AN81" s="290"/>
    </row>
    <row r="82" spans="1:45" x14ac:dyDescent="0.25">
      <c r="A82" s="31" t="s">
        <v>106</v>
      </c>
      <c r="B82" s="31"/>
      <c r="C82" s="40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214">
        <v>20069895</v>
      </c>
      <c r="AM82" s="15"/>
      <c r="AN82" s="85"/>
    </row>
    <row r="83" spans="1:45" x14ac:dyDescent="0.25">
      <c r="A83" s="180" t="s">
        <v>107</v>
      </c>
      <c r="B83" s="34"/>
      <c r="C83" s="178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>
        <v>15129456.789999995</v>
      </c>
      <c r="AL83" s="214">
        <v>16276045.449999996</v>
      </c>
      <c r="AM83" s="15">
        <v>18282392.789999999</v>
      </c>
      <c r="AN83" s="45">
        <v>18215602.089999996</v>
      </c>
      <c r="AO83" s="45">
        <v>17032218.530000001</v>
      </c>
      <c r="AP83" s="45">
        <v>21983325.100000005</v>
      </c>
      <c r="AQ83" s="45">
        <v>18968831.800000001</v>
      </c>
    </row>
    <row r="84" spans="1:45" x14ac:dyDescent="0.25">
      <c r="A84" s="180" t="s">
        <v>270</v>
      </c>
      <c r="B84" s="34"/>
      <c r="C84" s="178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214"/>
      <c r="AM84" s="15"/>
      <c r="AN84" s="45">
        <v>-435215.04</v>
      </c>
      <c r="AO84" s="45"/>
      <c r="AP84" s="45"/>
    </row>
    <row r="85" spans="1:45" x14ac:dyDescent="0.25">
      <c r="A85" s="180" t="s">
        <v>108</v>
      </c>
      <c r="B85" s="34"/>
      <c r="C85" s="178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>
        <v>2615363.79</v>
      </c>
      <c r="AL85" s="214">
        <v>3308278.8400000003</v>
      </c>
      <c r="AM85" s="15">
        <v>1504020.7799999998</v>
      </c>
      <c r="AN85" s="45">
        <v>2865754.81</v>
      </c>
      <c r="AO85" s="45">
        <v>3752222.66</v>
      </c>
      <c r="AP85" s="45">
        <v>7200722.3600000003</v>
      </c>
      <c r="AQ85" s="45">
        <v>10881663.299999999</v>
      </c>
    </row>
    <row r="86" spans="1:45" x14ac:dyDescent="0.25">
      <c r="A86" s="180" t="s">
        <v>109</v>
      </c>
      <c r="B86" s="34"/>
      <c r="C86" s="178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>
        <v>331602.45</v>
      </c>
      <c r="AL86" s="15">
        <v>341631.8</v>
      </c>
      <c r="AM86" s="15">
        <v>294014.70000000007</v>
      </c>
      <c r="AN86" s="45">
        <v>348775.08999999997</v>
      </c>
      <c r="AO86" s="45">
        <v>312401.05</v>
      </c>
      <c r="AP86" s="45">
        <v>394865.93000000005</v>
      </c>
      <c r="AQ86" s="45">
        <v>370357.59</v>
      </c>
    </row>
    <row r="87" spans="1:45" x14ac:dyDescent="0.25">
      <c r="A87" s="180" t="s">
        <v>110</v>
      </c>
      <c r="B87" s="34"/>
      <c r="C87" s="178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>
        <v>73896.459999999992</v>
      </c>
      <c r="AM87" s="15">
        <v>40493.392520000001</v>
      </c>
      <c r="AN87" s="45">
        <v>41388.298699999999</v>
      </c>
      <c r="AO87" s="45">
        <v>41006.605920000002</v>
      </c>
      <c r="AP87" s="45">
        <v>77247.429999999993</v>
      </c>
      <c r="AQ87" s="45">
        <v>65464.72</v>
      </c>
    </row>
    <row r="88" spans="1:45" x14ac:dyDescent="0.25">
      <c r="A88" s="34" t="s">
        <v>111</v>
      </c>
      <c r="B88" s="34"/>
      <c r="C88" s="178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>
        <v>1989120.89</v>
      </c>
      <c r="AL88" s="214">
        <v>1885440.8700000022</v>
      </c>
      <c r="AM88" s="15">
        <v>2035535.8399999943</v>
      </c>
      <c r="AN88" s="45">
        <v>1148925.0399999998</v>
      </c>
      <c r="AO88" s="45">
        <v>1421204.04</v>
      </c>
      <c r="AP88" s="45">
        <v>2558364.5600000061</v>
      </c>
      <c r="AQ88" s="45">
        <v>1909358.25</v>
      </c>
      <c r="AS88" s="93"/>
    </row>
    <row r="89" spans="1:45" x14ac:dyDescent="0.25">
      <c r="A89" s="34" t="s">
        <v>112</v>
      </c>
      <c r="B89" s="34"/>
      <c r="C89" s="178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>
        <v>27526.77</v>
      </c>
      <c r="AL89" s="15">
        <v>16151.223479999999</v>
      </c>
      <c r="AM89" s="15">
        <v>16816.145079999998</v>
      </c>
      <c r="AN89" s="45">
        <v>12128.9931</v>
      </c>
      <c r="AO89" s="45">
        <v>10999.470160000001</v>
      </c>
      <c r="AP89" s="45">
        <v>11964.392859999998</v>
      </c>
      <c r="AQ89" s="93">
        <v>11472.914680851067</v>
      </c>
      <c r="AR89" s="93"/>
    </row>
    <row r="90" spans="1:45" x14ac:dyDescent="0.25">
      <c r="A90" s="34" t="s">
        <v>113</v>
      </c>
      <c r="B90" s="34"/>
      <c r="C90" s="178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>
        <v>26068.07</v>
      </c>
      <c r="AL90" s="15">
        <v>0</v>
      </c>
      <c r="AM90" s="15">
        <v>0</v>
      </c>
      <c r="AN90" s="85"/>
    </row>
    <row r="91" spans="1:45" x14ac:dyDescent="0.25">
      <c r="A91" s="34" t="s">
        <v>155</v>
      </c>
      <c r="B91" s="34"/>
      <c r="C91" s="178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>
        <v>220437.96</v>
      </c>
      <c r="AL91" s="15">
        <v>251558</v>
      </c>
      <c r="AM91" s="15">
        <v>294718</v>
      </c>
      <c r="AN91" s="45">
        <v>364301.13</v>
      </c>
      <c r="AO91" s="45">
        <v>168561.35</v>
      </c>
      <c r="AP91" s="45">
        <v>155899.01</v>
      </c>
      <c r="AQ91" s="93">
        <v>396916.38</v>
      </c>
    </row>
    <row r="92" spans="1:45" x14ac:dyDescent="0.25">
      <c r="A92" s="180" t="s">
        <v>114</v>
      </c>
      <c r="B92" s="34"/>
      <c r="C92" s="178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>
        <v>28.16</v>
      </c>
      <c r="AM92" s="15"/>
      <c r="AN92" s="85"/>
    </row>
    <row r="93" spans="1:45" x14ac:dyDescent="0.25">
      <c r="A93" s="180" t="s">
        <v>115</v>
      </c>
      <c r="B93" s="34"/>
      <c r="C93" s="178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>
        <v>199.59399999999999</v>
      </c>
      <c r="AM93" s="15"/>
      <c r="AN93" s="85"/>
    </row>
    <row r="94" spans="1:45" x14ac:dyDescent="0.25">
      <c r="A94" s="180" t="s">
        <v>116</v>
      </c>
      <c r="B94" s="34"/>
      <c r="C94" s="178"/>
      <c r="D94" s="15"/>
      <c r="E94" s="178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>
        <v>23.805</v>
      </c>
      <c r="AM94" s="15"/>
      <c r="AN94" s="85"/>
    </row>
    <row r="95" spans="1:45" x14ac:dyDescent="0.25">
      <c r="A95" s="34" t="s">
        <v>10</v>
      </c>
      <c r="B95" s="34"/>
      <c r="C95" s="178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>
        <v>1080237.8400000001</v>
      </c>
      <c r="AL95" s="15">
        <v>791082.68</v>
      </c>
      <c r="AM95" s="15">
        <v>885803.25</v>
      </c>
      <c r="AN95" s="45">
        <v>976784.38</v>
      </c>
      <c r="AO95" s="45">
        <v>743112.13</v>
      </c>
      <c r="AP95" s="45">
        <v>1006702.7000000001</v>
      </c>
      <c r="AQ95" s="45">
        <v>948906.07999999984</v>
      </c>
    </row>
    <row r="96" spans="1:45" x14ac:dyDescent="0.25">
      <c r="A96" s="34" t="s">
        <v>117</v>
      </c>
      <c r="B96" s="34"/>
      <c r="C96" s="178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>
        <v>115983.10999999987</v>
      </c>
      <c r="AL96" s="15">
        <v>-143757.60000000009</v>
      </c>
      <c r="AM96" s="15">
        <v>-38583.429999999935</v>
      </c>
      <c r="AN96" s="45">
        <v>65704.179999999949</v>
      </c>
      <c r="AO96" s="45">
        <v>49730.269999999786</v>
      </c>
      <c r="AP96" s="45">
        <v>126708.71999999955</v>
      </c>
      <c r="AQ96" s="45">
        <v>89809.880000000019</v>
      </c>
    </row>
    <row r="97" spans="1:45" x14ac:dyDescent="0.25">
      <c r="A97" s="34" t="s">
        <v>264</v>
      </c>
      <c r="B97" s="34"/>
      <c r="C97" s="178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>
        <v>0</v>
      </c>
      <c r="AL97" s="15">
        <v>0</v>
      </c>
      <c r="AM97" s="15">
        <v>544951.51</v>
      </c>
      <c r="AN97" s="45">
        <v>168678.16999999998</v>
      </c>
      <c r="AO97" s="45">
        <v>-629.71999999999116</v>
      </c>
      <c r="AP97" s="45">
        <v>-262478.75</v>
      </c>
      <c r="AQ97" s="45">
        <v>23664.61</v>
      </c>
    </row>
    <row r="98" spans="1:45" s="3" customFormat="1" x14ac:dyDescent="0.25">
      <c r="A98" s="272" t="s">
        <v>118</v>
      </c>
      <c r="B98" s="272"/>
      <c r="C98" s="287"/>
      <c r="D98" s="280"/>
      <c r="E98" s="280"/>
      <c r="F98" s="280"/>
      <c r="G98" s="280"/>
      <c r="H98" s="280"/>
      <c r="I98" s="280"/>
      <c r="J98" s="280"/>
      <c r="K98" s="280"/>
      <c r="L98" s="280"/>
      <c r="M98" s="280"/>
      <c r="N98" s="280"/>
      <c r="O98" s="280"/>
      <c r="P98" s="280"/>
      <c r="Q98" s="280"/>
      <c r="R98" s="280"/>
      <c r="S98" s="280"/>
      <c r="T98" s="280"/>
      <c r="U98" s="280"/>
      <c r="V98" s="280"/>
      <c r="W98" s="280"/>
      <c r="X98" s="280"/>
      <c r="Y98" s="280"/>
      <c r="Z98" s="280"/>
      <c r="AA98" s="280"/>
      <c r="AB98" s="280"/>
      <c r="AC98" s="280"/>
      <c r="AD98" s="280"/>
      <c r="AE98" s="280"/>
      <c r="AF98" s="280"/>
      <c r="AG98" s="280"/>
      <c r="AH98" s="280"/>
      <c r="AI98" s="280"/>
      <c r="AJ98" s="280"/>
      <c r="AK98" s="288"/>
      <c r="AL98" s="289">
        <v>-11257301</v>
      </c>
      <c r="AM98" s="280"/>
      <c r="AN98" s="290"/>
    </row>
    <row r="99" spans="1:45" x14ac:dyDescent="0.25">
      <c r="A99" s="34" t="s">
        <v>149</v>
      </c>
      <c r="B99" s="34"/>
      <c r="C99" s="178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215">
        <v>-11257301</v>
      </c>
      <c r="AM99" s="17"/>
      <c r="AN99" s="85"/>
    </row>
    <row r="100" spans="1:45" x14ac:dyDescent="0.25">
      <c r="A100" s="180" t="s">
        <v>120</v>
      </c>
      <c r="B100" s="34"/>
      <c r="C100" s="178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>
        <v>-4912891.9700000007</v>
      </c>
      <c r="AL100" s="17">
        <v>-2980190.2700000005</v>
      </c>
      <c r="AM100" s="17">
        <v>-3828963.9000000004</v>
      </c>
      <c r="AN100" s="309">
        <v>-4338842.08</v>
      </c>
      <c r="AO100" s="309">
        <v>-2862311.84</v>
      </c>
      <c r="AP100" s="85">
        <v>-6665373.2300000004</v>
      </c>
      <c r="AQ100" s="27">
        <f>SUM(AQ101:AQ102)</f>
        <v>-6969927.4100000001</v>
      </c>
    </row>
    <row r="101" spans="1:45" x14ac:dyDescent="0.25">
      <c r="A101" s="180" t="s">
        <v>271</v>
      </c>
      <c r="B101" s="34"/>
      <c r="C101" s="178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>
        <v>-2942201.3600000003</v>
      </c>
      <c r="AL101" s="17">
        <v>-2345832.2300000004</v>
      </c>
      <c r="AM101" s="17">
        <v>-2769083.95</v>
      </c>
      <c r="AN101" s="108">
        <v>-2698465.0300000003</v>
      </c>
      <c r="AO101" s="85"/>
      <c r="AP101" s="85"/>
      <c r="AQ101" s="27">
        <v>-1317867.49</v>
      </c>
    </row>
    <row r="102" spans="1:45" x14ac:dyDescent="0.25">
      <c r="A102" s="180" t="s">
        <v>272</v>
      </c>
      <c r="B102" s="34"/>
      <c r="C102" s="178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>
        <v>-1970690.6099999999</v>
      </c>
      <c r="AL102" s="17">
        <v>-634358.04</v>
      </c>
      <c r="AM102" s="17">
        <v>-1059879.95</v>
      </c>
      <c r="AN102" s="108">
        <v>-1640377.0499999998</v>
      </c>
      <c r="AO102" s="85"/>
      <c r="AP102" s="85"/>
      <c r="AQ102" s="27">
        <v>-5652059.9199999999</v>
      </c>
    </row>
    <row r="103" spans="1:45" x14ac:dyDescent="0.25">
      <c r="A103" s="180" t="s">
        <v>121</v>
      </c>
      <c r="B103" s="34"/>
      <c r="C103" s="178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>
        <f>-10458885.1069344+400000</f>
        <v>-10058885.1069344</v>
      </c>
      <c r="AL103" s="17">
        <v>-9714852.666268304</v>
      </c>
      <c r="AM103" s="17">
        <f>-10986708.1140905+200000</f>
        <v>-10786708.1140905</v>
      </c>
      <c r="AN103" s="309">
        <v>-11789043.8815456</v>
      </c>
      <c r="AO103" s="85">
        <v>-10407999.924999999</v>
      </c>
      <c r="AP103" s="85">
        <v>-13440654.471999999</v>
      </c>
      <c r="AQ103" s="27">
        <v>-12741111.454</v>
      </c>
      <c r="AR103" s="27"/>
    </row>
    <row r="104" spans="1:45" x14ac:dyDescent="0.25">
      <c r="A104" s="180" t="s">
        <v>156</v>
      </c>
      <c r="B104" s="34"/>
      <c r="C104" s="178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>
        <f>AK124*0.78</f>
        <v>1862561.6022000017</v>
      </c>
      <c r="AL104" s="215">
        <v>1266042.3006</v>
      </c>
      <c r="AM104" s="17">
        <v>2172631.1988000004</v>
      </c>
      <c r="AN104" s="108">
        <v>1892124.6239999998</v>
      </c>
      <c r="AO104" s="85">
        <v>1687027.2800000003</v>
      </c>
      <c r="AP104" s="85">
        <v>2424498.8439990771</v>
      </c>
      <c r="AQ104" s="27">
        <v>2243977.0523478785</v>
      </c>
    </row>
    <row r="105" spans="1:45" x14ac:dyDescent="0.25">
      <c r="A105" s="180" t="s">
        <v>17</v>
      </c>
      <c r="B105" s="31"/>
      <c r="C105" s="40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>
        <v>83290.399999999994</v>
      </c>
      <c r="AL105" s="17">
        <v>622699</v>
      </c>
      <c r="AM105" s="17">
        <v>321881.48</v>
      </c>
      <c r="AN105" s="85">
        <v>342468.2</v>
      </c>
      <c r="AO105" s="85">
        <v>389061.42</v>
      </c>
      <c r="AP105" s="85">
        <v>-181125.23</v>
      </c>
      <c r="AQ105">
        <v>-190359.85</v>
      </c>
      <c r="AR105" s="27"/>
    </row>
    <row r="106" spans="1:45" x14ac:dyDescent="0.25">
      <c r="A106" s="34" t="s">
        <v>28</v>
      </c>
      <c r="B106" s="34"/>
      <c r="C106" s="178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>
        <v>-561073.17240000004</v>
      </c>
      <c r="AL106" s="17">
        <v>-644204.09660000005</v>
      </c>
      <c r="AM106" s="17">
        <v>-65273.675099999935</v>
      </c>
      <c r="AN106" s="85">
        <v>-395690.12119999999</v>
      </c>
      <c r="AO106" s="85">
        <v>-692764.18080000009</v>
      </c>
      <c r="AP106" s="85">
        <v>-871661.10726665927</v>
      </c>
      <c r="AQ106">
        <v>-888547.03060000006</v>
      </c>
    </row>
    <row r="107" spans="1:45" s="3" customFormat="1" x14ac:dyDescent="0.25">
      <c r="A107" s="272" t="s">
        <v>123</v>
      </c>
      <c r="B107" s="272"/>
      <c r="C107" s="287"/>
      <c r="D107" s="280"/>
      <c r="E107" s="280"/>
      <c r="F107" s="280"/>
      <c r="G107" s="280"/>
      <c r="H107" s="280"/>
      <c r="I107" s="280"/>
      <c r="J107" s="280"/>
      <c r="K107" s="280"/>
      <c r="L107" s="280"/>
      <c r="M107" s="280"/>
      <c r="N107" s="280"/>
      <c r="O107" s="280"/>
      <c r="P107" s="280"/>
      <c r="Q107" s="280"/>
      <c r="R107" s="280"/>
      <c r="S107" s="280"/>
      <c r="T107" s="280"/>
      <c r="U107" s="280"/>
      <c r="V107" s="280"/>
      <c r="W107" s="280"/>
      <c r="X107" s="280"/>
      <c r="Y107" s="280"/>
      <c r="Z107" s="280"/>
      <c r="AA107" s="280"/>
      <c r="AB107" s="280"/>
      <c r="AC107" s="280"/>
      <c r="AD107" s="280"/>
      <c r="AE107" s="280"/>
      <c r="AF107" s="280"/>
      <c r="AG107" s="280"/>
      <c r="AH107" s="280"/>
      <c r="AI107" s="280"/>
      <c r="AJ107" s="280"/>
      <c r="AK107" s="288"/>
      <c r="AL107" s="289">
        <v>11206913</v>
      </c>
      <c r="AM107" s="280"/>
      <c r="AN107" s="290"/>
    </row>
    <row r="108" spans="1:45" x14ac:dyDescent="0.25">
      <c r="A108" s="31" t="s">
        <v>24</v>
      </c>
      <c r="B108" s="31"/>
      <c r="C108" s="40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215">
        <v>-1055180</v>
      </c>
      <c r="AM108" s="17"/>
      <c r="AN108" s="85"/>
    </row>
    <row r="109" spans="1:45" x14ac:dyDescent="0.25">
      <c r="A109" s="84" t="s">
        <v>24</v>
      </c>
      <c r="B109" s="31"/>
      <c r="C109" s="40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>
        <f>(-17988.32+970911.48)*-1</f>
        <v>-952923.16</v>
      </c>
      <c r="AL109" s="17">
        <f>-1055179.74</f>
        <v>-1055179.74</v>
      </c>
      <c r="AM109" s="17">
        <f>-11054.68-1044087.94</f>
        <v>-1055142.6199999999</v>
      </c>
      <c r="AN109" s="45">
        <v>-1516697.22</v>
      </c>
      <c r="AO109" s="45">
        <v>-1775414.1117</v>
      </c>
      <c r="AP109" s="45">
        <v>-439697.64999999991</v>
      </c>
      <c r="AQ109" s="45">
        <v>-1281924.4999999967</v>
      </c>
    </row>
    <row r="110" spans="1:45" x14ac:dyDescent="0.25">
      <c r="A110" s="84" t="s">
        <v>124</v>
      </c>
      <c r="B110" s="31"/>
      <c r="C110" s="40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>
        <v>-143241.9</v>
      </c>
      <c r="AL110" s="17">
        <v>0</v>
      </c>
      <c r="AM110" s="17"/>
      <c r="AN110" s="85"/>
      <c r="AQ110" s="45">
        <v>-970365.02</v>
      </c>
      <c r="AS110" s="93"/>
    </row>
    <row r="111" spans="1:45" s="3" customFormat="1" x14ac:dyDescent="0.25">
      <c r="A111" s="272" t="s">
        <v>125</v>
      </c>
      <c r="B111" s="272"/>
      <c r="C111" s="287"/>
      <c r="D111" s="280"/>
      <c r="E111" s="280"/>
      <c r="F111" s="280"/>
      <c r="G111" s="280"/>
      <c r="H111" s="280"/>
      <c r="I111" s="280"/>
      <c r="J111" s="280"/>
      <c r="K111" s="280"/>
      <c r="L111" s="280"/>
      <c r="M111" s="280"/>
      <c r="N111" s="280"/>
      <c r="O111" s="280"/>
      <c r="P111" s="280"/>
      <c r="Q111" s="280"/>
      <c r="R111" s="280"/>
      <c r="S111" s="280"/>
      <c r="T111" s="280"/>
      <c r="U111" s="280"/>
      <c r="V111" s="280"/>
      <c r="W111" s="280"/>
      <c r="X111" s="280"/>
      <c r="Y111" s="280"/>
      <c r="Z111" s="280"/>
      <c r="AA111" s="280"/>
      <c r="AB111" s="280"/>
      <c r="AC111" s="280"/>
      <c r="AD111" s="280"/>
      <c r="AE111" s="280"/>
      <c r="AF111" s="280"/>
      <c r="AG111" s="280"/>
      <c r="AH111" s="280"/>
      <c r="AI111" s="280"/>
      <c r="AJ111" s="280"/>
      <c r="AK111" s="288"/>
      <c r="AL111" s="289">
        <v>10151733</v>
      </c>
      <c r="AM111" s="280"/>
      <c r="AN111" s="290"/>
    </row>
    <row r="112" spans="1:45" x14ac:dyDescent="0.25">
      <c r="A112" s="34" t="s">
        <v>126</v>
      </c>
      <c r="B112" s="34"/>
      <c r="C112" s="178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>
        <v>-1574188.0099999998</v>
      </c>
      <c r="AL112" s="215">
        <v>-1564266.4100000001</v>
      </c>
      <c r="AM112" s="17">
        <v>-1577285.04</v>
      </c>
      <c r="AN112" s="17">
        <v>-1446214.79</v>
      </c>
      <c r="AO112" s="27">
        <v>-2407184.814960002</v>
      </c>
      <c r="AP112" s="27">
        <v>-1829214.4199999911</v>
      </c>
      <c r="AQ112" s="27">
        <v>-2334541.1900000018</v>
      </c>
      <c r="AR112" s="27"/>
      <c r="AS112" s="27"/>
    </row>
    <row r="113" spans="1:45" x14ac:dyDescent="0.25">
      <c r="A113" s="34" t="s">
        <v>96</v>
      </c>
      <c r="B113" s="34"/>
      <c r="C113" s="41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 t="s">
        <v>163</v>
      </c>
      <c r="AM113" s="17"/>
      <c r="AN113" s="17">
        <v>-349715.66460000002</v>
      </c>
      <c r="AO113" s="27">
        <v>-338226.38459999999</v>
      </c>
      <c r="AP113" s="27">
        <v>-331152.27600000001</v>
      </c>
      <c r="AQ113" s="27">
        <v>-241705.13640000002</v>
      </c>
      <c r="AR113" s="4"/>
      <c r="AS113" s="4"/>
    </row>
    <row r="114" spans="1:45" x14ac:dyDescent="0.25">
      <c r="A114" s="31" t="s">
        <v>157</v>
      </c>
      <c r="B114" s="31"/>
      <c r="C114" s="40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>
        <f>-138159.7152</f>
        <v>-138159.71520000001</v>
      </c>
      <c r="AL114" s="17">
        <v>-82840.510000002658</v>
      </c>
      <c r="AM114" s="17"/>
      <c r="AN114" s="85">
        <v>-133011.77760000009</v>
      </c>
      <c r="AO114" s="4">
        <v>-793190.97779999999</v>
      </c>
      <c r="AP114" s="4">
        <v>-144532.26520216087</v>
      </c>
      <c r="AQ114" s="4">
        <v>-325529.18470799999</v>
      </c>
    </row>
    <row r="115" spans="1:45" s="3" customFormat="1" x14ac:dyDescent="0.25">
      <c r="A115" s="272" t="s">
        <v>127</v>
      </c>
      <c r="B115" s="272"/>
      <c r="C115" s="287"/>
      <c r="D115" s="280"/>
      <c r="E115" s="280"/>
      <c r="F115" s="280"/>
      <c r="G115" s="280"/>
      <c r="H115" s="280"/>
      <c r="I115" s="280"/>
      <c r="J115" s="280"/>
      <c r="K115" s="280"/>
      <c r="L115" s="280"/>
      <c r="M115" s="280"/>
      <c r="N115" s="280"/>
      <c r="O115" s="280"/>
      <c r="P115" s="280"/>
      <c r="Q115" s="280"/>
      <c r="R115" s="280"/>
      <c r="S115" s="280"/>
      <c r="T115" s="280"/>
      <c r="U115" s="280"/>
      <c r="V115" s="280"/>
      <c r="W115" s="280"/>
      <c r="X115" s="280"/>
      <c r="Y115" s="280"/>
      <c r="Z115" s="280"/>
      <c r="AA115" s="280"/>
      <c r="AB115" s="280"/>
      <c r="AC115" s="280"/>
      <c r="AD115" s="280"/>
      <c r="AE115" s="280"/>
      <c r="AF115" s="280"/>
      <c r="AG115" s="280"/>
      <c r="AH115" s="280"/>
      <c r="AI115" s="280"/>
      <c r="AJ115" s="280"/>
      <c r="AK115" s="288"/>
      <c r="AL115" s="289">
        <v>7794736</v>
      </c>
      <c r="AM115" s="280"/>
      <c r="AN115" s="290"/>
    </row>
    <row r="116" spans="1:45" x14ac:dyDescent="0.25">
      <c r="A116" s="34" t="s">
        <v>128</v>
      </c>
      <c r="B116" s="34"/>
      <c r="C116" s="178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>
        <v>-2444556.9246799797</v>
      </c>
      <c r="AL116" s="15">
        <v>-2324408.8368799868</v>
      </c>
      <c r="AM116" s="15">
        <v>-2564705.0124799702</v>
      </c>
      <c r="AN116" s="108">
        <v>-2282965.8121920498</v>
      </c>
      <c r="AO116" s="85">
        <v>-1700871.390200007</v>
      </c>
      <c r="AP116" s="85">
        <v>-1806616.0380000193</v>
      </c>
      <c r="AQ116">
        <v>-1981635.411663115</v>
      </c>
      <c r="AR116" s="4"/>
      <c r="AS116" s="4"/>
    </row>
    <row r="117" spans="1:45" s="3" customFormat="1" x14ac:dyDescent="0.25">
      <c r="A117" s="272" t="s">
        <v>129</v>
      </c>
      <c r="B117" s="272"/>
      <c r="C117" s="287"/>
      <c r="D117" s="280"/>
      <c r="E117" s="280"/>
      <c r="F117" s="280"/>
      <c r="G117" s="280"/>
      <c r="H117" s="280"/>
      <c r="I117" s="280"/>
      <c r="J117" s="280"/>
      <c r="K117" s="280"/>
      <c r="L117" s="280"/>
      <c r="M117" s="280"/>
      <c r="N117" s="280"/>
      <c r="O117" s="280"/>
      <c r="P117" s="280"/>
      <c r="Q117" s="280"/>
      <c r="R117" s="280"/>
      <c r="S117" s="280"/>
      <c r="T117" s="280"/>
      <c r="U117" s="280"/>
      <c r="V117" s="280"/>
      <c r="W117" s="280"/>
      <c r="X117" s="280"/>
      <c r="Y117" s="280"/>
      <c r="Z117" s="280"/>
      <c r="AA117" s="280"/>
      <c r="AB117" s="280"/>
      <c r="AC117" s="280"/>
      <c r="AD117" s="280"/>
      <c r="AE117" s="280"/>
      <c r="AF117" s="280"/>
      <c r="AG117" s="280"/>
      <c r="AH117" s="280"/>
      <c r="AI117" s="280"/>
      <c r="AJ117" s="280"/>
      <c r="AK117" s="288"/>
      <c r="AL117" s="289">
        <v>5821268</v>
      </c>
      <c r="AM117" s="280"/>
      <c r="AN117" s="290"/>
    </row>
    <row r="118" spans="1:45" x14ac:dyDescent="0.25">
      <c r="A118" s="31" t="s">
        <v>42</v>
      </c>
      <c r="B118" s="31"/>
      <c r="C118" s="40"/>
      <c r="D118" s="15"/>
      <c r="E118" s="15"/>
      <c r="F118" s="95"/>
      <c r="G118" s="15"/>
      <c r="H118" s="15"/>
      <c r="I118" s="15"/>
      <c r="J118" s="15"/>
      <c r="K118" s="15"/>
      <c r="L118" s="95"/>
      <c r="M118" s="9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>
        <v>-534246.2699999999</v>
      </c>
      <c r="AL118" s="15">
        <v>-1321704.1300000004</v>
      </c>
      <c r="AM118" s="15">
        <v>-952145.9600000002</v>
      </c>
      <c r="AN118" s="45">
        <v>-1463640.8006</v>
      </c>
      <c r="AO118" s="45">
        <v>-1604213.6401659225</v>
      </c>
      <c r="AP118" s="45">
        <v>-3549774.3519350002</v>
      </c>
      <c r="AQ118" s="45">
        <v>-770844.86168989295</v>
      </c>
    </row>
    <row r="119" spans="1:45" s="3" customFormat="1" x14ac:dyDescent="0.25">
      <c r="A119" s="272" t="s">
        <v>130</v>
      </c>
      <c r="B119" s="272"/>
      <c r="C119" s="287"/>
      <c r="D119" s="280"/>
      <c r="E119" s="280"/>
      <c r="F119" s="280"/>
      <c r="G119" s="280"/>
      <c r="H119" s="280"/>
      <c r="I119" s="280"/>
      <c r="J119" s="280"/>
      <c r="K119" s="280"/>
      <c r="L119" s="280"/>
      <c r="M119" s="280"/>
      <c r="N119" s="280"/>
      <c r="O119" s="280"/>
      <c r="P119" s="280"/>
      <c r="Q119" s="280"/>
      <c r="R119" s="280"/>
      <c r="S119" s="280"/>
      <c r="T119" s="280"/>
      <c r="U119" s="280"/>
      <c r="V119" s="280"/>
      <c r="W119" s="280"/>
      <c r="X119" s="280"/>
      <c r="Y119" s="280"/>
      <c r="Z119" s="280"/>
      <c r="AA119" s="280"/>
      <c r="AB119" s="280"/>
      <c r="AC119" s="280"/>
      <c r="AD119" s="280"/>
      <c r="AE119" s="280"/>
      <c r="AF119" s="280"/>
      <c r="AG119" s="280"/>
      <c r="AH119" s="280"/>
      <c r="AI119" s="280"/>
      <c r="AJ119" s="280"/>
      <c r="AK119" s="288"/>
      <c r="AL119" s="289">
        <v>4632288</v>
      </c>
      <c r="AM119" s="280"/>
      <c r="AN119" s="290"/>
    </row>
    <row r="120" spans="1:45" x14ac:dyDescent="0.25">
      <c r="A120" s="31" t="s">
        <v>158</v>
      </c>
      <c r="B120" s="31"/>
      <c r="C120" s="40"/>
      <c r="D120" s="21"/>
      <c r="E120" s="21"/>
      <c r="F120" s="95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>
        <v>178204.25</v>
      </c>
      <c r="AL120" s="21">
        <v>188001.86</v>
      </c>
      <c r="AM120" s="21">
        <v>387325.03</v>
      </c>
      <c r="AN120" s="45">
        <v>87060.329999999987</v>
      </c>
      <c r="AO120" s="45">
        <v>243037.75</v>
      </c>
      <c r="AP120" s="45">
        <v>521291.11</v>
      </c>
      <c r="AQ120" s="45">
        <v>725407.96999999974</v>
      </c>
    </row>
    <row r="121" spans="1:45" x14ac:dyDescent="0.25">
      <c r="A121" s="31" t="s">
        <v>131</v>
      </c>
      <c r="B121" s="31"/>
      <c r="C121" s="40"/>
      <c r="D121" s="21"/>
      <c r="E121" s="21"/>
      <c r="F121" s="95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>
        <v>113.399</v>
      </c>
      <c r="AM121" s="21"/>
      <c r="AN121" s="85"/>
    </row>
    <row r="122" spans="1:45" s="283" customFormat="1" ht="15.75" customHeight="1" x14ac:dyDescent="0.25">
      <c r="A122" s="294" t="s">
        <v>132</v>
      </c>
      <c r="B122" s="294"/>
      <c r="C122" s="295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6"/>
      <c r="P122" s="296"/>
      <c r="Q122" s="296"/>
      <c r="R122" s="296"/>
      <c r="S122" s="296"/>
      <c r="T122" s="296"/>
      <c r="U122" s="296"/>
      <c r="V122" s="296"/>
      <c r="W122" s="296"/>
      <c r="X122" s="296"/>
      <c r="Y122" s="296"/>
      <c r="Z122" s="296"/>
      <c r="AA122" s="296"/>
      <c r="AB122" s="296"/>
      <c r="AC122" s="296"/>
      <c r="AD122" s="296"/>
      <c r="AE122" s="296"/>
      <c r="AF122" s="296"/>
      <c r="AG122" s="296"/>
      <c r="AH122" s="296"/>
      <c r="AI122" s="296"/>
      <c r="AJ122" s="296"/>
      <c r="AK122" s="297"/>
      <c r="AL122" s="298">
        <v>4745687</v>
      </c>
      <c r="AM122" s="296"/>
      <c r="AN122" s="299"/>
    </row>
    <row r="124" spans="1:45" s="283" customFormat="1" ht="15.75" customHeight="1" x14ac:dyDescent="0.25">
      <c r="A124" s="294" t="s">
        <v>164</v>
      </c>
      <c r="B124" s="294"/>
      <c r="C124" s="295"/>
      <c r="D124" s="296"/>
      <c r="E124" s="296"/>
      <c r="F124" s="296"/>
      <c r="G124" s="296"/>
      <c r="H124" s="296"/>
      <c r="I124" s="296"/>
      <c r="J124" s="296"/>
      <c r="K124" s="296"/>
      <c r="L124" s="296"/>
      <c r="M124" s="296"/>
      <c r="N124" s="296"/>
      <c r="O124" s="296"/>
      <c r="P124" s="296"/>
      <c r="Q124" s="296"/>
      <c r="R124" s="296"/>
      <c r="S124" s="296"/>
      <c r="T124" s="296"/>
      <c r="U124" s="296"/>
      <c r="V124" s="296"/>
      <c r="W124" s="296"/>
      <c r="X124" s="296"/>
      <c r="Y124" s="296"/>
      <c r="Z124" s="296"/>
      <c r="AA124" s="296"/>
      <c r="AB124" s="296"/>
      <c r="AC124" s="296"/>
      <c r="AD124" s="296"/>
      <c r="AE124" s="296"/>
      <c r="AF124" s="296"/>
      <c r="AG124" s="296"/>
      <c r="AH124" s="296"/>
      <c r="AI124" s="296"/>
      <c r="AJ124" s="296"/>
      <c r="AK124" s="297">
        <v>2387899.4900000021</v>
      </c>
      <c r="AL124" s="298">
        <v>1644210.78</v>
      </c>
      <c r="AM124" s="296">
        <v>2589996.4300000006</v>
      </c>
      <c r="AN124" s="299">
        <v>2425800.7999999998</v>
      </c>
    </row>
    <row r="125" spans="1:45" x14ac:dyDescent="0.25">
      <c r="AI125" s="93"/>
      <c r="AJ125" s="93"/>
      <c r="AK125" s="93"/>
      <c r="AL125" s="93"/>
    </row>
    <row r="126" spans="1:45" s="47" customFormat="1" x14ac:dyDescent="0.25">
      <c r="A126" s="47" t="s">
        <v>165</v>
      </c>
      <c r="L126" s="46"/>
    </row>
    <row r="127" spans="1:45" x14ac:dyDescent="0.25">
      <c r="A127" t="s">
        <v>77</v>
      </c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33"/>
      <c r="M127" s="33"/>
      <c r="N127" s="33"/>
      <c r="O127" s="128"/>
      <c r="P127" s="128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>
        <f>AJ127</f>
        <v>0</v>
      </c>
      <c r="AL127" s="45">
        <f t="shared" ref="AL127" si="18">AK127</f>
        <v>0</v>
      </c>
      <c r="AM127" s="45">
        <f t="shared" ref="AM127" si="19">AL127</f>
        <v>0</v>
      </c>
    </row>
    <row r="128" spans="1:45" x14ac:dyDescent="0.25">
      <c r="A128" t="s">
        <v>478</v>
      </c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33"/>
      <c r="M128" s="33"/>
      <c r="N128" s="33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105"/>
      <c r="AC128" s="105"/>
      <c r="AD128" s="105"/>
      <c r="AE128" s="105"/>
      <c r="AF128" s="105"/>
      <c r="AG128" s="105"/>
      <c r="AH128" s="105"/>
      <c r="AI128" s="105"/>
      <c r="AJ128" s="105"/>
      <c r="AK128" s="105" t="e">
        <f>#REF!+(#REF!*#REF!)</f>
        <v>#REF!</v>
      </c>
      <c r="AL128" s="45">
        <v>409332912.98999983</v>
      </c>
      <c r="AM128" s="105" t="e">
        <f>#REF!+(#REF!*#REF!)</f>
        <v>#REF!</v>
      </c>
      <c r="AN128" s="93">
        <v>410685026.97000289</v>
      </c>
      <c r="AO128" s="93">
        <v>410093228.48999739</v>
      </c>
      <c r="AP128" s="93">
        <v>409787643.64999861</v>
      </c>
      <c r="AQ128" s="93">
        <v>408426153.41000152</v>
      </c>
      <c r="AR128" t="s">
        <v>291</v>
      </c>
    </row>
    <row r="129" spans="1:46" x14ac:dyDescent="0.25">
      <c r="A129" t="s">
        <v>479</v>
      </c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33"/>
      <c r="M129" s="33"/>
      <c r="N129" s="33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105"/>
      <c r="AC129" s="105"/>
      <c r="AD129" s="105"/>
      <c r="AE129" s="105"/>
      <c r="AF129" s="105"/>
      <c r="AG129" s="105"/>
      <c r="AH129" s="105"/>
      <c r="AI129" s="105"/>
      <c r="AJ129" s="105"/>
      <c r="AK129" s="105" t="e">
        <f>#REF!+(#REF!*#REF!)</f>
        <v>#REF!</v>
      </c>
      <c r="AL129" s="45">
        <v>1444600137.1900003</v>
      </c>
      <c r="AM129" s="105" t="e">
        <f>#REF!+(#REF!*#REF!)</f>
        <v>#REF!</v>
      </c>
      <c r="AN129" s="93">
        <v>1513150711.4900007</v>
      </c>
      <c r="AO129" s="93">
        <v>1555155836.9500008</v>
      </c>
      <c r="AP129" s="93">
        <v>1617312226.9299989</v>
      </c>
      <c r="AQ129" s="93">
        <v>1655946402.0599988</v>
      </c>
      <c r="AR129" t="s">
        <v>291</v>
      </c>
      <c r="AT129" s="93"/>
    </row>
    <row r="130" spans="1:46" x14ac:dyDescent="0.25">
      <c r="G130" s="45"/>
      <c r="H130" s="45"/>
      <c r="I130" s="45"/>
      <c r="J130" s="45"/>
      <c r="K130" s="45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  <c r="AM130" s="93"/>
    </row>
    <row r="131" spans="1:46" s="47" customFormat="1" x14ac:dyDescent="0.25">
      <c r="A131" s="47" t="s">
        <v>166</v>
      </c>
      <c r="L131" s="46"/>
    </row>
    <row r="132" spans="1:46" x14ac:dyDescent="0.25">
      <c r="A132" t="s">
        <v>478</v>
      </c>
      <c r="G132" s="45"/>
      <c r="H132" s="45"/>
      <c r="I132" s="45"/>
      <c r="J132" s="45"/>
      <c r="K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105" t="e">
        <f>#REF!+(#REF!*#REF!)</f>
        <v>#REF!</v>
      </c>
      <c r="AL132" s="105">
        <v>408628751.27207989</v>
      </c>
      <c r="AM132" s="45" t="e">
        <f>#REF!+(#REF!*#REF!)</f>
        <v>#REF!</v>
      </c>
      <c r="AN132" s="93">
        <v>408374364.62000102</v>
      </c>
      <c r="AO132" s="93">
        <v>407560398.9399966</v>
      </c>
      <c r="AP132" s="93">
        <v>407095245.7900027</v>
      </c>
      <c r="AQ132" s="93">
        <v>405620520.68999863</v>
      </c>
      <c r="AR132" t="s">
        <v>291</v>
      </c>
    </row>
    <row r="133" spans="1:46" x14ac:dyDescent="0.25">
      <c r="A133" t="s">
        <v>479</v>
      </c>
      <c r="G133" s="45"/>
      <c r="H133" s="45"/>
      <c r="I133" s="45"/>
      <c r="J133" s="45"/>
      <c r="K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105" t="e">
        <f>#REF!+(#REF!*#REF!)</f>
        <v>#REF!</v>
      </c>
      <c r="AL133" s="105">
        <v>1424553713.8779204</v>
      </c>
      <c r="AM133" s="45" t="e">
        <f>#REF!+(#REF!*#REF!)</f>
        <v>#REF!</v>
      </c>
      <c r="AN133" s="93">
        <v>1499618097.160001</v>
      </c>
      <c r="AO133" s="93">
        <v>1538079638.3100014</v>
      </c>
      <c r="AP133" s="93">
        <v>1581971470.22</v>
      </c>
      <c r="AQ133" s="93">
        <v>1618240907.1199987</v>
      </c>
      <c r="AR133" t="s">
        <v>291</v>
      </c>
      <c r="AT133" s="93"/>
    </row>
    <row r="134" spans="1:46" x14ac:dyDescent="0.25">
      <c r="G134" s="45"/>
      <c r="H134" s="45"/>
      <c r="I134" s="45"/>
      <c r="J134" s="45"/>
      <c r="K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105"/>
      <c r="AL134" s="105"/>
      <c r="AM134" s="45"/>
      <c r="AN134" s="93"/>
      <c r="AO134" s="93"/>
    </row>
    <row r="135" spans="1:46" s="47" customFormat="1" x14ac:dyDescent="0.25">
      <c r="A135" s="47" t="s">
        <v>472</v>
      </c>
      <c r="L135" s="46"/>
    </row>
    <row r="136" spans="1:46" x14ac:dyDescent="0.25">
      <c r="A136" t="s">
        <v>167</v>
      </c>
      <c r="G136" s="105"/>
      <c r="H136" s="105"/>
      <c r="I136" s="105"/>
      <c r="J136" s="105"/>
      <c r="K136" s="105"/>
      <c r="L136" s="12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5"/>
      <c r="AD136" s="105"/>
      <c r="AE136" s="105"/>
      <c r="AF136" s="105"/>
      <c r="AG136" s="105"/>
      <c r="AH136" s="105"/>
      <c r="AI136" s="105"/>
      <c r="AJ136" s="105"/>
      <c r="AK136" s="105">
        <v>219920424.87</v>
      </c>
      <c r="AL136" s="105">
        <f>AL137+27087348.74</f>
        <v>214912601.74850002</v>
      </c>
      <c r="AM136" s="105">
        <v>222687063.89000002</v>
      </c>
      <c r="AN136" s="105">
        <v>208393700.69</v>
      </c>
      <c r="AO136" s="105">
        <v>211187286.14000002</v>
      </c>
      <c r="AP136" s="105">
        <v>217732910.12</v>
      </c>
      <c r="AQ136" s="105">
        <v>221535147.94</v>
      </c>
      <c r="AR136" t="s">
        <v>262</v>
      </c>
    </row>
    <row r="137" spans="1:46" s="34" customFormat="1" x14ac:dyDescent="0.25">
      <c r="A137" s="34" t="s">
        <v>168</v>
      </c>
      <c r="B137" s="178"/>
      <c r="C137" s="178"/>
      <c r="D137" s="178"/>
      <c r="E137" s="178"/>
      <c r="F137" s="178"/>
      <c r="G137" s="178"/>
      <c r="H137" s="178"/>
      <c r="I137" s="178"/>
      <c r="J137" s="178"/>
      <c r="K137" s="178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5"/>
      <c r="AH137" s="125"/>
      <c r="AI137" s="125"/>
      <c r="AJ137" s="125"/>
      <c r="AK137" s="125">
        <v>189391849.68000001</v>
      </c>
      <c r="AL137" s="125">
        <v>187825253.00850001</v>
      </c>
      <c r="AM137" s="125">
        <v>194679860.80000001</v>
      </c>
      <c r="AN137" s="125">
        <v>202841494.69999999</v>
      </c>
      <c r="AO137" s="125">
        <v>204332414.96000001</v>
      </c>
      <c r="AP137" s="125">
        <v>208276755.99000001</v>
      </c>
      <c r="AQ137" s="125">
        <v>210332958.34</v>
      </c>
      <c r="AR137" t="s">
        <v>261</v>
      </c>
    </row>
    <row r="138" spans="1:46" x14ac:dyDescent="0.25"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190"/>
      <c r="AC138" s="190"/>
      <c r="AD138" s="190"/>
      <c r="AE138" s="190"/>
      <c r="AF138" s="190"/>
      <c r="AG138" s="190"/>
      <c r="AH138" s="190"/>
      <c r="AI138" s="190"/>
      <c r="AJ138" s="79"/>
      <c r="AK138" s="79"/>
      <c r="AL138" s="218"/>
      <c r="AM138" s="79"/>
    </row>
    <row r="139" spans="1:46" x14ac:dyDescent="0.25"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  <c r="AM139" s="79"/>
    </row>
    <row r="140" spans="1:46" s="46" customFormat="1" x14ac:dyDescent="0.25">
      <c r="A140" s="47" t="s">
        <v>169</v>
      </c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97"/>
      <c r="AH140" s="97"/>
      <c r="AI140" s="97"/>
      <c r="AJ140" s="97"/>
      <c r="AK140" s="97"/>
      <c r="AL140" s="97"/>
      <c r="AM140" s="97"/>
    </row>
    <row r="141" spans="1:46" x14ac:dyDescent="0.25">
      <c r="A141" s="26" t="s">
        <v>170</v>
      </c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</row>
    <row r="142" spans="1:46" x14ac:dyDescent="0.25">
      <c r="A142" s="14" t="s">
        <v>121</v>
      </c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45">
        <f>402899395+45650290+5489764+55152335+6073323+659184177+198630850+37600304+7300433</f>
        <v>1417980871</v>
      </c>
      <c r="AO142" s="45">
        <f>1124225810+150089349+249887291</f>
        <v>1524202450</v>
      </c>
      <c r="AP142" s="45">
        <f>1117790924+152058028+259056039</f>
        <v>1528904991</v>
      </c>
      <c r="AQ142" s="45">
        <f>1127298628+156870136+267471380</f>
        <v>1551640144</v>
      </c>
      <c r="AR142" t="s">
        <v>292</v>
      </c>
    </row>
    <row r="143" spans="1:46" x14ac:dyDescent="0.25">
      <c r="A143" s="14" t="s">
        <v>120</v>
      </c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45">
        <f>21988903+546567791</f>
        <v>568556694</v>
      </c>
      <c r="AO143" s="45">
        <f>560373224</f>
        <v>560373224</v>
      </c>
      <c r="AP143" s="45">
        <f>543726597</f>
        <v>543726597</v>
      </c>
      <c r="AQ143" s="45">
        <f>543131277</f>
        <v>543131277</v>
      </c>
      <c r="AR143" t="s">
        <v>292</v>
      </c>
    </row>
  </sheetData>
  <pageMargins left="0.511811024" right="0.511811024" top="0.78740157499999996" bottom="0.78740157499999996" header="0.31496062000000002" footer="0.31496062000000002"/>
  <pageSetup paperSize="9" orientation="portrait" r:id="rId1"/>
  <ignoredErrors>
    <ignoredError sqref="AQ100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AB2A8-B60E-4728-96CE-1E096B089440}">
  <sheetPr codeName="Planilha12">
    <tabColor theme="4" tint="0.59999389629810485"/>
  </sheetPr>
  <dimension ref="A1:BB195"/>
  <sheetViews>
    <sheetView showGridLines="0" topLeftCell="A117" zoomScaleNormal="100" workbookViewId="0">
      <selection activeCell="AN129" sqref="AN129:AP129"/>
    </sheetView>
  </sheetViews>
  <sheetFormatPr defaultColWidth="9.28515625" defaultRowHeight="15" outlineLevelRow="1" x14ac:dyDescent="0.25"/>
  <cols>
    <col min="1" max="1" width="38" customWidth="1"/>
    <col min="2" max="2" width="20" hidden="1" customWidth="1"/>
    <col min="3" max="8" width="16.28515625" hidden="1" customWidth="1"/>
    <col min="9" max="14" width="16.85546875" hidden="1" customWidth="1"/>
    <col min="15" max="15" width="19.140625" hidden="1" customWidth="1"/>
    <col min="16" max="39" width="16.28515625" hidden="1" customWidth="1"/>
    <col min="40" max="51" width="16" customWidth="1"/>
    <col min="52" max="52" width="10.42578125" bestFit="1" customWidth="1"/>
    <col min="54" max="54" width="11" bestFit="1" customWidth="1"/>
  </cols>
  <sheetData>
    <row r="1" spans="1:51" ht="14.25" customHeight="1" x14ac:dyDescent="0.25">
      <c r="C1" t="s">
        <v>222</v>
      </c>
      <c r="D1" t="s">
        <v>223</v>
      </c>
      <c r="H1" t="s">
        <v>224</v>
      </c>
      <c r="L1" s="119">
        <v>0.45</v>
      </c>
      <c r="M1" s="119">
        <v>0.45</v>
      </c>
      <c r="N1" s="119">
        <v>0.45</v>
      </c>
      <c r="O1" s="119">
        <v>0.45</v>
      </c>
      <c r="P1" t="s">
        <v>225</v>
      </c>
      <c r="V1" t="s">
        <v>226</v>
      </c>
      <c r="AB1" t="s">
        <v>227</v>
      </c>
      <c r="AN1" t="s">
        <v>294</v>
      </c>
    </row>
    <row r="2" spans="1:51" hidden="1" x14ac:dyDescent="0.25">
      <c r="A2" s="28" t="s">
        <v>199</v>
      </c>
      <c r="B2" s="23">
        <v>44895</v>
      </c>
      <c r="C2" s="23">
        <v>44926</v>
      </c>
      <c r="D2" s="23">
        <v>44957</v>
      </c>
      <c r="E2" s="23">
        <v>44985</v>
      </c>
      <c r="F2" s="23">
        <v>45016</v>
      </c>
      <c r="G2" s="23">
        <v>45046</v>
      </c>
      <c r="H2" s="23">
        <v>45077</v>
      </c>
      <c r="I2" s="23">
        <v>45107</v>
      </c>
      <c r="J2" s="23">
        <v>45138</v>
      </c>
      <c r="K2" s="23">
        <v>45169</v>
      </c>
      <c r="L2" s="23">
        <v>45199</v>
      </c>
      <c r="M2" s="23">
        <v>45230</v>
      </c>
      <c r="N2" s="23">
        <v>45260</v>
      </c>
      <c r="O2" s="23">
        <v>45291</v>
      </c>
      <c r="P2" s="23">
        <v>45322</v>
      </c>
      <c r="Q2" s="23">
        <v>45351</v>
      </c>
      <c r="R2" s="23">
        <v>45382</v>
      </c>
      <c r="S2" s="23">
        <v>45412</v>
      </c>
      <c r="T2" s="23">
        <v>45443</v>
      </c>
      <c r="U2" s="23">
        <v>45473</v>
      </c>
      <c r="V2" s="23">
        <v>45504</v>
      </c>
      <c r="W2" s="23">
        <v>45535</v>
      </c>
      <c r="X2" s="23">
        <v>45565</v>
      </c>
      <c r="Y2" s="23">
        <v>45596</v>
      </c>
      <c r="Z2" s="23">
        <v>45626</v>
      </c>
      <c r="AA2" s="23">
        <v>45657</v>
      </c>
      <c r="AB2" s="23">
        <v>45688</v>
      </c>
      <c r="AC2" s="23">
        <v>45716</v>
      </c>
      <c r="AD2" s="23">
        <v>45747</v>
      </c>
      <c r="AE2" s="23">
        <v>45777</v>
      </c>
      <c r="AF2" s="23">
        <v>45808</v>
      </c>
      <c r="AG2" s="23">
        <v>45838</v>
      </c>
      <c r="AH2" s="23">
        <v>45869</v>
      </c>
      <c r="AI2" s="23">
        <v>45900</v>
      </c>
      <c r="AJ2" s="23">
        <v>45930</v>
      </c>
      <c r="AK2" s="23">
        <v>45961</v>
      </c>
      <c r="AL2" s="23">
        <v>45991</v>
      </c>
      <c r="AM2" s="23">
        <v>46022</v>
      </c>
      <c r="AN2" s="23">
        <v>46053</v>
      </c>
      <c r="AO2" s="23">
        <v>46081</v>
      </c>
      <c r="AP2" s="23">
        <v>46112</v>
      </c>
      <c r="AQ2" s="23">
        <v>46142</v>
      </c>
      <c r="AR2" s="23">
        <v>46173</v>
      </c>
      <c r="AS2" s="23">
        <v>46203</v>
      </c>
      <c r="AT2" s="23">
        <v>46234</v>
      </c>
      <c r="AU2" s="23">
        <v>46265</v>
      </c>
      <c r="AV2" s="23">
        <v>46295</v>
      </c>
      <c r="AW2" s="23">
        <v>46326</v>
      </c>
      <c r="AX2" s="23">
        <v>46356</v>
      </c>
      <c r="AY2" s="23">
        <v>46387</v>
      </c>
    </row>
    <row r="3" spans="1:51" hidden="1" x14ac:dyDescent="0.25">
      <c r="A3" s="29" t="s">
        <v>105</v>
      </c>
      <c r="B3" s="29"/>
      <c r="C3" s="30">
        <v>1010456.5078108695</v>
      </c>
      <c r="D3" s="30">
        <v>1007654.2914955865</v>
      </c>
      <c r="E3" s="30">
        <v>986848.20753568166</v>
      </c>
      <c r="F3" s="30">
        <v>987136.30817758793</v>
      </c>
      <c r="G3" s="30">
        <v>810641.77029974794</v>
      </c>
      <c r="H3" s="30">
        <v>434765.62384892674</v>
      </c>
      <c r="I3" s="30">
        <v>378126.72674999863</v>
      </c>
      <c r="J3" s="30">
        <v>345117.13786329224</v>
      </c>
      <c r="K3" s="30">
        <v>318971.49780683866</v>
      </c>
      <c r="L3" s="30">
        <v>299833.98371275759</v>
      </c>
      <c r="M3" s="30">
        <v>280534.74814096221</v>
      </c>
      <c r="N3" s="30">
        <v>261365.78660622583</v>
      </c>
      <c r="O3" s="30">
        <v>242103.50472797357</v>
      </c>
      <c r="P3" s="30">
        <v>191159.2719760809</v>
      </c>
      <c r="Q3" s="30">
        <v>183904.13000209231</v>
      </c>
      <c r="R3" s="30">
        <v>177827.47856761949</v>
      </c>
      <c r="S3" s="30">
        <v>173415.38303330611</v>
      </c>
      <c r="T3" s="30">
        <v>168452.27673162514</v>
      </c>
      <c r="U3" s="30">
        <v>167099.90196779097</v>
      </c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</row>
    <row r="4" spans="1:51" hidden="1" x14ac:dyDescent="0.25">
      <c r="A4" s="31" t="s">
        <v>106</v>
      </c>
      <c r="B4" s="31"/>
      <c r="C4" s="32">
        <v>738266.48112118419</v>
      </c>
      <c r="D4" s="32">
        <v>737161.33943528275</v>
      </c>
      <c r="E4" s="32">
        <v>718069.73827366426</v>
      </c>
      <c r="F4" s="32">
        <v>718728.64572103159</v>
      </c>
      <c r="G4" s="32">
        <v>635364.05712558446</v>
      </c>
      <c r="H4" s="32">
        <v>333080.30191359285</v>
      </c>
      <c r="I4" s="32">
        <v>293659.12732699147</v>
      </c>
      <c r="J4" s="32">
        <v>260661.3664790637</v>
      </c>
      <c r="K4" s="32">
        <v>234209.8579909254</v>
      </c>
      <c r="L4" s="32">
        <v>214704.55399092543</v>
      </c>
      <c r="M4" s="32">
        <v>195199.24999092543</v>
      </c>
      <c r="N4" s="32">
        <v>175693.94599092542</v>
      </c>
      <c r="O4" s="32">
        <v>156188.64199092542</v>
      </c>
      <c r="P4" s="32">
        <v>93834.041046862592</v>
      </c>
      <c r="Q4" s="32">
        <v>85689.392313290693</v>
      </c>
      <c r="R4" s="32">
        <v>78658.063848885649</v>
      </c>
      <c r="S4" s="32">
        <v>73271.627081991217</v>
      </c>
      <c r="T4" s="32">
        <v>67291.762311161365</v>
      </c>
      <c r="U4" s="32">
        <v>64837.793685558296</v>
      </c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</row>
    <row r="5" spans="1:51" hidden="1" x14ac:dyDescent="0.25">
      <c r="A5" s="84" t="s">
        <v>107</v>
      </c>
      <c r="B5" s="84"/>
      <c r="C5" s="32"/>
      <c r="D5" s="32"/>
      <c r="E5" s="32"/>
      <c r="F5" s="32"/>
      <c r="G5" s="32"/>
      <c r="H5" s="32">
        <v>0</v>
      </c>
      <c r="I5" s="32">
        <v>0</v>
      </c>
      <c r="J5" s="32">
        <v>0</v>
      </c>
      <c r="K5" s="32">
        <v>0</v>
      </c>
      <c r="L5" s="32">
        <v>0</v>
      </c>
      <c r="M5" s="32">
        <v>0</v>
      </c>
      <c r="N5" s="32">
        <v>0</v>
      </c>
      <c r="O5" s="32">
        <v>0</v>
      </c>
      <c r="P5" s="32">
        <v>0</v>
      </c>
      <c r="Q5" s="32">
        <v>0</v>
      </c>
      <c r="R5" s="32">
        <v>0</v>
      </c>
      <c r="S5" s="32">
        <v>0</v>
      </c>
      <c r="T5" s="32">
        <v>0</v>
      </c>
      <c r="U5" s="32">
        <v>0</v>
      </c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</row>
    <row r="6" spans="1:51" hidden="1" x14ac:dyDescent="0.25">
      <c r="A6" s="84" t="s">
        <v>108</v>
      </c>
      <c r="B6" s="84"/>
      <c r="C6" s="32"/>
      <c r="D6" s="32"/>
      <c r="E6" s="32"/>
      <c r="F6" s="32"/>
      <c r="G6" s="32"/>
      <c r="H6" s="32">
        <v>0</v>
      </c>
      <c r="I6" s="32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</row>
    <row r="7" spans="1:51" ht="17.25" hidden="1" customHeight="1" x14ac:dyDescent="0.25">
      <c r="A7" s="84" t="s">
        <v>109</v>
      </c>
      <c r="B7" s="84"/>
      <c r="C7" s="32"/>
      <c r="D7" s="32"/>
      <c r="E7" s="32"/>
      <c r="F7" s="32"/>
      <c r="G7" s="32"/>
      <c r="H7" s="32">
        <v>0</v>
      </c>
      <c r="I7" s="32">
        <v>0</v>
      </c>
      <c r="J7" s="32">
        <v>0</v>
      </c>
      <c r="K7" s="32">
        <v>0</v>
      </c>
      <c r="L7" s="32">
        <v>0</v>
      </c>
      <c r="M7" s="32">
        <v>0</v>
      </c>
      <c r="N7" s="32">
        <v>0</v>
      </c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>
        <v>0</v>
      </c>
      <c r="U7" s="32">
        <v>0</v>
      </c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</row>
    <row r="8" spans="1:51" ht="17.25" hidden="1" customHeight="1" x14ac:dyDescent="0.25">
      <c r="A8" s="84" t="s">
        <v>110</v>
      </c>
      <c r="B8" s="84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</row>
    <row r="9" spans="1:51" hidden="1" x14ac:dyDescent="0.25">
      <c r="A9" s="31" t="s">
        <v>111</v>
      </c>
      <c r="B9" s="31"/>
      <c r="C9" s="32">
        <v>272190.02668968524</v>
      </c>
      <c r="D9" s="32">
        <v>270492.95206030377</v>
      </c>
      <c r="E9" s="32">
        <v>268778.4692620174</v>
      </c>
      <c r="F9" s="32">
        <v>268407.66245655634</v>
      </c>
      <c r="G9" s="32">
        <v>175277.71317416345</v>
      </c>
      <c r="H9" s="32">
        <v>101685.32193533392</v>
      </c>
      <c r="I9" s="32">
        <v>84467.599423007181</v>
      </c>
      <c r="J9" s="32">
        <v>84455.771384228574</v>
      </c>
      <c r="K9" s="32">
        <v>84761.639815913266</v>
      </c>
      <c r="L9" s="32">
        <v>85129.42972183213</v>
      </c>
      <c r="M9" s="32">
        <v>85335.498150036816</v>
      </c>
      <c r="N9" s="32">
        <v>85671.840615300389</v>
      </c>
      <c r="O9" s="32">
        <v>85914.862737048155</v>
      </c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</row>
    <row r="10" spans="1:51" hidden="1" x14ac:dyDescent="0.25">
      <c r="A10" s="83" t="s">
        <v>111</v>
      </c>
      <c r="B10" s="31"/>
      <c r="C10" s="32">
        <v>272190.02668968524</v>
      </c>
      <c r="D10" s="32">
        <v>270492.95206030377</v>
      </c>
      <c r="E10" s="32">
        <v>268778.4692620174</v>
      </c>
      <c r="F10" s="32">
        <v>268407.66245655634</v>
      </c>
      <c r="G10" s="32">
        <v>175277.71317416345</v>
      </c>
      <c r="H10" s="32">
        <v>101685.32193533392</v>
      </c>
      <c r="I10" s="32">
        <v>84467.599423007181</v>
      </c>
      <c r="J10" s="32">
        <v>84455.771384228574</v>
      </c>
      <c r="K10" s="32">
        <v>84761.639815913266</v>
      </c>
      <c r="L10" s="32">
        <v>85129.42972183213</v>
      </c>
      <c r="M10" s="32">
        <v>85335.498150036816</v>
      </c>
      <c r="N10" s="32">
        <v>85671.840615300389</v>
      </c>
      <c r="O10" s="32">
        <v>85914.862737048155</v>
      </c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</row>
    <row r="11" spans="1:51" hidden="1" x14ac:dyDescent="0.25">
      <c r="A11" s="83" t="s">
        <v>228</v>
      </c>
      <c r="B11" s="31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</row>
    <row r="12" spans="1:51" hidden="1" x14ac:dyDescent="0.25">
      <c r="A12" s="31" t="s">
        <v>112</v>
      </c>
      <c r="B12" s="31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>
        <v>97325.23092921832</v>
      </c>
      <c r="Q12" s="32">
        <v>98214.737688801615</v>
      </c>
      <c r="R12" s="32">
        <v>99169.414718733839</v>
      </c>
      <c r="S12" s="32">
        <v>100143.75595131489</v>
      </c>
      <c r="T12" s="32">
        <v>101160.51442046379</v>
      </c>
      <c r="U12" s="32">
        <v>102262.10828223269</v>
      </c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</row>
    <row r="13" spans="1:51" ht="14.25" hidden="1" customHeight="1" x14ac:dyDescent="0.25">
      <c r="A13" s="31" t="s">
        <v>113</v>
      </c>
      <c r="B13" s="31"/>
      <c r="C13" s="33">
        <v>0</v>
      </c>
      <c r="D13" s="33">
        <v>0</v>
      </c>
      <c r="E13" s="33">
        <v>0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0</v>
      </c>
      <c r="M13" s="33">
        <v>0</v>
      </c>
      <c r="N13" s="33">
        <v>0</v>
      </c>
      <c r="O13" s="33">
        <v>0</v>
      </c>
      <c r="P13" s="32"/>
      <c r="Q13" s="32"/>
      <c r="R13" s="32"/>
      <c r="S13" s="32"/>
      <c r="T13" s="32"/>
      <c r="U13" s="32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</row>
    <row r="14" spans="1:51" ht="14.25" hidden="1" customHeight="1" x14ac:dyDescent="0.25">
      <c r="A14" s="31" t="s">
        <v>155</v>
      </c>
      <c r="B14" s="31"/>
      <c r="C14" s="33">
        <v>0</v>
      </c>
      <c r="D14" s="33">
        <v>0</v>
      </c>
      <c r="E14" s="33">
        <v>0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0</v>
      </c>
      <c r="M14" s="33">
        <v>0</v>
      </c>
      <c r="N14" s="33">
        <v>0</v>
      </c>
      <c r="O14" s="33">
        <v>0</v>
      </c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</row>
    <row r="15" spans="1:51" ht="14.25" hidden="1" customHeight="1" x14ac:dyDescent="0.25">
      <c r="A15" s="88" t="s">
        <v>114</v>
      </c>
      <c r="B15" s="31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</row>
    <row r="16" spans="1:51" ht="14.25" hidden="1" customHeight="1" x14ac:dyDescent="0.25">
      <c r="A16" s="88" t="s">
        <v>115</v>
      </c>
      <c r="B16" s="31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</row>
    <row r="17" spans="1:39" ht="14.25" hidden="1" customHeight="1" x14ac:dyDescent="0.25">
      <c r="A17" s="88" t="s">
        <v>116</v>
      </c>
      <c r="B17" s="31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</row>
    <row r="18" spans="1:39" ht="14.25" hidden="1" customHeight="1" x14ac:dyDescent="0.25">
      <c r="A18" s="31" t="s">
        <v>10</v>
      </c>
      <c r="B18" s="31"/>
      <c r="C18" s="33">
        <v>0</v>
      </c>
      <c r="D18" s="33">
        <v>0</v>
      </c>
      <c r="E18" s="33">
        <v>0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0</v>
      </c>
      <c r="M18" s="33">
        <v>0</v>
      </c>
      <c r="N18" s="33">
        <v>0</v>
      </c>
      <c r="O18" s="33">
        <v>0</v>
      </c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</row>
    <row r="19" spans="1:39" ht="14.25" hidden="1" customHeight="1" x14ac:dyDescent="0.25">
      <c r="A19" s="34" t="s">
        <v>117</v>
      </c>
      <c r="B19" s="34"/>
      <c r="C19" s="33">
        <v>0</v>
      </c>
      <c r="D19" s="33">
        <v>0</v>
      </c>
      <c r="E19" s="33">
        <v>0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0</v>
      </c>
      <c r="M19" s="33">
        <v>0</v>
      </c>
      <c r="N19" s="33">
        <v>0</v>
      </c>
      <c r="O19" s="33">
        <v>0</v>
      </c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</row>
    <row r="20" spans="1:39" hidden="1" x14ac:dyDescent="0.25">
      <c r="A20" s="29" t="s">
        <v>118</v>
      </c>
      <c r="B20" s="29"/>
      <c r="C20" s="126">
        <v>135676.78705987631</v>
      </c>
      <c r="D20" s="126">
        <v>135891.08098804214</v>
      </c>
      <c r="E20" s="126">
        <v>111260.33360745074</v>
      </c>
      <c r="F20" s="126">
        <v>142447.35562209084</v>
      </c>
      <c r="G20" s="126">
        <v>106849.07995671357</v>
      </c>
      <c r="H20" s="126">
        <v>61989.288605905444</v>
      </c>
      <c r="I20" s="126">
        <v>28977.938741568083</v>
      </c>
      <c r="J20" s="126">
        <v>41283.297385606216</v>
      </c>
      <c r="K20" s="126">
        <v>78193.713439871877</v>
      </c>
      <c r="L20" s="126">
        <v>44488.391680800545</v>
      </c>
      <c r="M20" s="126">
        <v>71511.920905309191</v>
      </c>
      <c r="N20" s="126">
        <v>56967.042635151345</v>
      </c>
      <c r="O20" s="126">
        <v>64016.820233847458</v>
      </c>
      <c r="P20" s="126">
        <v>121582.32980179577</v>
      </c>
      <c r="Q20" s="126">
        <v>91905.012008122008</v>
      </c>
      <c r="R20" s="126">
        <v>115374.65990315445</v>
      </c>
      <c r="S20" s="126">
        <v>131458.2947984635</v>
      </c>
      <c r="T20" s="126">
        <v>126861.25256127412</v>
      </c>
      <c r="U20" s="126">
        <v>119375.07919195297</v>
      </c>
      <c r="V20" s="126"/>
      <c r="W20" s="126"/>
      <c r="X20" s="126"/>
      <c r="Y20" s="126"/>
      <c r="Z20" s="126"/>
      <c r="AA20" s="126"/>
      <c r="AB20" s="126"/>
      <c r="AC20" s="126"/>
      <c r="AD20" s="126"/>
      <c r="AE20" s="126"/>
      <c r="AF20" s="126"/>
      <c r="AG20" s="126"/>
      <c r="AH20" s="126"/>
      <c r="AI20" s="126"/>
      <c r="AJ20" s="126"/>
      <c r="AK20" s="126"/>
      <c r="AL20" s="126"/>
      <c r="AM20" s="126"/>
    </row>
    <row r="21" spans="1:39" hidden="1" x14ac:dyDescent="0.25">
      <c r="A21" s="34" t="s">
        <v>149</v>
      </c>
      <c r="B21" s="34"/>
      <c r="C21" s="127">
        <v>135676.78705987631</v>
      </c>
      <c r="D21" s="127">
        <v>135891.08098804214</v>
      </c>
      <c r="E21" s="127">
        <v>111260.33360745074</v>
      </c>
      <c r="F21" s="127">
        <v>142447.35562209084</v>
      </c>
      <c r="G21" s="127">
        <v>106849.07995671357</v>
      </c>
      <c r="H21" s="127">
        <v>61989.288605905444</v>
      </c>
      <c r="I21" s="127">
        <v>28977.938741568083</v>
      </c>
      <c r="J21" s="127">
        <v>41283.297385606216</v>
      </c>
      <c r="K21" s="127">
        <v>78193.713439871877</v>
      </c>
      <c r="L21" s="127">
        <v>44488.391680800545</v>
      </c>
      <c r="M21" s="127">
        <v>71511.920905309191</v>
      </c>
      <c r="N21" s="127">
        <v>56967.042635151345</v>
      </c>
      <c r="O21" s="127">
        <v>64016.820233847458</v>
      </c>
      <c r="P21" s="127">
        <v>121582.32980179577</v>
      </c>
      <c r="Q21" s="127">
        <v>91905.012008122008</v>
      </c>
      <c r="R21" s="127">
        <v>115374.65990315445</v>
      </c>
      <c r="S21" s="127">
        <v>131458.2947984635</v>
      </c>
      <c r="T21" s="127">
        <v>126861.25256127412</v>
      </c>
      <c r="U21" s="127">
        <v>119375.07919195297</v>
      </c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7"/>
      <c r="AG21" s="127"/>
      <c r="AH21" s="127"/>
      <c r="AI21" s="127"/>
      <c r="AJ21" s="127"/>
      <c r="AK21" s="127"/>
      <c r="AL21" s="127"/>
      <c r="AM21" s="127"/>
    </row>
    <row r="22" spans="1:39" hidden="1" x14ac:dyDescent="0.25">
      <c r="A22" s="83" t="s">
        <v>120</v>
      </c>
      <c r="B22" s="83"/>
      <c r="C22" s="127"/>
      <c r="D22" s="127"/>
      <c r="E22" s="127"/>
      <c r="F22" s="127"/>
      <c r="G22" s="127"/>
      <c r="H22" s="127">
        <v>0</v>
      </c>
      <c r="I22" s="127">
        <v>0</v>
      </c>
      <c r="J22" s="127">
        <v>0</v>
      </c>
      <c r="K22" s="127">
        <v>0</v>
      </c>
      <c r="L22" s="127">
        <v>0</v>
      </c>
      <c r="M22" s="127">
        <v>0</v>
      </c>
      <c r="N22" s="127">
        <v>0</v>
      </c>
      <c r="O22" s="127">
        <v>0</v>
      </c>
      <c r="P22" s="127">
        <v>0</v>
      </c>
      <c r="Q22" s="127">
        <v>0</v>
      </c>
      <c r="R22" s="127">
        <v>0</v>
      </c>
      <c r="S22" s="127">
        <v>0</v>
      </c>
      <c r="T22" s="127">
        <v>0</v>
      </c>
      <c r="U22" s="127">
        <v>0</v>
      </c>
      <c r="V22" s="127"/>
      <c r="W22" s="127"/>
      <c r="X22" s="127"/>
      <c r="Y22" s="127"/>
      <c r="Z22" s="127"/>
      <c r="AA22" s="127"/>
      <c r="AB22" s="127"/>
      <c r="AC22" s="127"/>
      <c r="AD22" s="127"/>
      <c r="AE22" s="127"/>
      <c r="AF22" s="127"/>
      <c r="AG22" s="127"/>
      <c r="AH22" s="127"/>
      <c r="AI22" s="127"/>
      <c r="AJ22" s="127"/>
      <c r="AK22" s="127"/>
      <c r="AL22" s="127"/>
      <c r="AM22" s="127"/>
    </row>
    <row r="23" spans="1:39" hidden="1" x14ac:dyDescent="0.25">
      <c r="A23" s="83" t="s">
        <v>121</v>
      </c>
      <c r="B23" s="83"/>
      <c r="C23" s="127">
        <v>135676.78705987631</v>
      </c>
      <c r="D23" s="127">
        <v>135891.08098804214</v>
      </c>
      <c r="E23" s="127">
        <v>111260.33360745074</v>
      </c>
      <c r="F23" s="127">
        <v>142447.35562209084</v>
      </c>
      <c r="G23" s="127">
        <v>106849.07995671357</v>
      </c>
      <c r="H23" s="127">
        <v>61989.288605905444</v>
      </c>
      <c r="I23" s="127">
        <v>28977.938741568083</v>
      </c>
      <c r="J23" s="127">
        <v>41283.297385606216</v>
      </c>
      <c r="K23" s="127">
        <v>78193.713439871877</v>
      </c>
      <c r="L23" s="127">
        <v>44488.391680800545</v>
      </c>
      <c r="M23" s="127">
        <v>71511.920905309191</v>
      </c>
      <c r="N23" s="127">
        <v>56967.042635151345</v>
      </c>
      <c r="O23" s="127">
        <v>64016.820233847458</v>
      </c>
      <c r="P23" s="127">
        <v>121582.32980179577</v>
      </c>
      <c r="Q23" s="127">
        <v>91905.012008122008</v>
      </c>
      <c r="R23" s="127">
        <v>115374.65990315445</v>
      </c>
      <c r="S23" s="127">
        <v>131458.2947984635</v>
      </c>
      <c r="T23" s="127">
        <v>126861.25256127412</v>
      </c>
      <c r="U23" s="127">
        <v>119375.07919195297</v>
      </c>
      <c r="V23" s="127"/>
      <c r="W23" s="127"/>
      <c r="X23" s="127"/>
      <c r="Y23" s="127"/>
      <c r="Z23" s="127"/>
      <c r="AA23" s="127"/>
      <c r="AB23" s="127"/>
      <c r="AC23" s="127"/>
      <c r="AD23" s="127"/>
      <c r="AE23" s="127"/>
      <c r="AF23" s="127"/>
      <c r="AG23" s="127"/>
      <c r="AH23" s="127"/>
      <c r="AI23" s="127"/>
      <c r="AJ23" s="127"/>
      <c r="AK23" s="127"/>
      <c r="AL23" s="127"/>
      <c r="AM23" s="127"/>
    </row>
    <row r="24" spans="1:39" hidden="1" x14ac:dyDescent="0.25">
      <c r="A24" s="83" t="s">
        <v>156</v>
      </c>
      <c r="B24" s="83"/>
      <c r="C24" s="32"/>
      <c r="D24" s="32"/>
      <c r="E24" s="32"/>
      <c r="F24" s="32"/>
      <c r="G24" s="32"/>
      <c r="H24" s="32">
        <v>0</v>
      </c>
      <c r="I24" s="32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</row>
    <row r="25" spans="1:39" hidden="1" x14ac:dyDescent="0.25">
      <c r="A25" s="83" t="s">
        <v>17</v>
      </c>
      <c r="B25" s="83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</row>
    <row r="26" spans="1:39" hidden="1" x14ac:dyDescent="0.25">
      <c r="A26" s="31" t="s">
        <v>28</v>
      </c>
      <c r="B26" s="31"/>
      <c r="C26" s="32">
        <v>-31813.382508070168</v>
      </c>
      <c r="D26" s="32">
        <v>-31745.519428619307</v>
      </c>
      <c r="E26" s="32">
        <v>-31307.672840512307</v>
      </c>
      <c r="F26" s="32">
        <v>-30733.81773993553</v>
      </c>
      <c r="G26" s="32">
        <v>-27883.410998647749</v>
      </c>
      <c r="H26" s="32">
        <v>-10382.268310497684</v>
      </c>
      <c r="I26" s="32">
        <v>-8700.8067638055345</v>
      </c>
      <c r="J26" s="32">
        <v>-7753.5408708148971</v>
      </c>
      <c r="K26" s="32">
        <v>-7683.4262339708039</v>
      </c>
      <c r="L26" s="32">
        <v>-6222.0649373829083</v>
      </c>
      <c r="M26" s="32">
        <v>-6403.654615980392</v>
      </c>
      <c r="N26" s="32">
        <v>-5226.1300145712285</v>
      </c>
      <c r="O26" s="32">
        <v>-4765.5102459583795</v>
      </c>
      <c r="P26" s="32">
        <v>-822.32685694438646</v>
      </c>
      <c r="Q26" s="32">
        <v>-586.44273667340531</v>
      </c>
      <c r="R26" s="32">
        <v>-981.66532940207719</v>
      </c>
      <c r="S26" s="32">
        <v>-868.82068557163632</v>
      </c>
      <c r="T26" s="32">
        <v>-985.30550222512102</v>
      </c>
      <c r="U26" s="32">
        <v>-989.14210010912188</v>
      </c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</row>
    <row r="27" spans="1:39" hidden="1" x14ac:dyDescent="0.25">
      <c r="A27" s="35" t="s">
        <v>123</v>
      </c>
      <c r="B27" s="35"/>
      <c r="C27" s="30">
        <v>1114319.9123626756</v>
      </c>
      <c r="D27" s="30">
        <v>1111799.8530550092</v>
      </c>
      <c r="E27" s="30">
        <v>1066800.86830262</v>
      </c>
      <c r="F27" s="30">
        <v>1098849.8460597431</v>
      </c>
      <c r="G27" s="30">
        <v>889607.43925781373</v>
      </c>
      <c r="H27" s="30">
        <v>486372.64414433448</v>
      </c>
      <c r="I27" s="30">
        <v>398403.8587277612</v>
      </c>
      <c r="J27" s="30">
        <v>378646.89437808358</v>
      </c>
      <c r="K27" s="30">
        <v>389481.78501273971</v>
      </c>
      <c r="L27" s="30">
        <v>338100.31045617518</v>
      </c>
      <c r="M27" s="30">
        <v>345643.01443029102</v>
      </c>
      <c r="N27" s="30">
        <v>313106.69922680594</v>
      </c>
      <c r="O27" s="30">
        <v>301354.81471586262</v>
      </c>
      <c r="P27" s="30">
        <v>311919.27492093231</v>
      </c>
      <c r="Q27" s="30">
        <v>275222.69927354093</v>
      </c>
      <c r="R27" s="30">
        <v>292220.47314137185</v>
      </c>
      <c r="S27" s="30">
        <v>304004.85714619793</v>
      </c>
      <c r="T27" s="30">
        <v>294328.22379067412</v>
      </c>
      <c r="U27" s="30">
        <v>285485.83905963483</v>
      </c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</row>
    <row r="28" spans="1:39" hidden="1" x14ac:dyDescent="0.25">
      <c r="A28" s="31" t="s">
        <v>24</v>
      </c>
      <c r="B28" s="31"/>
      <c r="C28" s="32">
        <v>-738266.48112118419</v>
      </c>
      <c r="D28" s="32">
        <v>-737161.33943528275</v>
      </c>
      <c r="E28" s="32">
        <v>-718069.73827366426</v>
      </c>
      <c r="F28" s="32">
        <v>-718728.64572103159</v>
      </c>
      <c r="G28" s="32">
        <v>-635364.05712558446</v>
      </c>
      <c r="H28" s="32">
        <v>-847247.93487806711</v>
      </c>
      <c r="I28" s="32">
        <v>-702857.61390148883</v>
      </c>
      <c r="J28" s="32">
        <v>-491417.23792494176</v>
      </c>
      <c r="K28" s="32">
        <v>-276009.30874834792</v>
      </c>
      <c r="L28" s="32">
        <v>-47683.362971772091</v>
      </c>
      <c r="M28" s="32">
        <v>-43712.229995196896</v>
      </c>
      <c r="N28" s="32">
        <v>-39741.097018621695</v>
      </c>
      <c r="O28" s="32">
        <v>-35769.9640420465</v>
      </c>
      <c r="P28" s="32">
        <v>-107207.93940778087</v>
      </c>
      <c r="Q28" s="32">
        <v>-55604.424407780396</v>
      </c>
      <c r="R28" s="32">
        <v>-31946.553407781168</v>
      </c>
      <c r="S28" s="32">
        <v>-3548.7094077819402</v>
      </c>
      <c r="T28" s="32">
        <v>-3548.7094077819402</v>
      </c>
      <c r="U28" s="32">
        <v>-3548.7094077819402</v>
      </c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</row>
    <row r="29" spans="1:39" hidden="1" x14ac:dyDescent="0.25">
      <c r="A29" s="36" t="s">
        <v>125</v>
      </c>
      <c r="B29" s="36"/>
      <c r="C29" s="30">
        <v>376053.43124149146</v>
      </c>
      <c r="D29" s="30">
        <v>374638.51361972641</v>
      </c>
      <c r="E29" s="30">
        <v>348731.13002895575</v>
      </c>
      <c r="F29" s="30">
        <v>380121.2003387115</v>
      </c>
      <c r="G29" s="30">
        <v>254243.38213222928</v>
      </c>
      <c r="H29" s="30">
        <v>-360875.29073373263</v>
      </c>
      <c r="I29" s="30">
        <v>-304453.75517372764</v>
      </c>
      <c r="J29" s="30">
        <v>-112770.34354685817</v>
      </c>
      <c r="K29" s="30">
        <v>113472.47626439179</v>
      </c>
      <c r="L29" s="30">
        <v>290416.94748440309</v>
      </c>
      <c r="M29" s="30">
        <v>301930.7844350941</v>
      </c>
      <c r="N29" s="30">
        <v>273365.60220818425</v>
      </c>
      <c r="O29" s="30">
        <v>265584.85067381611</v>
      </c>
      <c r="P29" s="30">
        <v>204711.33551315143</v>
      </c>
      <c r="Q29" s="30">
        <v>219618.27486576053</v>
      </c>
      <c r="R29" s="30">
        <v>260273.91973359068</v>
      </c>
      <c r="S29" s="30">
        <v>300456.14773841598</v>
      </c>
      <c r="T29" s="30">
        <v>290779.51438289217</v>
      </c>
      <c r="U29" s="30">
        <v>281937.12965185288</v>
      </c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</row>
    <row r="30" spans="1:39" hidden="1" x14ac:dyDescent="0.25">
      <c r="A30" s="34" t="s">
        <v>126</v>
      </c>
      <c r="B30" s="34"/>
      <c r="C30" s="32">
        <v>-1835680.9482736699</v>
      </c>
      <c r="D30" s="32">
        <v>-1872903.8833040127</v>
      </c>
      <c r="E30" s="32">
        <v>-1973448.0819712183</v>
      </c>
      <c r="F30" s="32">
        <v>-1675131.582191587</v>
      </c>
      <c r="G30" s="32">
        <v>-1515173.2373215891</v>
      </c>
      <c r="H30" s="32">
        <v>-1656297.1897885932</v>
      </c>
      <c r="I30" s="32">
        <v>-1636925.3984977442</v>
      </c>
      <c r="J30" s="32">
        <v>-1643365.5116522228</v>
      </c>
      <c r="K30" s="32">
        <v>-1647355.5719358716</v>
      </c>
      <c r="L30" s="32">
        <v>-1608891.6087931837</v>
      </c>
      <c r="M30" s="32">
        <v>-1612692.6086982139</v>
      </c>
      <c r="N30" s="32">
        <v>-1599845.1936475439</v>
      </c>
      <c r="O30" s="32">
        <v>-1562792.5059122122</v>
      </c>
      <c r="P30" s="32">
        <v>-1397067.6446565094</v>
      </c>
      <c r="Q30" s="32">
        <v>-1386066.1273478302</v>
      </c>
      <c r="R30" s="32">
        <v>-1383860.9843969848</v>
      </c>
      <c r="S30" s="32">
        <v>-1384592.3093069866</v>
      </c>
      <c r="T30" s="32">
        <v>-1380231.6567679008</v>
      </c>
      <c r="U30" s="32">
        <v>-1391303.2469004851</v>
      </c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</row>
    <row r="31" spans="1:39" hidden="1" x14ac:dyDescent="0.25">
      <c r="A31" s="31" t="s">
        <v>157</v>
      </c>
      <c r="B31" s="31"/>
      <c r="C31" s="33">
        <v>0</v>
      </c>
      <c r="D31" s="33">
        <v>0</v>
      </c>
      <c r="E31" s="33">
        <v>0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3">
        <v>0</v>
      </c>
      <c r="O31" s="33">
        <v>0</v>
      </c>
      <c r="P31" s="33">
        <v>0</v>
      </c>
      <c r="Q31" s="33">
        <v>0</v>
      </c>
      <c r="R31" s="33">
        <v>0</v>
      </c>
      <c r="S31" s="33">
        <v>0</v>
      </c>
      <c r="T31" s="33">
        <v>0</v>
      </c>
      <c r="U31" s="33">
        <v>0</v>
      </c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</row>
    <row r="32" spans="1:39" hidden="1" x14ac:dyDescent="0.25">
      <c r="A32" s="29" t="s">
        <v>127</v>
      </c>
      <c r="B32" s="29"/>
      <c r="C32" s="30">
        <v>-1459627.5170321786</v>
      </c>
      <c r="D32" s="30">
        <v>-1498265.3696842864</v>
      </c>
      <c r="E32" s="30">
        <v>-1624716.9519422627</v>
      </c>
      <c r="F32" s="30">
        <v>-1295010.3818528755</v>
      </c>
      <c r="G32" s="30">
        <v>-1260929.8551893597</v>
      </c>
      <c r="H32" s="30">
        <v>-2017172.4805223257</v>
      </c>
      <c r="I32" s="30">
        <v>-1941379.1536714719</v>
      </c>
      <c r="J32" s="30">
        <v>-1756135.8551990809</v>
      </c>
      <c r="K32" s="30">
        <v>-1533883.0956714798</v>
      </c>
      <c r="L32" s="30">
        <v>-1318474.6613087805</v>
      </c>
      <c r="M32" s="30">
        <v>-1310761.8242631198</v>
      </c>
      <c r="N32" s="30">
        <v>-1326479.5914393596</v>
      </c>
      <c r="O32" s="30">
        <v>-1297207.655238396</v>
      </c>
      <c r="P32" s="30">
        <v>-1192356.3091433579</v>
      </c>
      <c r="Q32" s="30">
        <v>-1166447.8524820697</v>
      </c>
      <c r="R32" s="30">
        <v>-1123587.0646633941</v>
      </c>
      <c r="S32" s="30">
        <v>-1084136.1615685706</v>
      </c>
      <c r="T32" s="30">
        <v>-1089452.1423850087</v>
      </c>
      <c r="U32" s="30">
        <v>-1109366.1172486322</v>
      </c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</row>
    <row r="33" spans="1:51" hidden="1" x14ac:dyDescent="0.25">
      <c r="A33" s="31" t="s">
        <v>128</v>
      </c>
      <c r="B33" s="31"/>
      <c r="C33" s="32">
        <v>-429597.20186157664</v>
      </c>
      <c r="D33" s="32">
        <v>-437997.2018615767</v>
      </c>
      <c r="E33" s="32">
        <v>-439327.61177274375</v>
      </c>
      <c r="F33" s="32">
        <v>-421436.56568333402</v>
      </c>
      <c r="G33" s="32">
        <v>-417625.25125400454</v>
      </c>
      <c r="H33" s="32">
        <v>-429779.03291124565</v>
      </c>
      <c r="I33" s="32">
        <v>-438613.8774332453</v>
      </c>
      <c r="J33" s="32">
        <v>-438613.8774332453</v>
      </c>
      <c r="K33" s="32">
        <v>-438613.8774332453</v>
      </c>
      <c r="L33" s="32">
        <v>-431988.87743324542</v>
      </c>
      <c r="M33" s="32">
        <v>-431988.87743324542</v>
      </c>
      <c r="N33" s="32">
        <v>-431988.87743324542</v>
      </c>
      <c r="O33" s="32">
        <v>-431988.87743324542</v>
      </c>
      <c r="P33" s="32">
        <v>-465132.67438795214</v>
      </c>
      <c r="Q33" s="32">
        <v>-467824.98208025983</v>
      </c>
      <c r="R33" s="32">
        <v>-469806.79747253633</v>
      </c>
      <c r="S33" s="32">
        <v>-469806.79747253633</v>
      </c>
      <c r="T33" s="32">
        <v>-469806.79747253633</v>
      </c>
      <c r="U33" s="32">
        <v>-482605.70814802183</v>
      </c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</row>
    <row r="34" spans="1:51" hidden="1" x14ac:dyDescent="0.25">
      <c r="A34" s="36" t="s">
        <v>129</v>
      </c>
      <c r="B34" s="36"/>
      <c r="C34" s="30">
        <v>-1889224.7188937552</v>
      </c>
      <c r="D34" s="30">
        <v>-1936262.5715458631</v>
      </c>
      <c r="E34" s="30">
        <v>-2064044.5637150065</v>
      </c>
      <c r="F34" s="30">
        <v>-1716446.9475362096</v>
      </c>
      <c r="G34" s="30">
        <v>-1678555.1064433642</v>
      </c>
      <c r="H34" s="30">
        <v>-2446951.5134335714</v>
      </c>
      <c r="I34" s="30">
        <v>-2379993.0311047174</v>
      </c>
      <c r="J34" s="30">
        <v>-2194749.732632326</v>
      </c>
      <c r="K34" s="30">
        <v>-1972496.9731047251</v>
      </c>
      <c r="L34" s="30">
        <v>-1750463.5387420258</v>
      </c>
      <c r="M34" s="30">
        <v>-1742750.7016963651</v>
      </c>
      <c r="N34" s="30">
        <v>-1758468.4688726049</v>
      </c>
      <c r="O34" s="30">
        <v>-1729196.5326716416</v>
      </c>
      <c r="P34" s="30">
        <v>-1657488.98353131</v>
      </c>
      <c r="Q34" s="30">
        <v>-1634272.8345623296</v>
      </c>
      <c r="R34" s="30">
        <v>-1593393.8621359305</v>
      </c>
      <c r="S34" s="30">
        <v>-1553942.959041107</v>
      </c>
      <c r="T34" s="30">
        <v>-1559258.9398575451</v>
      </c>
      <c r="U34" s="30">
        <v>-1591971.8253966542</v>
      </c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</row>
    <row r="35" spans="1:51" hidden="1" x14ac:dyDescent="0.25">
      <c r="A35" s="31" t="s">
        <v>42</v>
      </c>
      <c r="B35" s="31"/>
      <c r="C35" s="32">
        <v>850151.12350218988</v>
      </c>
      <c r="D35" s="32">
        <v>871318.1571956384</v>
      </c>
      <c r="E35" s="32">
        <v>928820.05367175292</v>
      </c>
      <c r="F35" s="32">
        <v>772401.1263912943</v>
      </c>
      <c r="G35" s="32">
        <v>755349.79789951385</v>
      </c>
      <c r="H35" s="32">
        <v>978780.60537342867</v>
      </c>
      <c r="I35" s="32">
        <v>951997.21244188701</v>
      </c>
      <c r="J35" s="32">
        <v>877899.89305293048</v>
      </c>
      <c r="K35" s="32">
        <v>788998.78924189007</v>
      </c>
      <c r="L35" s="120">
        <v>787708.59243391163</v>
      </c>
      <c r="M35" s="32">
        <v>784237.81576336431</v>
      </c>
      <c r="N35" s="32">
        <v>791310.81099267222</v>
      </c>
      <c r="O35" s="32">
        <v>778138.43970223877</v>
      </c>
      <c r="P35" s="32">
        <v>662995.59341252409</v>
      </c>
      <c r="Q35" s="32">
        <v>653709.13382493192</v>
      </c>
      <c r="R35" s="32">
        <v>637357.54485437227</v>
      </c>
      <c r="S35" s="32">
        <v>621577.18361644284</v>
      </c>
      <c r="T35" s="32">
        <v>623703.57594301808</v>
      </c>
      <c r="U35" s="32">
        <v>636788.73015866172</v>
      </c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</row>
    <row r="36" spans="1:51" ht="13.5" hidden="1" customHeight="1" x14ac:dyDescent="0.25">
      <c r="A36" s="37" t="s">
        <v>130</v>
      </c>
      <c r="B36" s="37"/>
      <c r="C36" s="37">
        <v>-1039073.5953915654</v>
      </c>
      <c r="D36" s="37">
        <v>-1064944.4143502247</v>
      </c>
      <c r="E36" s="37">
        <v>-1135224.5100432537</v>
      </c>
      <c r="F36" s="37">
        <v>-944045.8211449153</v>
      </c>
      <c r="G36" s="37">
        <v>-923205.30854385032</v>
      </c>
      <c r="H36" s="37">
        <v>-1468170.9080601428</v>
      </c>
      <c r="I36" s="37">
        <v>-1427995.8186628304</v>
      </c>
      <c r="J36" s="37">
        <v>-1316849.8395793955</v>
      </c>
      <c r="K36" s="37">
        <v>-1183498.1838628352</v>
      </c>
      <c r="L36" s="37">
        <v>-962754.94630811422</v>
      </c>
      <c r="M36" s="37">
        <v>-958512.88593300083</v>
      </c>
      <c r="N36" s="37">
        <v>-967157.65787993267</v>
      </c>
      <c r="O36" s="37">
        <v>-951058.09296940279</v>
      </c>
      <c r="P36" s="37">
        <v>-994493.3901187859</v>
      </c>
      <c r="Q36" s="37">
        <v>-980563.70073739765</v>
      </c>
      <c r="R36" s="37">
        <v>-956036.31728155818</v>
      </c>
      <c r="S36" s="37">
        <v>-932365.77542466414</v>
      </c>
      <c r="T36" s="37">
        <v>-935555.363914527</v>
      </c>
      <c r="U36" s="37">
        <v>-955183.09523799247</v>
      </c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</row>
    <row r="37" spans="1:51" hidden="1" x14ac:dyDescent="0.25">
      <c r="A37" s="31" t="s">
        <v>158</v>
      </c>
      <c r="B37" s="31"/>
      <c r="C37" s="33">
        <v>0</v>
      </c>
      <c r="D37" s="33">
        <v>0</v>
      </c>
      <c r="E37" s="33">
        <v>0</v>
      </c>
      <c r="F37" s="33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</row>
    <row r="38" spans="1:51" hidden="1" x14ac:dyDescent="0.25">
      <c r="A38" s="37" t="s">
        <v>132</v>
      </c>
      <c r="B38" s="37"/>
      <c r="C38" s="37">
        <v>-1039073.5953915654</v>
      </c>
      <c r="D38" s="37">
        <v>-1064944.4143502247</v>
      </c>
      <c r="E38" s="37">
        <v>-1135224.5100432537</v>
      </c>
      <c r="F38" s="37">
        <v>-944045.8211449153</v>
      </c>
      <c r="G38" s="37">
        <v>-923205.30854385032</v>
      </c>
      <c r="H38" s="37">
        <v>-1468170.9080601428</v>
      </c>
      <c r="I38" s="37">
        <v>-1427995.8186628304</v>
      </c>
      <c r="J38" s="37">
        <v>-1316849.8395793955</v>
      </c>
      <c r="K38" s="37">
        <v>-1183498.1838628352</v>
      </c>
      <c r="L38" s="37">
        <v>-962754.94630811422</v>
      </c>
      <c r="M38" s="37">
        <v>-958512.88593300083</v>
      </c>
      <c r="N38" s="37">
        <v>-967157.65787993267</v>
      </c>
      <c r="O38" s="37">
        <v>-951058.09296940279</v>
      </c>
      <c r="P38" s="37">
        <v>-994493.3901187859</v>
      </c>
      <c r="Q38" s="37">
        <v>-980563.70073739765</v>
      </c>
      <c r="R38" s="37">
        <v>-956036.31728155818</v>
      </c>
      <c r="S38" s="37">
        <v>-932365.77542466414</v>
      </c>
      <c r="T38" s="37">
        <v>-935555.363914527</v>
      </c>
      <c r="U38" s="37">
        <v>-955183.09523799247</v>
      </c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</row>
    <row r="39" spans="1:51" ht="17.25" hidden="1" customHeight="1" x14ac:dyDescent="0.25"/>
    <row r="40" spans="1:51" x14ac:dyDescent="0.25">
      <c r="A40" s="28" t="s">
        <v>159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>
        <v>45961</v>
      </c>
      <c r="AL40" s="23">
        <v>45991</v>
      </c>
      <c r="AM40" s="23">
        <v>46022</v>
      </c>
      <c r="AN40" s="23">
        <v>46053</v>
      </c>
      <c r="AO40" s="23">
        <v>46081</v>
      </c>
      <c r="AP40" s="23">
        <v>46112</v>
      </c>
      <c r="AQ40" s="23">
        <v>46142</v>
      </c>
      <c r="AR40" s="23">
        <v>46173</v>
      </c>
      <c r="AS40" s="23">
        <v>46203</v>
      </c>
      <c r="AT40" s="23">
        <v>46234</v>
      </c>
      <c r="AU40" s="23">
        <v>46265</v>
      </c>
      <c r="AV40" s="23">
        <v>46295</v>
      </c>
      <c r="AW40" s="23">
        <v>46326</v>
      </c>
      <c r="AX40" s="23">
        <v>46356</v>
      </c>
      <c r="AY40" s="23">
        <v>46387</v>
      </c>
    </row>
    <row r="41" spans="1:51" s="275" customFormat="1" x14ac:dyDescent="0.25">
      <c r="A41" s="272" t="s">
        <v>105</v>
      </c>
      <c r="B41" s="272"/>
      <c r="C41" s="273"/>
      <c r="D41" s="273"/>
      <c r="E41" s="273"/>
      <c r="F41" s="273"/>
      <c r="G41" s="273"/>
      <c r="H41" s="273"/>
      <c r="I41" s="273"/>
      <c r="J41" s="273"/>
      <c r="K41" s="273"/>
      <c r="L41" s="273"/>
      <c r="M41" s="273"/>
      <c r="N41" s="273"/>
      <c r="O41" s="273"/>
      <c r="P41" s="273"/>
      <c r="Q41" s="273"/>
      <c r="R41" s="273"/>
      <c r="S41" s="273"/>
      <c r="T41" s="273"/>
      <c r="U41" s="273"/>
      <c r="V41" s="273"/>
      <c r="W41" s="273"/>
      <c r="X41" s="273"/>
      <c r="Y41" s="273"/>
      <c r="Z41" s="273"/>
      <c r="AA41" s="273"/>
      <c r="AB41" s="273"/>
      <c r="AC41" s="273"/>
      <c r="AD41" s="273"/>
      <c r="AE41" s="273"/>
      <c r="AF41" s="273"/>
      <c r="AG41" s="273"/>
      <c r="AH41" s="273"/>
      <c r="AI41" s="273"/>
      <c r="AJ41" s="273"/>
      <c r="AK41" s="274">
        <v>7566322.7801623112</v>
      </c>
      <c r="AL41" s="274">
        <v>7624696.8756085997</v>
      </c>
      <c r="AM41" s="274">
        <v>8567872.1321728714</v>
      </c>
      <c r="AN41" s="274">
        <v>7701714.3278747303</v>
      </c>
      <c r="AO41" s="274">
        <v>6991516.2159811109</v>
      </c>
      <c r="AP41" s="274">
        <v>7759392.6523530688</v>
      </c>
      <c r="AQ41" s="274">
        <v>7551511.9999251757</v>
      </c>
      <c r="AR41" s="274">
        <v>7837760.5070570959</v>
      </c>
      <c r="AS41" s="274">
        <v>7626952.7998885429</v>
      </c>
      <c r="AT41" s="274">
        <v>7915101.693382415</v>
      </c>
      <c r="AU41" s="274">
        <v>7957281.7235967433</v>
      </c>
      <c r="AV41" s="274">
        <v>7742730.8212623885</v>
      </c>
      <c r="AW41" s="274">
        <v>8034591.5490920534</v>
      </c>
      <c r="AX41" s="274">
        <v>7819668.8829747951</v>
      </c>
      <c r="AY41" s="274">
        <v>8113540.6986555317</v>
      </c>
    </row>
    <row r="42" spans="1:51" x14ac:dyDescent="0.25">
      <c r="A42" s="36" t="s">
        <v>106</v>
      </c>
      <c r="B42" s="36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143">
        <v>7553856.2184601836</v>
      </c>
      <c r="AL42" s="143">
        <v>7612230.3139064722</v>
      </c>
      <c r="AM42" s="143">
        <v>8555405.5704707429</v>
      </c>
      <c r="AN42" s="143">
        <v>7701714.3278747303</v>
      </c>
      <c r="AO42" s="143">
        <v>6991516.2159811109</v>
      </c>
      <c r="AP42" s="143">
        <v>7759392.6523530688</v>
      </c>
      <c r="AQ42" s="143">
        <v>7551511.9999251757</v>
      </c>
      <c r="AR42" s="143">
        <v>7837760.5070570959</v>
      </c>
      <c r="AS42" s="143">
        <v>7626952.7998885429</v>
      </c>
      <c r="AT42" s="143">
        <v>7915101.693382415</v>
      </c>
      <c r="AU42" s="143">
        <v>7957281.7235967433</v>
      </c>
      <c r="AV42" s="143">
        <v>7742730.8212623885</v>
      </c>
      <c r="AW42" s="143">
        <v>8034591.5490920534</v>
      </c>
      <c r="AX42" s="143">
        <v>7819668.8829747951</v>
      </c>
      <c r="AY42" s="143">
        <v>8113540.6986555317</v>
      </c>
    </row>
    <row r="43" spans="1:51" x14ac:dyDescent="0.25">
      <c r="A43" s="311" t="s">
        <v>107</v>
      </c>
      <c r="B43" s="311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12">
        <v>5801472.071924828</v>
      </c>
      <c r="AL43" s="312">
        <v>5921701.6052248888</v>
      </c>
      <c r="AM43" s="312">
        <v>6819812.3072704878</v>
      </c>
      <c r="AN43" s="312">
        <v>5963466.9907451728</v>
      </c>
      <c r="AO43" s="312">
        <v>5428491.0037286356</v>
      </c>
      <c r="AP43" s="312">
        <v>6046154.6488325596</v>
      </c>
      <c r="AQ43" s="312">
        <v>5903016.4486825932</v>
      </c>
      <c r="AR43" s="312">
        <v>6147095.4900184721</v>
      </c>
      <c r="AS43" s="312">
        <v>6000520.7734480584</v>
      </c>
      <c r="AT43" s="312">
        <v>6247546.9930911092</v>
      </c>
      <c r="AU43" s="312">
        <v>6300778.3862424744</v>
      </c>
      <c r="AV43" s="312">
        <v>6149762.4658941692</v>
      </c>
      <c r="AW43" s="312">
        <v>6401948.16805619</v>
      </c>
      <c r="AX43" s="312">
        <v>6249989.7312229583</v>
      </c>
      <c r="AY43" s="312">
        <v>6505270.9585378421</v>
      </c>
    </row>
    <row r="44" spans="1:51" x14ac:dyDescent="0.25">
      <c r="A44" s="84" t="s">
        <v>229</v>
      </c>
      <c r="B44" s="84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45">
        <v>5816589.071924828</v>
      </c>
      <c r="AL44" s="45">
        <v>6051310.5452248892</v>
      </c>
      <c r="AM44" s="45">
        <v>6375548.8872704878</v>
      </c>
      <c r="AN44" s="45">
        <v>6005125.0754195033</v>
      </c>
      <c r="AO44" s="45">
        <v>5480059.0694620125</v>
      </c>
      <c r="AP44" s="45">
        <v>6098549.6855990337</v>
      </c>
      <c r="AQ44" s="45">
        <v>5955334.9157754965</v>
      </c>
      <c r="AR44" s="45">
        <v>6200782.6507593542</v>
      </c>
      <c r="AS44" s="45">
        <v>6054725.0136952633</v>
      </c>
      <c r="AT44" s="45">
        <v>6303928.0800816081</v>
      </c>
      <c r="AU44" s="45">
        <v>6358917.00706835</v>
      </c>
      <c r="AV44" s="45">
        <v>6208780.211324431</v>
      </c>
      <c r="AW44" s="45">
        <v>6463987.0555464122</v>
      </c>
      <c r="AX44" s="45">
        <v>6313056.2233560802</v>
      </c>
      <c r="AY44" s="45">
        <v>6571734.4595576227</v>
      </c>
    </row>
    <row r="45" spans="1:51" x14ac:dyDescent="0.25">
      <c r="A45" s="84" t="s">
        <v>230</v>
      </c>
      <c r="B45" s="84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234">
        <v>-15117</v>
      </c>
      <c r="AL45" s="234">
        <v>-129608.94</v>
      </c>
      <c r="AM45" s="234">
        <v>444263.42</v>
      </c>
      <c r="AN45" s="234">
        <v>-41658.084674330341</v>
      </c>
      <c r="AO45" s="234">
        <v>-51568.065733377218</v>
      </c>
      <c r="AP45" s="234">
        <v>-52395.03676647383</v>
      </c>
      <c r="AQ45" s="234">
        <v>-52318.46709290368</v>
      </c>
      <c r="AR45" s="234">
        <v>-53687.160740882464</v>
      </c>
      <c r="AS45" s="234">
        <v>-54204.240247204638</v>
      </c>
      <c r="AT45" s="234">
        <v>-56381.086990498523</v>
      </c>
      <c r="AU45" s="234">
        <v>-58138.620825876002</v>
      </c>
      <c r="AV45" s="234">
        <v>-59017.745430261704</v>
      </c>
      <c r="AW45" s="234">
        <v>-62038.887490222492</v>
      </c>
      <c r="AX45" s="234">
        <v>-63066.492133122345</v>
      </c>
      <c r="AY45" s="234">
        <v>-66463.501019780088</v>
      </c>
    </row>
    <row r="46" spans="1:51" x14ac:dyDescent="0.25">
      <c r="A46" s="84" t="s">
        <v>108</v>
      </c>
      <c r="B46" s="84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234">
        <v>0</v>
      </c>
      <c r="AL46" s="234">
        <v>0</v>
      </c>
      <c r="AM46" s="234">
        <v>0</v>
      </c>
      <c r="AN46" s="234">
        <v>0</v>
      </c>
      <c r="AO46" s="234">
        <v>0</v>
      </c>
      <c r="AP46" s="234">
        <v>0</v>
      </c>
      <c r="AQ46" s="234">
        <v>0</v>
      </c>
      <c r="AR46" s="234">
        <v>0</v>
      </c>
      <c r="AS46" s="234">
        <v>0</v>
      </c>
      <c r="AT46" s="234">
        <v>0</v>
      </c>
      <c r="AU46" s="234">
        <v>0</v>
      </c>
      <c r="AV46" s="234">
        <v>0</v>
      </c>
      <c r="AW46" s="234">
        <v>0</v>
      </c>
      <c r="AX46" s="234">
        <v>0</v>
      </c>
      <c r="AY46" s="234">
        <v>0</v>
      </c>
    </row>
    <row r="47" spans="1:51" x14ac:dyDescent="0.25">
      <c r="A47" s="84" t="s">
        <v>109</v>
      </c>
      <c r="B47" s="84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234">
        <v>0</v>
      </c>
      <c r="AL47" s="234">
        <v>0</v>
      </c>
      <c r="AM47" s="234">
        <v>0</v>
      </c>
      <c r="AN47" s="234">
        <v>0</v>
      </c>
      <c r="AO47" s="234">
        <v>0</v>
      </c>
      <c r="AP47" s="234">
        <v>0</v>
      </c>
      <c r="AQ47" s="234">
        <v>0</v>
      </c>
      <c r="AR47" s="234">
        <v>0</v>
      </c>
      <c r="AS47" s="234">
        <v>0</v>
      </c>
      <c r="AT47" s="234">
        <v>0</v>
      </c>
      <c r="AU47" s="234">
        <v>0</v>
      </c>
      <c r="AV47" s="234">
        <v>0</v>
      </c>
      <c r="AW47" s="234">
        <v>0</v>
      </c>
      <c r="AX47" s="234">
        <v>0</v>
      </c>
      <c r="AY47" s="234">
        <v>0</v>
      </c>
    </row>
    <row r="48" spans="1:51" x14ac:dyDescent="0.25">
      <c r="A48" s="84" t="s">
        <v>110</v>
      </c>
      <c r="B48" s="84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234">
        <v>1752384.1465353556</v>
      </c>
      <c r="AL48" s="234">
        <v>1690528.7086815832</v>
      </c>
      <c r="AM48" s="234">
        <v>1735593.2632002553</v>
      </c>
      <c r="AN48" s="234">
        <v>1725780.7754274297</v>
      </c>
      <c r="AO48" s="234">
        <v>1550558.650550348</v>
      </c>
      <c r="AP48" s="234">
        <v>1700771.4418183819</v>
      </c>
      <c r="AQ48" s="234">
        <v>1636028.9895404547</v>
      </c>
      <c r="AR48" s="234">
        <v>1678198.4553364958</v>
      </c>
      <c r="AS48" s="234">
        <v>1613965.4647383571</v>
      </c>
      <c r="AT48" s="234">
        <v>1655088.138589178</v>
      </c>
      <c r="AU48" s="234">
        <v>1644036.7756521411</v>
      </c>
      <c r="AV48" s="234">
        <v>1580501.7936660915</v>
      </c>
      <c r="AW48" s="234">
        <v>1620176.8193337361</v>
      </c>
      <c r="AX48" s="234">
        <v>1557212.590049709</v>
      </c>
      <c r="AY48" s="234">
        <v>1595803.1784155623</v>
      </c>
    </row>
    <row r="49" spans="1:51" x14ac:dyDescent="0.25">
      <c r="A49" s="31" t="s">
        <v>111</v>
      </c>
      <c r="B49" s="31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234">
        <v>0</v>
      </c>
      <c r="AL49" s="234">
        <v>0</v>
      </c>
      <c r="AM49" s="234">
        <v>0</v>
      </c>
      <c r="AN49" s="234">
        <v>0</v>
      </c>
      <c r="AO49" s="234">
        <v>0</v>
      </c>
      <c r="AP49" s="234">
        <v>0</v>
      </c>
      <c r="AQ49" s="234">
        <v>0</v>
      </c>
      <c r="AR49" s="234">
        <v>0</v>
      </c>
      <c r="AS49" s="234">
        <v>0</v>
      </c>
      <c r="AT49" s="234">
        <v>0</v>
      </c>
      <c r="AU49" s="234">
        <v>0</v>
      </c>
      <c r="AV49" s="234">
        <v>0</v>
      </c>
      <c r="AW49" s="234">
        <v>0</v>
      </c>
      <c r="AX49" s="234">
        <v>0</v>
      </c>
      <c r="AY49" s="234">
        <v>0</v>
      </c>
    </row>
    <row r="50" spans="1:51" hidden="1" outlineLevel="1" x14ac:dyDescent="0.25">
      <c r="A50" s="83" t="s">
        <v>111</v>
      </c>
      <c r="B50" s="31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</row>
    <row r="51" spans="1:51" hidden="1" outlineLevel="1" x14ac:dyDescent="0.25">
      <c r="A51" s="83" t="s">
        <v>228</v>
      </c>
      <c r="B51" s="31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</row>
    <row r="52" spans="1:51" collapsed="1" x14ac:dyDescent="0.25">
      <c r="A52" s="31" t="s">
        <v>112</v>
      </c>
      <c r="B52" s="31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45">
        <v>12466.561702127659</v>
      </c>
      <c r="AL52" s="45">
        <v>12466.561702127659</v>
      </c>
      <c r="AM52" s="45">
        <v>12466.561702127659</v>
      </c>
      <c r="AN52" s="45">
        <v>12466.561702127659</v>
      </c>
      <c r="AO52" s="45">
        <v>12466.561702127659</v>
      </c>
      <c r="AP52" s="45">
        <v>12466.561702127659</v>
      </c>
      <c r="AQ52" s="45">
        <v>12466.561702127659</v>
      </c>
      <c r="AR52" s="45">
        <v>12466.561702127659</v>
      </c>
      <c r="AS52" s="45">
        <v>12466.561702127659</v>
      </c>
      <c r="AT52" s="45">
        <v>12466.561702127659</v>
      </c>
      <c r="AU52" s="45">
        <v>12466.561702127659</v>
      </c>
      <c r="AV52" s="45">
        <v>12466.561702127659</v>
      </c>
      <c r="AW52" s="45">
        <v>12466.561702127659</v>
      </c>
      <c r="AX52" s="45">
        <v>12466.561702127659</v>
      </c>
      <c r="AY52" s="45">
        <v>12466.561702127659</v>
      </c>
    </row>
    <row r="53" spans="1:51" x14ac:dyDescent="0.25">
      <c r="A53" s="31" t="s">
        <v>113</v>
      </c>
      <c r="B53" s="31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</row>
    <row r="54" spans="1:51" x14ac:dyDescent="0.25">
      <c r="A54" s="31" t="s">
        <v>155</v>
      </c>
      <c r="B54" s="31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</row>
    <row r="55" spans="1:51" hidden="1" outlineLevel="1" x14ac:dyDescent="0.25">
      <c r="A55" s="88" t="s">
        <v>114</v>
      </c>
      <c r="B55" s="31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</row>
    <row r="56" spans="1:51" hidden="1" outlineLevel="1" x14ac:dyDescent="0.25">
      <c r="A56" s="88" t="s">
        <v>115</v>
      </c>
      <c r="B56" s="31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</row>
    <row r="57" spans="1:51" hidden="1" outlineLevel="1" x14ac:dyDescent="0.25">
      <c r="A57" s="88" t="s">
        <v>116</v>
      </c>
      <c r="B57" s="31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</row>
    <row r="58" spans="1:51" collapsed="1" x14ac:dyDescent="0.25">
      <c r="A58" s="31" t="s">
        <v>10</v>
      </c>
      <c r="B58" s="31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</row>
    <row r="59" spans="1:51" x14ac:dyDescent="0.25">
      <c r="A59" s="34" t="s">
        <v>117</v>
      </c>
      <c r="B59" s="34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</row>
    <row r="60" spans="1:51" x14ac:dyDescent="0.25">
      <c r="A60" s="34" t="s">
        <v>264</v>
      </c>
      <c r="B60" s="34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</row>
    <row r="61" spans="1:51" s="275" customFormat="1" x14ac:dyDescent="0.25">
      <c r="A61" s="272" t="s">
        <v>118</v>
      </c>
      <c r="B61" s="272"/>
      <c r="C61" s="273"/>
      <c r="D61" s="273"/>
      <c r="E61" s="273"/>
      <c r="F61" s="273"/>
      <c r="G61" s="273"/>
      <c r="H61" s="273"/>
      <c r="I61" s="273"/>
      <c r="J61" s="273"/>
      <c r="K61" s="273"/>
      <c r="L61" s="273"/>
      <c r="M61" s="273"/>
      <c r="N61" s="273"/>
      <c r="O61" s="273"/>
      <c r="P61" s="273"/>
      <c r="Q61" s="273"/>
      <c r="R61" s="273"/>
      <c r="S61" s="273"/>
      <c r="T61" s="273"/>
      <c r="U61" s="273"/>
      <c r="V61" s="273"/>
      <c r="W61" s="273"/>
      <c r="X61" s="273"/>
      <c r="Y61" s="273"/>
      <c r="Z61" s="273"/>
      <c r="AA61" s="273"/>
      <c r="AB61" s="273"/>
      <c r="AC61" s="273"/>
      <c r="AD61" s="273"/>
      <c r="AE61" s="273"/>
      <c r="AF61" s="273"/>
      <c r="AG61" s="273"/>
      <c r="AH61" s="273"/>
      <c r="AI61" s="273"/>
      <c r="AJ61" s="273"/>
      <c r="AK61" s="276">
        <v>-5004748.2495104205</v>
      </c>
      <c r="AL61" s="276">
        <v>-3848863.7478012233</v>
      </c>
      <c r="AM61" s="276">
        <v>-4693765.5309448922</v>
      </c>
      <c r="AN61" s="276">
        <v>-4007371.9567411523</v>
      </c>
      <c r="AO61" s="276">
        <v>-3324628.9282636922</v>
      </c>
      <c r="AP61" s="276">
        <v>-4620516.8878536606</v>
      </c>
      <c r="AQ61" s="276">
        <v>-4409897.2928085681</v>
      </c>
      <c r="AR61" s="276">
        <v>-4475938.9815478604</v>
      </c>
      <c r="AS61" s="276">
        <v>-4848789.1478439961</v>
      </c>
      <c r="AT61" s="276">
        <v>-5185752.6418118542</v>
      </c>
      <c r="AU61" s="276">
        <v>-4722997.5511370879</v>
      </c>
      <c r="AV61" s="276">
        <v>-4748321.0638788845</v>
      </c>
      <c r="AW61" s="276">
        <v>-4771630.0003017355</v>
      </c>
      <c r="AX61" s="276">
        <v>-4296891.0928221894</v>
      </c>
      <c r="AY61" s="276">
        <v>-4597062.6494736839</v>
      </c>
    </row>
    <row r="62" spans="1:51" x14ac:dyDescent="0.25">
      <c r="A62" s="36" t="s">
        <v>149</v>
      </c>
      <c r="B62" s="36"/>
      <c r="C62" s="313"/>
      <c r="D62" s="313"/>
      <c r="E62" s="313"/>
      <c r="F62" s="313"/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  <c r="T62" s="313"/>
      <c r="U62" s="313"/>
      <c r="V62" s="313"/>
      <c r="W62" s="313"/>
      <c r="X62" s="313"/>
      <c r="Y62" s="313"/>
      <c r="Z62" s="313"/>
      <c r="AA62" s="313"/>
      <c r="AB62" s="30"/>
      <c r="AC62" s="30"/>
      <c r="AD62" s="30"/>
      <c r="AE62" s="30"/>
      <c r="AF62" s="30"/>
      <c r="AG62" s="30"/>
      <c r="AH62" s="30"/>
      <c r="AI62" s="30"/>
      <c r="AJ62" s="30"/>
      <c r="AK62" s="314">
        <v>-5004748.2495104205</v>
      </c>
      <c r="AL62" s="314">
        <v>-3848863.7478012233</v>
      </c>
      <c r="AM62" s="314">
        <v>-4693765.5309448922</v>
      </c>
      <c r="AN62" s="314">
        <v>-4007371.9567411523</v>
      </c>
      <c r="AO62" s="314">
        <v>-3324628.9282636922</v>
      </c>
      <c r="AP62" s="314">
        <v>-4620516.8878536606</v>
      </c>
      <c r="AQ62" s="314">
        <v>-4409897.2928085681</v>
      </c>
      <c r="AR62" s="314">
        <v>-4475938.9815478604</v>
      </c>
      <c r="AS62" s="314">
        <v>-4848789.1478439961</v>
      </c>
      <c r="AT62" s="314">
        <v>-5185752.6418118542</v>
      </c>
      <c r="AU62" s="314">
        <v>-4722997.5511370879</v>
      </c>
      <c r="AV62" s="314">
        <v>-4748321.0638788845</v>
      </c>
      <c r="AW62" s="314">
        <v>-4771630.0003017355</v>
      </c>
      <c r="AX62" s="314">
        <v>-4296891.0928221894</v>
      </c>
      <c r="AY62" s="314">
        <v>-4597062.6494736839</v>
      </c>
    </row>
    <row r="63" spans="1:51" x14ac:dyDescent="0.25">
      <c r="A63" s="83" t="s">
        <v>120</v>
      </c>
      <c r="B63" s="83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3"/>
      <c r="AC63" s="33"/>
      <c r="AD63" s="33"/>
      <c r="AE63" s="33"/>
      <c r="AF63" s="33"/>
      <c r="AG63" s="33"/>
      <c r="AH63" s="33"/>
      <c r="AI63" s="33"/>
      <c r="AJ63" s="33"/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</row>
    <row r="64" spans="1:51" x14ac:dyDescent="0.25">
      <c r="A64" s="84" t="s">
        <v>121</v>
      </c>
      <c r="B64" s="84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234">
        <v>-6291263.2737299297</v>
      </c>
      <c r="AL64" s="234">
        <v>-4686038.0722755259</v>
      </c>
      <c r="AM64" s="234">
        <v>-5712593.1527910959</v>
      </c>
      <c r="AN64" s="234">
        <v>-4887881.7958077108</v>
      </c>
      <c r="AO64" s="234">
        <v>-4008310.8490808266</v>
      </c>
      <c r="AP64" s="234">
        <v>-5697287.0868866928</v>
      </c>
      <c r="AQ64" s="234">
        <v>-5117668.8473653272</v>
      </c>
      <c r="AR64" s="234">
        <v>-5078309.7303367183</v>
      </c>
      <c r="AS64" s="234">
        <v>-5501427.3458047379</v>
      </c>
      <c r="AT64" s="234">
        <v>-5895987.5973137552</v>
      </c>
      <c r="AU64" s="234">
        <v>-5299733.384203339</v>
      </c>
      <c r="AV64" s="234">
        <v>-5291278.202313154</v>
      </c>
      <c r="AW64" s="234">
        <v>-5285602.4855760457</v>
      </c>
      <c r="AX64" s="234">
        <v>-4704113.6063445872</v>
      </c>
      <c r="AY64" s="234">
        <v>-5079850.4285231419</v>
      </c>
    </row>
    <row r="65" spans="1:54" x14ac:dyDescent="0.25">
      <c r="A65" s="83" t="s">
        <v>156</v>
      </c>
      <c r="B65" s="83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33"/>
      <c r="AC65" s="33"/>
      <c r="AD65" s="33"/>
      <c r="AE65" s="33"/>
      <c r="AF65" s="33"/>
      <c r="AG65" s="33"/>
      <c r="AH65" s="33"/>
      <c r="AI65" s="33"/>
      <c r="AJ65" s="33"/>
      <c r="AK65" s="234">
        <v>564208.53929258103</v>
      </c>
      <c r="AL65" s="234">
        <v>381029.16449304792</v>
      </c>
      <c r="AM65" s="234">
        <v>571832.55175157846</v>
      </c>
      <c r="AN65" s="234">
        <v>531727.92986439401</v>
      </c>
      <c r="AO65" s="234">
        <v>403487.21220038057</v>
      </c>
      <c r="AP65" s="234">
        <v>685924.94413180952</v>
      </c>
      <c r="AQ65" s="234">
        <v>463465.42602966115</v>
      </c>
      <c r="AR65" s="234">
        <v>442543.49777184858</v>
      </c>
      <c r="AS65" s="234">
        <v>459367.83211944887</v>
      </c>
      <c r="AT65" s="234">
        <v>500253.85459718795</v>
      </c>
      <c r="AU65" s="234">
        <v>449216.6309305816</v>
      </c>
      <c r="AV65" s="234">
        <v>446681.13378639845</v>
      </c>
      <c r="AW65" s="234">
        <v>445031.52025858202</v>
      </c>
      <c r="AX65" s="234">
        <v>395412.57669710607</v>
      </c>
      <c r="AY65" s="234">
        <v>464056.31963014835</v>
      </c>
    </row>
    <row r="66" spans="1:54" x14ac:dyDescent="0.25">
      <c r="A66" s="83" t="s">
        <v>17</v>
      </c>
      <c r="B66" s="83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33"/>
      <c r="AC66" s="33"/>
      <c r="AD66" s="33"/>
      <c r="AE66" s="33"/>
      <c r="AF66" s="33"/>
      <c r="AG66" s="33"/>
      <c r="AH66" s="33"/>
      <c r="AI66" s="33"/>
      <c r="AJ66" s="33"/>
      <c r="AK66" s="234">
        <v>722306.48492692807</v>
      </c>
      <c r="AL66" s="234">
        <v>456145.15998125484</v>
      </c>
      <c r="AM66" s="234">
        <v>446995.07009462541</v>
      </c>
      <c r="AN66" s="234">
        <v>348781.9092021641</v>
      </c>
      <c r="AO66" s="234">
        <v>280194.70861675427</v>
      </c>
      <c r="AP66" s="234">
        <v>390845.25490122265</v>
      </c>
      <c r="AQ66" s="234">
        <v>244306.12852709822</v>
      </c>
      <c r="AR66" s="234">
        <v>159827.25101700856</v>
      </c>
      <c r="AS66" s="234">
        <v>193270.36584129272</v>
      </c>
      <c r="AT66" s="234">
        <v>209981.1009047133</v>
      </c>
      <c r="AU66" s="234">
        <v>127519.20213566913</v>
      </c>
      <c r="AV66" s="234">
        <v>96276.004647871829</v>
      </c>
      <c r="AW66" s="234">
        <v>68940.965015727721</v>
      </c>
      <c r="AX66" s="234">
        <v>11809.93682529105</v>
      </c>
      <c r="AY66" s="234">
        <v>18731.45941930986</v>
      </c>
    </row>
    <row r="67" spans="1:54" x14ac:dyDescent="0.25">
      <c r="A67" s="31" t="s">
        <v>28</v>
      </c>
      <c r="B67" s="31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3"/>
      <c r="AC67" s="33"/>
      <c r="AD67" s="33"/>
      <c r="AE67" s="33"/>
      <c r="AF67" s="33"/>
      <c r="AG67" s="33"/>
      <c r="AH67" s="33"/>
      <c r="AI67" s="33"/>
      <c r="AJ67" s="33"/>
      <c r="AK67" s="234">
        <v>-120040.28473432432</v>
      </c>
      <c r="AL67" s="234">
        <v>-162159.62788690522</v>
      </c>
      <c r="AM67" s="234">
        <v>-148120.86375395476</v>
      </c>
      <c r="AN67" s="234">
        <v>-135078</v>
      </c>
      <c r="AO67" s="234">
        <v>-138230.36958757311</v>
      </c>
      <c r="AP67" s="234">
        <v>-169005.8018210294</v>
      </c>
      <c r="AQ67" s="234">
        <v>-168402.61924065312</v>
      </c>
      <c r="AR67" s="234">
        <v>-156646.84378827922</v>
      </c>
      <c r="AS67" s="234">
        <v>-170010.17439540266</v>
      </c>
      <c r="AT67" s="234">
        <v>-154750.91611936176</v>
      </c>
      <c r="AU67" s="234">
        <v>-174347.3823241978</v>
      </c>
      <c r="AV67" s="234">
        <v>-175986.98260983732</v>
      </c>
      <c r="AW67" s="234">
        <v>-182452.01544595009</v>
      </c>
      <c r="AX67" s="234">
        <v>-200340.97153348522</v>
      </c>
      <c r="AY67" s="234">
        <v>-183383.00236543803</v>
      </c>
    </row>
    <row r="68" spans="1:54" s="3" customFormat="1" x14ac:dyDescent="0.25">
      <c r="A68" s="277" t="s">
        <v>123</v>
      </c>
      <c r="B68" s="277"/>
      <c r="C68" s="278"/>
      <c r="D68" s="278"/>
      <c r="E68" s="278"/>
      <c r="F68" s="278"/>
      <c r="G68" s="278"/>
      <c r="H68" s="278"/>
      <c r="I68" s="278"/>
      <c r="J68" s="278"/>
      <c r="K68" s="278"/>
      <c r="L68" s="278"/>
      <c r="M68" s="278"/>
      <c r="N68" s="278"/>
      <c r="O68" s="278"/>
      <c r="P68" s="278"/>
      <c r="Q68" s="278"/>
      <c r="R68" s="278"/>
      <c r="S68" s="278"/>
      <c r="T68" s="278"/>
      <c r="U68" s="278"/>
      <c r="V68" s="278"/>
      <c r="W68" s="278"/>
      <c r="X68" s="278"/>
      <c r="Y68" s="278"/>
      <c r="Z68" s="278"/>
      <c r="AA68" s="278"/>
      <c r="AB68" s="278"/>
      <c r="AC68" s="278"/>
      <c r="AD68" s="278"/>
      <c r="AE68" s="278"/>
      <c r="AF68" s="278"/>
      <c r="AG68" s="278"/>
      <c r="AH68" s="278"/>
      <c r="AI68" s="278"/>
      <c r="AJ68" s="278"/>
      <c r="AK68" s="274">
        <v>2441534.2459175661</v>
      </c>
      <c r="AL68" s="274">
        <v>3613673.4999204711</v>
      </c>
      <c r="AM68" s="274">
        <v>3725985.7374740243</v>
      </c>
      <c r="AN68" s="274">
        <v>3559264.371133578</v>
      </c>
      <c r="AO68" s="274">
        <v>3528656.9181298455</v>
      </c>
      <c r="AP68" s="274">
        <v>2969869.9626783789</v>
      </c>
      <c r="AQ68" s="274">
        <v>2973212.0878759543</v>
      </c>
      <c r="AR68" s="274">
        <v>3205174.6817209562</v>
      </c>
      <c r="AS68" s="274">
        <v>2608153.4776491439</v>
      </c>
      <c r="AT68" s="274">
        <v>2574598.135451199</v>
      </c>
      <c r="AU68" s="274">
        <v>3059936.7901354576</v>
      </c>
      <c r="AV68" s="274">
        <v>2818422.7747736666</v>
      </c>
      <c r="AW68" s="274">
        <v>3080509.533344368</v>
      </c>
      <c r="AX68" s="274">
        <v>3322436.8186191204</v>
      </c>
      <c r="AY68" s="274">
        <v>3333095.0468164096</v>
      </c>
    </row>
    <row r="69" spans="1:54" x14ac:dyDescent="0.25">
      <c r="A69" s="31" t="s">
        <v>24</v>
      </c>
      <c r="B69" s="31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3"/>
      <c r="AC69" s="33"/>
      <c r="AD69" s="33"/>
      <c r="AE69" s="33"/>
      <c r="AF69" s="33"/>
      <c r="AG69" s="33"/>
      <c r="AH69" s="33"/>
      <c r="AI69" s="33"/>
      <c r="AJ69" s="33"/>
      <c r="AK69" s="234">
        <v>-552974.40798356384</v>
      </c>
      <c r="AL69" s="234">
        <v>-664269.3535892088</v>
      </c>
      <c r="AM69" s="234">
        <v>-408609.67208798788</v>
      </c>
      <c r="AN69" s="234">
        <v>-724706.99754799716</v>
      </c>
      <c r="AO69" s="234">
        <v>-555191.519429693</v>
      </c>
      <c r="AP69" s="234">
        <v>-577819.12003649399</v>
      </c>
      <c r="AQ69" s="234">
        <v>-572342.10295092128</v>
      </c>
      <c r="AR69" s="234">
        <v>-579408.77179348096</v>
      </c>
      <c r="AS69" s="234">
        <v>-569041.41948436201</v>
      </c>
      <c r="AT69" s="234">
        <v>-640107.41987605207</v>
      </c>
      <c r="AU69" s="234">
        <v>-637930.47458266281</v>
      </c>
      <c r="AV69" s="234">
        <v>-627338.15859918855</v>
      </c>
      <c r="AW69" s="234">
        <v>-639328.32400418632</v>
      </c>
      <c r="AX69" s="234">
        <v>-628332.23700807989</v>
      </c>
      <c r="AY69" s="234">
        <v>-634500.91189786792</v>
      </c>
    </row>
    <row r="70" spans="1:54" s="3" customFormat="1" x14ac:dyDescent="0.25">
      <c r="A70" s="277" t="s">
        <v>125</v>
      </c>
      <c r="B70" s="277"/>
      <c r="C70" s="278"/>
      <c r="D70" s="278"/>
      <c r="E70" s="278"/>
      <c r="F70" s="278"/>
      <c r="G70" s="278"/>
      <c r="H70" s="278"/>
      <c r="I70" s="278"/>
      <c r="J70" s="278"/>
      <c r="K70" s="278"/>
      <c r="L70" s="278"/>
      <c r="M70" s="278"/>
      <c r="N70" s="278"/>
      <c r="O70" s="278"/>
      <c r="P70" s="278"/>
      <c r="Q70" s="278"/>
      <c r="R70" s="278"/>
      <c r="S70" s="278"/>
      <c r="T70" s="278"/>
      <c r="U70" s="278"/>
      <c r="V70" s="278"/>
      <c r="W70" s="278"/>
      <c r="X70" s="278"/>
      <c r="Y70" s="278"/>
      <c r="Z70" s="278"/>
      <c r="AA70" s="278"/>
      <c r="AB70" s="278"/>
      <c r="AC70" s="278"/>
      <c r="AD70" s="278"/>
      <c r="AE70" s="278"/>
      <c r="AF70" s="278"/>
      <c r="AG70" s="278"/>
      <c r="AH70" s="278"/>
      <c r="AI70" s="278"/>
      <c r="AJ70" s="278"/>
      <c r="AK70" s="274">
        <v>1888559.8379340023</v>
      </c>
      <c r="AL70" s="274">
        <v>2949404.1463312623</v>
      </c>
      <c r="AM70" s="274">
        <v>3317376.0653860364</v>
      </c>
      <c r="AN70" s="274">
        <v>2834557.3735855808</v>
      </c>
      <c r="AO70" s="274">
        <v>2973465.3987001525</v>
      </c>
      <c r="AP70" s="274">
        <v>2392050.8426418849</v>
      </c>
      <c r="AQ70" s="274">
        <v>2400869.9849250331</v>
      </c>
      <c r="AR70" s="274">
        <v>2625765.9099274753</v>
      </c>
      <c r="AS70" s="274">
        <v>2039112.0581647819</v>
      </c>
      <c r="AT70" s="274">
        <v>1934490.715575147</v>
      </c>
      <c r="AU70" s="274">
        <v>2422006.3155527948</v>
      </c>
      <c r="AV70" s="274">
        <v>2191084.6161744781</v>
      </c>
      <c r="AW70" s="274">
        <v>2441181.2093401817</v>
      </c>
      <c r="AX70" s="274">
        <v>2694104.5816110405</v>
      </c>
      <c r="AY70" s="274">
        <v>2698594.1349185416</v>
      </c>
    </row>
    <row r="71" spans="1:54" x14ac:dyDescent="0.25">
      <c r="A71" s="31" t="s">
        <v>126</v>
      </c>
      <c r="B71" s="31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3"/>
      <c r="AC71" s="33"/>
      <c r="AD71" s="33"/>
      <c r="AE71" s="33"/>
      <c r="AF71" s="33"/>
      <c r="AG71" s="33"/>
      <c r="AH71" s="33"/>
      <c r="AI71" s="33"/>
      <c r="AJ71" s="33"/>
      <c r="AK71" s="45">
        <v>-383570.08659444534</v>
      </c>
      <c r="AL71" s="45">
        <v>-383570.08659444534</v>
      </c>
      <c r="AM71" s="45">
        <v>-383570.08659444534</v>
      </c>
      <c r="AN71" s="234">
        <v>-423570.08659444534</v>
      </c>
      <c r="AO71" s="234">
        <v>-475521.65613863629</v>
      </c>
      <c r="AP71" s="234">
        <v>-486890.13951879612</v>
      </c>
      <c r="AQ71" s="234">
        <v>-486890.13951879612</v>
      </c>
      <c r="AR71" s="234">
        <v>-486890.13951879612</v>
      </c>
      <c r="AS71" s="234">
        <v>-497979.28378861444</v>
      </c>
      <c r="AT71" s="234">
        <v>-498703.08097511437</v>
      </c>
      <c r="AU71" s="234">
        <v>-498703.08097511437</v>
      </c>
      <c r="AV71" s="234">
        <v>-498703.08097511437</v>
      </c>
      <c r="AW71" s="234">
        <v>-498703.08097511437</v>
      </c>
      <c r="AX71" s="234">
        <v>-498703.08097511437</v>
      </c>
      <c r="AY71" s="234">
        <v>-502907.91776599444</v>
      </c>
      <c r="AZ71">
        <v>-1</v>
      </c>
      <c r="BB71" s="93"/>
    </row>
    <row r="72" spans="1:54" x14ac:dyDescent="0.25">
      <c r="A72" s="31" t="s">
        <v>157</v>
      </c>
      <c r="B72" s="31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3"/>
      <c r="AC72" s="33"/>
      <c r="AD72" s="33"/>
      <c r="AE72" s="33"/>
      <c r="AF72" s="33"/>
      <c r="AG72" s="33"/>
      <c r="AH72" s="33"/>
      <c r="AI72" s="33"/>
      <c r="AJ72" s="33"/>
      <c r="AK72" s="234">
        <v>0</v>
      </c>
      <c r="AL72" s="234">
        <v>0</v>
      </c>
      <c r="AM72" s="234">
        <v>0</v>
      </c>
      <c r="AN72" s="234">
        <v>0</v>
      </c>
      <c r="AO72" s="234">
        <v>0</v>
      </c>
      <c r="AP72" s="234">
        <v>0</v>
      </c>
      <c r="AQ72" s="234">
        <v>0</v>
      </c>
      <c r="AR72" s="234">
        <v>0</v>
      </c>
      <c r="AS72" s="234">
        <v>0</v>
      </c>
      <c r="AT72" s="234">
        <v>0</v>
      </c>
      <c r="AU72" s="234">
        <v>0</v>
      </c>
      <c r="AV72" s="234">
        <v>0</v>
      </c>
      <c r="AW72" s="234">
        <v>0</v>
      </c>
      <c r="AX72" s="234">
        <v>0</v>
      </c>
      <c r="AY72" s="234">
        <v>0</v>
      </c>
    </row>
    <row r="73" spans="1:54" s="3" customFormat="1" x14ac:dyDescent="0.25">
      <c r="A73" s="272" t="s">
        <v>127</v>
      </c>
      <c r="B73" s="272"/>
      <c r="C73" s="278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78"/>
      <c r="O73" s="278"/>
      <c r="P73" s="278"/>
      <c r="Q73" s="278"/>
      <c r="R73" s="278"/>
      <c r="S73" s="278"/>
      <c r="T73" s="278"/>
      <c r="U73" s="278"/>
      <c r="V73" s="279"/>
      <c r="W73" s="279"/>
      <c r="X73" s="279"/>
      <c r="Y73" s="279"/>
      <c r="Z73" s="279"/>
      <c r="AA73" s="279"/>
      <c r="AB73" s="278"/>
      <c r="AC73" s="278"/>
      <c r="AD73" s="278"/>
      <c r="AE73" s="278"/>
      <c r="AF73" s="278"/>
      <c r="AG73" s="278"/>
      <c r="AH73" s="278"/>
      <c r="AI73" s="278"/>
      <c r="AJ73" s="278"/>
      <c r="AK73" s="274">
        <v>1371444.0469855291</v>
      </c>
      <c r="AL73" s="274">
        <v>2441219.3904994559</v>
      </c>
      <c r="AM73" s="274">
        <v>2816867.5355750634</v>
      </c>
      <c r="AN73" s="274">
        <v>2303808.4983037747</v>
      </c>
      <c r="AO73" s="274">
        <v>2400426.7340241554</v>
      </c>
      <c r="AP73" s="274">
        <v>1817078.5367423943</v>
      </c>
      <c r="AQ73" s="274">
        <v>1834329.2224663759</v>
      </c>
      <c r="AR73" s="274">
        <v>2063263.9042146513</v>
      </c>
      <c r="AS73" s="274">
        <v>1468027.0648571397</v>
      </c>
      <c r="AT73" s="274">
        <v>1367294.781781838</v>
      </c>
      <c r="AU73" s="274">
        <v>1859502.2882094861</v>
      </c>
      <c r="AV73" s="274">
        <v>1633237.8910686693</v>
      </c>
      <c r="AW73" s="274">
        <v>1887643.2321577061</v>
      </c>
      <c r="AX73" s="274">
        <v>2145161.1632618983</v>
      </c>
      <c r="AY73" s="274">
        <v>2145656.6133968527</v>
      </c>
    </row>
    <row r="74" spans="1:54" x14ac:dyDescent="0.25">
      <c r="A74" s="34" t="s">
        <v>128</v>
      </c>
      <c r="B74" s="34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3"/>
      <c r="AC74" s="33"/>
      <c r="AD74" s="33"/>
      <c r="AE74" s="33"/>
      <c r="AF74" s="33"/>
      <c r="AG74" s="33"/>
      <c r="AH74" s="33"/>
      <c r="AI74" s="33"/>
      <c r="AJ74" s="33"/>
      <c r="AK74" s="234">
        <v>-719698.60984694608</v>
      </c>
      <c r="AL74" s="234">
        <v>-718832.31484694569</v>
      </c>
      <c r="AM74" s="234">
        <v>-718832.31484694569</v>
      </c>
      <c r="AN74" s="234">
        <v>-728263.16584694572</v>
      </c>
      <c r="AO74" s="234">
        <v>-476449.99256944429</v>
      </c>
      <c r="AP74" s="234">
        <v>-575798.95511480491</v>
      </c>
      <c r="AQ74" s="234">
        <v>-487798.95511480432</v>
      </c>
      <c r="AR74" s="234">
        <v>-487798.95511480432</v>
      </c>
      <c r="AS74" s="234">
        <v>-500863.84758680442</v>
      </c>
      <c r="AT74" s="234">
        <v>-501808.30386697105</v>
      </c>
      <c r="AU74" s="234">
        <v>-501808.30386697105</v>
      </c>
      <c r="AV74" s="234">
        <v>-501808.30386697105</v>
      </c>
      <c r="AW74" s="234">
        <v>-501808.30386697105</v>
      </c>
      <c r="AX74" s="234">
        <v>-514568.30386697105</v>
      </c>
      <c r="AY74" s="234">
        <v>-501808.30386697105</v>
      </c>
      <c r="AZ74">
        <v>-1</v>
      </c>
    </row>
    <row r="75" spans="1:54" x14ac:dyDescent="0.25">
      <c r="A75" s="34" t="s">
        <v>96</v>
      </c>
      <c r="B75" s="34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3"/>
      <c r="AC75" s="33"/>
      <c r="AD75" s="33"/>
      <c r="AE75" s="33"/>
      <c r="AF75" s="33"/>
      <c r="AG75" s="33"/>
      <c r="AH75" s="33"/>
      <c r="AI75" s="33"/>
      <c r="AJ75" s="33"/>
      <c r="AK75" s="234">
        <v>-133545.70435402784</v>
      </c>
      <c r="AL75" s="234">
        <v>-124614.66923736116</v>
      </c>
      <c r="AM75" s="234">
        <v>-116938.44321652786</v>
      </c>
      <c r="AN75" s="234">
        <v>-107178.78868736117</v>
      </c>
      <c r="AO75" s="234">
        <v>-97517.008537361151</v>
      </c>
      <c r="AP75" s="234">
        <v>-88082.1663806945</v>
      </c>
      <c r="AQ75" s="234">
        <v>-79650.622939861176</v>
      </c>
      <c r="AR75" s="234">
        <v>-75611.866194027825</v>
      </c>
      <c r="AS75" s="234">
        <v>-73105.709519027834</v>
      </c>
      <c r="AT75" s="234">
        <v>-68492.852818194486</v>
      </c>
      <c r="AU75" s="234">
        <v>-63800.946368194484</v>
      </c>
      <c r="AV75" s="234">
        <v>-59143.644130694476</v>
      </c>
      <c r="AW75" s="234">
        <v>-54834.89620736114</v>
      </c>
      <c r="AX75" s="234">
        <v>-50240.337374027804</v>
      </c>
      <c r="AY75" s="234">
        <v>-50029.603755694479</v>
      </c>
    </row>
    <row r="76" spans="1:54" s="3" customFormat="1" x14ac:dyDescent="0.25">
      <c r="A76" s="272" t="s">
        <v>129</v>
      </c>
      <c r="B76" s="272"/>
      <c r="C76" s="278"/>
      <c r="D76" s="278"/>
      <c r="E76" s="278"/>
      <c r="F76" s="278"/>
      <c r="G76" s="278"/>
      <c r="H76" s="278"/>
      <c r="I76" s="278"/>
      <c r="J76" s="278"/>
      <c r="K76" s="278"/>
      <c r="L76" s="278"/>
      <c r="M76" s="278"/>
      <c r="N76" s="278"/>
      <c r="O76" s="278"/>
      <c r="P76" s="278"/>
      <c r="Q76" s="278"/>
      <c r="R76" s="278"/>
      <c r="S76" s="278"/>
      <c r="T76" s="278"/>
      <c r="U76" s="278"/>
      <c r="V76" s="279"/>
      <c r="W76" s="279"/>
      <c r="X76" s="279"/>
      <c r="Y76" s="279"/>
      <c r="Z76" s="279"/>
      <c r="AA76" s="279"/>
      <c r="AB76" s="278"/>
      <c r="AC76" s="278"/>
      <c r="AD76" s="278"/>
      <c r="AE76" s="278"/>
      <c r="AF76" s="278"/>
      <c r="AG76" s="278"/>
      <c r="AH76" s="278"/>
      <c r="AI76" s="278"/>
      <c r="AJ76" s="278"/>
      <c r="AK76" s="274">
        <v>651745.43713858305</v>
      </c>
      <c r="AL76" s="274">
        <v>1722387.0756525102</v>
      </c>
      <c r="AM76" s="274">
        <v>2098035.220728118</v>
      </c>
      <c r="AN76" s="274">
        <v>1575545.332456829</v>
      </c>
      <c r="AO76" s="274">
        <v>1923976.7414547112</v>
      </c>
      <c r="AP76" s="274">
        <v>1241279.5816275894</v>
      </c>
      <c r="AQ76" s="274">
        <v>1346530.2673515715</v>
      </c>
      <c r="AR76" s="274">
        <v>1575464.9490998471</v>
      </c>
      <c r="AS76" s="274">
        <v>967163.2172703353</v>
      </c>
      <c r="AT76" s="274">
        <v>865486.47791486699</v>
      </c>
      <c r="AU76" s="274">
        <v>1357693.984342515</v>
      </c>
      <c r="AV76" s="274">
        <v>1131429.5872016982</v>
      </c>
      <c r="AW76" s="274">
        <v>1385834.928290735</v>
      </c>
      <c r="AX76" s="274">
        <v>1630592.8593949273</v>
      </c>
      <c r="AY76" s="274">
        <v>1643848.3095298817</v>
      </c>
    </row>
    <row r="77" spans="1:54" x14ac:dyDescent="0.25">
      <c r="A77" s="31" t="s">
        <v>42</v>
      </c>
      <c r="B77" s="3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3"/>
      <c r="AC77" s="33"/>
      <c r="AD77" s="33"/>
      <c r="AE77" s="33"/>
      <c r="AF77" s="33"/>
      <c r="AG77" s="33"/>
      <c r="AH77" s="33"/>
      <c r="AI77" s="33"/>
      <c r="AJ77" s="33"/>
      <c r="AK77" s="234">
        <v>-161960.91713333991</v>
      </c>
      <c r="AL77" s="234">
        <v>-454291.80553390156</v>
      </c>
      <c r="AM77" s="234">
        <v>-505766.29072641989</v>
      </c>
      <c r="AN77" s="234">
        <v>-325141</v>
      </c>
      <c r="AO77" s="234">
        <v>-377989.90260145039</v>
      </c>
      <c r="AP77" s="234">
        <v>-487969.93166831066</v>
      </c>
      <c r="AQ77" s="234">
        <v>-520162.59457223688</v>
      </c>
      <c r="AR77" s="234">
        <v>-454841.62217146665</v>
      </c>
      <c r="AS77" s="234">
        <v>-485727.28160452959</v>
      </c>
      <c r="AT77" s="234">
        <v>-383710.56154615467</v>
      </c>
      <c r="AU77" s="234">
        <v>-489045.22081445821</v>
      </c>
      <c r="AV77" s="234">
        <v>-489902.55546278169</v>
      </c>
      <c r="AW77" s="234">
        <v>-523423.35664160398</v>
      </c>
      <c r="AX77" s="234">
        <v>-618638.97438040504</v>
      </c>
      <c r="AY77" s="234">
        <v>-519254.41204784991</v>
      </c>
    </row>
    <row r="78" spans="1:54" s="3" customFormat="1" x14ac:dyDescent="0.25">
      <c r="A78" s="280" t="s">
        <v>130</v>
      </c>
      <c r="B78" s="280"/>
      <c r="C78" s="280"/>
      <c r="D78" s="280"/>
      <c r="E78" s="280"/>
      <c r="F78" s="280"/>
      <c r="G78" s="280"/>
      <c r="H78" s="280"/>
      <c r="I78" s="280"/>
      <c r="J78" s="280"/>
      <c r="K78" s="280"/>
      <c r="L78" s="280"/>
      <c r="M78" s="280"/>
      <c r="N78" s="280"/>
      <c r="O78" s="280"/>
      <c r="P78" s="280"/>
      <c r="Q78" s="280"/>
      <c r="R78" s="280"/>
      <c r="S78" s="280"/>
      <c r="T78" s="280"/>
      <c r="U78" s="280"/>
      <c r="V78" s="280"/>
      <c r="W78" s="280"/>
      <c r="X78" s="280"/>
      <c r="Y78" s="280"/>
      <c r="Z78" s="280"/>
      <c r="AA78" s="280"/>
      <c r="AB78" s="280"/>
      <c r="AC78" s="280"/>
      <c r="AD78" s="280"/>
      <c r="AE78" s="280"/>
      <c r="AF78" s="280"/>
      <c r="AG78" s="280"/>
      <c r="AH78" s="280"/>
      <c r="AI78" s="280"/>
      <c r="AJ78" s="280"/>
      <c r="AK78" s="280">
        <v>489784.52000524313</v>
      </c>
      <c r="AL78" s="280">
        <v>1268095.2701186086</v>
      </c>
      <c r="AM78" s="280">
        <v>1592268.930001698</v>
      </c>
      <c r="AN78" s="276">
        <v>1250404.332456829</v>
      </c>
      <c r="AO78" s="276">
        <v>1545986.8388532607</v>
      </c>
      <c r="AP78" s="276">
        <v>753309.64995927876</v>
      </c>
      <c r="AQ78" s="276">
        <v>826367.67277933459</v>
      </c>
      <c r="AR78" s="276">
        <v>1120623.3269283804</v>
      </c>
      <c r="AS78" s="276">
        <v>481435.93566580571</v>
      </c>
      <c r="AT78" s="276">
        <v>481775.91636871232</v>
      </c>
      <c r="AU78" s="276">
        <v>868648.76352805679</v>
      </c>
      <c r="AV78" s="276">
        <v>641527.03173891653</v>
      </c>
      <c r="AW78" s="276">
        <v>862411.57164913102</v>
      </c>
      <c r="AX78" s="276">
        <v>1011953.8850145222</v>
      </c>
      <c r="AY78" s="276">
        <v>1124593.8974820317</v>
      </c>
    </row>
    <row r="79" spans="1:54" s="283" customFormat="1" x14ac:dyDescent="0.25">
      <c r="A79" s="281" t="s">
        <v>132</v>
      </c>
      <c r="B79" s="281"/>
      <c r="C79" s="281"/>
      <c r="D79" s="281"/>
      <c r="E79" s="281"/>
      <c r="F79" s="281"/>
      <c r="G79" s="281"/>
      <c r="H79" s="281"/>
      <c r="I79" s="281"/>
      <c r="J79" s="281"/>
      <c r="K79" s="281"/>
      <c r="L79" s="281"/>
      <c r="M79" s="281"/>
      <c r="N79" s="281"/>
      <c r="O79" s="281"/>
      <c r="P79" s="281"/>
      <c r="Q79" s="281"/>
      <c r="R79" s="281"/>
      <c r="S79" s="281"/>
      <c r="T79" s="281"/>
      <c r="U79" s="281"/>
      <c r="V79" s="281"/>
      <c r="W79" s="281"/>
      <c r="X79" s="281"/>
      <c r="Y79" s="281"/>
      <c r="Z79" s="281"/>
      <c r="AA79" s="281"/>
      <c r="AB79" s="281"/>
      <c r="AC79" s="281"/>
      <c r="AD79" s="281"/>
      <c r="AE79" s="281"/>
      <c r="AF79" s="281"/>
      <c r="AG79" s="281"/>
      <c r="AH79" s="281"/>
      <c r="AI79" s="281"/>
      <c r="AJ79" s="281"/>
      <c r="AK79" s="281">
        <v>489784.52000524313</v>
      </c>
      <c r="AL79" s="281">
        <v>1268095.2701186086</v>
      </c>
      <c r="AM79" s="281">
        <v>1592268.930001698</v>
      </c>
      <c r="AN79" s="281">
        <v>1250404.332456829</v>
      </c>
      <c r="AO79" s="281">
        <v>1545986.8388532607</v>
      </c>
      <c r="AP79" s="281">
        <v>753309.64995927876</v>
      </c>
      <c r="AQ79" s="281">
        <v>826367.67277933459</v>
      </c>
      <c r="AR79" s="281">
        <v>1120623.3269283804</v>
      </c>
      <c r="AS79" s="281">
        <v>481435.93566580571</v>
      </c>
      <c r="AT79" s="281">
        <v>481775.91636871232</v>
      </c>
      <c r="AU79" s="281">
        <v>868648.76352805679</v>
      </c>
      <c r="AV79" s="281">
        <v>641527.03173891653</v>
      </c>
      <c r="AW79" s="281">
        <v>862411.57164913102</v>
      </c>
      <c r="AX79" s="281">
        <v>1011953.8850145222</v>
      </c>
      <c r="AY79" s="281">
        <v>1124593.8974820317</v>
      </c>
    </row>
    <row r="80" spans="1:54" x14ac:dyDescent="0.25">
      <c r="AN80" s="27"/>
      <c r="AO80" s="27"/>
      <c r="AP80" s="27">
        <v>0</v>
      </c>
      <c r="AQ80" s="27">
        <v>0</v>
      </c>
      <c r="AR80" s="27">
        <v>0</v>
      </c>
      <c r="AS80" s="27">
        <v>0</v>
      </c>
      <c r="AT80" s="27">
        <v>0</v>
      </c>
      <c r="AU80" s="27">
        <v>0</v>
      </c>
      <c r="AV80" s="27">
        <v>0</v>
      </c>
      <c r="AW80" s="27">
        <v>0</v>
      </c>
      <c r="AX80" s="27">
        <v>0</v>
      </c>
      <c r="AY80" s="27">
        <v>0</v>
      </c>
    </row>
    <row r="81" spans="1:51" x14ac:dyDescent="0.25">
      <c r="A81" s="28" t="s">
        <v>162</v>
      </c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>
        <v>45961</v>
      </c>
      <c r="AL81" s="23">
        <v>45991</v>
      </c>
      <c r="AM81" s="23">
        <v>46022</v>
      </c>
      <c r="AN81" s="23">
        <v>46053</v>
      </c>
      <c r="AO81" s="23">
        <v>46081</v>
      </c>
      <c r="AP81" s="23">
        <v>46112</v>
      </c>
      <c r="AQ81" s="23">
        <v>46142</v>
      </c>
      <c r="AR81" s="23">
        <v>46173</v>
      </c>
      <c r="AS81" s="23">
        <v>46203</v>
      </c>
      <c r="AT81" s="23">
        <v>46234</v>
      </c>
      <c r="AU81" s="23">
        <v>46265</v>
      </c>
      <c r="AV81" s="23">
        <v>46295</v>
      </c>
      <c r="AW81" s="23">
        <v>46326</v>
      </c>
      <c r="AX81" s="23">
        <v>46356</v>
      </c>
      <c r="AY81" s="23">
        <v>46387</v>
      </c>
    </row>
    <row r="82" spans="1:51" s="275" customFormat="1" x14ac:dyDescent="0.25">
      <c r="A82" s="272" t="s">
        <v>105</v>
      </c>
      <c r="B82" s="272"/>
      <c r="C82" s="273"/>
      <c r="D82" s="273"/>
      <c r="E82" s="273"/>
      <c r="F82" s="273"/>
      <c r="G82" s="273"/>
      <c r="H82" s="273"/>
      <c r="I82" s="273"/>
      <c r="J82" s="273"/>
      <c r="K82" s="273"/>
      <c r="L82" s="273"/>
      <c r="M82" s="273"/>
      <c r="N82" s="273"/>
      <c r="O82" s="273"/>
      <c r="P82" s="273"/>
      <c r="Q82" s="273"/>
      <c r="R82" s="273"/>
      <c r="S82" s="273"/>
      <c r="T82" s="273"/>
      <c r="U82" s="273"/>
      <c r="V82" s="273"/>
      <c r="W82" s="273"/>
      <c r="X82" s="273"/>
      <c r="Y82" s="273"/>
      <c r="Z82" s="273"/>
      <c r="AA82" s="273"/>
      <c r="AB82" s="273"/>
      <c r="AC82" s="273"/>
      <c r="AD82" s="273"/>
      <c r="AE82" s="273"/>
      <c r="AF82" s="273"/>
      <c r="AG82" s="273"/>
      <c r="AH82" s="273"/>
      <c r="AI82" s="273"/>
      <c r="AJ82" s="273"/>
      <c r="AK82" s="274">
        <v>21022833.563500114</v>
      </c>
      <c r="AL82" s="274">
        <v>22572875.985963196</v>
      </c>
      <c r="AM82" s="274">
        <v>24527585.938605815</v>
      </c>
      <c r="AN82" s="274">
        <v>24532548.447623588</v>
      </c>
      <c r="AO82" s="274">
        <v>23417972.987558745</v>
      </c>
      <c r="AP82" s="274">
        <v>29464374.413464334</v>
      </c>
      <c r="AQ82" s="274">
        <v>27827307.230193716</v>
      </c>
      <c r="AR82" s="274">
        <v>26639239.322199099</v>
      </c>
      <c r="AS82" s="274">
        <v>29052905.883028269</v>
      </c>
      <c r="AT82" s="274">
        <v>29113454.098838616</v>
      </c>
      <c r="AU82" s="274">
        <v>29754492.423976123</v>
      </c>
      <c r="AV82" s="274">
        <v>30381983.211697262</v>
      </c>
      <c r="AW82" s="274">
        <v>30970767.756977081</v>
      </c>
      <c r="AX82" s="274">
        <v>31571675.992914312</v>
      </c>
      <c r="AY82" s="274">
        <v>32307157.874559924</v>
      </c>
    </row>
    <row r="83" spans="1:51" x14ac:dyDescent="0.25">
      <c r="A83" s="36" t="s">
        <v>106</v>
      </c>
      <c r="B83" s="36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12">
        <v>17619344.79520224</v>
      </c>
      <c r="AL83" s="312">
        <v>19687163.047665324</v>
      </c>
      <c r="AM83" s="312">
        <v>20853866.75030794</v>
      </c>
      <c r="AN83" s="312">
        <v>21210590.399325717</v>
      </c>
      <c r="AO83" s="312">
        <v>20364604.924260873</v>
      </c>
      <c r="AP83" s="312">
        <v>26280606.350166462</v>
      </c>
      <c r="AQ83" s="312">
        <v>24677939.166895844</v>
      </c>
      <c r="AR83" s="312">
        <v>23584471.258901227</v>
      </c>
      <c r="AS83" s="312">
        <v>25869137.819730397</v>
      </c>
      <c r="AT83" s="312">
        <v>25706086.035540745</v>
      </c>
      <c r="AU83" s="312">
        <v>26433124.360678252</v>
      </c>
      <c r="AV83" s="312">
        <v>27129415.14839939</v>
      </c>
      <c r="AW83" s="312">
        <v>27683799.69367921</v>
      </c>
      <c r="AX83" s="312">
        <v>28258907.92961644</v>
      </c>
      <c r="AY83" s="312">
        <v>28959989.811262053</v>
      </c>
    </row>
    <row r="84" spans="1:51" x14ac:dyDescent="0.25">
      <c r="A84" s="311" t="s">
        <v>107</v>
      </c>
      <c r="B84" s="311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15">
        <v>14619851.5591472</v>
      </c>
      <c r="AL84" s="315">
        <v>15730290.046272987</v>
      </c>
      <c r="AM84" s="315">
        <v>18885599.384681683</v>
      </c>
      <c r="AN84" s="315">
        <v>18019559.575254552</v>
      </c>
      <c r="AO84" s="315">
        <v>16315715.228789408</v>
      </c>
      <c r="AP84" s="315">
        <v>20556771.502015632</v>
      </c>
      <c r="AQ84" s="315">
        <v>19154707.104258157</v>
      </c>
      <c r="AR84" s="315">
        <v>18901931.899517145</v>
      </c>
      <c r="AS84" s="315">
        <v>20741536.671389613</v>
      </c>
      <c r="AT84" s="315">
        <v>20594778.324638251</v>
      </c>
      <c r="AU84" s="315">
        <v>21164553.12604887</v>
      </c>
      <c r="AV84" s="315">
        <v>21710798.882160269</v>
      </c>
      <c r="AW84" s="315">
        <v>22256363.162639759</v>
      </c>
      <c r="AX84" s="315">
        <v>22820026.077845711</v>
      </c>
      <c r="AY84" s="315">
        <v>23382873.588591222</v>
      </c>
    </row>
    <row r="85" spans="1:51" x14ac:dyDescent="0.25">
      <c r="A85" s="84" t="s">
        <v>229</v>
      </c>
      <c r="B85" s="84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45">
        <v>17267126.3691472</v>
      </c>
      <c r="AL85" s="45">
        <v>16480465.456272988</v>
      </c>
      <c r="AM85" s="45">
        <v>19315753.494681682</v>
      </c>
      <c r="AN85" s="45">
        <v>18518811.197097126</v>
      </c>
      <c r="AO85" s="45">
        <v>16836460.207281914</v>
      </c>
      <c r="AP85" s="45">
        <v>21135580.96273113</v>
      </c>
      <c r="AQ85" s="45">
        <v>19776969.091194402</v>
      </c>
      <c r="AR85" s="45">
        <v>19567952.067415413</v>
      </c>
      <c r="AS85" s="45">
        <v>21447285.593575023</v>
      </c>
      <c r="AT85" s="45">
        <v>21350469.781663246</v>
      </c>
      <c r="AU85" s="45">
        <v>21966656.506831188</v>
      </c>
      <c r="AV85" s="45">
        <v>22554206.473576929</v>
      </c>
      <c r="AW85" s="45">
        <v>23151596.729133159</v>
      </c>
      <c r="AX85" s="45">
        <v>23755840.19019641</v>
      </c>
      <c r="AY85" s="45">
        <v>24372585.78881437</v>
      </c>
    </row>
    <row r="86" spans="1:51" x14ac:dyDescent="0.25">
      <c r="A86" s="31" t="s">
        <v>230</v>
      </c>
      <c r="B86" s="31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3"/>
      <c r="AC86" s="33"/>
      <c r="AD86" s="33"/>
      <c r="AE86" s="33"/>
      <c r="AF86" s="33"/>
      <c r="AG86" s="33"/>
      <c r="AH86" s="33"/>
      <c r="AI86" s="33"/>
      <c r="AJ86" s="33"/>
      <c r="AK86" s="234">
        <v>-2647274.81</v>
      </c>
      <c r="AL86" s="234">
        <v>-750175.41</v>
      </c>
      <c r="AM86" s="234">
        <v>-430154.11</v>
      </c>
      <c r="AN86" s="234">
        <v>-499251.62184257316</v>
      </c>
      <c r="AO86" s="234">
        <v>-520744.97849250626</v>
      </c>
      <c r="AP86" s="234">
        <v>-578809.46071549808</v>
      </c>
      <c r="AQ86" s="234">
        <v>-622261.98693624558</v>
      </c>
      <c r="AR86" s="234">
        <v>-666020.16789826821</v>
      </c>
      <c r="AS86" s="234">
        <v>-705748.92218541028</v>
      </c>
      <c r="AT86" s="234">
        <v>-755691.45702499559</v>
      </c>
      <c r="AU86" s="234">
        <v>-802103.38078231923</v>
      </c>
      <c r="AV86" s="234">
        <v>-843407.59141666256</v>
      </c>
      <c r="AW86" s="234">
        <v>-895233.56649339758</v>
      </c>
      <c r="AX86" s="234">
        <v>-935814.11235069996</v>
      </c>
      <c r="AY86" s="234">
        <v>-989712.20022314705</v>
      </c>
    </row>
    <row r="87" spans="1:51" x14ac:dyDescent="0.25">
      <c r="A87" s="84" t="s">
        <v>108</v>
      </c>
      <c r="B87" s="84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234">
        <v>2609404.6991111645</v>
      </c>
      <c r="AL87" s="234">
        <v>3558565.026447115</v>
      </c>
      <c r="AM87" s="234">
        <v>1574779.4262668381</v>
      </c>
      <c r="AN87" s="234">
        <v>2790874.0894744704</v>
      </c>
      <c r="AO87" s="234">
        <v>3641713.1403544517</v>
      </c>
      <c r="AP87" s="234">
        <v>5309468.9457147149</v>
      </c>
      <c r="AQ87" s="234">
        <v>5098166.9339807034</v>
      </c>
      <c r="AR87" s="234">
        <v>4248792.4781685881</v>
      </c>
      <c r="AS87" s="234">
        <v>4701364.9608222144</v>
      </c>
      <c r="AT87" s="234">
        <v>4675672.4180170363</v>
      </c>
      <c r="AU87" s="234">
        <v>4821979.4504415914</v>
      </c>
      <c r="AV87" s="234">
        <v>4961576.9417088395</v>
      </c>
      <c r="AW87" s="234">
        <v>4960526.3112256611</v>
      </c>
      <c r="AX87" s="234">
        <v>4961217.8534661848</v>
      </c>
      <c r="AY87" s="234">
        <v>5107987.7535040909</v>
      </c>
    </row>
    <row r="88" spans="1:51" x14ac:dyDescent="0.25">
      <c r="A88" s="84" t="s">
        <v>109</v>
      </c>
      <c r="B88" s="84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234">
        <v>348636.06885876821</v>
      </c>
      <c r="AL88" s="234">
        <v>356855.50686011318</v>
      </c>
      <c r="AM88" s="234">
        <v>352035.47127431136</v>
      </c>
      <c r="AN88" s="234">
        <v>358704.26651159039</v>
      </c>
      <c r="AO88" s="234">
        <v>365724.08703190682</v>
      </c>
      <c r="AP88" s="234">
        <v>372913.43435100798</v>
      </c>
      <c r="AQ88" s="234">
        <v>383612.66057187744</v>
      </c>
      <c r="AR88" s="234">
        <v>392294.41313038685</v>
      </c>
      <c r="AS88" s="234">
        <v>384783.71943346399</v>
      </c>
      <c r="AT88" s="234">
        <v>394182.82480034849</v>
      </c>
      <c r="AU88" s="234">
        <v>405139.31610268215</v>
      </c>
      <c r="AV88" s="234">
        <v>415586.8564451735</v>
      </c>
      <c r="AW88" s="234">
        <v>425457.751728684</v>
      </c>
      <c r="AX88" s="234">
        <v>436211.53021943546</v>
      </c>
      <c r="AY88" s="234">
        <v>427676.0010816342</v>
      </c>
    </row>
    <row r="89" spans="1:51" x14ac:dyDescent="0.25">
      <c r="A89" s="84" t="s">
        <v>110</v>
      </c>
      <c r="B89" s="84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234">
        <v>41452.468085106389</v>
      </c>
      <c r="AL89" s="234">
        <v>41452.468085106389</v>
      </c>
      <c r="AM89" s="234">
        <v>41452.468085106389</v>
      </c>
      <c r="AN89" s="234">
        <v>41452.468085106389</v>
      </c>
      <c r="AO89" s="234">
        <v>41452.468085106389</v>
      </c>
      <c r="AP89" s="234">
        <v>41452.468085106389</v>
      </c>
      <c r="AQ89" s="234">
        <v>41452.468085106389</v>
      </c>
      <c r="AR89" s="234">
        <v>41452.468085106389</v>
      </c>
      <c r="AS89" s="234">
        <v>41452.468085106389</v>
      </c>
      <c r="AT89" s="234">
        <v>41452.468085106389</v>
      </c>
      <c r="AU89" s="234">
        <v>41452.468085106389</v>
      </c>
      <c r="AV89" s="234">
        <v>41452.468085106389</v>
      </c>
      <c r="AW89" s="234">
        <v>41452.468085106389</v>
      </c>
      <c r="AX89" s="234">
        <v>41452.468085106389</v>
      </c>
      <c r="AY89" s="234">
        <v>41452.468085106389</v>
      </c>
    </row>
    <row r="90" spans="1:51" x14ac:dyDescent="0.25">
      <c r="A90" s="31" t="s">
        <v>111</v>
      </c>
      <c r="B90" s="31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45">
        <v>1970000</v>
      </c>
      <c r="AL90" s="45">
        <v>1970000</v>
      </c>
      <c r="AM90" s="45">
        <v>1970000</v>
      </c>
      <c r="AN90" s="45">
        <v>1642600</v>
      </c>
      <c r="AO90" s="45">
        <v>1591000</v>
      </c>
      <c r="AP90" s="45">
        <v>1754400</v>
      </c>
      <c r="AQ90" s="45">
        <v>1720000</v>
      </c>
      <c r="AR90" s="45">
        <v>1625400</v>
      </c>
      <c r="AS90" s="45">
        <v>1754400</v>
      </c>
      <c r="AT90" s="45">
        <v>1978000</v>
      </c>
      <c r="AU90" s="45">
        <v>1892000</v>
      </c>
      <c r="AV90" s="45">
        <v>1823200</v>
      </c>
      <c r="AW90" s="45">
        <v>1857600</v>
      </c>
      <c r="AX90" s="45">
        <v>1883400</v>
      </c>
      <c r="AY90" s="45">
        <v>1917800</v>
      </c>
    </row>
    <row r="91" spans="1:51" hidden="1" outlineLevel="1" x14ac:dyDescent="0.25">
      <c r="A91" s="83" t="s">
        <v>111</v>
      </c>
      <c r="B91" s="31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</row>
    <row r="92" spans="1:51" hidden="1" outlineLevel="1" x14ac:dyDescent="0.25">
      <c r="A92" s="83" t="s">
        <v>228</v>
      </c>
      <c r="B92" s="31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</row>
    <row r="93" spans="1:51" collapsed="1" x14ac:dyDescent="0.25">
      <c r="A93" s="31" t="s">
        <v>112</v>
      </c>
      <c r="B93" s="31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45">
        <v>16829.858297872343</v>
      </c>
      <c r="AL93" s="45">
        <v>16829.858297872343</v>
      </c>
      <c r="AM93" s="45">
        <v>16829.858297872343</v>
      </c>
      <c r="AN93" s="45">
        <v>16829.858297872343</v>
      </c>
      <c r="AO93" s="45">
        <v>16829.858297872343</v>
      </c>
      <c r="AP93" s="45">
        <v>16829.858297872343</v>
      </c>
      <c r="AQ93" s="45">
        <v>16829.858297872343</v>
      </c>
      <c r="AR93" s="45">
        <v>16829.858297872343</v>
      </c>
      <c r="AS93" s="45">
        <v>16829.858297872343</v>
      </c>
      <c r="AT93" s="45">
        <v>16829.858297872343</v>
      </c>
      <c r="AU93" s="45">
        <v>16829.858297872343</v>
      </c>
      <c r="AV93" s="45">
        <v>16829.858297872343</v>
      </c>
      <c r="AW93" s="45">
        <v>16829.858297872343</v>
      </c>
      <c r="AX93" s="45">
        <v>16829.858297872343</v>
      </c>
      <c r="AY93" s="45">
        <v>16829.858297872343</v>
      </c>
    </row>
    <row r="94" spans="1:51" x14ac:dyDescent="0.25">
      <c r="A94" s="31" t="s">
        <v>113</v>
      </c>
      <c r="B94" s="31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45">
        <v>0</v>
      </c>
      <c r="AL94" s="45">
        <v>0</v>
      </c>
      <c r="AM94" s="45">
        <v>0</v>
      </c>
      <c r="AN94" s="45">
        <v>0</v>
      </c>
      <c r="AO94" s="45">
        <v>0</v>
      </c>
      <c r="AP94" s="45">
        <v>0</v>
      </c>
      <c r="AQ94" s="45">
        <v>0</v>
      </c>
      <c r="AR94" s="45">
        <v>0</v>
      </c>
      <c r="AS94" s="45">
        <v>0</v>
      </c>
      <c r="AT94" s="45">
        <v>0</v>
      </c>
      <c r="AU94" s="45">
        <v>0</v>
      </c>
      <c r="AV94" s="45">
        <v>0</v>
      </c>
      <c r="AW94" s="45">
        <v>0</v>
      </c>
      <c r="AX94" s="45">
        <v>0</v>
      </c>
      <c r="AY94" s="45">
        <v>0</v>
      </c>
    </row>
    <row r="95" spans="1:51" x14ac:dyDescent="0.25">
      <c r="A95" s="31" t="s">
        <v>155</v>
      </c>
      <c r="B95" s="31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45">
        <v>220437.96</v>
      </c>
      <c r="AL95" s="45">
        <v>251558</v>
      </c>
      <c r="AM95" s="45">
        <v>294718</v>
      </c>
      <c r="AN95" s="45">
        <v>364301.13</v>
      </c>
      <c r="AO95" s="45">
        <v>282753.77249999996</v>
      </c>
      <c r="AP95" s="45">
        <v>282753.77249999996</v>
      </c>
      <c r="AQ95" s="45">
        <v>282753.77249999996</v>
      </c>
      <c r="AR95" s="45">
        <v>282753.77249999996</v>
      </c>
      <c r="AS95" s="45">
        <v>282753.77249999996</v>
      </c>
      <c r="AT95" s="45">
        <v>282753.77249999996</v>
      </c>
      <c r="AU95" s="45">
        <v>282753.77249999996</v>
      </c>
      <c r="AV95" s="45">
        <v>282753.77249999996</v>
      </c>
      <c r="AW95" s="45">
        <v>282753.77249999996</v>
      </c>
      <c r="AX95" s="45">
        <v>282753.77249999996</v>
      </c>
      <c r="AY95" s="45">
        <v>282753.77249999996</v>
      </c>
    </row>
    <row r="96" spans="1:51" hidden="1" outlineLevel="1" x14ac:dyDescent="0.25">
      <c r="A96" s="88" t="s">
        <v>114</v>
      </c>
      <c r="B96" s="31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</row>
    <row r="97" spans="1:51" hidden="1" outlineLevel="1" x14ac:dyDescent="0.25">
      <c r="A97" s="88" t="s">
        <v>115</v>
      </c>
      <c r="B97" s="31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</row>
    <row r="98" spans="1:51" hidden="1" outlineLevel="1" x14ac:dyDescent="0.25">
      <c r="A98" s="88" t="s">
        <v>116</v>
      </c>
      <c r="B98" s="31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</row>
    <row r="99" spans="1:51" collapsed="1" x14ac:dyDescent="0.25">
      <c r="A99" s="31" t="s">
        <v>10</v>
      </c>
      <c r="B99" s="31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45">
        <v>1080237.8400000001</v>
      </c>
      <c r="AL99" s="45">
        <v>791082.68</v>
      </c>
      <c r="AM99" s="45">
        <v>885803.25</v>
      </c>
      <c r="AN99" s="45">
        <v>976784.38</v>
      </c>
      <c r="AO99" s="45">
        <v>900000</v>
      </c>
      <c r="AP99" s="45">
        <v>900000</v>
      </c>
      <c r="AQ99" s="45">
        <v>900000</v>
      </c>
      <c r="AR99" s="45">
        <v>900000</v>
      </c>
      <c r="AS99" s="45">
        <v>900000</v>
      </c>
      <c r="AT99" s="45">
        <v>900000</v>
      </c>
      <c r="AU99" s="45">
        <v>900000</v>
      </c>
      <c r="AV99" s="45">
        <v>900000</v>
      </c>
      <c r="AW99" s="45">
        <v>900000</v>
      </c>
      <c r="AX99" s="45">
        <v>900000</v>
      </c>
      <c r="AY99" s="45">
        <v>900000</v>
      </c>
    </row>
    <row r="100" spans="1:51" x14ac:dyDescent="0.25">
      <c r="A100" s="31" t="s">
        <v>117</v>
      </c>
      <c r="B100" s="31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3"/>
      <c r="AC100" s="33"/>
      <c r="AD100" s="33"/>
      <c r="AE100" s="33"/>
      <c r="AF100" s="33"/>
      <c r="AG100" s="33"/>
      <c r="AH100" s="33"/>
      <c r="AI100" s="33"/>
      <c r="AJ100" s="33"/>
      <c r="AK100" s="234">
        <v>115983.10999999987</v>
      </c>
      <c r="AL100" s="234">
        <v>-143757.60000000009</v>
      </c>
      <c r="AM100" s="234">
        <v>-38583.429999999935</v>
      </c>
      <c r="AN100" s="234">
        <v>65704.179999999949</v>
      </c>
      <c r="AO100" s="234">
        <v>-163.43500000005224</v>
      </c>
      <c r="AP100" s="234">
        <v>-163.43500000005224</v>
      </c>
      <c r="AQ100" s="234">
        <v>-163.43500000005224</v>
      </c>
      <c r="AR100" s="234">
        <v>-163.43500000005224</v>
      </c>
      <c r="AS100" s="234">
        <v>-163.43500000005224</v>
      </c>
      <c r="AT100" s="234">
        <v>-163.43500000005224</v>
      </c>
      <c r="AU100" s="234">
        <v>-163.43500000005224</v>
      </c>
      <c r="AV100" s="234">
        <v>-163.43500000005224</v>
      </c>
      <c r="AW100" s="234">
        <v>-163.43500000005224</v>
      </c>
      <c r="AX100" s="234">
        <v>-163.43500000005224</v>
      </c>
      <c r="AY100" s="234">
        <v>-163.43500000005224</v>
      </c>
    </row>
    <row r="101" spans="1:51" x14ac:dyDescent="0.25">
      <c r="A101" s="34" t="s">
        <v>264</v>
      </c>
      <c r="B101" s="34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45">
        <v>0</v>
      </c>
      <c r="AL101" s="45">
        <v>0</v>
      </c>
      <c r="AM101" s="45">
        <v>544951.51</v>
      </c>
      <c r="AN101" s="45">
        <v>168678.16999999998</v>
      </c>
      <c r="AO101" s="45">
        <v>52799.999999999993</v>
      </c>
      <c r="AP101" s="45">
        <v>19799.999999999996</v>
      </c>
      <c r="AQ101" s="45">
        <v>19799.999999999996</v>
      </c>
      <c r="AR101" s="45">
        <v>19799.999999999996</v>
      </c>
      <c r="AS101" s="45">
        <v>19799.999999999996</v>
      </c>
      <c r="AT101" s="45">
        <v>19799.999999999996</v>
      </c>
      <c r="AU101" s="45">
        <v>19799.999999999996</v>
      </c>
      <c r="AV101" s="45">
        <v>19799.999999999996</v>
      </c>
      <c r="AW101" s="45">
        <v>19799.999999999996</v>
      </c>
      <c r="AX101" s="45">
        <v>19799.999999999996</v>
      </c>
      <c r="AY101" s="45">
        <v>19799.999999999996</v>
      </c>
    </row>
    <row r="102" spans="1:51" x14ac:dyDescent="0.25">
      <c r="A102" s="31" t="s">
        <v>47</v>
      </c>
      <c r="B102" s="31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45">
        <v>178204.25</v>
      </c>
      <c r="AL102" s="45">
        <v>188001.86</v>
      </c>
      <c r="AM102" s="45">
        <v>387325.03</v>
      </c>
      <c r="AN102" s="45">
        <v>87060.329999999987</v>
      </c>
      <c r="AO102" s="45">
        <v>210147.86749999999</v>
      </c>
      <c r="AP102" s="45">
        <v>210147.86749999999</v>
      </c>
      <c r="AQ102" s="45">
        <v>210147.86749999999</v>
      </c>
      <c r="AR102" s="45">
        <v>210147.86749999999</v>
      </c>
      <c r="AS102" s="45">
        <v>210147.86749999999</v>
      </c>
      <c r="AT102" s="45">
        <v>210147.86749999999</v>
      </c>
      <c r="AU102" s="45">
        <v>210147.86749999999</v>
      </c>
      <c r="AV102" s="45">
        <v>210147.86749999999</v>
      </c>
      <c r="AW102" s="45">
        <v>210147.86749999999</v>
      </c>
      <c r="AX102" s="45">
        <v>210147.86749999999</v>
      </c>
      <c r="AY102" s="45">
        <v>210147.86749999999</v>
      </c>
    </row>
    <row r="103" spans="1:51" s="275" customFormat="1" x14ac:dyDescent="0.25">
      <c r="A103" s="272" t="s">
        <v>118</v>
      </c>
      <c r="B103" s="272"/>
      <c r="C103" s="273"/>
      <c r="D103" s="273"/>
      <c r="E103" s="273"/>
      <c r="F103" s="273"/>
      <c r="G103" s="273"/>
      <c r="H103" s="273"/>
      <c r="I103" s="273"/>
      <c r="J103" s="273"/>
      <c r="K103" s="273"/>
      <c r="L103" s="273"/>
      <c r="M103" s="273"/>
      <c r="N103" s="273"/>
      <c r="O103" s="273"/>
      <c r="P103" s="273"/>
      <c r="Q103" s="273"/>
      <c r="R103" s="273"/>
      <c r="S103" s="273"/>
      <c r="T103" s="273"/>
      <c r="U103" s="273"/>
      <c r="V103" s="273"/>
      <c r="W103" s="273"/>
      <c r="X103" s="273"/>
      <c r="Y103" s="273"/>
      <c r="Z103" s="273"/>
      <c r="AA103" s="273"/>
      <c r="AB103" s="273"/>
      <c r="AC103" s="273"/>
      <c r="AD103" s="273"/>
      <c r="AE103" s="273"/>
      <c r="AF103" s="273"/>
      <c r="AG103" s="273"/>
      <c r="AH103" s="273"/>
      <c r="AI103" s="273"/>
      <c r="AJ103" s="273"/>
      <c r="AK103" s="276">
        <v>-13095997.81386614</v>
      </c>
      <c r="AL103" s="276">
        <v>-10478229.358657621</v>
      </c>
      <c r="AM103" s="276">
        <v>-12221626.084197843</v>
      </c>
      <c r="AN103" s="276">
        <v>-13901145.164624136</v>
      </c>
      <c r="AO103" s="276">
        <v>-12699380.022852756</v>
      </c>
      <c r="AP103" s="276">
        <v>-15301310.231830854</v>
      </c>
      <c r="AQ103" s="276">
        <v>-13769320.076793687</v>
      </c>
      <c r="AR103" s="276">
        <v>-13995733.0223465</v>
      </c>
      <c r="AS103" s="276">
        <v>-14559699.116610719</v>
      </c>
      <c r="AT103" s="276">
        <v>-16115170.713338412</v>
      </c>
      <c r="AU103" s="276">
        <v>-15393725.522643305</v>
      </c>
      <c r="AV103" s="276">
        <v>-15663251.497815557</v>
      </c>
      <c r="AW103" s="276">
        <v>-15943466.932468526</v>
      </c>
      <c r="AX103" s="276">
        <v>-15097123.500880729</v>
      </c>
      <c r="AY103" s="276">
        <v>-17541271.233724851</v>
      </c>
    </row>
    <row r="104" spans="1:51" x14ac:dyDescent="0.25">
      <c r="A104" s="31" t="s">
        <v>149</v>
      </c>
      <c r="B104" s="31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58">
        <v>-13095997.81386614</v>
      </c>
      <c r="AL104" s="58">
        <v>-10478229.358657621</v>
      </c>
      <c r="AM104" s="58">
        <v>-12221626.084197843</v>
      </c>
      <c r="AN104" s="58">
        <v>-13901145.164624136</v>
      </c>
      <c r="AO104" s="58">
        <v>-12699380.022852756</v>
      </c>
      <c r="AP104" s="58">
        <v>-15301310.231830854</v>
      </c>
      <c r="AQ104" s="58">
        <v>-13769320.076793687</v>
      </c>
      <c r="AR104" s="58">
        <v>-13995733.0223465</v>
      </c>
      <c r="AS104" s="58">
        <v>-14559699.116610719</v>
      </c>
      <c r="AT104" s="58">
        <v>-16115170.713338412</v>
      </c>
      <c r="AU104" s="58">
        <v>-15393725.522643305</v>
      </c>
      <c r="AV104" s="58">
        <v>-15663251.497815557</v>
      </c>
      <c r="AW104" s="58">
        <v>-15943466.932468526</v>
      </c>
      <c r="AX104" s="58">
        <v>-15097123.500880729</v>
      </c>
      <c r="AY104" s="58">
        <v>-17541271.233724851</v>
      </c>
    </row>
    <row r="105" spans="1:51" x14ac:dyDescent="0.25">
      <c r="A105" s="83" t="s">
        <v>120</v>
      </c>
      <c r="B105" s="83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234">
        <v>-5004075.147264435</v>
      </c>
      <c r="AL105" s="234">
        <v>-3205244.0549437455</v>
      </c>
      <c r="AM105" s="234">
        <v>-3921465.7036883291</v>
      </c>
      <c r="AN105" s="234">
        <v>-4518124.3848334625</v>
      </c>
      <c r="AO105" s="234">
        <v>-4228882.4647306856</v>
      </c>
      <c r="AP105" s="234">
        <v>-5380522.1826135786</v>
      </c>
      <c r="AQ105" s="234">
        <v>-4629193.176485246</v>
      </c>
      <c r="AR105" s="234">
        <v>-4876832.3221845124</v>
      </c>
      <c r="AS105" s="234">
        <v>-5484976.0755583979</v>
      </c>
      <c r="AT105" s="234">
        <v>-6454051.8384606875</v>
      </c>
      <c r="AU105" s="234">
        <v>-6691989.1685109232</v>
      </c>
      <c r="AV105" s="234">
        <v>-7288357.5966983968</v>
      </c>
      <c r="AW105" s="234">
        <v>-7923873.7213711683</v>
      </c>
      <c r="AX105" s="234">
        <v>-7975889.1657974171</v>
      </c>
      <c r="AY105" s="234">
        <v>-9171044.0689085573</v>
      </c>
    </row>
    <row r="106" spans="1:51" hidden="1" outlineLevel="1" x14ac:dyDescent="0.25">
      <c r="A106" s="83" t="s">
        <v>271</v>
      </c>
      <c r="B106" s="83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234">
        <v>-2044483.3928207916</v>
      </c>
      <c r="AL106" s="234">
        <v>-764046.75044372294</v>
      </c>
      <c r="AM106" s="234">
        <v>-1070052.7011642454</v>
      </c>
      <c r="AN106" s="234">
        <v>-2734250.6567985127</v>
      </c>
      <c r="AO106" s="234">
        <v>-2734250.6567985127</v>
      </c>
      <c r="AP106" s="234">
        <v>-2734250.6567985099</v>
      </c>
      <c r="AQ106" s="234">
        <v>-2734250.6567985099</v>
      </c>
      <c r="AR106" s="234">
        <v>-2734250.6567985099</v>
      </c>
      <c r="AS106" s="234">
        <v>-2734250.6567985099</v>
      </c>
      <c r="AT106" s="234">
        <v>-2734250.6567985099</v>
      </c>
      <c r="AU106" s="234">
        <v>-2734250.6567985099</v>
      </c>
      <c r="AV106" s="234">
        <v>-2734250.6567985099</v>
      </c>
      <c r="AW106" s="234">
        <v>-2734250.6567985099</v>
      </c>
      <c r="AX106" s="234">
        <v>-2734250.6567985099</v>
      </c>
      <c r="AY106" s="234">
        <v>-2734250.6567985099</v>
      </c>
    </row>
    <row r="107" spans="1:51" hidden="1" outlineLevel="1" x14ac:dyDescent="0.25">
      <c r="A107" s="83" t="s">
        <v>272</v>
      </c>
      <c r="B107" s="83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234">
        <v>-10090600.690571947</v>
      </c>
      <c r="AL107" s="234">
        <v>-9202777.7086718027</v>
      </c>
      <c r="AM107" s="234">
        <v>-10792931.662923709</v>
      </c>
      <c r="AN107" s="234">
        <v>-1783873.7280349501</v>
      </c>
      <c r="AO107" s="234">
        <v>-1783873.7280349501</v>
      </c>
      <c r="AP107" s="234">
        <v>-1783873.7280349501</v>
      </c>
      <c r="AQ107" s="234">
        <v>-1783873.7280349501</v>
      </c>
      <c r="AR107" s="234">
        <v>-1783873.7280349501</v>
      </c>
      <c r="AS107" s="234">
        <v>-1783873.7280349501</v>
      </c>
      <c r="AT107" s="234">
        <v>-1783873.7280349501</v>
      </c>
      <c r="AU107" s="234">
        <v>-1783873.7280349501</v>
      </c>
      <c r="AV107" s="234">
        <v>-1783873.7280349501</v>
      </c>
      <c r="AW107" s="234">
        <v>-1783873.7280349501</v>
      </c>
      <c r="AX107" s="234">
        <v>-1783873.7280349501</v>
      </c>
      <c r="AY107" s="234">
        <v>-1783873.7280349501</v>
      </c>
    </row>
    <row r="108" spans="1:51" collapsed="1" x14ac:dyDescent="0.25">
      <c r="A108" s="83" t="s">
        <v>121</v>
      </c>
      <c r="B108" s="83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234">
        <v>-10090600.690571947</v>
      </c>
      <c r="AL108" s="234">
        <v>-9202777.7086718027</v>
      </c>
      <c r="AM108" s="234">
        <v>-10792931.662923709</v>
      </c>
      <c r="AN108" s="234">
        <v>-11585571.582935231</v>
      </c>
      <c r="AO108" s="234">
        <v>-10215152.26681027</v>
      </c>
      <c r="AP108" s="234">
        <v>-12757575.744360507</v>
      </c>
      <c r="AQ108" s="234">
        <v>-11271781.229053155</v>
      </c>
      <c r="AR108" s="234">
        <v>-11127174.377080813</v>
      </c>
      <c r="AS108" s="234">
        <v>-11245628.836957784</v>
      </c>
      <c r="AT108" s="234">
        <v>-12018373.00030119</v>
      </c>
      <c r="AU108" s="234">
        <v>-10761383.395376559</v>
      </c>
      <c r="AV108" s="234">
        <v>-10440238.377049167</v>
      </c>
      <c r="AW108" s="234">
        <v>-10086766.843299998</v>
      </c>
      <c r="AX108" s="234">
        <v>-8963638.9086072911</v>
      </c>
      <c r="AY108" s="234">
        <v>-10591854.152574077</v>
      </c>
    </row>
    <row r="109" spans="1:51" x14ac:dyDescent="0.25">
      <c r="A109" s="83" t="s">
        <v>156</v>
      </c>
      <c r="B109" s="83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234">
        <v>1916854.0273877089</v>
      </c>
      <c r="AL109" s="234">
        <v>1318774.7588367909</v>
      </c>
      <c r="AM109" s="234">
        <v>2011255.6485134987</v>
      </c>
      <c r="AN109" s="234">
        <v>1901930.7966888153</v>
      </c>
      <c r="AO109" s="234">
        <v>1470614.5287358544</v>
      </c>
      <c r="AP109" s="234">
        <v>2565677.8285521958</v>
      </c>
      <c r="AQ109" s="234">
        <v>1769377.2711680008</v>
      </c>
      <c r="AR109" s="234">
        <v>1721974.8353915138</v>
      </c>
      <c r="AS109" s="234">
        <v>1828004.1829338642</v>
      </c>
      <c r="AT109" s="234">
        <v>2040947.857509353</v>
      </c>
      <c r="AU109" s="234">
        <v>1875600.6052989736</v>
      </c>
      <c r="AV109" s="234">
        <v>1906361.036120536</v>
      </c>
      <c r="AW109" s="234">
        <v>1942658.7325233878</v>
      </c>
      <c r="AX109" s="234">
        <v>1763035.7680114033</v>
      </c>
      <c r="AY109" s="234">
        <v>2116252.6289802929</v>
      </c>
    </row>
    <row r="110" spans="1:51" x14ac:dyDescent="0.25">
      <c r="A110" s="83" t="s">
        <v>17</v>
      </c>
      <c r="B110" s="83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234">
        <v>81823.996582531836</v>
      </c>
      <c r="AL110" s="234">
        <v>611017.64612113591</v>
      </c>
      <c r="AM110" s="234">
        <v>481515.63390069595</v>
      </c>
      <c r="AN110" s="234">
        <v>300620.00645574089</v>
      </c>
      <c r="AO110" s="234">
        <v>274040.17995234486</v>
      </c>
      <c r="AP110" s="234">
        <v>271109.86659103446</v>
      </c>
      <c r="AQ110" s="234">
        <v>362277.05757671176</v>
      </c>
      <c r="AR110" s="234">
        <v>286298.84152731067</v>
      </c>
      <c r="AS110" s="234">
        <v>342901.61297159782</v>
      </c>
      <c r="AT110" s="234">
        <v>316306.26791411312</v>
      </c>
      <c r="AU110" s="234">
        <v>184046.43594520492</v>
      </c>
      <c r="AV110" s="234">
        <v>158983.43981147092</v>
      </c>
      <c r="AW110" s="234">
        <v>124514.89967925241</v>
      </c>
      <c r="AX110" s="234">
        <v>79368.805512576364</v>
      </c>
      <c r="AY110" s="234">
        <v>105374.35877748951</v>
      </c>
    </row>
    <row r="111" spans="1:51" x14ac:dyDescent="0.25">
      <c r="A111" s="31" t="s">
        <v>28</v>
      </c>
      <c r="B111" s="31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234">
        <v>-425597.37314896798</v>
      </c>
      <c r="AL111" s="234">
        <v>-574929.58978084603</v>
      </c>
      <c r="AM111" s="234">
        <v>-525155.78967311268</v>
      </c>
      <c r="AN111" s="234">
        <v>-478914</v>
      </c>
      <c r="AO111" s="234">
        <v>-490089.49217412295</v>
      </c>
      <c r="AP111" s="234">
        <v>-599202.3882745587</v>
      </c>
      <c r="AQ111" s="234">
        <v>-597063.83185322466</v>
      </c>
      <c r="AR111" s="234">
        <v>-555384.26434026298</v>
      </c>
      <c r="AS111" s="234">
        <v>-602763.34558370057</v>
      </c>
      <c r="AT111" s="234">
        <v>-548662.33896864625</v>
      </c>
      <c r="AU111" s="234">
        <v>-618140.71914942865</v>
      </c>
      <c r="AV111" s="234">
        <v>-623953.84743487812</v>
      </c>
      <c r="AW111" s="234">
        <v>-646875.32749018655</v>
      </c>
      <c r="AX111" s="234">
        <v>-710299.8081641749</v>
      </c>
      <c r="AY111" s="234">
        <v>-650176.09929564409</v>
      </c>
    </row>
    <row r="112" spans="1:51" s="275" customFormat="1" x14ac:dyDescent="0.25">
      <c r="A112" s="272" t="s">
        <v>123</v>
      </c>
      <c r="B112" s="272"/>
      <c r="C112" s="273"/>
      <c r="D112" s="273"/>
      <c r="E112" s="273"/>
      <c r="F112" s="273"/>
      <c r="G112" s="273"/>
      <c r="H112" s="273"/>
      <c r="I112" s="273"/>
      <c r="J112" s="273"/>
      <c r="K112" s="273"/>
      <c r="L112" s="273"/>
      <c r="M112" s="273"/>
      <c r="N112" s="273"/>
      <c r="O112" s="273"/>
      <c r="P112" s="273"/>
      <c r="Q112" s="273"/>
      <c r="R112" s="273"/>
      <c r="S112" s="273"/>
      <c r="T112" s="273"/>
      <c r="U112" s="273"/>
      <c r="V112" s="273"/>
      <c r="W112" s="273"/>
      <c r="X112" s="273"/>
      <c r="Y112" s="273"/>
      <c r="Z112" s="273"/>
      <c r="AA112" s="273"/>
      <c r="AB112" s="273"/>
      <c r="AC112" s="273"/>
      <c r="AD112" s="273"/>
      <c r="AE112" s="273"/>
      <c r="AF112" s="273"/>
      <c r="AG112" s="273"/>
      <c r="AH112" s="273"/>
      <c r="AI112" s="273"/>
      <c r="AJ112" s="273"/>
      <c r="AK112" s="276">
        <v>7501238.376485005</v>
      </c>
      <c r="AL112" s="276">
        <v>11519717.037524728</v>
      </c>
      <c r="AM112" s="276">
        <v>11780804.064734859</v>
      </c>
      <c r="AN112" s="276">
        <v>10152489.282999452</v>
      </c>
      <c r="AO112" s="276">
        <v>10228503.472531866</v>
      </c>
      <c r="AP112" s="276">
        <v>13563861.793358922</v>
      </c>
      <c r="AQ112" s="276">
        <v>13460923.321546804</v>
      </c>
      <c r="AR112" s="276">
        <v>12088122.035512336</v>
      </c>
      <c r="AS112" s="276">
        <v>13890443.420833848</v>
      </c>
      <c r="AT112" s="276">
        <v>12449621.046531558</v>
      </c>
      <c r="AU112" s="276">
        <v>13742626.182183389</v>
      </c>
      <c r="AV112" s="276">
        <v>14094777.866446827</v>
      </c>
      <c r="AW112" s="276">
        <v>14380425.497018369</v>
      </c>
      <c r="AX112" s="276">
        <v>15764252.683869407</v>
      </c>
      <c r="AY112" s="276">
        <v>14115710.541539429</v>
      </c>
    </row>
    <row r="113" spans="1:54" x14ac:dyDescent="0.25">
      <c r="A113" s="31" t="s">
        <v>24</v>
      </c>
      <c r="B113" s="31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234">
        <v>-944284.0686799828</v>
      </c>
      <c r="AL113" s="234">
        <v>-1024714.6003409326</v>
      </c>
      <c r="AM113" s="234">
        <v>-1070925.5757823139</v>
      </c>
      <c r="AN113" s="234">
        <v>-1528471.5268365145</v>
      </c>
      <c r="AO113" s="234">
        <v>-916664.33182585984</v>
      </c>
      <c r="AP113" s="234">
        <v>-1292046.243950896</v>
      </c>
      <c r="AQ113" s="234">
        <v>-1105001.7614120618</v>
      </c>
      <c r="AR113" s="234">
        <v>-1110416.4405468479</v>
      </c>
      <c r="AS113" s="234">
        <v>-1629488.7716009766</v>
      </c>
      <c r="AT113" s="234">
        <v>-1848475.3435240313</v>
      </c>
      <c r="AU113" s="234">
        <v>-1812314.3979868218</v>
      </c>
      <c r="AV113" s="234">
        <v>-1950245.0510388613</v>
      </c>
      <c r="AW113" s="234">
        <v>-1905520.5259467065</v>
      </c>
      <c r="AX113" s="234">
        <v>-1849897.3910253868</v>
      </c>
      <c r="AY113" s="234">
        <v>-1963312.0061832294</v>
      </c>
    </row>
    <row r="114" spans="1:54" s="275" customFormat="1" x14ac:dyDescent="0.25">
      <c r="A114" s="272" t="s">
        <v>125</v>
      </c>
      <c r="B114" s="272"/>
      <c r="C114" s="273"/>
      <c r="D114" s="273"/>
      <c r="E114" s="273"/>
      <c r="F114" s="273"/>
      <c r="G114" s="273"/>
      <c r="H114" s="273"/>
      <c r="I114" s="273"/>
      <c r="J114" s="273"/>
      <c r="K114" s="273"/>
      <c r="L114" s="273"/>
      <c r="M114" s="273"/>
      <c r="N114" s="273"/>
      <c r="O114" s="273"/>
      <c r="P114" s="273"/>
      <c r="Q114" s="273"/>
      <c r="R114" s="273"/>
      <c r="S114" s="273"/>
      <c r="T114" s="273"/>
      <c r="U114" s="273"/>
      <c r="V114" s="273"/>
      <c r="W114" s="273"/>
      <c r="X114" s="273"/>
      <c r="Y114" s="273"/>
      <c r="Z114" s="273"/>
      <c r="AA114" s="273"/>
      <c r="AB114" s="273"/>
      <c r="AC114" s="273"/>
      <c r="AD114" s="273"/>
      <c r="AE114" s="273"/>
      <c r="AF114" s="273"/>
      <c r="AG114" s="273"/>
      <c r="AH114" s="273"/>
      <c r="AI114" s="273"/>
      <c r="AJ114" s="273"/>
      <c r="AK114" s="276">
        <v>6556954.3078050222</v>
      </c>
      <c r="AL114" s="276">
        <v>10495002.437183795</v>
      </c>
      <c r="AM114" s="276">
        <v>10709878.488952545</v>
      </c>
      <c r="AN114" s="276">
        <v>8624017.7561629377</v>
      </c>
      <c r="AO114" s="276">
        <v>9311839.1407060064</v>
      </c>
      <c r="AP114" s="276">
        <v>12271815.549408026</v>
      </c>
      <c r="AQ114" s="276">
        <v>12355921.560134742</v>
      </c>
      <c r="AR114" s="276">
        <v>10977705.594965488</v>
      </c>
      <c r="AS114" s="276">
        <v>12260954.649232872</v>
      </c>
      <c r="AT114" s="276">
        <v>10601145.703007527</v>
      </c>
      <c r="AU114" s="276">
        <v>11930311.784196567</v>
      </c>
      <c r="AV114" s="276">
        <v>12144532.815407965</v>
      </c>
      <c r="AW114" s="276">
        <v>12474904.971071662</v>
      </c>
      <c r="AX114" s="276">
        <v>13914355.29284402</v>
      </c>
      <c r="AY114" s="276">
        <v>12152398.535356199</v>
      </c>
    </row>
    <row r="115" spans="1:54" x14ac:dyDescent="0.25">
      <c r="A115" s="34" t="s">
        <v>126</v>
      </c>
      <c r="B115" s="34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234">
        <v>-1534280.3463777814</v>
      </c>
      <c r="AL115" s="234">
        <v>-1532433.5463777806</v>
      </c>
      <c r="AM115" s="234">
        <v>-1532433.5463777806</v>
      </c>
      <c r="AN115" s="234">
        <v>-1512538.5863777807</v>
      </c>
      <c r="AO115" s="234">
        <v>-2399769.7458436866</v>
      </c>
      <c r="AP115" s="234">
        <v>-2394625.696087528</v>
      </c>
      <c r="AQ115" s="234">
        <v>-2394625.696087528</v>
      </c>
      <c r="AR115" s="234">
        <v>-2394625.696087528</v>
      </c>
      <c r="AS115" s="234">
        <v>-2479321.2768449825</v>
      </c>
      <c r="AT115" s="234">
        <v>-2483961.2197501492</v>
      </c>
      <c r="AU115" s="234">
        <v>-2483961.2197501492</v>
      </c>
      <c r="AV115" s="234">
        <v>-2483961.2197501492</v>
      </c>
      <c r="AW115" s="234">
        <v>-2483961.2197501492</v>
      </c>
      <c r="AX115" s="234">
        <v>-2483961.2197501492</v>
      </c>
      <c r="AY115" s="234">
        <v>-2498869.277463269</v>
      </c>
      <c r="AZ115">
        <v>-1</v>
      </c>
      <c r="BB115" s="58"/>
    </row>
    <row r="116" spans="1:54" x14ac:dyDescent="0.25">
      <c r="A116" s="31" t="s">
        <v>157</v>
      </c>
      <c r="B116" s="31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234">
        <v>-138159.71520000001</v>
      </c>
      <c r="AL116" s="234">
        <v>-82840.510000002701</v>
      </c>
      <c r="AM116" s="234">
        <v>0</v>
      </c>
      <c r="AN116" s="234">
        <v>-180000</v>
      </c>
      <c r="AO116" s="234">
        <v>-192857.14285714284</v>
      </c>
      <c r="AP116" s="234">
        <v>-233766.23376623375</v>
      </c>
      <c r="AQ116" s="234">
        <v>-202207.7922077922</v>
      </c>
      <c r="AR116" s="234">
        <v>-209220.77922077922</v>
      </c>
      <c r="AS116" s="234">
        <v>-222077.92207792209</v>
      </c>
      <c r="AT116" s="234">
        <v>-252467.53246753247</v>
      </c>
      <c r="AU116" s="234">
        <v>-248961.03896103898</v>
      </c>
      <c r="AV116" s="234">
        <v>-238441.55844155845</v>
      </c>
      <c r="AW116" s="234">
        <v>-252467.53246753247</v>
      </c>
      <c r="AX116" s="234">
        <v>-243116.88311688311</v>
      </c>
      <c r="AY116" s="234">
        <v>-262987.01298701297</v>
      </c>
    </row>
    <row r="117" spans="1:54" s="275" customFormat="1" x14ac:dyDescent="0.25">
      <c r="A117" s="272" t="s">
        <v>127</v>
      </c>
      <c r="B117" s="272"/>
      <c r="C117" s="273"/>
      <c r="D117" s="273"/>
      <c r="E117" s="273"/>
      <c r="F117" s="273"/>
      <c r="G117" s="273"/>
      <c r="H117" s="273"/>
      <c r="I117" s="273"/>
      <c r="J117" s="273"/>
      <c r="K117" s="273"/>
      <c r="L117" s="273"/>
      <c r="M117" s="273"/>
      <c r="N117" s="273"/>
      <c r="O117" s="273"/>
      <c r="P117" s="273"/>
      <c r="Q117" s="273"/>
      <c r="R117" s="273"/>
      <c r="S117" s="273"/>
      <c r="T117" s="273"/>
      <c r="U117" s="273"/>
      <c r="V117" s="273"/>
      <c r="W117" s="273"/>
      <c r="X117" s="273"/>
      <c r="Y117" s="273"/>
      <c r="Z117" s="273"/>
      <c r="AA117" s="273"/>
      <c r="AB117" s="273"/>
      <c r="AC117" s="273"/>
      <c r="AD117" s="273"/>
      <c r="AE117" s="273"/>
      <c r="AF117" s="273"/>
      <c r="AG117" s="273"/>
      <c r="AH117" s="273"/>
      <c r="AI117" s="273"/>
      <c r="AJ117" s="273"/>
      <c r="AK117" s="276">
        <v>4411034.0216993233</v>
      </c>
      <c r="AL117" s="276">
        <v>8437912.735328095</v>
      </c>
      <c r="AM117" s="276">
        <v>8762845.0075343493</v>
      </c>
      <c r="AN117" s="276">
        <v>6551481.6462572403</v>
      </c>
      <c r="AO117" s="276">
        <v>6373470.1308272611</v>
      </c>
      <c r="AP117" s="276">
        <v>9331132.3023863472</v>
      </c>
      <c r="AQ117" s="276">
        <v>9476690.4086890053</v>
      </c>
      <c r="AR117" s="276">
        <v>8105780.6849692632</v>
      </c>
      <c r="AS117" s="276">
        <v>9300362.4801970515</v>
      </c>
      <c r="AT117" s="276">
        <v>7621878.6544344276</v>
      </c>
      <c r="AU117" s="276">
        <v>8971186.1701799612</v>
      </c>
      <c r="AV117" s="276">
        <v>9212438.9352983404</v>
      </c>
      <c r="AW117" s="276">
        <v>9544061.5868460629</v>
      </c>
      <c r="AX117" s="276">
        <v>11009152.357469071</v>
      </c>
      <c r="AY117" s="276">
        <v>9213164.5588630028</v>
      </c>
    </row>
    <row r="118" spans="1:54" x14ac:dyDescent="0.25">
      <c r="A118" s="31" t="s">
        <v>128</v>
      </c>
      <c r="B118" s="31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234">
        <v>-2409425.7807919499</v>
      </c>
      <c r="AL118" s="234">
        <v>-2406525.5757919489</v>
      </c>
      <c r="AM118" s="234">
        <v>-2406525.5757919489</v>
      </c>
      <c r="AN118" s="234">
        <v>-2438098.4247919484</v>
      </c>
      <c r="AO118" s="234">
        <v>-1689231.7918371209</v>
      </c>
      <c r="AP118" s="234">
        <v>-2041469.0226797622</v>
      </c>
      <c r="AQ118" s="234">
        <v>-1729469.0226797615</v>
      </c>
      <c r="AR118" s="234">
        <v>-1729469.0226797615</v>
      </c>
      <c r="AS118" s="234">
        <v>-1775790.0050804887</v>
      </c>
      <c r="AT118" s="234">
        <v>-1779138.5318919888</v>
      </c>
      <c r="AU118" s="234">
        <v>-1779138.5318919888</v>
      </c>
      <c r="AV118" s="234">
        <v>-1779138.5318919888</v>
      </c>
      <c r="AW118" s="234">
        <v>-1779138.5318919888</v>
      </c>
      <c r="AX118" s="234">
        <v>-1824378.5318919888</v>
      </c>
      <c r="AY118" s="234">
        <v>-1783776.9547095469</v>
      </c>
      <c r="AZ118">
        <v>-1</v>
      </c>
    </row>
    <row r="119" spans="1:54" x14ac:dyDescent="0.25">
      <c r="A119" s="34" t="s">
        <v>96</v>
      </c>
      <c r="B119" s="34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234">
        <v>-473480.22452791693</v>
      </c>
      <c r="AL119" s="234">
        <v>-441815.64547791687</v>
      </c>
      <c r="AM119" s="234">
        <v>-414599.93504041695</v>
      </c>
      <c r="AN119" s="234">
        <v>-379997.52352791687</v>
      </c>
      <c r="AO119" s="234">
        <v>-345742.12117791682</v>
      </c>
      <c r="AP119" s="234">
        <v>-312291.31716791686</v>
      </c>
      <c r="AQ119" s="234">
        <v>-282397.66315041692</v>
      </c>
      <c r="AR119" s="234">
        <v>-268078.43468791683</v>
      </c>
      <c r="AS119" s="234">
        <v>-259192.97011291687</v>
      </c>
      <c r="AT119" s="234">
        <v>-242838.29635541682</v>
      </c>
      <c r="AU119" s="234">
        <v>-226203.3553054168</v>
      </c>
      <c r="AV119" s="234">
        <v>-209691.10191791676</v>
      </c>
      <c r="AW119" s="234">
        <v>-194414.63200791678</v>
      </c>
      <c r="AX119" s="234">
        <v>-178124.83250791678</v>
      </c>
      <c r="AY119" s="234">
        <v>-177377.68604291682</v>
      </c>
    </row>
    <row r="120" spans="1:54" s="275" customFormat="1" x14ac:dyDescent="0.25">
      <c r="A120" s="272" t="s">
        <v>129</v>
      </c>
      <c r="B120" s="272"/>
      <c r="C120" s="273"/>
      <c r="D120" s="273"/>
      <c r="E120" s="273"/>
      <c r="F120" s="273"/>
      <c r="G120" s="273"/>
      <c r="H120" s="273"/>
      <c r="I120" s="273"/>
      <c r="J120" s="273"/>
      <c r="K120" s="273"/>
      <c r="L120" s="273"/>
      <c r="M120" s="273"/>
      <c r="N120" s="273"/>
      <c r="O120" s="273"/>
      <c r="P120" s="273"/>
      <c r="Q120" s="273"/>
      <c r="R120" s="273"/>
      <c r="S120" s="273"/>
      <c r="T120" s="273"/>
      <c r="U120" s="273"/>
      <c r="V120" s="273"/>
      <c r="W120" s="273"/>
      <c r="X120" s="273"/>
      <c r="Y120" s="273"/>
      <c r="Z120" s="273"/>
      <c r="AA120" s="273"/>
      <c r="AB120" s="273"/>
      <c r="AC120" s="273"/>
      <c r="AD120" s="273"/>
      <c r="AE120" s="273"/>
      <c r="AF120" s="273"/>
      <c r="AG120" s="273"/>
      <c r="AH120" s="273"/>
      <c r="AI120" s="273"/>
      <c r="AJ120" s="273"/>
      <c r="AK120" s="276">
        <v>2001608.2409073734</v>
      </c>
      <c r="AL120" s="276">
        <v>6031387.1595361456</v>
      </c>
      <c r="AM120" s="276">
        <v>6356319.4317423999</v>
      </c>
      <c r="AN120" s="276">
        <v>4113383.2214652919</v>
      </c>
      <c r="AO120" s="276">
        <v>4684238.3389901407</v>
      </c>
      <c r="AP120" s="276">
        <v>7289663.2797065852</v>
      </c>
      <c r="AQ120" s="276">
        <v>7747221.3860092442</v>
      </c>
      <c r="AR120" s="276">
        <v>6376311.6622895021</v>
      </c>
      <c r="AS120" s="276">
        <v>7524572.475116563</v>
      </c>
      <c r="AT120" s="276">
        <v>5842740.122542439</v>
      </c>
      <c r="AU120" s="276">
        <v>7192047.6382879727</v>
      </c>
      <c r="AV120" s="276">
        <v>7433300.4034063518</v>
      </c>
      <c r="AW120" s="276">
        <v>7764923.0549540743</v>
      </c>
      <c r="AX120" s="276">
        <v>9184773.8255770821</v>
      </c>
      <c r="AY120" s="276">
        <v>7429387.6041534562</v>
      </c>
    </row>
    <row r="121" spans="1:54" x14ac:dyDescent="0.25">
      <c r="A121" s="31" t="s">
        <v>42</v>
      </c>
      <c r="B121" s="31"/>
      <c r="C121" s="32"/>
      <c r="D121" s="32"/>
      <c r="E121" s="32"/>
      <c r="F121" s="32"/>
      <c r="G121" s="32"/>
      <c r="H121" s="32"/>
      <c r="I121" s="32"/>
      <c r="J121" s="32"/>
      <c r="K121" s="32"/>
      <c r="L121" s="120"/>
      <c r="M121" s="32"/>
      <c r="N121" s="32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234">
        <v>-574225.06983638695</v>
      </c>
      <c r="AL121" s="234">
        <v>-1610670.9468929237</v>
      </c>
      <c r="AM121" s="234">
        <v>-1793171.3943936706</v>
      </c>
      <c r="AN121" s="234">
        <v>-1157412.4228173625</v>
      </c>
      <c r="AO121" s="234">
        <v>-1340146.0183142333</v>
      </c>
      <c r="AP121" s="234">
        <v>-1730075.2122785558</v>
      </c>
      <c r="AQ121" s="234">
        <v>-1844212.8353015673</v>
      </c>
      <c r="AR121" s="234">
        <v>-1612620.2967897453</v>
      </c>
      <c r="AS121" s="234">
        <v>-1722123.9984160594</v>
      </c>
      <c r="AT121" s="234">
        <v>-1360428.3545727304</v>
      </c>
      <c r="AU121" s="234">
        <v>-1733887.6010694429</v>
      </c>
      <c r="AV121" s="234">
        <v>-1736927.242095317</v>
      </c>
      <c r="AW121" s="234">
        <v>-1855773.7190020506</v>
      </c>
      <c r="AX121" s="234">
        <v>-2193356.3637123452</v>
      </c>
      <c r="AY121" s="234">
        <v>-1836354.4926250146</v>
      </c>
      <c r="AZ121" s="58"/>
    </row>
    <row r="122" spans="1:54" s="275" customFormat="1" x14ac:dyDescent="0.25">
      <c r="A122" s="272" t="s">
        <v>130</v>
      </c>
      <c r="B122" s="272"/>
      <c r="C122" s="273"/>
      <c r="D122" s="273"/>
      <c r="E122" s="273"/>
      <c r="F122" s="273"/>
      <c r="G122" s="273"/>
      <c r="H122" s="273"/>
      <c r="I122" s="273"/>
      <c r="J122" s="273"/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3"/>
      <c r="X122" s="273"/>
      <c r="Y122" s="273"/>
      <c r="Z122" s="273"/>
      <c r="AA122" s="273"/>
      <c r="AB122" s="273"/>
      <c r="AC122" s="273"/>
      <c r="AD122" s="273"/>
      <c r="AE122" s="273"/>
      <c r="AF122" s="273"/>
      <c r="AG122" s="273"/>
      <c r="AH122" s="273"/>
      <c r="AI122" s="273"/>
      <c r="AJ122" s="273"/>
      <c r="AK122" s="276">
        <v>1427383.1710709864</v>
      </c>
      <c r="AL122" s="276">
        <v>4420716.212643222</v>
      </c>
      <c r="AM122" s="276">
        <v>4563148.0373487296</v>
      </c>
      <c r="AN122" s="276">
        <v>2955970.7986479294</v>
      </c>
      <c r="AO122" s="276">
        <v>3344092.3206759077</v>
      </c>
      <c r="AP122" s="276">
        <v>5559588.0674280291</v>
      </c>
      <c r="AQ122" s="276">
        <v>5903008.5507076774</v>
      </c>
      <c r="AR122" s="276">
        <v>4763691.3654997572</v>
      </c>
      <c r="AS122" s="276">
        <v>5802448.4767005034</v>
      </c>
      <c r="AT122" s="276">
        <v>4482311.7679697089</v>
      </c>
      <c r="AU122" s="276">
        <v>5458160.0372185297</v>
      </c>
      <c r="AV122" s="276">
        <v>5696373.161311035</v>
      </c>
      <c r="AW122" s="276">
        <v>5909149.335952024</v>
      </c>
      <c r="AX122" s="276">
        <v>6991417.4618647369</v>
      </c>
      <c r="AY122" s="276">
        <v>5593033.1115284413</v>
      </c>
    </row>
    <row r="123" spans="1:54" s="283" customFormat="1" x14ac:dyDescent="0.25">
      <c r="A123" s="281" t="s">
        <v>132</v>
      </c>
      <c r="B123" s="281"/>
      <c r="C123" s="281"/>
      <c r="D123" s="281"/>
      <c r="E123" s="281"/>
      <c r="F123" s="281"/>
      <c r="G123" s="281"/>
      <c r="H123" s="281"/>
      <c r="I123" s="281"/>
      <c r="J123" s="281"/>
      <c r="K123" s="281"/>
      <c r="L123" s="281"/>
      <c r="M123" s="281"/>
      <c r="N123" s="281"/>
      <c r="O123" s="281"/>
      <c r="P123" s="281"/>
      <c r="Q123" s="281"/>
      <c r="R123" s="281"/>
      <c r="S123" s="281"/>
      <c r="T123" s="281"/>
      <c r="U123" s="281"/>
      <c r="V123" s="281"/>
      <c r="W123" s="281"/>
      <c r="X123" s="281"/>
      <c r="Y123" s="281"/>
      <c r="Z123" s="281"/>
      <c r="AA123" s="281"/>
      <c r="AB123" s="281"/>
      <c r="AC123" s="281"/>
      <c r="AD123" s="281"/>
      <c r="AE123" s="281"/>
      <c r="AF123" s="281"/>
      <c r="AG123" s="281"/>
      <c r="AH123" s="281"/>
      <c r="AI123" s="281"/>
      <c r="AJ123" s="281"/>
      <c r="AK123" s="281">
        <v>1605587.4210709864</v>
      </c>
      <c r="AL123" s="281">
        <v>4608718.0726432223</v>
      </c>
      <c r="AM123" s="281">
        <v>4950473.0673487298</v>
      </c>
      <c r="AN123" s="282">
        <v>2955970.7986479294</v>
      </c>
      <c r="AO123" s="282">
        <v>3344092.3206759077</v>
      </c>
      <c r="AP123" s="282">
        <v>5559588.0674280291</v>
      </c>
      <c r="AQ123" s="282">
        <v>5903008.5507076774</v>
      </c>
      <c r="AR123" s="282">
        <v>4763691.3654997572</v>
      </c>
      <c r="AS123" s="282">
        <v>5802448.4767005034</v>
      </c>
      <c r="AT123" s="282">
        <v>4482311.7679697089</v>
      </c>
      <c r="AU123" s="282">
        <v>5458160.0372185297</v>
      </c>
      <c r="AV123" s="282">
        <v>5696373.161311035</v>
      </c>
      <c r="AW123" s="282">
        <v>5909149.335952024</v>
      </c>
      <c r="AX123" s="282">
        <v>6991417.4618647369</v>
      </c>
      <c r="AY123" s="282">
        <v>5593033.1115284413</v>
      </c>
    </row>
    <row r="124" spans="1:54" x14ac:dyDescent="0.25"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>
        <f>AN123+AN79</f>
        <v>4206375.131104758</v>
      </c>
      <c r="AO124" s="27">
        <f>AO123+AO79</f>
        <v>4890079.1595291682</v>
      </c>
      <c r="AP124" s="27">
        <v>6312897.7173873112</v>
      </c>
      <c r="AQ124" s="27">
        <v>6729376.2234870158</v>
      </c>
      <c r="AR124" s="27">
        <v>5884314.6924281418</v>
      </c>
      <c r="AS124" s="27">
        <v>6283884.4123663129</v>
      </c>
      <c r="AT124" s="27">
        <v>4964087.6843384253</v>
      </c>
      <c r="AU124" s="27">
        <v>6326808.8007465899</v>
      </c>
      <c r="AV124" s="27">
        <v>6337900.1930499552</v>
      </c>
      <c r="AW124" s="27">
        <v>6771560.9076011591</v>
      </c>
      <c r="AX124" s="27">
        <v>8003371.3468792625</v>
      </c>
      <c r="AY124" s="27">
        <v>6717627.009010477</v>
      </c>
    </row>
    <row r="125" spans="1:54" x14ac:dyDescent="0.25">
      <c r="A125" t="s">
        <v>295</v>
      </c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>
        <v>3361267.83</v>
      </c>
      <c r="AL125" s="45">
        <v>3361267.83</v>
      </c>
      <c r="AM125" s="45">
        <v>3361267.83</v>
      </c>
      <c r="AN125" s="27">
        <f>AN124-'[1]Orçado '!AN125</f>
        <v>0</v>
      </c>
      <c r="AO125" s="27">
        <f>AO124-'[1]Orçado '!AO125</f>
        <v>0</v>
      </c>
      <c r="AP125" s="27">
        <f>AP124-'[1]Orçado '!AP125</f>
        <v>0</v>
      </c>
      <c r="AQ125" s="27">
        <f>AQ124-'[1]Orçado '!AQ125</f>
        <v>0</v>
      </c>
      <c r="AR125" s="27">
        <f>AR124-'[1]Orçado '!AR125</f>
        <v>0</v>
      </c>
      <c r="AS125" s="27">
        <f>AS124-'[1]Orçado '!AS125</f>
        <v>0</v>
      </c>
      <c r="AT125" s="27">
        <f>AT124-'[1]Orçado '!AT125</f>
        <v>0</v>
      </c>
      <c r="AU125" s="27">
        <f>AU124-'[1]Orçado '!AU125</f>
        <v>0</v>
      </c>
      <c r="AV125" s="27">
        <f>AV124-'[1]Orçado '!AV125</f>
        <v>0</v>
      </c>
      <c r="AW125" s="27">
        <f>AW124-'[1]Orçado '!AW125</f>
        <v>0</v>
      </c>
      <c r="AX125" s="27">
        <f>AX124-'[1]Orçado '!AX125</f>
        <v>0</v>
      </c>
      <c r="AY125" s="27">
        <f>AY124-'[1]Orçado '!AY125</f>
        <v>0</v>
      </c>
    </row>
    <row r="126" spans="1:54" s="275" customFormat="1" x14ac:dyDescent="0.25">
      <c r="A126" s="272" t="s">
        <v>474</v>
      </c>
      <c r="B126" s="272"/>
      <c r="C126" s="273"/>
      <c r="D126" s="273"/>
      <c r="E126" s="273"/>
      <c r="F126" s="273"/>
      <c r="G126" s="273"/>
      <c r="H126" s="273"/>
      <c r="I126" s="273"/>
      <c r="J126" s="273"/>
      <c r="K126" s="273"/>
      <c r="L126" s="273"/>
      <c r="M126" s="273"/>
      <c r="N126" s="273"/>
      <c r="O126" s="273"/>
      <c r="P126" s="273"/>
      <c r="Q126" s="273"/>
      <c r="R126" s="273"/>
      <c r="S126" s="273"/>
      <c r="T126" s="273"/>
      <c r="U126" s="273"/>
      <c r="V126" s="273"/>
      <c r="W126" s="273"/>
      <c r="X126" s="273"/>
      <c r="Y126" s="273"/>
      <c r="Z126" s="273"/>
      <c r="AA126" s="273"/>
      <c r="AB126" s="273"/>
      <c r="AC126" s="273"/>
      <c r="AD126" s="273"/>
      <c r="AE126" s="273"/>
      <c r="AF126" s="273"/>
      <c r="AG126" s="273"/>
      <c r="AH126" s="273"/>
      <c r="AI126" s="273"/>
      <c r="AJ126" s="273"/>
      <c r="AK126" s="276"/>
      <c r="AL126" s="276"/>
      <c r="AM126" s="276"/>
      <c r="AN126" s="276"/>
      <c r="AO126" s="276"/>
      <c r="AP126" s="276"/>
      <c r="AQ126" s="276"/>
      <c r="AR126" s="276"/>
      <c r="AS126" s="276"/>
      <c r="AT126" s="276"/>
      <c r="AU126" s="276"/>
      <c r="AV126" s="276"/>
      <c r="AW126" s="276"/>
      <c r="AX126" s="276"/>
      <c r="AY126" s="276"/>
    </row>
    <row r="127" spans="1:54" x14ac:dyDescent="0.25">
      <c r="A127" t="s">
        <v>77</v>
      </c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>
        <v>0</v>
      </c>
      <c r="AL127" s="45">
        <v>0</v>
      </c>
      <c r="AM127" s="45">
        <v>0</v>
      </c>
      <c r="AO127" s="85"/>
    </row>
    <row r="128" spans="1:54" x14ac:dyDescent="0.25">
      <c r="A128" t="s">
        <v>159</v>
      </c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164"/>
      <c r="AK128" s="164">
        <v>405113624.12851304</v>
      </c>
      <c r="AL128" s="164">
        <v>408253011.56734282</v>
      </c>
      <c r="AM128" s="164">
        <v>410048462.52583504</v>
      </c>
      <c r="AN128" s="45">
        <v>411323806.92283016</v>
      </c>
      <c r="AO128" s="45">
        <v>411783826.2280187</v>
      </c>
      <c r="AP128" s="45">
        <v>412929039.21362871</v>
      </c>
      <c r="AQ128" s="45">
        <v>413908400.87634271</v>
      </c>
      <c r="AR128" s="45">
        <v>415101750.62010413</v>
      </c>
      <c r="AS128" s="45">
        <v>415981163.22097749</v>
      </c>
      <c r="AT128" s="45">
        <v>417195668.95292073</v>
      </c>
      <c r="AU128" s="45">
        <v>418344253.90149939</v>
      </c>
      <c r="AV128" s="45">
        <v>419172089.50952637</v>
      </c>
      <c r="AW128" s="45">
        <v>420363003.18780357</v>
      </c>
      <c r="AX128" s="45">
        <v>421220940.80511773</v>
      </c>
      <c r="AY128" s="45">
        <v>422265674.05863333</v>
      </c>
    </row>
    <row r="129" spans="1:51" x14ac:dyDescent="0.25">
      <c r="A129" t="s">
        <v>162</v>
      </c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164"/>
      <c r="AK129" s="164">
        <v>1392427560.2818289</v>
      </c>
      <c r="AL129" s="164">
        <v>1431046740.1944158</v>
      </c>
      <c r="AM129" s="164">
        <v>1460338240.0443842</v>
      </c>
      <c r="AN129" s="45">
        <v>1490975209.1765192</v>
      </c>
      <c r="AO129" s="45">
        <v>1522293454.6021514</v>
      </c>
      <c r="AP129" s="45">
        <v>1568129054.6010113</v>
      </c>
      <c r="AQ129" s="45">
        <v>1605506885.4706724</v>
      </c>
      <c r="AR129" s="45">
        <v>1642288905.8408663</v>
      </c>
      <c r="AS129" s="45">
        <v>1684343532.1923325</v>
      </c>
      <c r="AT129" s="45">
        <v>1733301261.653496</v>
      </c>
      <c r="AU129" s="45">
        <v>1779964815.9422207</v>
      </c>
      <c r="AV129" s="45">
        <v>1824092836.8033032</v>
      </c>
      <c r="AW129" s="45">
        <v>1872112861.7427571</v>
      </c>
      <c r="AX129" s="45">
        <v>1917043680.8837869</v>
      </c>
      <c r="AY129" s="45">
        <v>1966607488.1591504</v>
      </c>
    </row>
    <row r="130" spans="1:51" x14ac:dyDescent="0.25"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  <c r="AM130" s="85"/>
    </row>
    <row r="131" spans="1:51" x14ac:dyDescent="0.25"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  <c r="AM131" s="85"/>
    </row>
    <row r="132" spans="1:51" s="275" customFormat="1" x14ac:dyDescent="0.25">
      <c r="A132" s="272" t="s">
        <v>475</v>
      </c>
      <c r="B132" s="272"/>
      <c r="C132" s="273"/>
      <c r="D132" s="273"/>
      <c r="E132" s="273"/>
      <c r="F132" s="273"/>
      <c r="G132" s="273"/>
      <c r="H132" s="273"/>
      <c r="I132" s="273"/>
      <c r="J132" s="273"/>
      <c r="K132" s="273"/>
      <c r="L132" s="273"/>
      <c r="M132" s="273"/>
      <c r="N132" s="273"/>
      <c r="O132" s="273"/>
      <c r="P132" s="273"/>
      <c r="Q132" s="273"/>
      <c r="R132" s="273"/>
      <c r="S132" s="273"/>
      <c r="T132" s="273"/>
      <c r="U132" s="273"/>
      <c r="V132" s="273"/>
      <c r="W132" s="273"/>
      <c r="X132" s="273"/>
      <c r="Y132" s="273"/>
      <c r="Z132" s="273"/>
      <c r="AA132" s="273"/>
      <c r="AB132" s="273"/>
      <c r="AC132" s="273"/>
      <c r="AD132" s="273"/>
      <c r="AE132" s="273"/>
      <c r="AF132" s="273"/>
      <c r="AG132" s="273"/>
      <c r="AH132" s="273"/>
      <c r="AI132" s="273"/>
      <c r="AJ132" s="273"/>
      <c r="AK132" s="276"/>
      <c r="AL132" s="276"/>
      <c r="AM132" s="276"/>
      <c r="AN132" s="276"/>
      <c r="AO132" s="276"/>
      <c r="AP132" s="276"/>
      <c r="AQ132" s="276"/>
      <c r="AR132" s="276"/>
      <c r="AS132" s="276"/>
      <c r="AT132" s="276"/>
      <c r="AU132" s="276"/>
      <c r="AV132" s="276"/>
      <c r="AW132" s="276"/>
      <c r="AX132" s="276"/>
      <c r="AY132" s="276"/>
    </row>
    <row r="133" spans="1:51" x14ac:dyDescent="0.25">
      <c r="A133" t="s">
        <v>77</v>
      </c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>
        <v>0</v>
      </c>
      <c r="AL133" s="45">
        <v>0</v>
      </c>
      <c r="AM133" s="45">
        <v>0</v>
      </c>
    </row>
    <row r="134" spans="1:51" x14ac:dyDescent="0.25">
      <c r="A134" t="s">
        <v>159</v>
      </c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>
        <v>404556156.27807242</v>
      </c>
      <c r="AL134" s="45">
        <v>407578382.97623336</v>
      </c>
      <c r="AM134" s="45">
        <v>408765600.66048133</v>
      </c>
      <c r="AN134" s="45">
        <v>409875671.87967074</v>
      </c>
      <c r="AO134" s="45">
        <v>410179964.35174894</v>
      </c>
      <c r="AP134" s="45">
        <v>411169913.83891809</v>
      </c>
      <c r="AQ134">
        <v>411985171.79715401</v>
      </c>
      <c r="AR134">
        <v>413015422.8937217</v>
      </c>
      <c r="AS134">
        <v>413731890.29054397</v>
      </c>
      <c r="AT134">
        <v>414776276.02881587</v>
      </c>
      <c r="AU134">
        <v>415756134.88119483</v>
      </c>
      <c r="AV134">
        <v>416415759.8812629</v>
      </c>
      <c r="AW134">
        <v>417431503.29727757</v>
      </c>
      <c r="AX134">
        <v>418114934.62060839</v>
      </c>
      <c r="AY134">
        <v>418988194.95266372</v>
      </c>
    </row>
    <row r="135" spans="1:51" x14ac:dyDescent="0.25">
      <c r="A135" t="s">
        <v>162</v>
      </c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164">
        <v>1374447643.841805</v>
      </c>
      <c r="AL135" s="164">
        <v>1410663890.8643918</v>
      </c>
      <c r="AM135" s="164">
        <v>1437714800.8243601</v>
      </c>
      <c r="AN135" s="45">
        <v>1466079021.5783377</v>
      </c>
      <c r="AO135" s="45">
        <v>1495008011.9824624</v>
      </c>
      <c r="AP135" s="45">
        <v>1537966421.4420378</v>
      </c>
      <c r="AQ135" s="45">
        <v>1572840514.2986352</v>
      </c>
      <c r="AR135" s="45">
        <v>1607078554.8367274</v>
      </c>
      <c r="AS135" s="45">
        <v>1646400930.110379</v>
      </c>
      <c r="AT135" s="45">
        <v>1692214351.0285676</v>
      </c>
      <c r="AU135" s="45">
        <v>1735894008.6980746</v>
      </c>
      <c r="AV135" s="45">
        <v>1777193437.1505737</v>
      </c>
      <c r="AW135" s="45">
        <v>1822178695.6565211</v>
      </c>
      <c r="AX135" s="45">
        <v>1864259328.9099016</v>
      </c>
      <c r="AY135" s="45">
        <v>1910726848.385488</v>
      </c>
    </row>
    <row r="136" spans="1:51" x14ac:dyDescent="0.25"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  <c r="AM136" s="85"/>
    </row>
    <row r="137" spans="1:51" s="275" customFormat="1" x14ac:dyDescent="0.25">
      <c r="A137" s="272" t="s">
        <v>231</v>
      </c>
      <c r="B137" s="272"/>
      <c r="C137" s="273"/>
      <c r="D137" s="273"/>
      <c r="E137" s="273"/>
      <c r="F137" s="273"/>
      <c r="G137" s="273"/>
      <c r="H137" s="273"/>
      <c r="I137" s="273"/>
      <c r="J137" s="273"/>
      <c r="K137" s="273"/>
      <c r="L137" s="273"/>
      <c r="M137" s="273"/>
      <c r="N137" s="273"/>
      <c r="O137" s="273"/>
      <c r="P137" s="273"/>
      <c r="Q137" s="273"/>
      <c r="R137" s="273"/>
      <c r="S137" s="273"/>
      <c r="T137" s="273"/>
      <c r="U137" s="273"/>
      <c r="V137" s="273"/>
      <c r="W137" s="273"/>
      <c r="X137" s="273"/>
      <c r="Y137" s="273"/>
      <c r="Z137" s="273"/>
      <c r="AA137" s="273"/>
      <c r="AB137" s="273"/>
      <c r="AC137" s="273"/>
      <c r="AD137" s="273"/>
      <c r="AE137" s="273"/>
      <c r="AF137" s="273"/>
      <c r="AG137" s="273"/>
      <c r="AH137" s="273"/>
      <c r="AI137" s="273"/>
      <c r="AJ137" s="273"/>
      <c r="AK137" s="276">
        <v>189809898.03335828</v>
      </c>
      <c r="AL137" s="276">
        <v>195687099.71334231</v>
      </c>
      <c r="AM137" s="276">
        <v>200988728.44776142</v>
      </c>
      <c r="AN137" s="276">
        <v>203777172.74241966</v>
      </c>
      <c r="AO137" s="276">
        <v>213667251.90194893</v>
      </c>
      <c r="AP137" s="276">
        <v>226483743.54075861</v>
      </c>
      <c r="AQ137" s="276">
        <v>233213119.7642456</v>
      </c>
      <c r="AR137" s="276">
        <v>239097434.45667365</v>
      </c>
      <c r="AS137" s="276">
        <v>245381318.86903995</v>
      </c>
      <c r="AT137" s="276">
        <v>250345406.55337831</v>
      </c>
      <c r="AU137" s="276">
        <v>256672215.35412478</v>
      </c>
      <c r="AV137" s="276">
        <v>263010115.54717478</v>
      </c>
      <c r="AW137" s="276">
        <v>269781676.45477593</v>
      </c>
      <c r="AX137" s="276">
        <v>277785047.80165529</v>
      </c>
      <c r="AY137" s="276">
        <v>284502674.81066597</v>
      </c>
    </row>
    <row r="138" spans="1:51" x14ac:dyDescent="0.25"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  <c r="AM138" s="79"/>
    </row>
    <row r="139" spans="1:51" x14ac:dyDescent="0.25">
      <c r="Q139" s="79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>
        <v>1392427560.2818289</v>
      </c>
      <c r="AL139" s="93">
        <v>38619179.912586927</v>
      </c>
      <c r="AM139" s="93">
        <v>29291499.849968433</v>
      </c>
    </row>
    <row r="140" spans="1:51" s="275" customFormat="1" x14ac:dyDescent="0.25">
      <c r="A140" s="272" t="s">
        <v>169</v>
      </c>
      <c r="B140" s="272"/>
      <c r="C140" s="273"/>
      <c r="D140" s="273"/>
      <c r="E140" s="273"/>
      <c r="F140" s="273"/>
      <c r="G140" s="273"/>
      <c r="H140" s="273"/>
      <c r="I140" s="273"/>
      <c r="J140" s="273"/>
      <c r="K140" s="273"/>
      <c r="L140" s="273"/>
      <c r="M140" s="273"/>
      <c r="N140" s="273"/>
      <c r="O140" s="273"/>
      <c r="P140" s="273"/>
      <c r="Q140" s="273"/>
      <c r="R140" s="273"/>
      <c r="S140" s="273"/>
      <c r="T140" s="273"/>
      <c r="U140" s="273"/>
      <c r="V140" s="273"/>
      <c r="W140" s="273"/>
      <c r="X140" s="273"/>
      <c r="Y140" s="273"/>
      <c r="Z140" s="273"/>
      <c r="AA140" s="273"/>
      <c r="AB140" s="273"/>
      <c r="AC140" s="273"/>
      <c r="AD140" s="273"/>
      <c r="AE140" s="273"/>
      <c r="AF140" s="273"/>
      <c r="AG140" s="273"/>
      <c r="AH140" s="273"/>
      <c r="AI140" s="273"/>
      <c r="AJ140" s="273"/>
      <c r="AK140" s="276">
        <v>1734931037.7511327</v>
      </c>
      <c r="AL140" s="276">
        <v>1764937070.0192375</v>
      </c>
      <c r="AM140" s="276">
        <v>1798180153.6252785</v>
      </c>
      <c r="AN140" s="276"/>
      <c r="AO140" s="276"/>
      <c r="AP140" s="276"/>
      <c r="AQ140" s="276"/>
      <c r="AR140" s="276"/>
      <c r="AS140" s="276"/>
      <c r="AT140" s="276"/>
      <c r="AU140" s="276"/>
      <c r="AV140" s="276"/>
      <c r="AW140" s="276"/>
      <c r="AX140" s="276"/>
      <c r="AY140" s="276"/>
    </row>
    <row r="141" spans="1:51" x14ac:dyDescent="0.25">
      <c r="A141" t="s">
        <v>232</v>
      </c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</row>
    <row r="142" spans="1:51" x14ac:dyDescent="0.25">
      <c r="A142" t="s">
        <v>233</v>
      </c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45"/>
    </row>
    <row r="143" spans="1:51" s="275" customFormat="1" x14ac:dyDescent="0.25">
      <c r="A143" s="272" t="s">
        <v>170</v>
      </c>
      <c r="B143" s="272"/>
      <c r="C143" s="273"/>
      <c r="D143" s="273"/>
      <c r="E143" s="273"/>
      <c r="F143" s="273"/>
      <c r="G143" s="273"/>
      <c r="H143" s="273"/>
      <c r="I143" s="273"/>
      <c r="J143" s="273"/>
      <c r="K143" s="273"/>
      <c r="L143" s="273"/>
      <c r="M143" s="273"/>
      <c r="N143" s="273"/>
      <c r="O143" s="273"/>
      <c r="P143" s="273"/>
      <c r="Q143" s="273"/>
      <c r="R143" s="273"/>
      <c r="S143" s="273"/>
      <c r="T143" s="273"/>
      <c r="U143" s="273"/>
      <c r="V143" s="273"/>
      <c r="W143" s="273"/>
      <c r="X143" s="273"/>
      <c r="Y143" s="273"/>
      <c r="Z143" s="273"/>
      <c r="AA143" s="273"/>
      <c r="AB143" s="273"/>
      <c r="AC143" s="273"/>
      <c r="AD143" s="273"/>
      <c r="AE143" s="273"/>
      <c r="AF143" s="273"/>
      <c r="AG143" s="273"/>
      <c r="AH143" s="273"/>
      <c r="AI143" s="273"/>
      <c r="AJ143" s="273"/>
      <c r="AK143" s="276">
        <v>784266112.30388761</v>
      </c>
      <c r="AL143" s="276">
        <v>810920055.60876727</v>
      </c>
      <c r="AM143" s="276">
        <v>834783712.80580223</v>
      </c>
      <c r="AN143" s="276"/>
      <c r="AO143" s="276"/>
      <c r="AP143" s="276"/>
      <c r="AQ143" s="276"/>
      <c r="AR143" s="276"/>
      <c r="AS143" s="276"/>
      <c r="AT143" s="276"/>
      <c r="AU143" s="276"/>
      <c r="AV143" s="276"/>
      <c r="AW143" s="276"/>
      <c r="AX143" s="276"/>
      <c r="AY143" s="276"/>
    </row>
    <row r="144" spans="1:51" x14ac:dyDescent="0.25">
      <c r="A144" s="14" t="s">
        <v>150</v>
      </c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>
        <v>-16983917.348869797</v>
      </c>
      <c r="AL144" s="45">
        <v>-14013216.804510154</v>
      </c>
      <c r="AM144" s="45">
        <v>-16455489.324241295</v>
      </c>
    </row>
    <row r="145" spans="1:39" x14ac:dyDescent="0.25">
      <c r="A145" s="14" t="s">
        <v>151</v>
      </c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>
        <v>-3996612.8572214236</v>
      </c>
      <c r="AL145" s="45">
        <v>-4115254.2115762932</v>
      </c>
      <c r="AM145" s="45">
        <v>-4855325.7529941285</v>
      </c>
    </row>
    <row r="146" spans="1:39" x14ac:dyDescent="0.25">
      <c r="A146" s="14" t="s">
        <v>152</v>
      </c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>
        <v>-233819.0291975947</v>
      </c>
      <c r="AL146" s="45">
        <v>-237855.8241575209</v>
      </c>
      <c r="AM146" s="45">
        <v>-242327.09566237044</v>
      </c>
    </row>
    <row r="147" spans="1:39" x14ac:dyDescent="0.25">
      <c r="A147" s="14" t="s">
        <v>153</v>
      </c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  <c r="AK147" s="45">
        <v>2612328.2836484085</v>
      </c>
      <c r="AL147" s="45">
        <v>2239416.06938738</v>
      </c>
      <c r="AM147" s="45">
        <v>2608206.5077487556</v>
      </c>
    </row>
    <row r="148" spans="1:39" x14ac:dyDescent="0.25">
      <c r="A148" s="122"/>
      <c r="B148" s="122"/>
      <c r="C148" s="122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3"/>
      <c r="AH148" s="123"/>
      <c r="AI148" s="123"/>
      <c r="AJ148" s="123"/>
      <c r="AK148" s="123"/>
      <c r="AL148" s="123"/>
      <c r="AM148" s="123"/>
    </row>
    <row r="150" spans="1:39" x14ac:dyDescent="0.25">
      <c r="A150" s="28" t="s">
        <v>2</v>
      </c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</row>
    <row r="151" spans="1:39" x14ac:dyDescent="0.25">
      <c r="A151" s="29" t="s">
        <v>105</v>
      </c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>
        <v>28589156.343662426</v>
      </c>
      <c r="AL151" s="33">
        <v>30197572.861571796</v>
      </c>
      <c r="AM151" s="33">
        <v>33095458.070778687</v>
      </c>
    </row>
    <row r="152" spans="1:39" x14ac:dyDescent="0.25">
      <c r="A152" s="31" t="s">
        <v>106</v>
      </c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>
        <v>25173201.013662424</v>
      </c>
      <c r="AL152" s="33">
        <v>27299393.361571796</v>
      </c>
      <c r="AM152" s="33">
        <v>29409272.320778683</v>
      </c>
    </row>
    <row r="153" spans="1:39" x14ac:dyDescent="0.25">
      <c r="A153" s="84" t="s">
        <v>107</v>
      </c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>
        <v>20421323.631072029</v>
      </c>
      <c r="AL153" s="33">
        <v>21651991.651497878</v>
      </c>
      <c r="AM153" s="33">
        <v>25705411.691952169</v>
      </c>
    </row>
    <row r="154" spans="1:39" x14ac:dyDescent="0.25">
      <c r="A154" s="84" t="s">
        <v>108</v>
      </c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>
        <v>2609404.6991111645</v>
      </c>
      <c r="AL154" s="33">
        <v>3558565.026447115</v>
      </c>
      <c r="AM154" s="33">
        <v>1574779.4262668381</v>
      </c>
    </row>
    <row r="155" spans="1:39" x14ac:dyDescent="0.25">
      <c r="A155" s="84" t="s">
        <v>109</v>
      </c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>
        <v>348636.06885876821</v>
      </c>
      <c r="AL155" s="33">
        <v>356855.50686011318</v>
      </c>
      <c r="AM155" s="33">
        <v>352035.47127431136</v>
      </c>
    </row>
    <row r="156" spans="1:39" x14ac:dyDescent="0.25">
      <c r="A156" s="84" t="s">
        <v>110</v>
      </c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>
        <v>1793836.6146204621</v>
      </c>
      <c r="AL156" s="33">
        <v>1731981.1767666896</v>
      </c>
      <c r="AM156" s="33">
        <v>1777045.7312853618</v>
      </c>
    </row>
    <row r="157" spans="1:39" x14ac:dyDescent="0.25">
      <c r="A157" s="31" t="s">
        <v>111</v>
      </c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>
        <v>1970000</v>
      </c>
      <c r="AL157" s="33">
        <v>1970000</v>
      </c>
      <c r="AM157" s="33">
        <v>1970000</v>
      </c>
    </row>
    <row r="158" spans="1:39" x14ac:dyDescent="0.25">
      <c r="A158" s="83" t="s">
        <v>111</v>
      </c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>
        <v>0</v>
      </c>
      <c r="AL158" s="33">
        <v>0</v>
      </c>
      <c r="AM158" s="33">
        <v>0</v>
      </c>
    </row>
    <row r="159" spans="1:39" x14ac:dyDescent="0.25">
      <c r="A159" s="83" t="s">
        <v>228</v>
      </c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>
        <v>0</v>
      </c>
      <c r="AL159" s="33">
        <v>0</v>
      </c>
      <c r="AM159" s="33">
        <v>0</v>
      </c>
    </row>
    <row r="160" spans="1:39" x14ac:dyDescent="0.25">
      <c r="A160" s="31" t="s">
        <v>112</v>
      </c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>
        <v>29296.420000000002</v>
      </c>
      <c r="AL160" s="33">
        <v>29296.420000000002</v>
      </c>
      <c r="AM160" s="33">
        <v>29296.420000000002</v>
      </c>
    </row>
    <row r="161" spans="1:39" x14ac:dyDescent="0.25">
      <c r="A161" s="31" t="s">
        <v>113</v>
      </c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>
        <v>0</v>
      </c>
      <c r="AL161" s="33">
        <v>0</v>
      </c>
      <c r="AM161" s="33">
        <v>0</v>
      </c>
    </row>
    <row r="162" spans="1:39" x14ac:dyDescent="0.25">
      <c r="A162" s="31" t="s">
        <v>155</v>
      </c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>
        <v>220437.96</v>
      </c>
      <c r="AL162" s="33">
        <v>251558</v>
      </c>
      <c r="AM162" s="33">
        <v>294718</v>
      </c>
    </row>
    <row r="163" spans="1:39" x14ac:dyDescent="0.25">
      <c r="A163" s="88" t="s">
        <v>114</v>
      </c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>
        <v>0</v>
      </c>
      <c r="AL163" s="33">
        <v>0</v>
      </c>
      <c r="AM163" s="33">
        <v>0</v>
      </c>
    </row>
    <row r="164" spans="1:39" x14ac:dyDescent="0.25">
      <c r="A164" s="88" t="s">
        <v>115</v>
      </c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>
        <v>0</v>
      </c>
      <c r="AL164" s="33">
        <v>0</v>
      </c>
      <c r="AM164" s="33">
        <v>0</v>
      </c>
    </row>
    <row r="165" spans="1:39" x14ac:dyDescent="0.25">
      <c r="A165" s="88" t="s">
        <v>116</v>
      </c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>
        <v>0</v>
      </c>
      <c r="AL165" s="33">
        <v>0</v>
      </c>
      <c r="AM165" s="33">
        <v>0</v>
      </c>
    </row>
    <row r="166" spans="1:39" x14ac:dyDescent="0.25">
      <c r="A166" s="31" t="s">
        <v>10</v>
      </c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>
        <v>1080237.8400000001</v>
      </c>
      <c r="AL166" s="33">
        <v>791082.68</v>
      </c>
      <c r="AM166" s="33">
        <v>885803.25</v>
      </c>
    </row>
    <row r="167" spans="1:39" x14ac:dyDescent="0.25">
      <c r="A167" s="34" t="s">
        <v>117</v>
      </c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>
        <v>115983.10999999987</v>
      </c>
      <c r="AL167" s="33">
        <v>-143757.60000000009</v>
      </c>
      <c r="AM167" s="33">
        <v>-38583.429999999935</v>
      </c>
    </row>
    <row r="168" spans="1:39" x14ac:dyDescent="0.25">
      <c r="A168" s="29" t="s">
        <v>118</v>
      </c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>
        <v>-18100746.063376561</v>
      </c>
      <c r="AL168" s="33">
        <v>-14327093.106458845</v>
      </c>
      <c r="AM168" s="33">
        <v>-16915391.615142737</v>
      </c>
    </row>
    <row r="169" spans="1:39" x14ac:dyDescent="0.25">
      <c r="A169" s="31" t="s">
        <v>149</v>
      </c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>
        <v>-18100746.063376561</v>
      </c>
      <c r="AL169" s="32">
        <v>-14327093.106458845</v>
      </c>
      <c r="AM169" s="32">
        <v>-16915391.615142737</v>
      </c>
    </row>
    <row r="170" spans="1:39" x14ac:dyDescent="0.25">
      <c r="A170" s="83" t="s">
        <v>120</v>
      </c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  <c r="AA170" s="96"/>
      <c r="AB170" s="96"/>
      <c r="AC170" s="96"/>
      <c r="AD170" s="96"/>
      <c r="AE170" s="96"/>
      <c r="AF170" s="96"/>
      <c r="AG170" s="96"/>
      <c r="AH170" s="96"/>
      <c r="AI170" s="96"/>
      <c r="AJ170" s="96"/>
      <c r="AK170" s="96">
        <v>-5004075.147264435</v>
      </c>
      <c r="AL170" s="96">
        <v>-3205244.0549437455</v>
      </c>
      <c r="AM170" s="96">
        <v>-3921465.7036883291</v>
      </c>
    </row>
    <row r="171" spans="1:39" x14ac:dyDescent="0.25">
      <c r="A171" s="83" t="s">
        <v>121</v>
      </c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  <c r="AA171" s="96"/>
      <c r="AB171" s="96"/>
      <c r="AC171" s="96"/>
      <c r="AD171" s="96"/>
      <c r="AE171" s="96"/>
      <c r="AF171" s="96"/>
      <c r="AG171" s="96"/>
      <c r="AH171" s="96"/>
      <c r="AI171" s="96"/>
      <c r="AJ171" s="96"/>
      <c r="AK171" s="96">
        <v>-16381863.964301877</v>
      </c>
      <c r="AL171" s="96">
        <v>-13888815.780947328</v>
      </c>
      <c r="AM171" s="96">
        <v>-16505524.815714804</v>
      </c>
    </row>
    <row r="172" spans="1:39" x14ac:dyDescent="0.25">
      <c r="A172" s="83" t="s">
        <v>156</v>
      </c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  <c r="AA172" s="96"/>
      <c r="AB172" s="96"/>
      <c r="AC172" s="96"/>
      <c r="AD172" s="96"/>
      <c r="AE172" s="96"/>
      <c r="AF172" s="96"/>
      <c r="AG172" s="96"/>
      <c r="AH172" s="96"/>
      <c r="AI172" s="96"/>
      <c r="AJ172" s="96"/>
      <c r="AK172" s="96">
        <v>2481062.5666802898</v>
      </c>
      <c r="AL172" s="96">
        <v>1699803.9233298388</v>
      </c>
      <c r="AM172" s="96">
        <v>2583088.2002650769</v>
      </c>
    </row>
    <row r="173" spans="1:39" x14ac:dyDescent="0.25">
      <c r="A173" s="83" t="s">
        <v>17</v>
      </c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  <c r="AA173" s="96"/>
      <c r="AB173" s="96"/>
      <c r="AC173" s="96"/>
      <c r="AD173" s="96"/>
      <c r="AE173" s="96"/>
      <c r="AF173" s="96"/>
      <c r="AG173" s="96"/>
      <c r="AH173" s="96"/>
      <c r="AI173" s="96"/>
      <c r="AJ173" s="96"/>
      <c r="AK173" s="96">
        <v>804130.4815094599</v>
      </c>
      <c r="AL173" s="96">
        <v>1067162.8061023909</v>
      </c>
      <c r="AM173" s="96">
        <v>928510.70399532141</v>
      </c>
    </row>
    <row r="174" spans="1:39" x14ac:dyDescent="0.25">
      <c r="A174" s="31" t="s">
        <v>28</v>
      </c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>
        <v>-545637.6578832923</v>
      </c>
      <c r="AL174" s="32">
        <v>-737089.21766775125</v>
      </c>
      <c r="AM174" s="32">
        <v>-673276.65342706745</v>
      </c>
    </row>
    <row r="175" spans="1:39" x14ac:dyDescent="0.25">
      <c r="A175" s="35" t="s">
        <v>123</v>
      </c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>
        <v>9942772.6224025711</v>
      </c>
      <c r="AL175" s="33">
        <v>15133390.537445199</v>
      </c>
      <c r="AM175" s="33">
        <v>15506789.802208884</v>
      </c>
    </row>
    <row r="176" spans="1:39" x14ac:dyDescent="0.25">
      <c r="A176" s="31" t="s">
        <v>24</v>
      </c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>
        <v>-1497258.4766635466</v>
      </c>
      <c r="AL176" s="33">
        <v>-1688983.9539301414</v>
      </c>
      <c r="AM176" s="33">
        <v>-1479535.2478703018</v>
      </c>
    </row>
    <row r="177" spans="1:40" x14ac:dyDescent="0.25">
      <c r="A177" s="36" t="s">
        <v>125</v>
      </c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>
        <v>8445514.1457390245</v>
      </c>
      <c r="AL177" s="33">
        <v>13444406.583515057</v>
      </c>
      <c r="AM177" s="33">
        <v>14027254.554338582</v>
      </c>
    </row>
    <row r="178" spans="1:40" ht="14.25" customHeight="1" x14ac:dyDescent="0.25">
      <c r="A178" s="34" t="s">
        <v>126</v>
      </c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>
        <v>-1917850.4329722268</v>
      </c>
      <c r="AL178" s="32">
        <v>-1916003.632972226</v>
      </c>
      <c r="AM178" s="32">
        <v>-1916003.632972226</v>
      </c>
    </row>
    <row r="179" spans="1:40" ht="14.25" customHeight="1" x14ac:dyDescent="0.25">
      <c r="A179" s="34" t="s">
        <v>96</v>
      </c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</row>
    <row r="180" spans="1:40" x14ac:dyDescent="0.25">
      <c r="A180" s="31" t="s">
        <v>157</v>
      </c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>
        <v>-138159.71520000001</v>
      </c>
      <c r="AL180" s="33">
        <v>-82840.510000002701</v>
      </c>
      <c r="AM180" s="33">
        <v>0</v>
      </c>
    </row>
    <row r="181" spans="1:40" x14ac:dyDescent="0.25">
      <c r="A181" s="29" t="s">
        <v>127</v>
      </c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>
        <v>5782478.0686848527</v>
      </c>
      <c r="AL181" s="33">
        <v>10879132.125827551</v>
      </c>
      <c r="AM181" s="33">
        <v>11579712.543109413</v>
      </c>
    </row>
    <row r="182" spans="1:40" x14ac:dyDescent="0.25">
      <c r="A182" s="31" t="s">
        <v>128</v>
      </c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>
        <v>-3129124.3906388963</v>
      </c>
      <c r="AL182" s="32">
        <v>-3125357.8906388944</v>
      </c>
      <c r="AM182" s="32">
        <v>-3125357.8906388944</v>
      </c>
    </row>
    <row r="183" spans="1:40" x14ac:dyDescent="0.25">
      <c r="A183" s="36" t="s">
        <v>129</v>
      </c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>
        <v>2653353.6780459564</v>
      </c>
      <c r="AL183" s="33">
        <v>7753774.2351886556</v>
      </c>
      <c r="AM183" s="33">
        <v>8454354.6524705179</v>
      </c>
    </row>
    <row r="184" spans="1:40" x14ac:dyDescent="0.25">
      <c r="A184" s="31" t="s">
        <v>42</v>
      </c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>
        <v>-736185.98696972686</v>
      </c>
      <c r="AL184" s="32">
        <v>-2064962.7524268252</v>
      </c>
      <c r="AM184" s="32">
        <v>-2298937.6851200904</v>
      </c>
    </row>
    <row r="185" spans="1:40" x14ac:dyDescent="0.25">
      <c r="A185" s="37" t="s">
        <v>130</v>
      </c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>
        <v>1917167.6910762296</v>
      </c>
      <c r="AL185" s="37">
        <v>5688811.4827618301</v>
      </c>
      <c r="AM185" s="37">
        <v>6155416.9673504271</v>
      </c>
    </row>
    <row r="186" spans="1:40" x14ac:dyDescent="0.25">
      <c r="A186" s="31" t="s">
        <v>290</v>
      </c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>
        <v>178204.25</v>
      </c>
      <c r="AL186" s="33">
        <v>188001.86</v>
      </c>
      <c r="AM186" s="33">
        <v>387325.03</v>
      </c>
      <c r="AN186" s="85">
        <v>87060.329999999987</v>
      </c>
    </row>
    <row r="187" spans="1:40" x14ac:dyDescent="0.25">
      <c r="A187" s="37" t="s">
        <v>132</v>
      </c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>
        <v>2095371.9410762296</v>
      </c>
      <c r="AL187" s="37">
        <v>5876813.3427618314</v>
      </c>
      <c r="AM187" s="37">
        <v>6542741.9973504283</v>
      </c>
    </row>
    <row r="190" spans="1:40" x14ac:dyDescent="0.25">
      <c r="A190" t="s">
        <v>172</v>
      </c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 t="e">
        <v>#REF!</v>
      </c>
      <c r="AL190" s="27" t="e">
        <v>#REF!</v>
      </c>
      <c r="AM190" s="27" t="e">
        <v>#REF!</v>
      </c>
    </row>
    <row r="191" spans="1:40" x14ac:dyDescent="0.25">
      <c r="B191" s="119"/>
      <c r="P191" s="98"/>
    </row>
    <row r="192" spans="1:40" x14ac:dyDescent="0.25"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J192" s="50"/>
      <c r="AK192" s="50"/>
      <c r="AL192" s="50"/>
      <c r="AM192" s="50"/>
    </row>
    <row r="193" spans="16:39" x14ac:dyDescent="0.25"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</row>
    <row r="194" spans="16:39" x14ac:dyDescent="0.25"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</row>
    <row r="195" spans="16:39" x14ac:dyDescent="0.25"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D33FF-D6B7-467A-983B-7F2FE6375435}">
  <dimension ref="A1:I72"/>
  <sheetViews>
    <sheetView workbookViewId="0">
      <selection activeCell="I2" sqref="I2:I72"/>
    </sheetView>
  </sheetViews>
  <sheetFormatPr defaultRowHeight="15" x14ac:dyDescent="0.25"/>
  <cols>
    <col min="1" max="1" width="8.7109375" bestFit="1" customWidth="1"/>
    <col min="2" max="2" width="39.28515625" bestFit="1" customWidth="1"/>
    <col min="3" max="4" width="11" bestFit="1" customWidth="1"/>
    <col min="5" max="5" width="6.28515625" bestFit="1" customWidth="1"/>
    <col min="6" max="6" width="10.140625" bestFit="1" customWidth="1"/>
    <col min="7" max="9" width="12" bestFit="1" customWidth="1"/>
  </cols>
  <sheetData>
    <row r="1" spans="1:9" x14ac:dyDescent="0.25">
      <c r="A1" t="s">
        <v>298</v>
      </c>
      <c r="B1" t="s">
        <v>299</v>
      </c>
      <c r="C1" t="s">
        <v>300</v>
      </c>
      <c r="D1" t="s">
        <v>301</v>
      </c>
      <c r="E1" t="s">
        <v>302</v>
      </c>
      <c r="F1" t="s">
        <v>303</v>
      </c>
      <c r="G1" t="s">
        <v>304</v>
      </c>
      <c r="H1" t="s">
        <v>305</v>
      </c>
      <c r="I1" t="s">
        <v>306</v>
      </c>
    </row>
    <row r="2" spans="1:9" x14ac:dyDescent="0.25">
      <c r="A2" t="s">
        <v>307</v>
      </c>
      <c r="B2" t="s">
        <v>308</v>
      </c>
      <c r="C2">
        <v>4259515.08</v>
      </c>
      <c r="D2">
        <v>4256781.6399999997</v>
      </c>
      <c r="E2">
        <v>192</v>
      </c>
      <c r="F2">
        <v>164</v>
      </c>
      <c r="G2">
        <v>1000986.0438</v>
      </c>
      <c r="H2">
        <v>808788.51159999985</v>
      </c>
      <c r="I2" s="85">
        <v>192197.53220000013</v>
      </c>
    </row>
    <row r="3" spans="1:9" x14ac:dyDescent="0.25">
      <c r="A3" t="s">
        <v>309</v>
      </c>
      <c r="B3" t="s">
        <v>310</v>
      </c>
      <c r="C3">
        <v>2819790.92</v>
      </c>
      <c r="D3">
        <v>2816683.78</v>
      </c>
      <c r="E3">
        <v>565</v>
      </c>
      <c r="F3">
        <v>537</v>
      </c>
      <c r="G3">
        <v>2185337.963</v>
      </c>
      <c r="H3">
        <v>2056179.1594</v>
      </c>
      <c r="I3" s="85">
        <v>129158.80359999998</v>
      </c>
    </row>
    <row r="4" spans="1:9" x14ac:dyDescent="0.25">
      <c r="A4" t="s">
        <v>311</v>
      </c>
      <c r="B4" t="s">
        <v>312</v>
      </c>
      <c r="C4">
        <v>2670121.59</v>
      </c>
      <c r="D4">
        <v>2667527.8199999998</v>
      </c>
      <c r="E4">
        <v>534</v>
      </c>
      <c r="F4">
        <v>506</v>
      </c>
      <c r="G4">
        <v>1949188.7607</v>
      </c>
      <c r="H4">
        <v>1827256.5567000001</v>
      </c>
      <c r="I4" s="85">
        <v>121932.20399999991</v>
      </c>
    </row>
    <row r="5" spans="1:9" x14ac:dyDescent="0.25">
      <c r="A5" t="s">
        <v>313</v>
      </c>
      <c r="B5" t="s">
        <v>314</v>
      </c>
      <c r="C5">
        <v>4875679.05</v>
      </c>
      <c r="D5">
        <v>4814667.8499999996</v>
      </c>
      <c r="E5">
        <v>16</v>
      </c>
      <c r="F5">
        <v>0</v>
      </c>
      <c r="G5">
        <v>170648.76675000001</v>
      </c>
      <c r="H5">
        <v>67405.349900000001</v>
      </c>
      <c r="I5" s="85">
        <v>103243.41685000001</v>
      </c>
    </row>
    <row r="6" spans="1:9" x14ac:dyDescent="0.25">
      <c r="A6" t="s">
        <v>315</v>
      </c>
      <c r="B6" t="s">
        <v>316</v>
      </c>
      <c r="C6">
        <v>3154438.49</v>
      </c>
      <c r="D6">
        <v>3105494.78</v>
      </c>
      <c r="E6">
        <v>41</v>
      </c>
      <c r="F6">
        <v>13</v>
      </c>
      <c r="G6">
        <v>141949.73204999999</v>
      </c>
      <c r="H6">
        <v>43476.926919999998</v>
      </c>
      <c r="I6" s="85">
        <v>98472.805129999993</v>
      </c>
    </row>
    <row r="7" spans="1:9" x14ac:dyDescent="0.25">
      <c r="A7" t="s">
        <v>317</v>
      </c>
      <c r="B7" t="s">
        <v>318</v>
      </c>
      <c r="C7">
        <v>2129902.94</v>
      </c>
      <c r="D7">
        <v>2128317.61</v>
      </c>
      <c r="E7">
        <v>131</v>
      </c>
      <c r="F7">
        <v>103</v>
      </c>
      <c r="G7">
        <v>308835.92629999999</v>
      </c>
      <c r="H7">
        <v>212831.761</v>
      </c>
      <c r="I7" s="85">
        <v>96004.165299999993</v>
      </c>
    </row>
    <row r="8" spans="1:9" x14ac:dyDescent="0.25">
      <c r="A8" t="s">
        <v>319</v>
      </c>
      <c r="B8" t="s">
        <v>320</v>
      </c>
      <c r="C8">
        <v>2097902.44</v>
      </c>
      <c r="D8">
        <v>2096202.98</v>
      </c>
      <c r="E8">
        <v>131</v>
      </c>
      <c r="F8">
        <v>103</v>
      </c>
      <c r="G8">
        <v>304195.85379999998</v>
      </c>
      <c r="H8">
        <v>209620.29800000001</v>
      </c>
      <c r="I8" s="85">
        <v>94575.555799999973</v>
      </c>
    </row>
    <row r="9" spans="1:9" x14ac:dyDescent="0.25">
      <c r="A9" t="s">
        <v>321</v>
      </c>
      <c r="B9" t="s">
        <v>322</v>
      </c>
      <c r="C9">
        <v>5468916.2300000004</v>
      </c>
      <c r="E9">
        <v>0</v>
      </c>
      <c r="G9">
        <v>76564.827220000006</v>
      </c>
      <c r="I9" s="85">
        <v>76564.827220000006</v>
      </c>
    </row>
    <row r="10" spans="1:9" x14ac:dyDescent="0.25">
      <c r="A10" t="s">
        <v>323</v>
      </c>
      <c r="B10" t="s">
        <v>324</v>
      </c>
      <c r="C10">
        <v>2412774.25</v>
      </c>
      <c r="D10">
        <v>2372634.94</v>
      </c>
      <c r="E10">
        <v>39</v>
      </c>
      <c r="F10">
        <v>11</v>
      </c>
      <c r="G10">
        <v>108574.84125</v>
      </c>
      <c r="H10">
        <v>33216.889159999999</v>
      </c>
      <c r="I10" s="85">
        <v>75357.952090000006</v>
      </c>
    </row>
    <row r="11" spans="1:9" x14ac:dyDescent="0.25">
      <c r="A11" t="s">
        <v>325</v>
      </c>
      <c r="B11" t="s">
        <v>326</v>
      </c>
      <c r="C11">
        <v>1432232.38</v>
      </c>
      <c r="D11">
        <v>1419105.32</v>
      </c>
      <c r="E11">
        <v>102</v>
      </c>
      <c r="F11">
        <v>74</v>
      </c>
      <c r="G11">
        <v>143223.23799999998</v>
      </c>
      <c r="H11">
        <v>70955.266000000003</v>
      </c>
      <c r="I11" s="85">
        <v>72267.97199999998</v>
      </c>
    </row>
    <row r="12" spans="1:9" x14ac:dyDescent="0.25">
      <c r="A12" t="s">
        <v>327</v>
      </c>
      <c r="B12" t="s">
        <v>328</v>
      </c>
      <c r="C12">
        <v>4297704.5599999996</v>
      </c>
      <c r="E12">
        <v>0</v>
      </c>
      <c r="G12">
        <v>60167.863839999998</v>
      </c>
      <c r="I12" s="85">
        <v>60167.863839999998</v>
      </c>
    </row>
    <row r="13" spans="1:9" x14ac:dyDescent="0.25">
      <c r="A13" t="s">
        <v>329</v>
      </c>
      <c r="B13" t="s">
        <v>330</v>
      </c>
      <c r="C13">
        <v>1313879</v>
      </c>
      <c r="D13">
        <v>1312807.1000000001</v>
      </c>
      <c r="E13">
        <v>192</v>
      </c>
      <c r="F13">
        <v>164</v>
      </c>
      <c r="G13">
        <v>308761.565</v>
      </c>
      <c r="H13">
        <v>249433.34900000002</v>
      </c>
      <c r="I13" s="85">
        <v>59328.215999999986</v>
      </c>
    </row>
    <row r="14" spans="1:9" x14ac:dyDescent="0.25">
      <c r="A14" t="s">
        <v>331</v>
      </c>
      <c r="B14" t="s">
        <v>332</v>
      </c>
      <c r="C14">
        <v>3511979.42</v>
      </c>
      <c r="E14">
        <v>0</v>
      </c>
      <c r="G14">
        <v>49167.711880000003</v>
      </c>
      <c r="I14" s="85">
        <v>49167.711880000003</v>
      </c>
    </row>
    <row r="15" spans="1:9" x14ac:dyDescent="0.25">
      <c r="A15" t="s">
        <v>333</v>
      </c>
      <c r="B15" t="s">
        <v>334</v>
      </c>
      <c r="C15">
        <v>2215527</v>
      </c>
      <c r="D15">
        <v>2183950.29</v>
      </c>
      <c r="E15">
        <v>23</v>
      </c>
      <c r="F15">
        <v>0</v>
      </c>
      <c r="G15">
        <v>77543.445000000007</v>
      </c>
      <c r="H15">
        <v>30575.304060000002</v>
      </c>
      <c r="I15" s="85">
        <v>46968.140940000005</v>
      </c>
    </row>
    <row r="16" spans="1:9" x14ac:dyDescent="0.25">
      <c r="A16" t="s">
        <v>335</v>
      </c>
      <c r="B16" t="s">
        <v>336</v>
      </c>
      <c r="C16">
        <v>1366225.41</v>
      </c>
      <c r="D16">
        <v>1345543.07</v>
      </c>
      <c r="E16">
        <v>39</v>
      </c>
      <c r="F16">
        <v>11</v>
      </c>
      <c r="G16">
        <v>61480.143449999996</v>
      </c>
      <c r="H16">
        <v>18837.60298</v>
      </c>
      <c r="I16" s="85">
        <v>42642.540469999993</v>
      </c>
    </row>
    <row r="17" spans="1:9" x14ac:dyDescent="0.25">
      <c r="A17" t="s">
        <v>337</v>
      </c>
      <c r="B17" t="s">
        <v>338</v>
      </c>
      <c r="C17">
        <v>937173.22</v>
      </c>
      <c r="D17">
        <v>936079.7</v>
      </c>
      <c r="E17">
        <v>284</v>
      </c>
      <c r="F17">
        <v>256</v>
      </c>
      <c r="G17">
        <v>346754.09139999998</v>
      </c>
      <c r="H17">
        <v>304225.90250000003</v>
      </c>
      <c r="I17" s="85">
        <v>42528.18889999995</v>
      </c>
    </row>
    <row r="18" spans="1:9" x14ac:dyDescent="0.25">
      <c r="A18" t="s">
        <v>339</v>
      </c>
      <c r="B18" t="s">
        <v>340</v>
      </c>
      <c r="C18">
        <v>1278338.76</v>
      </c>
      <c r="D18">
        <v>1256620.06</v>
      </c>
      <c r="E18">
        <v>39</v>
      </c>
      <c r="F18">
        <v>11</v>
      </c>
      <c r="G18">
        <v>57525.244200000001</v>
      </c>
      <c r="H18">
        <v>17592.680840000001</v>
      </c>
      <c r="I18" s="85">
        <v>39932.56336</v>
      </c>
    </row>
    <row r="19" spans="1:9" x14ac:dyDescent="0.25">
      <c r="A19" t="s">
        <v>341</v>
      </c>
      <c r="B19" t="s">
        <v>342</v>
      </c>
      <c r="C19">
        <v>815083.84</v>
      </c>
      <c r="D19">
        <v>814562.31</v>
      </c>
      <c r="E19">
        <v>139</v>
      </c>
      <c r="F19">
        <v>111</v>
      </c>
      <c r="G19">
        <v>118187.1568</v>
      </c>
      <c r="H19">
        <v>81456.231</v>
      </c>
      <c r="I19" s="85">
        <v>36730.925799999997</v>
      </c>
    </row>
    <row r="20" spans="1:9" x14ac:dyDescent="0.25">
      <c r="A20" t="s">
        <v>343</v>
      </c>
      <c r="B20" t="s">
        <v>344</v>
      </c>
      <c r="C20">
        <v>781738.62</v>
      </c>
      <c r="D20">
        <v>780916.4</v>
      </c>
      <c r="E20">
        <v>618</v>
      </c>
      <c r="F20">
        <v>590</v>
      </c>
      <c r="G20">
        <v>676203.90629999992</v>
      </c>
      <c r="H20">
        <v>640351.44800000009</v>
      </c>
      <c r="I20" s="85">
        <v>35852.458299999824</v>
      </c>
    </row>
    <row r="21" spans="1:9" x14ac:dyDescent="0.25">
      <c r="A21" t="s">
        <v>345</v>
      </c>
      <c r="B21" t="s">
        <v>346</v>
      </c>
      <c r="C21">
        <v>788050.41</v>
      </c>
      <c r="D21">
        <v>787343.79</v>
      </c>
      <c r="E21">
        <v>381</v>
      </c>
      <c r="F21">
        <v>353</v>
      </c>
      <c r="G21">
        <v>397965.45705000008</v>
      </c>
      <c r="H21">
        <v>362178.14339999994</v>
      </c>
      <c r="I21" s="85">
        <v>35787.313650000142</v>
      </c>
    </row>
    <row r="22" spans="1:9" x14ac:dyDescent="0.25">
      <c r="A22" t="s">
        <v>347</v>
      </c>
      <c r="B22" t="s">
        <v>348</v>
      </c>
      <c r="C22">
        <v>2380063.91</v>
      </c>
      <c r="E22">
        <v>0</v>
      </c>
      <c r="G22">
        <v>33320.894740000003</v>
      </c>
      <c r="I22" s="85">
        <v>33320.894740000003</v>
      </c>
    </row>
    <row r="23" spans="1:9" x14ac:dyDescent="0.25">
      <c r="A23" t="s">
        <v>349</v>
      </c>
      <c r="B23" t="s">
        <v>350</v>
      </c>
      <c r="C23">
        <v>1489695.74</v>
      </c>
      <c r="D23">
        <v>1466942.08</v>
      </c>
      <c r="E23">
        <v>16</v>
      </c>
      <c r="F23">
        <v>0</v>
      </c>
      <c r="G23">
        <v>52139.350900000005</v>
      </c>
      <c r="H23">
        <v>20537.189120000003</v>
      </c>
      <c r="I23" s="85">
        <v>31602.161780000002</v>
      </c>
    </row>
    <row r="24" spans="1:9" x14ac:dyDescent="0.25">
      <c r="A24" t="s">
        <v>351</v>
      </c>
      <c r="B24" t="s">
        <v>352</v>
      </c>
      <c r="C24">
        <v>2249987.46</v>
      </c>
      <c r="E24">
        <v>0</v>
      </c>
      <c r="G24">
        <v>31499.82444</v>
      </c>
      <c r="I24" s="85">
        <v>31499.82444</v>
      </c>
    </row>
    <row r="25" spans="1:9" x14ac:dyDescent="0.25">
      <c r="A25" t="s">
        <v>353</v>
      </c>
      <c r="B25" t="s">
        <v>354</v>
      </c>
      <c r="C25">
        <v>319704.17</v>
      </c>
      <c r="D25">
        <v>323682.05</v>
      </c>
      <c r="E25">
        <v>10</v>
      </c>
      <c r="F25">
        <v>13</v>
      </c>
      <c r="G25">
        <v>31970.417000000001</v>
      </c>
      <c r="H25">
        <v>4531.5487000000003</v>
      </c>
      <c r="I25" s="85">
        <v>27438.868300000002</v>
      </c>
    </row>
    <row r="26" spans="1:9" x14ac:dyDescent="0.25">
      <c r="A26" t="s">
        <v>355</v>
      </c>
      <c r="B26" t="s">
        <v>356</v>
      </c>
      <c r="C26">
        <v>813549.79</v>
      </c>
      <c r="D26">
        <v>802253.53</v>
      </c>
      <c r="E26">
        <v>41</v>
      </c>
      <c r="F26">
        <v>13</v>
      </c>
      <c r="G26">
        <v>36609.740550000002</v>
      </c>
      <c r="H26">
        <v>11231.549420000001</v>
      </c>
      <c r="I26" s="85">
        <v>25378.191129999999</v>
      </c>
    </row>
    <row r="27" spans="1:9" x14ac:dyDescent="0.25">
      <c r="A27" t="s">
        <v>357</v>
      </c>
      <c r="B27" t="s">
        <v>358</v>
      </c>
      <c r="C27">
        <v>811053.45</v>
      </c>
      <c r="D27">
        <v>800408.53</v>
      </c>
      <c r="E27">
        <v>39</v>
      </c>
      <c r="F27">
        <v>11</v>
      </c>
      <c r="G27">
        <v>36497.405249999996</v>
      </c>
      <c r="H27">
        <v>11205.719420000001</v>
      </c>
      <c r="I27" s="85">
        <v>25291.685829999995</v>
      </c>
    </row>
    <row r="28" spans="1:9" x14ac:dyDescent="0.25">
      <c r="A28" t="s">
        <v>359</v>
      </c>
      <c r="B28" t="s">
        <v>360</v>
      </c>
      <c r="C28">
        <v>776964.21</v>
      </c>
      <c r="D28">
        <v>765068.06</v>
      </c>
      <c r="E28">
        <v>39</v>
      </c>
      <c r="F28">
        <v>11</v>
      </c>
      <c r="G28">
        <v>34963.389449999995</v>
      </c>
      <c r="H28">
        <v>10710.952840000002</v>
      </c>
      <c r="I28" s="85">
        <v>24252.436609999993</v>
      </c>
    </row>
    <row r="29" spans="1:9" x14ac:dyDescent="0.25">
      <c r="A29" t="s">
        <v>361</v>
      </c>
      <c r="B29" t="s">
        <v>362</v>
      </c>
      <c r="C29">
        <v>1730264.21</v>
      </c>
      <c r="E29">
        <v>0</v>
      </c>
      <c r="G29">
        <v>24223.698939999998</v>
      </c>
      <c r="I29" s="85">
        <v>24223.698939999998</v>
      </c>
    </row>
    <row r="30" spans="1:9" x14ac:dyDescent="0.25">
      <c r="A30" t="s">
        <v>363</v>
      </c>
      <c r="B30" t="s">
        <v>364</v>
      </c>
      <c r="C30">
        <v>5166693.09</v>
      </c>
      <c r="D30">
        <v>3598029.61</v>
      </c>
      <c r="E30">
        <v>0</v>
      </c>
      <c r="F30">
        <v>0</v>
      </c>
      <c r="G30">
        <v>72333.703259999995</v>
      </c>
      <c r="H30">
        <v>50372.414539999998</v>
      </c>
      <c r="I30" s="85">
        <v>21961.288719999997</v>
      </c>
    </row>
    <row r="31" spans="1:9" x14ac:dyDescent="0.25">
      <c r="A31" t="s">
        <v>365</v>
      </c>
      <c r="B31" t="s">
        <v>366</v>
      </c>
      <c r="C31">
        <v>1027839.14</v>
      </c>
      <c r="D31">
        <v>1008076.53</v>
      </c>
      <c r="E31">
        <v>16</v>
      </c>
      <c r="F31">
        <v>0</v>
      </c>
      <c r="G31">
        <v>35974.369900000005</v>
      </c>
      <c r="H31">
        <v>14113.07142</v>
      </c>
      <c r="I31" s="85">
        <v>21861.298480000005</v>
      </c>
    </row>
    <row r="32" spans="1:9" x14ac:dyDescent="0.25">
      <c r="A32" t="s">
        <v>367</v>
      </c>
      <c r="B32" t="s">
        <v>368</v>
      </c>
      <c r="C32">
        <v>663982.16</v>
      </c>
      <c r="D32">
        <v>653983.62</v>
      </c>
      <c r="E32">
        <v>41</v>
      </c>
      <c r="F32">
        <v>13</v>
      </c>
      <c r="G32">
        <v>29879.197199999999</v>
      </c>
      <c r="H32">
        <v>9155.7706799999996</v>
      </c>
      <c r="I32" s="85">
        <v>20723.426520000001</v>
      </c>
    </row>
    <row r="33" spans="1:9" x14ac:dyDescent="0.25">
      <c r="A33" t="s">
        <v>369</v>
      </c>
      <c r="B33" t="s">
        <v>370</v>
      </c>
      <c r="C33">
        <v>625258.61</v>
      </c>
      <c r="D33">
        <v>614963.82999999996</v>
      </c>
      <c r="E33">
        <v>41</v>
      </c>
      <c r="F33">
        <v>13</v>
      </c>
      <c r="G33">
        <v>28136.637449999998</v>
      </c>
      <c r="H33">
        <v>8609.4936199999993</v>
      </c>
      <c r="I33" s="85">
        <v>19527.143830000001</v>
      </c>
    </row>
    <row r="34" spans="1:9" x14ac:dyDescent="0.25">
      <c r="A34" t="s">
        <v>371</v>
      </c>
      <c r="B34" t="s">
        <v>372</v>
      </c>
      <c r="C34">
        <v>1335669.71</v>
      </c>
      <c r="E34">
        <v>0</v>
      </c>
      <c r="G34">
        <v>18699.375939999998</v>
      </c>
      <c r="I34" s="85">
        <v>18699.375939999998</v>
      </c>
    </row>
    <row r="35" spans="1:9" x14ac:dyDescent="0.25">
      <c r="A35" t="s">
        <v>373</v>
      </c>
      <c r="B35" t="s">
        <v>374</v>
      </c>
      <c r="C35">
        <v>593337.81999999995</v>
      </c>
      <c r="D35">
        <v>571820.56000000006</v>
      </c>
      <c r="E35">
        <v>39</v>
      </c>
      <c r="F35">
        <v>11</v>
      </c>
      <c r="G35">
        <v>26700.201899999996</v>
      </c>
      <c r="H35">
        <v>8005.4878400000007</v>
      </c>
      <c r="I35" s="85">
        <v>18694.714059999995</v>
      </c>
    </row>
    <row r="36" spans="1:9" x14ac:dyDescent="0.25">
      <c r="A36" t="s">
        <v>375</v>
      </c>
      <c r="B36" t="s">
        <v>376</v>
      </c>
      <c r="C36">
        <v>352146.74</v>
      </c>
      <c r="D36">
        <v>332022.63</v>
      </c>
      <c r="E36">
        <v>102</v>
      </c>
      <c r="F36">
        <v>74</v>
      </c>
      <c r="G36">
        <v>35214.673999999999</v>
      </c>
      <c r="H36">
        <v>16601.1315</v>
      </c>
      <c r="I36" s="85">
        <v>18613.5425</v>
      </c>
    </row>
    <row r="37" spans="1:9" x14ac:dyDescent="0.25">
      <c r="A37" t="s">
        <v>377</v>
      </c>
      <c r="B37" t="s">
        <v>378</v>
      </c>
      <c r="C37">
        <v>876995.68</v>
      </c>
      <c r="D37">
        <v>864885.64</v>
      </c>
      <c r="E37">
        <v>16</v>
      </c>
      <c r="F37">
        <v>0</v>
      </c>
      <c r="G37">
        <v>30694.848800000003</v>
      </c>
      <c r="H37">
        <v>12108.39896</v>
      </c>
      <c r="I37" s="85">
        <v>18586.449840000001</v>
      </c>
    </row>
    <row r="38" spans="1:9" x14ac:dyDescent="0.25">
      <c r="A38" t="s">
        <v>379</v>
      </c>
      <c r="B38" t="s">
        <v>380</v>
      </c>
      <c r="C38">
        <v>1283165.04</v>
      </c>
      <c r="E38">
        <v>0</v>
      </c>
      <c r="G38">
        <v>17964.310560000002</v>
      </c>
      <c r="I38" s="85">
        <v>17964.310560000002</v>
      </c>
    </row>
    <row r="39" spans="1:9" x14ac:dyDescent="0.25">
      <c r="A39" t="s">
        <v>381</v>
      </c>
      <c r="B39" t="s">
        <v>382</v>
      </c>
      <c r="C39">
        <v>396136.72</v>
      </c>
      <c r="D39">
        <v>395899.92</v>
      </c>
      <c r="E39">
        <v>139</v>
      </c>
      <c r="F39">
        <v>111</v>
      </c>
      <c r="G39">
        <v>57439.824399999998</v>
      </c>
      <c r="H39">
        <v>39589.991999999998</v>
      </c>
      <c r="I39" s="85">
        <v>17849.832399999999</v>
      </c>
    </row>
    <row r="40" spans="1:9" x14ac:dyDescent="0.25">
      <c r="A40" t="s">
        <v>383</v>
      </c>
      <c r="B40" t="s">
        <v>384</v>
      </c>
      <c r="C40">
        <v>1243964.6399999999</v>
      </c>
      <c r="E40">
        <v>0</v>
      </c>
      <c r="G40">
        <v>17415.504959999998</v>
      </c>
      <c r="I40" s="85">
        <v>17415.504959999998</v>
      </c>
    </row>
    <row r="41" spans="1:9" x14ac:dyDescent="0.25">
      <c r="A41" t="s">
        <v>385</v>
      </c>
      <c r="B41" t="s">
        <v>386</v>
      </c>
      <c r="C41">
        <v>818132.94</v>
      </c>
      <c r="D41">
        <v>809609.49</v>
      </c>
      <c r="E41">
        <v>16</v>
      </c>
      <c r="F41">
        <v>0</v>
      </c>
      <c r="G41">
        <v>28634.652900000001</v>
      </c>
      <c r="H41">
        <v>11334.532859999999</v>
      </c>
      <c r="I41" s="85">
        <v>17300.120040000002</v>
      </c>
    </row>
    <row r="42" spans="1:9" x14ac:dyDescent="0.25">
      <c r="A42" t="s">
        <v>387</v>
      </c>
      <c r="B42" t="s">
        <v>388</v>
      </c>
      <c r="C42">
        <v>381542.77</v>
      </c>
      <c r="D42">
        <v>381070.55</v>
      </c>
      <c r="E42">
        <v>194</v>
      </c>
      <c r="F42">
        <v>166</v>
      </c>
      <c r="G42">
        <v>89662.550950000004</v>
      </c>
      <c r="H42">
        <v>72403.40449999999</v>
      </c>
      <c r="I42" s="85">
        <v>17259.146450000015</v>
      </c>
    </row>
    <row r="43" spans="1:9" x14ac:dyDescent="0.25">
      <c r="A43" t="s">
        <v>389</v>
      </c>
      <c r="B43" t="s">
        <v>390</v>
      </c>
      <c r="C43">
        <v>549773.01</v>
      </c>
      <c r="D43">
        <v>541116.62</v>
      </c>
      <c r="E43">
        <v>41</v>
      </c>
      <c r="F43">
        <v>13</v>
      </c>
      <c r="G43">
        <v>24739.785449999999</v>
      </c>
      <c r="H43">
        <v>7575.6326799999997</v>
      </c>
      <c r="I43" s="85">
        <v>17164.152770000001</v>
      </c>
    </row>
    <row r="44" spans="1:9" x14ac:dyDescent="0.25">
      <c r="A44" t="s">
        <v>391</v>
      </c>
      <c r="B44" t="s">
        <v>392</v>
      </c>
      <c r="C44">
        <v>375359.24</v>
      </c>
      <c r="D44">
        <v>374911.02</v>
      </c>
      <c r="E44">
        <v>139</v>
      </c>
      <c r="F44">
        <v>111</v>
      </c>
      <c r="G44">
        <v>54427.089800000002</v>
      </c>
      <c r="H44">
        <v>37491.101999999999</v>
      </c>
      <c r="I44" s="85">
        <v>16935.987800000003</v>
      </c>
    </row>
    <row r="45" spans="1:9" x14ac:dyDescent="0.25">
      <c r="A45" t="s">
        <v>393</v>
      </c>
      <c r="B45" t="s">
        <v>394</v>
      </c>
      <c r="C45">
        <v>538042</v>
      </c>
      <c r="D45">
        <v>531901.77</v>
      </c>
      <c r="E45">
        <v>39</v>
      </c>
      <c r="F45">
        <v>11</v>
      </c>
      <c r="G45">
        <v>24211.89</v>
      </c>
      <c r="H45">
        <v>7446.6247800000001</v>
      </c>
      <c r="I45" s="85">
        <v>16765.265220000001</v>
      </c>
    </row>
    <row r="46" spans="1:9" x14ac:dyDescent="0.25">
      <c r="A46" t="s">
        <v>395</v>
      </c>
      <c r="B46" t="s">
        <v>396</v>
      </c>
      <c r="C46">
        <v>1161669.42</v>
      </c>
      <c r="E46">
        <v>0</v>
      </c>
      <c r="G46">
        <v>16263.371879999999</v>
      </c>
      <c r="I46" s="85">
        <v>16263.371879999999</v>
      </c>
    </row>
    <row r="47" spans="1:9" x14ac:dyDescent="0.25">
      <c r="A47" t="s">
        <v>397</v>
      </c>
      <c r="B47" t="s">
        <v>398</v>
      </c>
      <c r="C47">
        <v>336113.96</v>
      </c>
      <c r="D47">
        <v>335807.46</v>
      </c>
      <c r="E47">
        <v>131</v>
      </c>
      <c r="F47">
        <v>103</v>
      </c>
      <c r="G47">
        <v>48736.5242</v>
      </c>
      <c r="H47">
        <v>33580.745999999999</v>
      </c>
      <c r="I47" s="85">
        <v>15155.778200000001</v>
      </c>
    </row>
    <row r="48" spans="1:9" x14ac:dyDescent="0.25">
      <c r="A48" t="s">
        <v>399</v>
      </c>
      <c r="B48" t="s">
        <v>400</v>
      </c>
      <c r="C48">
        <v>1051314.04</v>
      </c>
      <c r="E48">
        <v>0</v>
      </c>
      <c r="G48">
        <v>14718.396560000001</v>
      </c>
      <c r="I48" s="85">
        <v>14718.396560000001</v>
      </c>
    </row>
    <row r="49" spans="1:9" x14ac:dyDescent="0.25">
      <c r="A49" t="s">
        <v>401</v>
      </c>
      <c r="B49" t="s">
        <v>402</v>
      </c>
      <c r="C49">
        <v>321568.40999999997</v>
      </c>
      <c r="D49">
        <v>321403.15000000002</v>
      </c>
      <c r="E49">
        <v>231</v>
      </c>
      <c r="F49">
        <v>203</v>
      </c>
      <c r="G49">
        <v>90039.154799999989</v>
      </c>
      <c r="H49">
        <v>75529.740250000003</v>
      </c>
      <c r="I49" s="85">
        <v>14509.414549999987</v>
      </c>
    </row>
    <row r="50" spans="1:9" x14ac:dyDescent="0.25">
      <c r="A50" t="s">
        <v>403</v>
      </c>
      <c r="B50" t="s">
        <v>404</v>
      </c>
      <c r="C50">
        <v>1025462.87</v>
      </c>
      <c r="E50">
        <v>0</v>
      </c>
      <c r="G50">
        <v>14356.48018</v>
      </c>
      <c r="I50" s="85">
        <v>14356.48018</v>
      </c>
    </row>
    <row r="51" spans="1:9" x14ac:dyDescent="0.25">
      <c r="A51" t="s">
        <v>405</v>
      </c>
      <c r="B51" t="s">
        <v>406</v>
      </c>
      <c r="C51">
        <v>456389.2</v>
      </c>
      <c r="D51">
        <v>447710.57</v>
      </c>
      <c r="E51">
        <v>41</v>
      </c>
      <c r="F51">
        <v>13</v>
      </c>
      <c r="G51">
        <v>20537.513999999999</v>
      </c>
      <c r="H51">
        <v>6267.9479799999999</v>
      </c>
      <c r="I51" s="85">
        <v>14269.566019999998</v>
      </c>
    </row>
    <row r="52" spans="1:9" x14ac:dyDescent="0.25">
      <c r="A52" t="s">
        <v>407</v>
      </c>
      <c r="B52" t="s">
        <v>408</v>
      </c>
      <c r="C52">
        <v>321597.8</v>
      </c>
      <c r="D52">
        <v>323856.21999999997</v>
      </c>
      <c r="E52">
        <v>192</v>
      </c>
      <c r="F52">
        <v>164</v>
      </c>
      <c r="G52">
        <v>75575.482999999993</v>
      </c>
      <c r="H52">
        <v>61532.681799999991</v>
      </c>
      <c r="I52" s="85">
        <v>14042.801200000002</v>
      </c>
    </row>
    <row r="53" spans="1:9" x14ac:dyDescent="0.25">
      <c r="A53" t="s">
        <v>409</v>
      </c>
      <c r="B53" t="s">
        <v>410</v>
      </c>
      <c r="C53">
        <v>298672.57</v>
      </c>
      <c r="D53">
        <v>298259.21999999997</v>
      </c>
      <c r="E53">
        <v>200</v>
      </c>
      <c r="F53">
        <v>172</v>
      </c>
      <c r="G53">
        <v>70188.053950000001</v>
      </c>
      <c r="H53">
        <v>56669.251799999991</v>
      </c>
      <c r="I53" s="85">
        <v>13518.80215000001</v>
      </c>
    </row>
    <row r="54" spans="1:9" x14ac:dyDescent="0.25">
      <c r="A54" t="s">
        <v>411</v>
      </c>
      <c r="B54" t="s">
        <v>412</v>
      </c>
      <c r="C54">
        <v>432355.22</v>
      </c>
      <c r="D54">
        <v>425189.91</v>
      </c>
      <c r="E54">
        <v>41</v>
      </c>
      <c r="F54">
        <v>13</v>
      </c>
      <c r="G54">
        <v>19455.984899999999</v>
      </c>
      <c r="H54">
        <v>5952.6587399999999</v>
      </c>
      <c r="I54" s="85">
        <v>13503.326160000001</v>
      </c>
    </row>
    <row r="55" spans="1:9" x14ac:dyDescent="0.25">
      <c r="A55" t="s">
        <v>413</v>
      </c>
      <c r="B55" t="s">
        <v>414</v>
      </c>
      <c r="C55">
        <v>261319.6</v>
      </c>
      <c r="D55">
        <v>258553.2</v>
      </c>
      <c r="E55">
        <v>102</v>
      </c>
      <c r="F55">
        <v>74</v>
      </c>
      <c r="G55">
        <v>26131.96</v>
      </c>
      <c r="H55">
        <v>12927.660000000002</v>
      </c>
      <c r="I55" s="85">
        <v>13204.299999999997</v>
      </c>
    </row>
    <row r="56" spans="1:9" x14ac:dyDescent="0.25">
      <c r="A56" t="s">
        <v>415</v>
      </c>
      <c r="B56" t="s">
        <v>416</v>
      </c>
      <c r="C56">
        <v>420631.2</v>
      </c>
      <c r="D56">
        <v>413775.07</v>
      </c>
      <c r="E56">
        <v>41</v>
      </c>
      <c r="F56">
        <v>13</v>
      </c>
      <c r="G56">
        <v>18928.403999999999</v>
      </c>
      <c r="H56">
        <v>5792.8509800000002</v>
      </c>
      <c r="I56" s="85">
        <v>13135.553019999999</v>
      </c>
    </row>
    <row r="57" spans="1:9" x14ac:dyDescent="0.25">
      <c r="A57" t="s">
        <v>417</v>
      </c>
      <c r="B57" t="s">
        <v>418</v>
      </c>
      <c r="C57">
        <v>910585.68</v>
      </c>
      <c r="E57">
        <v>0</v>
      </c>
      <c r="G57">
        <v>12748.19952</v>
      </c>
      <c r="I57" s="85">
        <v>12748.19952</v>
      </c>
    </row>
    <row r="58" spans="1:9" x14ac:dyDescent="0.25">
      <c r="A58" t="s">
        <v>419</v>
      </c>
      <c r="B58" t="s">
        <v>420</v>
      </c>
      <c r="C58">
        <v>1199764.99</v>
      </c>
      <c r="D58">
        <v>1181701.1299999999</v>
      </c>
      <c r="E58">
        <v>54</v>
      </c>
      <c r="F58">
        <v>26</v>
      </c>
      <c r="G58">
        <v>53989.424549999996</v>
      </c>
      <c r="H58">
        <v>41359.539550000001</v>
      </c>
      <c r="I58" s="85">
        <v>12629.884999999995</v>
      </c>
    </row>
    <row r="59" spans="1:9" x14ac:dyDescent="0.25">
      <c r="A59" t="s">
        <v>421</v>
      </c>
      <c r="B59" t="s">
        <v>422</v>
      </c>
      <c r="C59">
        <v>278826.27</v>
      </c>
      <c r="D59">
        <v>278724.59000000003</v>
      </c>
      <c r="E59">
        <v>169</v>
      </c>
      <c r="F59">
        <v>141</v>
      </c>
      <c r="G59">
        <v>52976.991300000002</v>
      </c>
      <c r="H59">
        <v>40415.065549999999</v>
      </c>
      <c r="I59" s="85">
        <v>12561.925750000002</v>
      </c>
    </row>
    <row r="60" spans="1:9" x14ac:dyDescent="0.25">
      <c r="A60" t="s">
        <v>423</v>
      </c>
      <c r="B60" t="s">
        <v>424</v>
      </c>
      <c r="C60">
        <v>886559.64</v>
      </c>
      <c r="E60">
        <v>0</v>
      </c>
      <c r="G60">
        <v>12411.83496</v>
      </c>
      <c r="I60" s="85">
        <v>12411.83496</v>
      </c>
    </row>
    <row r="61" spans="1:9" x14ac:dyDescent="0.25">
      <c r="A61" t="s">
        <v>425</v>
      </c>
      <c r="B61" t="s">
        <v>426</v>
      </c>
      <c r="C61">
        <v>395244.01</v>
      </c>
      <c r="D61">
        <v>387747.04</v>
      </c>
      <c r="E61">
        <v>41</v>
      </c>
      <c r="F61">
        <v>13</v>
      </c>
      <c r="G61">
        <v>17785.980449999999</v>
      </c>
      <c r="H61">
        <v>5428.45856</v>
      </c>
      <c r="I61" s="85">
        <v>12357.52189</v>
      </c>
    </row>
    <row r="62" spans="1:9" x14ac:dyDescent="0.25">
      <c r="A62" t="s">
        <v>427</v>
      </c>
      <c r="B62" t="s">
        <v>428</v>
      </c>
      <c r="C62">
        <v>269312.31</v>
      </c>
      <c r="D62">
        <v>269091.76</v>
      </c>
      <c r="E62">
        <v>163</v>
      </c>
      <c r="F62">
        <v>135</v>
      </c>
      <c r="G62">
        <v>51169.338899999995</v>
      </c>
      <c r="H62">
        <v>39018.305200000003</v>
      </c>
      <c r="I62" s="85">
        <v>12151.033699999993</v>
      </c>
    </row>
    <row r="63" spans="1:9" x14ac:dyDescent="0.25">
      <c r="A63" t="s">
        <v>429</v>
      </c>
      <c r="B63" t="s">
        <v>430</v>
      </c>
      <c r="C63">
        <v>365990.76</v>
      </c>
      <c r="D63">
        <v>361877.99</v>
      </c>
      <c r="E63">
        <v>39</v>
      </c>
      <c r="F63">
        <v>11</v>
      </c>
      <c r="G63">
        <v>16469.584200000001</v>
      </c>
      <c r="H63">
        <v>5066.2918600000003</v>
      </c>
      <c r="I63" s="85">
        <v>11403.29234</v>
      </c>
    </row>
    <row r="64" spans="1:9" x14ac:dyDescent="0.25">
      <c r="A64" t="s">
        <v>431</v>
      </c>
      <c r="B64" t="s">
        <v>432</v>
      </c>
      <c r="C64">
        <v>360648.99</v>
      </c>
      <c r="D64">
        <v>355361.79</v>
      </c>
      <c r="E64">
        <v>39</v>
      </c>
      <c r="F64">
        <v>11</v>
      </c>
      <c r="G64">
        <v>16229.204549999999</v>
      </c>
      <c r="H64">
        <v>4975.0650599999999</v>
      </c>
      <c r="I64" s="85">
        <v>11254.139489999998</v>
      </c>
    </row>
    <row r="65" spans="1:9" x14ac:dyDescent="0.25">
      <c r="A65" t="s">
        <v>433</v>
      </c>
      <c r="B65" t="s">
        <v>434</v>
      </c>
      <c r="C65">
        <v>358734.23</v>
      </c>
      <c r="D65">
        <v>352402.09</v>
      </c>
      <c r="E65">
        <v>39</v>
      </c>
      <c r="F65">
        <v>11</v>
      </c>
      <c r="G65">
        <v>16143.040349999999</v>
      </c>
      <c r="H65">
        <v>4933.6292600000006</v>
      </c>
      <c r="I65" s="85">
        <v>11209.411089999998</v>
      </c>
    </row>
    <row r="66" spans="1:9" x14ac:dyDescent="0.25">
      <c r="A66" t="s">
        <v>435</v>
      </c>
      <c r="B66" t="s">
        <v>436</v>
      </c>
      <c r="C66">
        <v>787487.43</v>
      </c>
      <c r="E66">
        <v>0</v>
      </c>
      <c r="G66">
        <v>11024.824020000002</v>
      </c>
      <c r="I66" s="85">
        <v>11024.824020000002</v>
      </c>
    </row>
    <row r="67" spans="1:9" x14ac:dyDescent="0.25">
      <c r="A67" t="s">
        <v>437</v>
      </c>
      <c r="B67" t="s">
        <v>438</v>
      </c>
      <c r="C67">
        <v>780737.12</v>
      </c>
      <c r="E67">
        <v>0</v>
      </c>
      <c r="G67">
        <v>10930.319680000001</v>
      </c>
      <c r="I67" s="85">
        <v>10930.319680000001</v>
      </c>
    </row>
    <row r="68" spans="1:9" x14ac:dyDescent="0.25">
      <c r="A68" t="s">
        <v>439</v>
      </c>
      <c r="B68" t="s">
        <v>440</v>
      </c>
      <c r="C68">
        <v>346321</v>
      </c>
      <c r="D68">
        <v>340602.23</v>
      </c>
      <c r="E68">
        <v>41</v>
      </c>
      <c r="F68">
        <v>13</v>
      </c>
      <c r="G68">
        <v>15584.445</v>
      </c>
      <c r="H68">
        <v>4768.4312199999995</v>
      </c>
      <c r="I68" s="85">
        <v>10816.013780000001</v>
      </c>
    </row>
    <row r="69" spans="1:9" x14ac:dyDescent="0.25">
      <c r="A69" t="s">
        <v>441</v>
      </c>
      <c r="B69" t="s">
        <v>442</v>
      </c>
      <c r="C69">
        <v>237845.01</v>
      </c>
      <c r="D69">
        <v>237651.71</v>
      </c>
      <c r="E69">
        <v>255</v>
      </c>
      <c r="F69">
        <v>227</v>
      </c>
      <c r="G69">
        <v>77299.628250000009</v>
      </c>
      <c r="H69">
        <v>66542.478799999997</v>
      </c>
      <c r="I69" s="85">
        <v>10757.149450000012</v>
      </c>
    </row>
    <row r="70" spans="1:9" x14ac:dyDescent="0.25">
      <c r="A70" t="s">
        <v>443</v>
      </c>
      <c r="B70" t="s">
        <v>444</v>
      </c>
      <c r="C70">
        <v>220370.48</v>
      </c>
      <c r="D70">
        <v>230896.32</v>
      </c>
      <c r="E70">
        <v>23</v>
      </c>
      <c r="F70">
        <v>87</v>
      </c>
      <c r="G70">
        <v>22037.048000000003</v>
      </c>
      <c r="H70">
        <v>11544.816000000001</v>
      </c>
      <c r="I70" s="85">
        <v>10492.232000000002</v>
      </c>
    </row>
    <row r="71" spans="1:9" x14ac:dyDescent="0.25">
      <c r="A71" t="s">
        <v>445</v>
      </c>
      <c r="B71" t="s">
        <v>446</v>
      </c>
      <c r="C71">
        <v>117140.65</v>
      </c>
      <c r="D71">
        <v>115120.64</v>
      </c>
      <c r="E71">
        <v>0</v>
      </c>
      <c r="F71">
        <v>0</v>
      </c>
      <c r="G71">
        <v>11714.065000000001</v>
      </c>
      <c r="H71">
        <v>1611.68896</v>
      </c>
      <c r="I71" s="85">
        <v>10102.376040000001</v>
      </c>
    </row>
    <row r="72" spans="1:9" x14ac:dyDescent="0.25">
      <c r="A72" t="s">
        <v>447</v>
      </c>
      <c r="B72" t="s">
        <v>448</v>
      </c>
      <c r="C72">
        <v>222885.64</v>
      </c>
      <c r="D72">
        <v>222682.69</v>
      </c>
      <c r="E72">
        <v>192</v>
      </c>
      <c r="F72">
        <v>164</v>
      </c>
      <c r="G72">
        <v>52378.125400000004</v>
      </c>
      <c r="H72">
        <v>42309.7111</v>
      </c>
      <c r="I72" s="85">
        <v>10068.414300000004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0C154-E6C6-4063-844D-8AF50DCBD7F2}">
  <dimension ref="A1:N16"/>
  <sheetViews>
    <sheetView workbookViewId="0">
      <selection activeCell="I11" sqref="I11"/>
    </sheetView>
  </sheetViews>
  <sheetFormatPr defaultRowHeight="15" x14ac:dyDescent="0.25"/>
  <cols>
    <col min="1" max="1" width="38.42578125" bestFit="1" customWidth="1"/>
    <col min="2" max="2" width="12.85546875" bestFit="1" customWidth="1"/>
    <col min="3" max="3" width="14.42578125" bestFit="1" customWidth="1"/>
    <col min="9" max="9" width="14" bestFit="1" customWidth="1"/>
    <col min="10" max="10" width="12.85546875" bestFit="1" customWidth="1"/>
  </cols>
  <sheetData>
    <row r="1" spans="1:14" x14ac:dyDescent="0.25">
      <c r="B1" s="235" t="s">
        <v>274</v>
      </c>
      <c r="C1" t="s">
        <v>275</v>
      </c>
    </row>
    <row r="2" spans="1:14" x14ac:dyDescent="0.25">
      <c r="A2" t="s">
        <v>276</v>
      </c>
      <c r="B2" s="85" t="e">
        <f>#REF!</f>
        <v>#REF!</v>
      </c>
      <c r="C2" s="85">
        <f>'[2]Base Despesas'!$BA$3*-1</f>
        <v>-5107034.8236111198</v>
      </c>
      <c r="D2" s="79" t="e">
        <f>B2/C2-1</f>
        <v>#REF!</v>
      </c>
      <c r="I2" s="4"/>
    </row>
    <row r="3" spans="1:14" x14ac:dyDescent="0.25">
      <c r="A3" t="s">
        <v>277</v>
      </c>
      <c r="B3" s="85">
        <v>-520649.65</v>
      </c>
      <c r="D3" t="s">
        <v>281</v>
      </c>
      <c r="I3" s="4">
        <f>B3+B4</f>
        <v>-788489.15</v>
      </c>
      <c r="J3" s="4">
        <f>I3*12</f>
        <v>-9461869.8000000007</v>
      </c>
    </row>
    <row r="4" spans="1:14" x14ac:dyDescent="0.25">
      <c r="A4" t="s">
        <v>278</v>
      </c>
      <c r="B4" s="85">
        <f>-161350.61-106488.89</f>
        <v>-267839.5</v>
      </c>
      <c r="D4" t="s">
        <v>280</v>
      </c>
    </row>
    <row r="5" spans="1:14" x14ac:dyDescent="0.25">
      <c r="A5" t="s">
        <v>279</v>
      </c>
      <c r="B5" s="85">
        <v>-865066.42999999993</v>
      </c>
      <c r="D5" t="s">
        <v>280</v>
      </c>
    </row>
    <row r="6" spans="1:14" x14ac:dyDescent="0.25">
      <c r="A6" t="s">
        <v>2</v>
      </c>
      <c r="B6" s="4" t="e">
        <f>B2+B3+B4+B5</f>
        <v>#REF!</v>
      </c>
    </row>
    <row r="7" spans="1:14" x14ac:dyDescent="0.25">
      <c r="B7" s="4"/>
      <c r="C7" s="4"/>
    </row>
    <row r="8" spans="1:14" x14ac:dyDescent="0.25">
      <c r="B8" s="235">
        <v>45658</v>
      </c>
      <c r="C8" s="235">
        <v>45689</v>
      </c>
      <c r="D8" s="235">
        <v>45717</v>
      </c>
      <c r="E8" s="235">
        <v>45748</v>
      </c>
      <c r="F8" s="235">
        <v>45778</v>
      </c>
      <c r="G8" s="235">
        <v>45809</v>
      </c>
      <c r="H8" s="235">
        <v>45839</v>
      </c>
      <c r="I8" s="235">
        <v>45870</v>
      </c>
      <c r="J8" s="235">
        <v>45901</v>
      </c>
      <c r="K8" s="235">
        <v>45931</v>
      </c>
      <c r="L8" s="235">
        <v>45962</v>
      </c>
      <c r="M8" s="235">
        <v>45992</v>
      </c>
      <c r="N8" s="235">
        <v>46023</v>
      </c>
    </row>
    <row r="9" spans="1:14" x14ac:dyDescent="0.25">
      <c r="B9" s="235"/>
      <c r="C9" s="235"/>
      <c r="D9" s="235"/>
      <c r="E9" s="235"/>
      <c r="F9" s="235"/>
      <c r="G9" s="235"/>
      <c r="H9" s="235"/>
      <c r="I9" s="235"/>
      <c r="J9" s="235"/>
      <c r="K9" s="235"/>
      <c r="L9" s="235"/>
      <c r="M9" s="235"/>
      <c r="N9" s="235"/>
    </row>
    <row r="10" spans="1:14" x14ac:dyDescent="0.25">
      <c r="A10" t="s">
        <v>282</v>
      </c>
    </row>
    <row r="12" spans="1:14" x14ac:dyDescent="0.25">
      <c r="A12" t="s">
        <v>285</v>
      </c>
    </row>
    <row r="13" spans="1:14" x14ac:dyDescent="0.25">
      <c r="A13" s="236" t="s">
        <v>283</v>
      </c>
      <c r="B13" s="236" t="s">
        <v>286</v>
      </c>
    </row>
    <row r="14" spans="1:14" x14ac:dyDescent="0.25">
      <c r="A14" t="s">
        <v>284</v>
      </c>
      <c r="B14" t="s">
        <v>287</v>
      </c>
    </row>
    <row r="15" spans="1:14" x14ac:dyDescent="0.25">
      <c r="A15" t="s">
        <v>288</v>
      </c>
      <c r="B15" t="s">
        <v>287</v>
      </c>
    </row>
    <row r="16" spans="1:14" x14ac:dyDescent="0.25">
      <c r="A16" t="s">
        <v>289</v>
      </c>
      <c r="B16" t="s">
        <v>287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B93D1-0248-4354-B944-1307854CC578}">
  <sheetPr codeName="Planilha9"/>
  <dimension ref="A1:G23"/>
  <sheetViews>
    <sheetView showGridLines="0" zoomScale="90" zoomScaleNormal="90" workbookViewId="0">
      <selection activeCell="E21" sqref="E21"/>
    </sheetView>
  </sheetViews>
  <sheetFormatPr defaultRowHeight="15" x14ac:dyDescent="0.25"/>
  <cols>
    <col min="1" max="1" width="33.28515625" bestFit="1" customWidth="1"/>
    <col min="2" max="2" width="12.28515625" bestFit="1" customWidth="1"/>
    <col min="3" max="3" width="36.28515625" bestFit="1" customWidth="1"/>
    <col min="4" max="4" width="67.140625" bestFit="1" customWidth="1"/>
    <col min="5" max="5" width="33.28515625" bestFit="1" customWidth="1"/>
    <col min="6" max="6" width="10.7109375" customWidth="1"/>
  </cols>
  <sheetData>
    <row r="1" spans="1:7" ht="27.75" customHeight="1" x14ac:dyDescent="0.25">
      <c r="A1" s="99" t="s">
        <v>105</v>
      </c>
      <c r="B1" s="100" t="s">
        <v>176</v>
      </c>
      <c r="C1" s="100" t="s">
        <v>177</v>
      </c>
      <c r="D1" s="101" t="s">
        <v>178</v>
      </c>
      <c r="E1" s="101" t="s">
        <v>179</v>
      </c>
    </row>
    <row r="2" spans="1:7" x14ac:dyDescent="0.25">
      <c r="A2" s="192" t="s">
        <v>106</v>
      </c>
      <c r="B2" s="191" t="s">
        <v>180</v>
      </c>
      <c r="C2" s="191" t="s">
        <v>181</v>
      </c>
      <c r="D2" s="191"/>
      <c r="E2" s="191" t="s">
        <v>182</v>
      </c>
      <c r="G2" s="191" t="s">
        <v>183</v>
      </c>
    </row>
    <row r="3" spans="1:7" x14ac:dyDescent="0.25">
      <c r="A3" s="14" t="s">
        <v>111</v>
      </c>
      <c r="B3" t="s">
        <v>180</v>
      </c>
      <c r="C3" t="s">
        <v>90</v>
      </c>
      <c r="D3" t="s">
        <v>184</v>
      </c>
    </row>
    <row r="4" spans="1:7" x14ac:dyDescent="0.25">
      <c r="A4" s="192" t="s">
        <v>113</v>
      </c>
      <c r="B4" s="191" t="s">
        <v>180</v>
      </c>
      <c r="C4" s="191" t="s">
        <v>181</v>
      </c>
      <c r="D4" s="191"/>
      <c r="E4" s="191"/>
    </row>
    <row r="5" spans="1:7" x14ac:dyDescent="0.25">
      <c r="A5" s="14" t="s">
        <v>155</v>
      </c>
      <c r="B5" t="s">
        <v>181</v>
      </c>
      <c r="C5" t="s">
        <v>86</v>
      </c>
      <c r="D5" t="s">
        <v>185</v>
      </c>
    </row>
    <row r="6" spans="1:7" x14ac:dyDescent="0.25">
      <c r="A6" s="14" t="s">
        <v>10</v>
      </c>
      <c r="B6" t="s">
        <v>181</v>
      </c>
      <c r="C6" t="s">
        <v>186</v>
      </c>
      <c r="D6" t="s">
        <v>187</v>
      </c>
    </row>
    <row r="7" spans="1:7" x14ac:dyDescent="0.25">
      <c r="A7" s="14" t="s">
        <v>117</v>
      </c>
      <c r="B7" t="s">
        <v>181</v>
      </c>
      <c r="C7" t="s">
        <v>94</v>
      </c>
      <c r="D7" t="s">
        <v>187</v>
      </c>
    </row>
    <row r="8" spans="1:7" x14ac:dyDescent="0.25">
      <c r="A8" s="99" t="s">
        <v>118</v>
      </c>
      <c r="B8" s="99"/>
      <c r="C8" s="99"/>
      <c r="D8" s="89"/>
      <c r="E8" s="89"/>
    </row>
    <row r="9" spans="1:7" x14ac:dyDescent="0.25">
      <c r="A9" s="102" t="s">
        <v>149</v>
      </c>
      <c r="B9" t="s">
        <v>180</v>
      </c>
      <c r="C9" t="s">
        <v>181</v>
      </c>
      <c r="E9" s="114" t="s">
        <v>182</v>
      </c>
    </row>
    <row r="10" spans="1:7" x14ac:dyDescent="0.25">
      <c r="A10" s="192" t="s">
        <v>28</v>
      </c>
      <c r="B10" s="191" t="s">
        <v>180</v>
      </c>
      <c r="C10" s="191" t="s">
        <v>90</v>
      </c>
      <c r="D10" s="191" t="s">
        <v>188</v>
      </c>
      <c r="E10" s="191" t="s">
        <v>189</v>
      </c>
    </row>
    <row r="11" spans="1:7" x14ac:dyDescent="0.25">
      <c r="A11" s="99" t="s">
        <v>123</v>
      </c>
      <c r="B11" s="99"/>
      <c r="C11" s="99"/>
      <c r="D11" s="89"/>
    </row>
    <row r="12" spans="1:7" x14ac:dyDescent="0.25">
      <c r="A12" s="14" t="s">
        <v>24</v>
      </c>
      <c r="B12" t="s">
        <v>180</v>
      </c>
      <c r="C12" t="s">
        <v>181</v>
      </c>
      <c r="E12" s="845"/>
    </row>
    <row r="13" spans="1:7" x14ac:dyDescent="0.25">
      <c r="A13" s="99" t="s">
        <v>125</v>
      </c>
      <c r="B13" s="99"/>
      <c r="C13" s="99"/>
      <c r="D13" s="89"/>
      <c r="E13" s="846"/>
    </row>
    <row r="14" spans="1:7" x14ac:dyDescent="0.25">
      <c r="A14" s="14" t="s">
        <v>126</v>
      </c>
      <c r="B14" t="s">
        <v>180</v>
      </c>
      <c r="C14" t="s">
        <v>190</v>
      </c>
      <c r="D14" t="s">
        <v>191</v>
      </c>
    </row>
    <row r="15" spans="1:7" x14ac:dyDescent="0.25">
      <c r="A15" s="14"/>
      <c r="B15" t="s">
        <v>181</v>
      </c>
      <c r="C15" t="s">
        <v>87</v>
      </c>
      <c r="D15" t="s">
        <v>187</v>
      </c>
    </row>
    <row r="16" spans="1:7" x14ac:dyDescent="0.25">
      <c r="A16" s="14" t="s">
        <v>157</v>
      </c>
      <c r="B16" t="s">
        <v>180</v>
      </c>
      <c r="C16" t="s">
        <v>83</v>
      </c>
    </row>
    <row r="17" spans="1:7" x14ac:dyDescent="0.25">
      <c r="A17" s="99" t="s">
        <v>127</v>
      </c>
      <c r="B17" s="99"/>
      <c r="C17" s="99"/>
      <c r="D17" s="89"/>
    </row>
    <row r="18" spans="1:7" x14ac:dyDescent="0.25">
      <c r="A18" s="14" t="s">
        <v>128</v>
      </c>
      <c r="B18" t="s">
        <v>180</v>
      </c>
      <c r="C18" t="s">
        <v>192</v>
      </c>
      <c r="D18" t="s">
        <v>193</v>
      </c>
    </row>
    <row r="19" spans="1:7" x14ac:dyDescent="0.25">
      <c r="A19" s="99" t="s">
        <v>129</v>
      </c>
      <c r="B19" s="99"/>
      <c r="C19" s="99"/>
      <c r="D19" s="89"/>
    </row>
    <row r="20" spans="1:7" x14ac:dyDescent="0.25">
      <c r="A20" s="192" t="s">
        <v>42</v>
      </c>
      <c r="B20" s="191" t="s">
        <v>180</v>
      </c>
      <c r="C20" s="191"/>
      <c r="D20" s="191" t="s">
        <v>194</v>
      </c>
    </row>
    <row r="21" spans="1:7" x14ac:dyDescent="0.25">
      <c r="A21" s="99" t="s">
        <v>130</v>
      </c>
      <c r="B21" s="99"/>
      <c r="C21" s="89"/>
      <c r="D21" s="89"/>
    </row>
    <row r="22" spans="1:7" x14ac:dyDescent="0.25">
      <c r="A22" s="20" t="s">
        <v>158</v>
      </c>
      <c r="B22" s="20"/>
      <c r="C22" t="s">
        <v>195</v>
      </c>
      <c r="D22" t="s">
        <v>187</v>
      </c>
      <c r="G22" s="191" t="s">
        <v>183</v>
      </c>
    </row>
    <row r="23" spans="1:7" x14ac:dyDescent="0.25">
      <c r="A23" s="99" t="s">
        <v>132</v>
      </c>
      <c r="B23" s="99"/>
      <c r="C23" s="89"/>
      <c r="D23" s="89"/>
    </row>
  </sheetData>
  <mergeCells count="1">
    <mergeCell ref="E12:E13"/>
  </mergeCells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D4CD5-BC15-40D0-9A7C-4D884C1A11A9}">
  <sheetPr codeName="Planilha4"/>
  <dimension ref="B1:E30"/>
  <sheetViews>
    <sheetView showGridLines="0" workbookViewId="0">
      <selection activeCell="C4" sqref="C4"/>
    </sheetView>
  </sheetViews>
  <sheetFormatPr defaultRowHeight="15" x14ac:dyDescent="0.25"/>
  <cols>
    <col min="2" max="2" width="39.28515625" bestFit="1" customWidth="1"/>
    <col min="3" max="3" width="15" customWidth="1"/>
    <col min="5" max="5" width="10.140625" bestFit="1" customWidth="1"/>
    <col min="7" max="7" width="14.28515625" bestFit="1" customWidth="1"/>
  </cols>
  <sheetData>
    <row r="1" spans="2:3" x14ac:dyDescent="0.25">
      <c r="C1" s="130" t="s">
        <v>196</v>
      </c>
    </row>
    <row r="2" spans="2:3" x14ac:dyDescent="0.25">
      <c r="B2" t="s">
        <v>197</v>
      </c>
      <c r="C2" s="24">
        <v>45658</v>
      </c>
    </row>
    <row r="3" spans="2:3" x14ac:dyDescent="0.25">
      <c r="C3" s="24">
        <f>EOMONTH(C2,5)</f>
        <v>45838</v>
      </c>
    </row>
    <row r="4" spans="2:3" x14ac:dyDescent="0.25">
      <c r="B4" t="s">
        <v>198</v>
      </c>
      <c r="C4" s="131">
        <f>MONTH(C3)-MONTH(C2)+1</f>
        <v>6</v>
      </c>
    </row>
    <row r="5" spans="2:3" x14ac:dyDescent="0.25">
      <c r="C5" s="131"/>
    </row>
    <row r="6" spans="2:3" x14ac:dyDescent="0.25">
      <c r="C6" s="134" t="s">
        <v>101</v>
      </c>
    </row>
    <row r="7" spans="2:3" x14ac:dyDescent="0.25">
      <c r="B7" s="132"/>
      <c r="C7" s="133">
        <v>2024</v>
      </c>
    </row>
    <row r="8" spans="2:3" x14ac:dyDescent="0.25">
      <c r="B8" s="135" t="s">
        <v>105</v>
      </c>
      <c r="C8" s="52">
        <f>C9+C13</f>
        <v>0</v>
      </c>
    </row>
    <row r="9" spans="2:3" x14ac:dyDescent="0.25">
      <c r="B9" s="14" t="s">
        <v>106</v>
      </c>
      <c r="C9" s="54">
        <f>C10+C11+C12</f>
        <v>0</v>
      </c>
    </row>
    <row r="10" spans="2:3" ht="15.75" customHeight="1" x14ac:dyDescent="0.25">
      <c r="B10" s="136" t="s">
        <v>199</v>
      </c>
      <c r="C10" s="75">
        <f>SUMIFS(Realizado!4:4,Realizado!2:2,"&lt;="&amp;C$3,Realizado!2:2,"&gt;="&amp;C$2)</f>
        <v>0</v>
      </c>
    </row>
    <row r="11" spans="2:3" x14ac:dyDescent="0.25">
      <c r="B11" s="136" t="s">
        <v>159</v>
      </c>
      <c r="C11" s="75">
        <f>+SUMIFS(Realizado!40:40,Realizado!2:2,"&lt;="&amp;C$3,Realizado!2:2,"&gt;="&amp;C$2)</f>
        <v>0</v>
      </c>
    </row>
    <row r="12" spans="2:3" x14ac:dyDescent="0.25">
      <c r="B12" s="136" t="s">
        <v>162</v>
      </c>
      <c r="C12" s="75">
        <f>+SUMIFS(Realizado!82:82,Realizado!2:2,"&lt;="&amp;C$3,Realizado!2:2,"&gt;="&amp;C$2)</f>
        <v>0</v>
      </c>
    </row>
    <row r="13" spans="2:3" x14ac:dyDescent="0.25">
      <c r="B13" s="14" t="s">
        <v>111</v>
      </c>
      <c r="C13" s="54">
        <f>+SUMIFS(Realizado!88:88,Realizado!2:2,"&lt;="&amp;C$3,Realizado!2:2,"&gt;="&amp;C$2)+SUMIFS(Realizado!90:90,Realizado!2:2,"&lt;="&amp;C$3,Realizado!2:2,"&gt;="&amp;C$2)+SUMIFS(Realizado!91:91,Realizado!2:2,"&lt;="&amp;C$3,Realizado!2:2,"&gt;="&amp;C$2)+SUMIFS(Realizado!95:95,Realizado!2:2,"&lt;="&amp;C$3,Realizado!2:2,"&gt;="&amp;C$2)+SUMIFS(Realizado!96:96,Realizado!2:2,"&lt;="&amp;C$3,Realizado!2:2,"&gt;="&amp;C$2)+SUMIFS(Realizado!9:9,Realizado!2:2,"&lt;="&amp;C$3,Realizado!2:2,"&gt;="&amp;C$2)+SUMIFS(Realizado!47:47,Realizado!2:2,"&lt;="&amp;C$3,Realizado!2:2,"&gt;="&amp;C$2)+SUMIFS(Realizado!89:89,Realizado!2:2,"&lt;="&amp;C$3,Realizado!2:2,"&gt;="&amp;C$2)+SUMIFS(Realizado!10:10,Realizado!2:2,"&lt;="&amp;C$3,Realizado!2:2,"&gt;="&amp;C$2)+SUMIFS(Realizado!46:46,Realizado!2:2,"&lt;="&amp;C$3,Realizado!2:2,"&gt;="&amp;C$2)</f>
        <v>0</v>
      </c>
    </row>
    <row r="14" spans="2:3" x14ac:dyDescent="0.25">
      <c r="B14" t="s">
        <v>200</v>
      </c>
      <c r="C14" s="54">
        <f>+SUMIFS(Realizado!19:19,Realizado!2:2,"&lt;="&amp;C$3,Realizado!2:2,"&gt;="&amp;C$2)+SUMIFS(Realizado!24:24,Realizado!2:2,"&lt;="&amp;C$3,Realizado!2:2,"&gt;="&amp;C$2)+SUMIFS(Realizado!57:57,Realizado!2:2,"&lt;="&amp;C$3,Realizado!2:2,"&gt;="&amp;C$2)+SUMIFS(Realizado!62:62,Realizado!2:2,"&lt;="&amp;C$3,Realizado!2:2,"&gt;="&amp;C$2)+SUMIFS(Realizado!99:99,Realizado!2:2,"&lt;="&amp;C$3,Realizado!2:2,"&gt;="&amp;C$2)+SUMIFS(Realizado!106:106,Realizado!2:2,"&lt;="&amp;C$3,Realizado!2:2,"&gt;="&amp;C$2)</f>
        <v>0</v>
      </c>
    </row>
    <row r="15" spans="2:3" x14ac:dyDescent="0.25">
      <c r="B15" t="s">
        <v>173</v>
      </c>
      <c r="C15" s="54">
        <f>+SUMIFS(Realizado!26:26,Realizado!2:2,"&lt;="&amp;C$3,Realizado!2:2,"&gt;="&amp;C$2)+SUMIFS(Realizado!64:64,Realizado!2:2,"&lt;="&amp;C$3,Realizado!2:2,"&gt;="&amp;C$2)+SUMIFS(Realizado!108:108,Realizado!2:2,"&lt;="&amp;C$3,Realizado!2:2,"&gt;="&amp;C$2)</f>
        <v>0</v>
      </c>
    </row>
    <row r="16" spans="2:3" x14ac:dyDescent="0.25">
      <c r="B16" t="s">
        <v>201</v>
      </c>
      <c r="C16" s="54" t="e">
        <f>+SUMIFS(Realizado!30:30,Realizado!2:2,"&lt;="&amp;C$3,Realizado!2:2,"&gt;="&amp;C$2)+SUMIFS(Realizado!33:33,Realizado!2:2,"&lt;="&amp;C$3,Realizado!2:2,"&gt;="&amp;C$2)+SUMIFS(Realizado!68:68,Realizado!2:2,"&lt;="&amp;C$3,Realizado!2:2,"&gt;="&amp;C$2)+SUMIFS(Realizado!70:70,Realizado!2:2,"&lt;="&amp;C$3,Realizado!2:2,"&gt;="&amp;C$2)+SUMIFS(Realizado!72:72,Realizado!2:2,"&lt;="&amp;C$3,Realizado!2:2,"&gt;="&amp;C$2)+SUMIFS(Realizado!112:112,Realizado!2:2,"&lt;="&amp;C$3,Realizado!2:2,"&gt;="&amp;C$2)+SUMIFS(Realizado!114:114,Realizado!2:2,"&lt;="&amp;C$3,Realizado!2:2,"&gt;="&amp;C$2)+SUMIFS(Realizado!116:116,Realizado!2:2,"&lt;="&amp;C$3,Realizado!2:2,"&gt;="&amp;C$2)+SUMIFS(Realizado!#REF!,Realizado!2:2,"&lt;="&amp;C$3,Realizado!2:2,"&gt;="&amp;C$2)</f>
        <v>#REF!</v>
      </c>
    </row>
    <row r="17" spans="2:5" x14ac:dyDescent="0.25">
      <c r="B17" s="12" t="s">
        <v>129</v>
      </c>
      <c r="C17" s="52" t="e">
        <f>C8+C14+C15+C16</f>
        <v>#REF!</v>
      </c>
    </row>
    <row r="18" spans="2:5" x14ac:dyDescent="0.25">
      <c r="B18" t="s">
        <v>171</v>
      </c>
      <c r="C18" s="54">
        <f>+SUMIFS(Realizado!35:35,Realizado!2:2,"&lt;="&amp;C$3,Realizado!2:2,"&gt;="&amp;C$2)+SUMIFS(Realizado!74:74,Realizado!2:2,"&lt;="&amp;C$3,Realizado!2:2,"&gt;="&amp;C$2)+SUMIFS(Realizado!118:118,Realizado!2:2,"&lt;="&amp;C$3,Realizado!2:2,"&gt;="&amp;C$2)</f>
        <v>0</v>
      </c>
    </row>
    <row r="19" spans="2:5" x14ac:dyDescent="0.25">
      <c r="B19" t="s">
        <v>202</v>
      </c>
      <c r="C19" s="54" t="e">
        <f>+SUMIFS(Realizado!37:37,Realizado!2:2,"&lt;="&amp;C$3,Realizado!2:2,"&gt;="&amp;C$2)+SUMIFS(Realizado!76:76,Realizado!2:2,"&lt;="&amp;C$3,Realizado!2:2,"&gt;="&amp;C$2)+SUMIFS(Realizado!120:120,Realizado!2:2,"&lt;="&amp;C$3,Realizado!2:2,"&gt;="&amp;C$2)+SUMIFS(Realizado!#REF!,Realizado!2:2,"&lt;="&amp;C$3,Realizado!2:2,"&gt;="&amp;C$2)+SUMIFS(Realizado!#REF!,Realizado!2:2,"&lt;="&amp;C$3,Realizado!2:2,"&gt;="&amp;C$2)-SUMIFS(Realizado!#REF!,Realizado!2:2,"&lt;="&amp;C$3,Realizado!2:2,"&gt;="&amp;C$2)</f>
        <v>#REF!</v>
      </c>
    </row>
    <row r="20" spans="2:5" x14ac:dyDescent="0.25">
      <c r="B20" s="12" t="s">
        <v>132</v>
      </c>
      <c r="C20" s="52" t="e">
        <f>C17+C18+C19</f>
        <v>#REF!</v>
      </c>
    </row>
    <row r="21" spans="2:5" hidden="1" x14ac:dyDescent="0.25">
      <c r="B21" s="12" t="s">
        <v>203</v>
      </c>
      <c r="C21" s="52" t="e">
        <f>'P&amp;L Acumulado'!#REF!</f>
        <v>#REF!</v>
      </c>
    </row>
    <row r="22" spans="2:5" hidden="1" x14ac:dyDescent="0.25">
      <c r="B22" s="99" t="s">
        <v>134</v>
      </c>
      <c r="C22" s="137" t="e">
        <f>'P&amp;L Acumulado'!#REF!</f>
        <v>#REF!</v>
      </c>
      <c r="E22" s="58"/>
    </row>
    <row r="23" spans="2:5" hidden="1" x14ac:dyDescent="0.25">
      <c r="B23" s="111" t="s">
        <v>204</v>
      </c>
    </row>
    <row r="24" spans="2:5" ht="5.25" hidden="1" customHeight="1" x14ac:dyDescent="0.25">
      <c r="C24" s="58"/>
    </row>
    <row r="25" spans="2:5" x14ac:dyDescent="0.25">
      <c r="B25" s="48" t="s">
        <v>135</v>
      </c>
      <c r="C25" s="77">
        <f>'P&amp;L Acumulado'!L44</f>
        <v>0.10229747748903389</v>
      </c>
    </row>
    <row r="26" spans="2:5" x14ac:dyDescent="0.25">
      <c r="B26" s="14" t="s">
        <v>136</v>
      </c>
      <c r="C26" s="63">
        <f>'P&amp;L Acumulado'!L45</f>
        <v>9.0735026718006734E-2</v>
      </c>
    </row>
    <row r="27" spans="2:5" x14ac:dyDescent="0.25">
      <c r="B27" s="14" t="s">
        <v>137</v>
      </c>
      <c r="C27" s="63">
        <f>'P&amp;L Acumulado'!L46</f>
        <v>-0.2844494025758148</v>
      </c>
    </row>
    <row r="28" spans="2:5" hidden="1" x14ac:dyDescent="0.25">
      <c r="B28" s="14" t="s">
        <v>138</v>
      </c>
      <c r="C28" s="63">
        <v>-0.46637548943878837</v>
      </c>
    </row>
    <row r="29" spans="2:5" x14ac:dyDescent="0.25">
      <c r="B29" s="49" t="s">
        <v>139</v>
      </c>
      <c r="C29" s="81" t="e">
        <f>'P&amp;L Acumulado'!L48</f>
        <v>#REF!</v>
      </c>
    </row>
    <row r="30" spans="2:5" hidden="1" x14ac:dyDescent="0.25">
      <c r="B30" s="49" t="s">
        <v>140</v>
      </c>
      <c r="C30" s="81">
        <v>0.28838421240712936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F2BFC-029E-4034-BDDE-49162BC6CB87}">
  <sheetPr codeName="Planilha6"/>
  <dimension ref="A1:K5037"/>
  <sheetViews>
    <sheetView showGridLines="0" zoomScale="80" zoomScaleNormal="80" workbookViewId="0">
      <selection activeCell="K8" sqref="K8"/>
    </sheetView>
  </sheetViews>
  <sheetFormatPr defaultRowHeight="15" x14ac:dyDescent="0.25"/>
  <cols>
    <col min="1" max="1" width="8.7109375" bestFit="1" customWidth="1"/>
    <col min="2" max="2" width="42.28515625" bestFit="1" customWidth="1"/>
    <col min="3" max="3" width="18" bestFit="1" customWidth="1"/>
    <col min="4" max="4" width="17.42578125" bestFit="1" customWidth="1"/>
    <col min="5" max="6" width="16.28515625" bestFit="1" customWidth="1"/>
    <col min="7" max="7" width="16" bestFit="1" customWidth="1"/>
    <col min="8" max="8" width="13.42578125" bestFit="1" customWidth="1"/>
    <col min="9" max="9" width="14.28515625" bestFit="1" customWidth="1"/>
    <col min="10" max="10" width="16.28515625" bestFit="1" customWidth="1"/>
    <col min="11" max="11" width="12" bestFit="1" customWidth="1"/>
  </cols>
  <sheetData>
    <row r="1" spans="1:11" x14ac:dyDescent="0.25">
      <c r="A1" s="112"/>
      <c r="B1" s="112"/>
      <c r="C1" s="185"/>
      <c r="D1" s="185"/>
      <c r="E1" s="112"/>
      <c r="F1" s="112"/>
      <c r="G1" s="185"/>
      <c r="H1" s="112"/>
      <c r="I1" s="112"/>
      <c r="J1" s="112"/>
      <c r="K1" s="112"/>
    </row>
    <row r="2" spans="1:11" x14ac:dyDescent="0.25">
      <c r="C2" s="108"/>
      <c r="D2" s="217"/>
      <c r="E2" s="217"/>
      <c r="F2" s="104"/>
      <c r="G2" s="108"/>
      <c r="J2" s="174"/>
      <c r="K2" s="4"/>
    </row>
    <row r="3" spans="1:11" x14ac:dyDescent="0.25">
      <c r="C3" s="108"/>
      <c r="D3" s="217"/>
      <c r="E3" s="217"/>
      <c r="F3" s="104"/>
      <c r="G3" s="108"/>
      <c r="J3" s="174"/>
      <c r="K3" s="4"/>
    </row>
    <row r="4" spans="1:11" x14ac:dyDescent="0.25">
      <c r="C4" s="108"/>
      <c r="D4" s="217"/>
      <c r="E4" s="217"/>
      <c r="F4" s="104"/>
      <c r="G4" s="108"/>
      <c r="J4" s="174"/>
      <c r="K4" s="4"/>
    </row>
    <row r="5" spans="1:11" x14ac:dyDescent="0.25">
      <c r="C5" s="108"/>
      <c r="D5" s="217"/>
      <c r="E5" s="217"/>
      <c r="F5" s="104"/>
      <c r="G5" s="108"/>
      <c r="J5" s="174"/>
      <c r="K5" s="4"/>
    </row>
    <row r="6" spans="1:11" x14ac:dyDescent="0.25">
      <c r="C6" s="108"/>
      <c r="D6" s="217"/>
      <c r="E6" s="217"/>
      <c r="F6" s="104"/>
      <c r="G6" s="108"/>
      <c r="J6" s="174"/>
      <c r="K6" s="4"/>
    </row>
    <row r="7" spans="1:11" x14ac:dyDescent="0.25">
      <c r="C7" s="108"/>
      <c r="D7" s="108"/>
      <c r="E7" s="217"/>
      <c r="F7" s="104"/>
      <c r="G7" s="108"/>
      <c r="J7" s="174"/>
      <c r="K7" s="4"/>
    </row>
    <row r="8" spans="1:11" x14ac:dyDescent="0.25">
      <c r="C8" s="108"/>
      <c r="D8" s="108"/>
      <c r="E8" s="217"/>
      <c r="F8" s="104"/>
      <c r="G8" s="108"/>
      <c r="J8" s="174"/>
      <c r="K8" s="4"/>
    </row>
    <row r="9" spans="1:11" x14ac:dyDescent="0.25">
      <c r="C9" s="108"/>
      <c r="D9" s="217"/>
      <c r="E9" s="217"/>
      <c r="F9" s="104"/>
      <c r="G9" s="108"/>
      <c r="J9" s="174"/>
      <c r="K9" s="4"/>
    </row>
    <row r="10" spans="1:11" x14ac:dyDescent="0.25">
      <c r="C10" s="108"/>
      <c r="D10" s="217"/>
      <c r="E10" s="217"/>
      <c r="F10" s="104"/>
      <c r="G10" s="108"/>
      <c r="J10" s="174"/>
      <c r="K10" s="4"/>
    </row>
    <row r="11" spans="1:11" x14ac:dyDescent="0.25">
      <c r="C11" s="108"/>
      <c r="D11" s="217"/>
      <c r="E11" s="217"/>
      <c r="F11" s="104"/>
      <c r="G11" s="108"/>
      <c r="J11" s="174"/>
      <c r="K11" s="4"/>
    </row>
    <row r="12" spans="1:11" x14ac:dyDescent="0.25">
      <c r="C12" s="108"/>
      <c r="D12" s="217"/>
      <c r="E12" s="217"/>
      <c r="F12" s="104"/>
      <c r="G12" s="108"/>
      <c r="J12" s="174"/>
      <c r="K12" s="4"/>
    </row>
    <row r="13" spans="1:11" x14ac:dyDescent="0.25">
      <c r="C13" s="108"/>
      <c r="D13" s="217"/>
      <c r="E13" s="217"/>
      <c r="F13" s="104"/>
      <c r="G13" s="108"/>
      <c r="J13" s="174"/>
      <c r="K13" s="4"/>
    </row>
    <row r="14" spans="1:11" x14ac:dyDescent="0.25">
      <c r="C14" s="108"/>
      <c r="D14" s="108"/>
      <c r="E14" s="217"/>
      <c r="F14" s="104"/>
      <c r="G14" s="108"/>
      <c r="J14" s="174"/>
      <c r="K14" s="4"/>
    </row>
    <row r="15" spans="1:11" x14ac:dyDescent="0.25">
      <c r="C15" s="108"/>
      <c r="D15" s="217"/>
      <c r="E15" s="217"/>
      <c r="F15" s="104"/>
      <c r="G15" s="108"/>
      <c r="J15" s="174"/>
      <c r="K15" s="4"/>
    </row>
    <row r="16" spans="1:11" x14ac:dyDescent="0.25">
      <c r="C16" s="108"/>
      <c r="D16" s="217"/>
      <c r="E16" s="217"/>
      <c r="F16" s="104"/>
      <c r="G16" s="108"/>
      <c r="J16" s="174"/>
      <c r="K16" s="4"/>
    </row>
    <row r="17" spans="3:11" x14ac:dyDescent="0.25">
      <c r="C17" s="108"/>
      <c r="D17" s="217"/>
      <c r="E17" s="217"/>
      <c r="F17" s="104"/>
      <c r="G17" s="108"/>
      <c r="J17" s="174"/>
      <c r="K17" s="4"/>
    </row>
    <row r="18" spans="3:11" x14ac:dyDescent="0.25">
      <c r="C18" s="108"/>
      <c r="D18" s="108"/>
      <c r="E18" s="217"/>
      <c r="F18" s="104"/>
      <c r="G18" s="108"/>
      <c r="J18" s="174"/>
      <c r="K18" s="4"/>
    </row>
    <row r="19" spans="3:11" x14ac:dyDescent="0.25">
      <c r="C19" s="108"/>
      <c r="D19" s="217"/>
      <c r="E19" s="217"/>
      <c r="F19" s="104"/>
      <c r="G19" s="108"/>
      <c r="J19" s="174"/>
      <c r="K19" s="4"/>
    </row>
    <row r="20" spans="3:11" x14ac:dyDescent="0.25">
      <c r="C20" s="108"/>
      <c r="D20" s="108"/>
      <c r="E20" s="217"/>
      <c r="F20" s="104"/>
      <c r="G20" s="108"/>
      <c r="J20" s="174"/>
      <c r="K20" s="4"/>
    </row>
    <row r="21" spans="3:11" x14ac:dyDescent="0.25">
      <c r="C21" s="108"/>
      <c r="D21" s="217"/>
      <c r="E21" s="217"/>
      <c r="F21" s="104"/>
      <c r="G21" s="108"/>
      <c r="J21" s="174"/>
      <c r="K21" s="4"/>
    </row>
    <row r="22" spans="3:11" x14ac:dyDescent="0.25">
      <c r="C22" s="108"/>
      <c r="D22" s="217"/>
      <c r="E22" s="217"/>
      <c r="F22" s="104"/>
      <c r="G22" s="108"/>
      <c r="J22" s="174"/>
      <c r="K22" s="4"/>
    </row>
    <row r="23" spans="3:11" x14ac:dyDescent="0.25">
      <c r="C23" s="108"/>
      <c r="D23" s="217"/>
      <c r="E23" s="217"/>
      <c r="F23" s="104"/>
      <c r="G23" s="108"/>
      <c r="J23" s="174"/>
      <c r="K23" s="4"/>
    </row>
    <row r="24" spans="3:11" x14ac:dyDescent="0.25">
      <c r="C24" s="108"/>
      <c r="D24" s="217"/>
      <c r="E24" s="217"/>
      <c r="F24" s="104"/>
      <c r="G24" s="108"/>
      <c r="J24" s="174"/>
      <c r="K24" s="4"/>
    </row>
    <row r="25" spans="3:11" x14ac:dyDescent="0.25">
      <c r="C25" s="108"/>
      <c r="D25" s="217"/>
      <c r="E25" s="217"/>
      <c r="F25" s="104"/>
      <c r="G25" s="108"/>
      <c r="J25" s="174"/>
      <c r="K25" s="4"/>
    </row>
    <row r="26" spans="3:11" x14ac:dyDescent="0.25">
      <c r="C26" s="108"/>
      <c r="D26" s="217"/>
      <c r="E26" s="217"/>
      <c r="F26" s="104"/>
      <c r="G26" s="108"/>
      <c r="J26" s="174"/>
      <c r="K26" s="4"/>
    </row>
    <row r="27" spans="3:11" x14ac:dyDescent="0.25">
      <c r="C27" s="108"/>
      <c r="D27" s="217"/>
      <c r="E27" s="217"/>
      <c r="F27" s="104"/>
      <c r="G27" s="108"/>
      <c r="J27" s="174"/>
      <c r="K27" s="4"/>
    </row>
    <row r="28" spans="3:11" x14ac:dyDescent="0.25">
      <c r="C28" s="108"/>
      <c r="D28" s="217"/>
      <c r="E28" s="217"/>
      <c r="F28" s="104"/>
      <c r="G28" s="108"/>
      <c r="J28" s="174"/>
      <c r="K28" s="4"/>
    </row>
    <row r="29" spans="3:11" x14ac:dyDescent="0.25">
      <c r="C29" s="108"/>
      <c r="D29" s="217"/>
      <c r="E29" s="217"/>
      <c r="F29" s="104"/>
      <c r="G29" s="108"/>
      <c r="J29" s="174"/>
      <c r="K29" s="4"/>
    </row>
    <row r="30" spans="3:11" x14ac:dyDescent="0.25">
      <c r="C30" s="108"/>
      <c r="D30" s="217"/>
      <c r="E30" s="217"/>
      <c r="F30" s="104"/>
      <c r="G30" s="108"/>
      <c r="J30" s="174"/>
      <c r="K30" s="4"/>
    </row>
    <row r="31" spans="3:11" x14ac:dyDescent="0.25">
      <c r="C31" s="108"/>
      <c r="D31" s="108"/>
      <c r="E31" s="217"/>
      <c r="F31" s="104"/>
      <c r="G31" s="108"/>
      <c r="J31" s="174"/>
      <c r="K31" s="4"/>
    </row>
    <row r="32" spans="3:11" x14ac:dyDescent="0.25">
      <c r="C32" s="108"/>
      <c r="D32" s="217"/>
      <c r="E32" s="217"/>
      <c r="F32" s="104"/>
      <c r="G32" s="108"/>
      <c r="J32" s="174"/>
      <c r="K32" s="4"/>
    </row>
    <row r="33" spans="3:11" x14ac:dyDescent="0.25">
      <c r="C33" s="108"/>
      <c r="D33" s="217"/>
      <c r="E33" s="217"/>
      <c r="F33" s="104"/>
      <c r="G33" s="108"/>
      <c r="J33" s="174"/>
      <c r="K33" s="4"/>
    </row>
    <row r="34" spans="3:11" x14ac:dyDescent="0.25">
      <c r="C34" s="108"/>
      <c r="D34" s="108"/>
      <c r="E34" s="217"/>
      <c r="F34" s="104"/>
      <c r="G34" s="108"/>
      <c r="J34" s="174"/>
      <c r="K34" s="4"/>
    </row>
    <row r="35" spans="3:11" x14ac:dyDescent="0.25">
      <c r="C35" s="108"/>
      <c r="D35" s="217"/>
      <c r="E35" s="217"/>
      <c r="F35" s="104"/>
      <c r="G35" s="108"/>
      <c r="J35" s="174"/>
      <c r="K35" s="4"/>
    </row>
    <row r="36" spans="3:11" x14ac:dyDescent="0.25">
      <c r="C36" s="108"/>
      <c r="D36" s="108"/>
      <c r="E36" s="217"/>
      <c r="F36" s="104"/>
      <c r="G36" s="108"/>
      <c r="J36" s="174"/>
      <c r="K36" s="4"/>
    </row>
    <row r="37" spans="3:11" x14ac:dyDescent="0.25">
      <c r="C37" s="108"/>
      <c r="D37" s="217"/>
      <c r="E37" s="217"/>
      <c r="F37" s="104"/>
      <c r="G37" s="108"/>
      <c r="J37" s="174"/>
      <c r="K37" s="4"/>
    </row>
    <row r="38" spans="3:11" x14ac:dyDescent="0.25">
      <c r="C38" s="108"/>
      <c r="D38" s="217"/>
      <c r="E38" s="217"/>
      <c r="F38" s="104"/>
      <c r="G38" s="108"/>
      <c r="J38" s="174"/>
      <c r="K38" s="4"/>
    </row>
    <row r="39" spans="3:11" x14ac:dyDescent="0.25">
      <c r="C39" s="108"/>
      <c r="D39" s="217"/>
      <c r="E39" s="217"/>
      <c r="F39" s="104"/>
      <c r="G39" s="108"/>
      <c r="J39" s="174"/>
      <c r="K39" s="4"/>
    </row>
    <row r="40" spans="3:11" x14ac:dyDescent="0.25">
      <c r="C40" s="108"/>
      <c r="D40" s="217"/>
      <c r="E40" s="217"/>
      <c r="F40" s="104"/>
      <c r="G40" s="108"/>
      <c r="J40" s="174"/>
      <c r="K40" s="4"/>
    </row>
    <row r="41" spans="3:11" x14ac:dyDescent="0.25">
      <c r="C41" s="108"/>
      <c r="D41" s="217"/>
      <c r="E41" s="217"/>
      <c r="F41" s="104"/>
      <c r="G41" s="108"/>
      <c r="J41" s="174"/>
      <c r="K41" s="4"/>
    </row>
    <row r="42" spans="3:11" x14ac:dyDescent="0.25">
      <c r="C42" s="108"/>
      <c r="D42" s="108"/>
      <c r="E42" s="217"/>
      <c r="F42" s="104"/>
      <c r="G42" s="108"/>
      <c r="J42" s="174"/>
      <c r="K42" s="4"/>
    </row>
    <row r="43" spans="3:11" x14ac:dyDescent="0.25">
      <c r="C43" s="108"/>
      <c r="D43" s="217"/>
      <c r="E43" s="217"/>
      <c r="F43" s="104"/>
      <c r="G43" s="108"/>
      <c r="J43" s="174"/>
      <c r="K43" s="4"/>
    </row>
    <row r="44" spans="3:11" x14ac:dyDescent="0.25">
      <c r="C44" s="108"/>
      <c r="D44" s="108"/>
      <c r="E44" s="217"/>
      <c r="F44" s="104"/>
      <c r="G44" s="108"/>
      <c r="J44" s="174"/>
      <c r="K44" s="4"/>
    </row>
    <row r="45" spans="3:11" x14ac:dyDescent="0.25">
      <c r="C45" s="108"/>
      <c r="D45" s="217"/>
      <c r="E45" s="217"/>
      <c r="F45" s="104"/>
      <c r="G45" s="108"/>
      <c r="J45" s="174"/>
      <c r="K45" s="4"/>
    </row>
    <row r="46" spans="3:11" x14ac:dyDescent="0.25">
      <c r="C46" s="108"/>
      <c r="D46" s="217"/>
      <c r="E46" s="217"/>
      <c r="F46" s="104"/>
      <c r="G46" s="108"/>
      <c r="J46" s="174"/>
      <c r="K46" s="4"/>
    </row>
    <row r="47" spans="3:11" x14ac:dyDescent="0.25">
      <c r="C47" s="108"/>
      <c r="D47" s="217"/>
      <c r="E47" s="217"/>
      <c r="F47" s="104"/>
      <c r="G47" s="108"/>
      <c r="J47" s="174"/>
      <c r="K47" s="4"/>
    </row>
    <row r="48" spans="3:11" x14ac:dyDescent="0.25">
      <c r="C48" s="108"/>
      <c r="D48" s="217"/>
      <c r="E48" s="217"/>
      <c r="F48" s="104"/>
      <c r="G48" s="108"/>
      <c r="J48" s="174"/>
      <c r="K48" s="4"/>
    </row>
    <row r="49" spans="3:11" x14ac:dyDescent="0.25">
      <c r="C49" s="108"/>
      <c r="D49" s="108"/>
      <c r="E49" s="217"/>
      <c r="F49" s="104"/>
      <c r="G49" s="108"/>
      <c r="J49" s="174"/>
      <c r="K49" s="4"/>
    </row>
    <row r="50" spans="3:11" x14ac:dyDescent="0.25">
      <c r="C50" s="108"/>
      <c r="D50" s="217"/>
      <c r="E50" s="217"/>
      <c r="F50" s="104"/>
      <c r="G50" s="108"/>
      <c r="J50" s="174"/>
      <c r="K50" s="4"/>
    </row>
    <row r="51" spans="3:11" x14ac:dyDescent="0.25">
      <c r="C51" s="108"/>
      <c r="D51" s="108"/>
      <c r="E51" s="217"/>
      <c r="F51" s="104"/>
      <c r="G51" s="108"/>
      <c r="J51" s="174"/>
      <c r="K51" s="4"/>
    </row>
    <row r="52" spans="3:11" x14ac:dyDescent="0.25">
      <c r="C52" s="108"/>
      <c r="D52" s="217"/>
      <c r="E52" s="217"/>
      <c r="F52" s="104"/>
      <c r="G52" s="108"/>
      <c r="J52" s="174"/>
      <c r="K52" s="4"/>
    </row>
    <row r="53" spans="3:11" x14ac:dyDescent="0.25">
      <c r="C53" s="108"/>
      <c r="D53" s="217"/>
      <c r="E53" s="217"/>
      <c r="F53" s="104"/>
      <c r="G53" s="108"/>
      <c r="J53" s="174"/>
      <c r="K53" s="4"/>
    </row>
    <row r="54" spans="3:11" x14ac:dyDescent="0.25">
      <c r="C54" s="108"/>
      <c r="D54" s="108"/>
      <c r="E54" s="217"/>
      <c r="F54" s="104"/>
      <c r="G54" s="108"/>
      <c r="J54" s="174"/>
      <c r="K54" s="4"/>
    </row>
    <row r="55" spans="3:11" x14ac:dyDescent="0.25">
      <c r="C55" s="108"/>
      <c r="D55" s="217"/>
      <c r="E55" s="217"/>
      <c r="F55" s="104"/>
      <c r="G55" s="108"/>
      <c r="J55" s="174"/>
      <c r="K55" s="4"/>
    </row>
    <row r="56" spans="3:11" x14ac:dyDescent="0.25">
      <c r="C56" s="108"/>
      <c r="D56" s="108"/>
      <c r="E56" s="217"/>
      <c r="F56" s="104"/>
      <c r="G56" s="108"/>
      <c r="J56" s="174"/>
      <c r="K56" s="4"/>
    </row>
    <row r="57" spans="3:11" x14ac:dyDescent="0.25">
      <c r="C57" s="108"/>
      <c r="D57" s="108"/>
      <c r="E57" s="217"/>
      <c r="F57" s="104"/>
      <c r="G57" s="108"/>
      <c r="J57" s="174"/>
      <c r="K57" s="4"/>
    </row>
    <row r="58" spans="3:11" x14ac:dyDescent="0.25">
      <c r="C58" s="108"/>
      <c r="D58" s="217"/>
      <c r="E58" s="217"/>
      <c r="F58" s="104"/>
      <c r="G58" s="108"/>
      <c r="J58" s="174"/>
      <c r="K58" s="4"/>
    </row>
    <row r="59" spans="3:11" x14ac:dyDescent="0.25">
      <c r="C59" s="108"/>
      <c r="D59" s="217"/>
      <c r="E59" s="217"/>
      <c r="F59" s="104"/>
      <c r="G59" s="108"/>
      <c r="J59" s="174"/>
      <c r="K59" s="4"/>
    </row>
    <row r="60" spans="3:11" x14ac:dyDescent="0.25">
      <c r="C60" s="108"/>
      <c r="D60" s="217"/>
      <c r="E60" s="217"/>
      <c r="F60" s="104"/>
      <c r="G60" s="108"/>
      <c r="J60" s="174"/>
      <c r="K60" s="4"/>
    </row>
    <row r="61" spans="3:11" x14ac:dyDescent="0.25">
      <c r="C61" s="108"/>
      <c r="D61" s="217"/>
      <c r="E61" s="217"/>
      <c r="F61" s="104"/>
      <c r="G61" s="108"/>
      <c r="J61" s="174"/>
      <c r="K61" s="4"/>
    </row>
    <row r="62" spans="3:11" x14ac:dyDescent="0.25">
      <c r="C62" s="108"/>
      <c r="D62" s="217"/>
      <c r="E62" s="217"/>
      <c r="F62" s="104"/>
      <c r="G62" s="108"/>
      <c r="J62" s="174"/>
      <c r="K62" s="4"/>
    </row>
    <row r="63" spans="3:11" x14ac:dyDescent="0.25">
      <c r="C63" s="108"/>
      <c r="D63" s="108"/>
      <c r="E63" s="217"/>
      <c r="F63" s="104"/>
      <c r="G63" s="108"/>
      <c r="J63" s="174"/>
      <c r="K63" s="4"/>
    </row>
    <row r="64" spans="3:11" x14ac:dyDescent="0.25">
      <c r="C64" s="108"/>
      <c r="D64" s="217"/>
      <c r="E64" s="217"/>
      <c r="F64" s="104"/>
      <c r="G64" s="108"/>
      <c r="J64" s="174"/>
      <c r="K64" s="4"/>
    </row>
    <row r="65" spans="3:11" x14ac:dyDescent="0.25">
      <c r="C65" s="108"/>
      <c r="D65" s="108"/>
      <c r="E65" s="217"/>
      <c r="F65" s="104"/>
      <c r="G65" s="108"/>
      <c r="J65" s="174"/>
      <c r="K65" s="4"/>
    </row>
    <row r="66" spans="3:11" x14ac:dyDescent="0.25">
      <c r="C66" s="108"/>
      <c r="D66" s="217"/>
      <c r="E66" s="217"/>
      <c r="F66" s="104"/>
      <c r="G66" s="108"/>
      <c r="J66" s="174"/>
      <c r="K66" s="4"/>
    </row>
    <row r="67" spans="3:11" x14ac:dyDescent="0.25">
      <c r="C67" s="108"/>
      <c r="D67" s="217"/>
      <c r="E67" s="217"/>
      <c r="F67" s="104"/>
      <c r="G67" s="108"/>
      <c r="J67" s="174"/>
      <c r="K67" s="4"/>
    </row>
    <row r="68" spans="3:11" x14ac:dyDescent="0.25">
      <c r="C68" s="108"/>
      <c r="D68" s="217"/>
      <c r="E68" s="217"/>
      <c r="F68" s="104"/>
      <c r="G68" s="108"/>
      <c r="J68" s="174"/>
      <c r="K68" s="4"/>
    </row>
    <row r="69" spans="3:11" x14ac:dyDescent="0.25">
      <c r="C69" s="108"/>
      <c r="D69" s="217"/>
      <c r="E69" s="217"/>
      <c r="F69" s="104"/>
      <c r="G69" s="108"/>
      <c r="J69" s="174"/>
      <c r="K69" s="4"/>
    </row>
    <row r="70" spans="3:11" x14ac:dyDescent="0.25">
      <c r="C70" s="108"/>
      <c r="D70" s="108"/>
      <c r="E70" s="217"/>
      <c r="F70" s="104"/>
      <c r="G70" s="108"/>
      <c r="J70" s="174"/>
      <c r="K70" s="4"/>
    </row>
    <row r="71" spans="3:11" x14ac:dyDescent="0.25">
      <c r="C71" s="108"/>
      <c r="D71" s="108"/>
      <c r="E71" s="217"/>
      <c r="F71" s="104"/>
      <c r="G71" s="108"/>
      <c r="J71" s="174"/>
      <c r="K71" s="4"/>
    </row>
    <row r="72" spans="3:11" x14ac:dyDescent="0.25">
      <c r="C72" s="108"/>
      <c r="D72" s="217"/>
      <c r="E72" s="217"/>
      <c r="F72" s="104"/>
      <c r="G72" s="108"/>
      <c r="J72" s="174"/>
      <c r="K72" s="4"/>
    </row>
    <row r="73" spans="3:11" x14ac:dyDescent="0.25">
      <c r="C73" s="108"/>
      <c r="D73" s="108"/>
      <c r="E73" s="217"/>
      <c r="F73" s="104"/>
      <c r="G73" s="108"/>
      <c r="J73" s="174"/>
      <c r="K73" s="4"/>
    </row>
    <row r="74" spans="3:11" x14ac:dyDescent="0.25">
      <c r="C74" s="108"/>
      <c r="D74" s="108"/>
      <c r="E74" s="217"/>
      <c r="F74" s="104"/>
      <c r="G74" s="108"/>
      <c r="J74" s="174"/>
      <c r="K74" s="4"/>
    </row>
    <row r="75" spans="3:11" x14ac:dyDescent="0.25">
      <c r="C75" s="108"/>
      <c r="D75" s="217"/>
      <c r="E75" s="217"/>
      <c r="F75" s="104"/>
      <c r="G75" s="108"/>
      <c r="J75" s="174"/>
      <c r="K75" s="4"/>
    </row>
    <row r="76" spans="3:11" x14ac:dyDescent="0.25">
      <c r="C76" s="108"/>
      <c r="D76" s="217"/>
      <c r="E76" s="217"/>
      <c r="F76" s="104"/>
      <c r="G76" s="108"/>
      <c r="J76" s="174"/>
      <c r="K76" s="4"/>
    </row>
    <row r="77" spans="3:11" x14ac:dyDescent="0.25">
      <c r="C77" s="108"/>
      <c r="D77" s="108"/>
      <c r="E77" s="217"/>
      <c r="F77" s="104"/>
      <c r="G77" s="108"/>
      <c r="J77" s="174"/>
      <c r="K77" s="4"/>
    </row>
    <row r="78" spans="3:11" x14ac:dyDescent="0.25">
      <c r="C78" s="108"/>
      <c r="D78" s="217"/>
      <c r="E78" s="217"/>
      <c r="F78" s="104"/>
      <c r="G78" s="108"/>
      <c r="J78" s="174"/>
      <c r="K78" s="4"/>
    </row>
    <row r="79" spans="3:11" x14ac:dyDescent="0.25">
      <c r="C79" s="108"/>
      <c r="D79" s="217"/>
      <c r="E79" s="217"/>
      <c r="F79" s="104"/>
      <c r="G79" s="108"/>
      <c r="J79" s="174"/>
      <c r="K79" s="4"/>
    </row>
    <row r="80" spans="3:11" x14ac:dyDescent="0.25">
      <c r="C80" s="108"/>
      <c r="D80" s="108"/>
      <c r="E80" s="217"/>
      <c r="F80" s="104"/>
      <c r="G80" s="108"/>
      <c r="J80" s="174"/>
      <c r="K80" s="4"/>
    </row>
    <row r="81" spans="3:11" x14ac:dyDescent="0.25">
      <c r="C81" s="108"/>
      <c r="D81" s="217"/>
      <c r="E81" s="217"/>
      <c r="F81" s="104"/>
      <c r="G81" s="108"/>
      <c r="J81" s="174"/>
      <c r="K81" s="4"/>
    </row>
    <row r="82" spans="3:11" x14ac:dyDescent="0.25">
      <c r="C82" s="108"/>
      <c r="D82" s="217"/>
      <c r="E82" s="217"/>
      <c r="F82" s="104"/>
      <c r="G82" s="108"/>
      <c r="J82" s="174"/>
      <c r="K82" s="4"/>
    </row>
    <row r="83" spans="3:11" x14ac:dyDescent="0.25">
      <c r="C83" s="108"/>
      <c r="D83" s="217"/>
      <c r="E83" s="217"/>
      <c r="F83" s="104"/>
      <c r="G83" s="108"/>
      <c r="J83" s="174"/>
      <c r="K83" s="4"/>
    </row>
    <row r="84" spans="3:11" x14ac:dyDescent="0.25">
      <c r="C84" s="108"/>
      <c r="D84" s="217"/>
      <c r="E84" s="217"/>
      <c r="F84" s="104"/>
      <c r="G84" s="108"/>
      <c r="J84" s="174"/>
      <c r="K84" s="4"/>
    </row>
    <row r="85" spans="3:11" x14ac:dyDescent="0.25">
      <c r="C85" s="108"/>
      <c r="D85" s="217"/>
      <c r="E85" s="217"/>
      <c r="F85" s="104"/>
      <c r="G85" s="108"/>
      <c r="J85" s="174"/>
      <c r="K85" s="4"/>
    </row>
    <row r="86" spans="3:11" x14ac:dyDescent="0.25">
      <c r="C86" s="108"/>
      <c r="D86" s="217"/>
      <c r="E86" s="217"/>
      <c r="F86" s="104"/>
      <c r="G86" s="108"/>
      <c r="J86" s="174"/>
      <c r="K86" s="4"/>
    </row>
    <row r="87" spans="3:11" x14ac:dyDescent="0.25">
      <c r="C87" s="108"/>
      <c r="D87" s="217"/>
      <c r="E87" s="217"/>
      <c r="F87" s="104"/>
      <c r="G87" s="108"/>
      <c r="J87" s="174"/>
      <c r="K87" s="4"/>
    </row>
    <row r="88" spans="3:11" x14ac:dyDescent="0.25">
      <c r="C88" s="108"/>
      <c r="D88" s="108"/>
      <c r="E88" s="217"/>
      <c r="F88" s="104"/>
      <c r="G88" s="108"/>
      <c r="J88" s="174"/>
      <c r="K88" s="4"/>
    </row>
    <row r="89" spans="3:11" x14ac:dyDescent="0.25">
      <c r="C89" s="108"/>
      <c r="D89" s="217"/>
      <c r="E89" s="217"/>
      <c r="F89" s="104"/>
      <c r="G89" s="108"/>
      <c r="J89" s="174"/>
      <c r="K89" s="4"/>
    </row>
    <row r="90" spans="3:11" x14ac:dyDescent="0.25">
      <c r="C90" s="108"/>
      <c r="D90" s="217"/>
      <c r="E90" s="217"/>
      <c r="F90" s="104"/>
      <c r="G90" s="108"/>
      <c r="J90" s="174"/>
      <c r="K90" s="4"/>
    </row>
    <row r="91" spans="3:11" x14ac:dyDescent="0.25">
      <c r="C91" s="108"/>
      <c r="D91" s="217"/>
      <c r="E91" s="217"/>
      <c r="F91" s="104"/>
      <c r="G91" s="108"/>
      <c r="J91" s="174"/>
      <c r="K91" s="4"/>
    </row>
    <row r="92" spans="3:11" x14ac:dyDescent="0.25">
      <c r="C92" s="108"/>
      <c r="D92" s="217"/>
      <c r="E92" s="217"/>
      <c r="F92" s="104"/>
      <c r="G92" s="108"/>
      <c r="J92" s="174"/>
      <c r="K92" s="4"/>
    </row>
    <row r="93" spans="3:11" x14ac:dyDescent="0.25">
      <c r="C93" s="108"/>
      <c r="D93" s="108"/>
      <c r="E93" s="217"/>
      <c r="F93" s="104"/>
      <c r="G93" s="108"/>
      <c r="J93" s="174"/>
      <c r="K93" s="4"/>
    </row>
    <row r="94" spans="3:11" x14ac:dyDescent="0.25">
      <c r="C94" s="108"/>
      <c r="D94" s="217"/>
      <c r="E94" s="217"/>
      <c r="F94" s="104"/>
      <c r="G94" s="108"/>
      <c r="J94" s="174"/>
      <c r="K94" s="4"/>
    </row>
    <row r="95" spans="3:11" x14ac:dyDescent="0.25">
      <c r="C95" s="108"/>
      <c r="D95" s="217"/>
      <c r="E95" s="217"/>
      <c r="F95" s="104"/>
      <c r="G95" s="108"/>
      <c r="J95" s="174"/>
      <c r="K95" s="4"/>
    </row>
    <row r="96" spans="3:11" x14ac:dyDescent="0.25">
      <c r="C96" s="108"/>
      <c r="D96" s="217"/>
      <c r="E96" s="217"/>
      <c r="F96" s="104"/>
      <c r="G96" s="108"/>
      <c r="J96" s="174"/>
      <c r="K96" s="4"/>
    </row>
    <row r="97" spans="3:11" x14ac:dyDescent="0.25">
      <c r="C97" s="108"/>
      <c r="D97" s="217"/>
      <c r="E97" s="217"/>
      <c r="F97" s="104"/>
      <c r="G97" s="108"/>
      <c r="J97" s="174"/>
      <c r="K97" s="4"/>
    </row>
    <row r="98" spans="3:11" x14ac:dyDescent="0.25">
      <c r="C98" s="108"/>
      <c r="D98" s="217"/>
      <c r="E98" s="217"/>
      <c r="F98" s="104"/>
      <c r="G98" s="108"/>
      <c r="J98" s="174"/>
      <c r="K98" s="4"/>
    </row>
    <row r="99" spans="3:11" x14ac:dyDescent="0.25">
      <c r="C99" s="108"/>
      <c r="D99" s="108"/>
      <c r="E99" s="217"/>
      <c r="F99" s="104"/>
      <c r="G99" s="108"/>
      <c r="J99" s="174"/>
      <c r="K99" s="4"/>
    </row>
    <row r="100" spans="3:11" x14ac:dyDescent="0.25">
      <c r="C100" s="108"/>
      <c r="D100" s="108"/>
      <c r="E100" s="217"/>
      <c r="F100" s="104"/>
      <c r="G100" s="108"/>
      <c r="J100" s="174"/>
      <c r="K100" s="4"/>
    </row>
    <row r="101" spans="3:11" x14ac:dyDescent="0.25">
      <c r="C101" s="108"/>
      <c r="D101" s="217"/>
      <c r="E101" s="217"/>
      <c r="F101" s="104"/>
      <c r="G101" s="108"/>
      <c r="J101" s="174"/>
      <c r="K101" s="4"/>
    </row>
    <row r="102" spans="3:11" x14ac:dyDescent="0.25">
      <c r="C102" s="108"/>
      <c r="D102" s="108"/>
      <c r="E102" s="217"/>
      <c r="F102" s="104"/>
      <c r="G102" s="108"/>
      <c r="J102" s="174"/>
      <c r="K102" s="4"/>
    </row>
    <row r="103" spans="3:11" x14ac:dyDescent="0.25">
      <c r="C103" s="108"/>
      <c r="D103" s="217"/>
      <c r="E103" s="217"/>
      <c r="F103" s="104"/>
      <c r="G103" s="108"/>
      <c r="J103" s="174"/>
      <c r="K103" s="4"/>
    </row>
    <row r="104" spans="3:11" x14ac:dyDescent="0.25">
      <c r="C104" s="108"/>
      <c r="D104" s="217"/>
      <c r="E104" s="217"/>
      <c r="F104" s="104"/>
      <c r="G104" s="108"/>
      <c r="J104" s="174"/>
      <c r="K104" s="4"/>
    </row>
    <row r="105" spans="3:11" x14ac:dyDescent="0.25">
      <c r="C105" s="108"/>
      <c r="D105" s="217"/>
      <c r="E105" s="217"/>
      <c r="F105" s="104"/>
      <c r="G105" s="108"/>
      <c r="J105" s="174"/>
      <c r="K105" s="4"/>
    </row>
    <row r="106" spans="3:11" x14ac:dyDescent="0.25">
      <c r="C106" s="108"/>
      <c r="D106" s="108"/>
      <c r="E106" s="217"/>
      <c r="F106" s="104"/>
      <c r="G106" s="108"/>
      <c r="J106" s="174"/>
      <c r="K106" s="4"/>
    </row>
    <row r="107" spans="3:11" x14ac:dyDescent="0.25">
      <c r="C107" s="108"/>
      <c r="D107" s="217"/>
      <c r="E107" s="217"/>
      <c r="F107" s="104"/>
      <c r="G107" s="108"/>
      <c r="J107" s="174"/>
      <c r="K107" s="4"/>
    </row>
    <row r="108" spans="3:11" x14ac:dyDescent="0.25">
      <c r="C108" s="108"/>
      <c r="D108" s="217"/>
      <c r="E108" s="217"/>
      <c r="F108" s="104"/>
      <c r="G108" s="108"/>
      <c r="J108" s="174"/>
      <c r="K108" s="4"/>
    </row>
    <row r="109" spans="3:11" x14ac:dyDescent="0.25">
      <c r="C109" s="108"/>
      <c r="D109" s="217"/>
      <c r="E109" s="217"/>
      <c r="F109" s="104"/>
      <c r="G109" s="108"/>
      <c r="J109" s="174"/>
      <c r="K109" s="4"/>
    </row>
    <row r="110" spans="3:11" x14ac:dyDescent="0.25">
      <c r="C110" s="108"/>
      <c r="D110" s="108"/>
      <c r="E110" s="217"/>
      <c r="F110" s="104"/>
      <c r="G110" s="108"/>
      <c r="J110" s="174"/>
      <c r="K110" s="4"/>
    </row>
    <row r="111" spans="3:11" x14ac:dyDescent="0.25">
      <c r="C111" s="108"/>
      <c r="D111" s="217"/>
      <c r="E111" s="217"/>
      <c r="F111" s="104"/>
      <c r="G111" s="108"/>
      <c r="J111" s="174"/>
      <c r="K111" s="4"/>
    </row>
    <row r="112" spans="3:11" x14ac:dyDescent="0.25">
      <c r="C112" s="108"/>
      <c r="D112" s="108"/>
      <c r="E112" s="217"/>
      <c r="F112" s="104"/>
      <c r="G112" s="108"/>
      <c r="J112" s="174"/>
      <c r="K112" s="4"/>
    </row>
    <row r="113" spans="3:11" x14ac:dyDescent="0.25">
      <c r="C113" s="108"/>
      <c r="D113" s="217"/>
      <c r="E113" s="217"/>
      <c r="F113" s="104"/>
      <c r="G113" s="108"/>
      <c r="J113" s="174"/>
      <c r="K113" s="4"/>
    </row>
    <row r="114" spans="3:11" x14ac:dyDescent="0.25">
      <c r="C114" s="108"/>
      <c r="D114" s="108"/>
      <c r="E114" s="217"/>
      <c r="F114" s="104"/>
      <c r="G114" s="108"/>
      <c r="J114" s="174"/>
      <c r="K114" s="4"/>
    </row>
    <row r="115" spans="3:11" x14ac:dyDescent="0.25">
      <c r="C115" s="108"/>
      <c r="D115" s="217"/>
      <c r="E115" s="217"/>
      <c r="F115" s="104"/>
      <c r="G115" s="108"/>
      <c r="J115" s="174"/>
      <c r="K115" s="4"/>
    </row>
    <row r="116" spans="3:11" x14ac:dyDescent="0.25">
      <c r="C116" s="108"/>
      <c r="D116" s="217"/>
      <c r="E116" s="217"/>
      <c r="F116" s="104"/>
      <c r="G116" s="108"/>
      <c r="J116" s="174"/>
      <c r="K116" s="4"/>
    </row>
    <row r="117" spans="3:11" x14ac:dyDescent="0.25">
      <c r="C117" s="108"/>
      <c r="D117" s="217"/>
      <c r="E117" s="217"/>
      <c r="F117" s="104"/>
      <c r="G117" s="108"/>
      <c r="J117" s="174"/>
      <c r="K117" s="4"/>
    </row>
    <row r="118" spans="3:11" x14ac:dyDescent="0.25">
      <c r="C118" s="108"/>
      <c r="D118" s="217"/>
      <c r="E118" s="217"/>
      <c r="F118" s="104"/>
      <c r="G118" s="108"/>
      <c r="J118" s="174"/>
      <c r="K118" s="4"/>
    </row>
    <row r="119" spans="3:11" x14ac:dyDescent="0.25">
      <c r="C119" s="108"/>
      <c r="D119" s="217"/>
      <c r="E119" s="217"/>
      <c r="F119" s="104"/>
      <c r="G119" s="108"/>
      <c r="J119" s="174"/>
      <c r="K119" s="4"/>
    </row>
    <row r="120" spans="3:11" x14ac:dyDescent="0.25">
      <c r="C120" s="108"/>
      <c r="D120" s="217"/>
      <c r="E120" s="217"/>
      <c r="F120" s="104"/>
      <c r="G120" s="108"/>
      <c r="J120" s="174"/>
      <c r="K120" s="4"/>
    </row>
    <row r="121" spans="3:11" x14ac:dyDescent="0.25">
      <c r="C121" s="108"/>
      <c r="D121" s="217"/>
      <c r="E121" s="217"/>
      <c r="F121" s="104"/>
      <c r="G121" s="108"/>
      <c r="J121" s="174"/>
      <c r="K121" s="4"/>
    </row>
    <row r="122" spans="3:11" x14ac:dyDescent="0.25">
      <c r="C122" s="108"/>
      <c r="D122" s="108"/>
      <c r="E122" s="217"/>
      <c r="F122" s="104"/>
      <c r="G122" s="108"/>
      <c r="J122" s="174"/>
      <c r="K122" s="4"/>
    </row>
    <row r="123" spans="3:11" x14ac:dyDescent="0.25">
      <c r="C123" s="108"/>
      <c r="D123" s="108"/>
      <c r="E123" s="217"/>
      <c r="F123" s="104"/>
      <c r="G123" s="108"/>
      <c r="J123" s="174"/>
      <c r="K123" s="4"/>
    </row>
    <row r="124" spans="3:11" x14ac:dyDescent="0.25">
      <c r="C124" s="108"/>
      <c r="D124" s="217"/>
      <c r="E124" s="217"/>
      <c r="F124" s="104"/>
      <c r="G124" s="108"/>
      <c r="J124" s="174"/>
      <c r="K124" s="4"/>
    </row>
    <row r="125" spans="3:11" x14ac:dyDescent="0.25">
      <c r="C125" s="108"/>
      <c r="D125" s="217"/>
      <c r="E125" s="217"/>
      <c r="F125" s="104"/>
      <c r="G125" s="108"/>
      <c r="J125" s="174"/>
      <c r="K125" s="4"/>
    </row>
    <row r="126" spans="3:11" x14ac:dyDescent="0.25">
      <c r="C126" s="108"/>
      <c r="D126" s="108"/>
      <c r="E126" s="217"/>
      <c r="F126" s="104"/>
      <c r="G126" s="108"/>
      <c r="J126" s="174"/>
      <c r="K126" s="4"/>
    </row>
    <row r="127" spans="3:11" x14ac:dyDescent="0.25">
      <c r="C127" s="108"/>
      <c r="D127" s="217"/>
      <c r="E127" s="217"/>
      <c r="F127" s="104"/>
      <c r="G127" s="108"/>
      <c r="J127" s="174"/>
      <c r="K127" s="4"/>
    </row>
    <row r="128" spans="3:11" x14ac:dyDescent="0.25">
      <c r="C128" s="108"/>
      <c r="D128" s="217"/>
      <c r="E128" s="217"/>
      <c r="F128" s="104"/>
      <c r="G128" s="108"/>
      <c r="J128" s="174"/>
      <c r="K128" s="4"/>
    </row>
    <row r="129" spans="3:11" x14ac:dyDescent="0.25">
      <c r="C129" s="108"/>
      <c r="D129" s="217"/>
      <c r="E129" s="217"/>
      <c r="F129" s="104"/>
      <c r="G129" s="108"/>
      <c r="J129" s="174"/>
      <c r="K129" s="4"/>
    </row>
    <row r="130" spans="3:11" x14ac:dyDescent="0.25">
      <c r="C130" s="108"/>
      <c r="D130" s="217"/>
      <c r="E130" s="217"/>
      <c r="F130" s="104"/>
      <c r="G130" s="108"/>
      <c r="J130" s="174"/>
      <c r="K130" s="4"/>
    </row>
    <row r="131" spans="3:11" x14ac:dyDescent="0.25">
      <c r="C131" s="108"/>
      <c r="D131" s="217"/>
      <c r="E131" s="217"/>
      <c r="F131" s="104"/>
      <c r="G131" s="108"/>
      <c r="J131" s="174"/>
      <c r="K131" s="4"/>
    </row>
    <row r="132" spans="3:11" x14ac:dyDescent="0.25">
      <c r="C132" s="108"/>
      <c r="D132" s="217"/>
      <c r="E132" s="217"/>
      <c r="F132" s="104"/>
      <c r="G132" s="108"/>
      <c r="J132" s="174"/>
      <c r="K132" s="4"/>
    </row>
    <row r="133" spans="3:11" x14ac:dyDescent="0.25">
      <c r="C133" s="108"/>
      <c r="D133" s="217"/>
      <c r="E133" s="217"/>
      <c r="F133" s="104"/>
      <c r="G133" s="108"/>
      <c r="J133" s="174"/>
      <c r="K133" s="4"/>
    </row>
    <row r="134" spans="3:11" x14ac:dyDescent="0.25">
      <c r="C134" s="108"/>
      <c r="D134" s="217"/>
      <c r="E134" s="217"/>
      <c r="F134" s="104"/>
      <c r="G134" s="108"/>
      <c r="J134" s="174"/>
      <c r="K134" s="4"/>
    </row>
    <row r="135" spans="3:11" x14ac:dyDescent="0.25">
      <c r="C135" s="108"/>
      <c r="D135" s="217"/>
      <c r="E135" s="217"/>
      <c r="F135" s="104"/>
      <c r="G135" s="108"/>
      <c r="J135" s="174"/>
      <c r="K135" s="4"/>
    </row>
    <row r="136" spans="3:11" x14ac:dyDescent="0.25">
      <c r="C136" s="108"/>
      <c r="D136" s="217"/>
      <c r="E136" s="217"/>
      <c r="F136" s="104"/>
      <c r="G136" s="108"/>
      <c r="J136" s="174"/>
      <c r="K136" s="4"/>
    </row>
    <row r="137" spans="3:11" x14ac:dyDescent="0.25">
      <c r="C137" s="108"/>
      <c r="D137" s="217"/>
      <c r="E137" s="217"/>
      <c r="F137" s="104"/>
      <c r="G137" s="108"/>
      <c r="J137" s="174"/>
      <c r="K137" s="4"/>
    </row>
    <row r="138" spans="3:11" x14ac:dyDescent="0.25">
      <c r="C138" s="108"/>
      <c r="D138" s="217"/>
      <c r="E138" s="217"/>
      <c r="F138" s="104"/>
      <c r="G138" s="108"/>
      <c r="J138" s="174"/>
      <c r="K138" s="4"/>
    </row>
    <row r="139" spans="3:11" x14ac:dyDescent="0.25">
      <c r="C139" s="108"/>
      <c r="D139" s="108"/>
      <c r="E139" s="217"/>
      <c r="F139" s="104"/>
      <c r="G139" s="108"/>
      <c r="J139" s="174"/>
      <c r="K139" s="4"/>
    </row>
    <row r="140" spans="3:11" x14ac:dyDescent="0.25">
      <c r="C140" s="108"/>
      <c r="D140" s="217"/>
      <c r="E140" s="217"/>
      <c r="F140" s="104"/>
      <c r="G140" s="108"/>
      <c r="J140" s="174"/>
      <c r="K140" s="4"/>
    </row>
    <row r="141" spans="3:11" x14ac:dyDescent="0.25">
      <c r="C141" s="108"/>
      <c r="D141" s="108"/>
      <c r="E141" s="217"/>
      <c r="F141" s="104"/>
      <c r="G141" s="108"/>
      <c r="J141" s="174"/>
      <c r="K141" s="4"/>
    </row>
    <row r="142" spans="3:11" x14ac:dyDescent="0.25">
      <c r="C142" s="108"/>
      <c r="D142" s="217"/>
      <c r="E142" s="217"/>
      <c r="F142" s="104"/>
      <c r="G142" s="108"/>
      <c r="J142" s="174"/>
      <c r="K142" s="4"/>
    </row>
    <row r="143" spans="3:11" x14ac:dyDescent="0.25">
      <c r="C143" s="108"/>
      <c r="D143" s="217"/>
      <c r="E143" s="217"/>
      <c r="F143" s="104"/>
      <c r="G143" s="108"/>
      <c r="J143" s="174"/>
      <c r="K143" s="4"/>
    </row>
    <row r="144" spans="3:11" x14ac:dyDescent="0.25">
      <c r="C144" s="108"/>
      <c r="D144" s="217"/>
      <c r="E144" s="217"/>
      <c r="F144" s="104"/>
      <c r="G144" s="108"/>
      <c r="J144" s="174"/>
      <c r="K144" s="4"/>
    </row>
    <row r="145" spans="3:11" x14ac:dyDescent="0.25">
      <c r="C145" s="108"/>
      <c r="D145" s="217"/>
      <c r="E145" s="217"/>
      <c r="F145" s="104"/>
      <c r="G145" s="108"/>
      <c r="J145" s="174"/>
      <c r="K145" s="4"/>
    </row>
    <row r="146" spans="3:11" x14ac:dyDescent="0.25">
      <c r="C146" s="108"/>
      <c r="D146" s="217"/>
      <c r="E146" s="217"/>
      <c r="F146" s="104"/>
      <c r="G146" s="108"/>
      <c r="J146" s="174"/>
      <c r="K146" s="4"/>
    </row>
    <row r="147" spans="3:11" x14ac:dyDescent="0.25">
      <c r="C147" s="108"/>
      <c r="D147" s="217"/>
      <c r="E147" s="217"/>
      <c r="F147" s="104"/>
      <c r="G147" s="108"/>
      <c r="J147" s="174"/>
      <c r="K147" s="4"/>
    </row>
    <row r="148" spans="3:11" x14ac:dyDescent="0.25">
      <c r="C148" s="108"/>
      <c r="D148" s="217"/>
      <c r="E148" s="217"/>
      <c r="F148" s="104"/>
      <c r="G148" s="108"/>
      <c r="J148" s="174"/>
      <c r="K148" s="4"/>
    </row>
    <row r="149" spans="3:11" x14ac:dyDescent="0.25">
      <c r="C149" s="108"/>
      <c r="D149" s="108"/>
      <c r="E149" s="217"/>
      <c r="F149" s="104"/>
      <c r="G149" s="108"/>
      <c r="J149" s="174"/>
      <c r="K149" s="4"/>
    </row>
    <row r="150" spans="3:11" x14ac:dyDescent="0.25">
      <c r="C150" s="108"/>
      <c r="D150" s="217"/>
      <c r="E150" s="217"/>
      <c r="F150" s="104"/>
      <c r="G150" s="108"/>
      <c r="J150" s="174"/>
      <c r="K150" s="4"/>
    </row>
    <row r="151" spans="3:11" x14ac:dyDescent="0.25">
      <c r="C151" s="108"/>
      <c r="D151" s="108"/>
      <c r="E151" s="217"/>
      <c r="F151" s="104"/>
      <c r="G151" s="108"/>
      <c r="J151" s="174"/>
      <c r="K151" s="4"/>
    </row>
    <row r="152" spans="3:11" x14ac:dyDescent="0.25">
      <c r="C152" s="108"/>
      <c r="D152" s="217"/>
      <c r="E152" s="217"/>
      <c r="F152" s="104"/>
      <c r="G152" s="108"/>
      <c r="J152" s="174"/>
      <c r="K152" s="4"/>
    </row>
    <row r="153" spans="3:11" x14ac:dyDescent="0.25">
      <c r="C153" s="108"/>
      <c r="D153" s="217"/>
      <c r="E153" s="217"/>
      <c r="F153" s="104"/>
      <c r="G153" s="108"/>
      <c r="J153" s="174"/>
      <c r="K153" s="4"/>
    </row>
    <row r="154" spans="3:11" x14ac:dyDescent="0.25">
      <c r="C154" s="108"/>
      <c r="D154" s="217"/>
      <c r="E154" s="217"/>
      <c r="F154" s="104"/>
      <c r="G154" s="108"/>
      <c r="J154" s="174"/>
      <c r="K154" s="4"/>
    </row>
    <row r="155" spans="3:11" x14ac:dyDescent="0.25">
      <c r="C155" s="108"/>
      <c r="D155" s="108"/>
      <c r="E155" s="217"/>
      <c r="F155" s="104"/>
      <c r="G155" s="108"/>
      <c r="J155" s="174"/>
      <c r="K155" s="4"/>
    </row>
    <row r="156" spans="3:11" x14ac:dyDescent="0.25">
      <c r="C156" s="108"/>
      <c r="D156" s="108"/>
      <c r="E156" s="217"/>
      <c r="F156" s="104"/>
      <c r="G156" s="108"/>
      <c r="J156" s="174"/>
      <c r="K156" s="4"/>
    </row>
    <row r="157" spans="3:11" x14ac:dyDescent="0.25">
      <c r="C157" s="108"/>
      <c r="D157" s="217"/>
      <c r="E157" s="217"/>
      <c r="F157" s="104"/>
      <c r="G157" s="108"/>
      <c r="J157" s="174"/>
      <c r="K157" s="4"/>
    </row>
    <row r="158" spans="3:11" x14ac:dyDescent="0.25">
      <c r="C158" s="108"/>
      <c r="D158" s="217"/>
      <c r="E158" s="217"/>
      <c r="F158" s="104"/>
      <c r="G158" s="108"/>
      <c r="J158" s="174"/>
      <c r="K158" s="4"/>
    </row>
    <row r="159" spans="3:11" x14ac:dyDescent="0.25">
      <c r="C159" s="108"/>
      <c r="D159" s="108"/>
      <c r="E159" s="217"/>
      <c r="F159" s="104"/>
      <c r="G159" s="108"/>
      <c r="J159" s="174"/>
      <c r="K159" s="4"/>
    </row>
    <row r="160" spans="3:11" x14ac:dyDescent="0.25">
      <c r="C160" s="108"/>
      <c r="D160" s="108"/>
      <c r="E160" s="217"/>
      <c r="F160" s="104"/>
      <c r="G160" s="108"/>
      <c r="J160" s="174"/>
      <c r="K160" s="4"/>
    </row>
    <row r="161" spans="3:11" x14ac:dyDescent="0.25">
      <c r="C161" s="108"/>
      <c r="D161" s="217"/>
      <c r="E161" s="217"/>
      <c r="F161" s="104"/>
      <c r="G161" s="108"/>
      <c r="J161" s="174"/>
      <c r="K161" s="4"/>
    </row>
    <row r="162" spans="3:11" x14ac:dyDescent="0.25">
      <c r="C162" s="108"/>
      <c r="D162" s="217"/>
      <c r="E162" s="217"/>
      <c r="F162" s="104"/>
      <c r="G162" s="108"/>
      <c r="J162" s="174"/>
      <c r="K162" s="4"/>
    </row>
    <row r="163" spans="3:11" x14ac:dyDescent="0.25">
      <c r="C163" s="108"/>
      <c r="D163" s="217"/>
      <c r="E163" s="217"/>
      <c r="F163" s="104"/>
      <c r="G163" s="108"/>
      <c r="J163" s="174"/>
      <c r="K163" s="4"/>
    </row>
    <row r="164" spans="3:11" x14ac:dyDescent="0.25">
      <c r="C164" s="108"/>
      <c r="D164" s="108"/>
      <c r="E164" s="217"/>
      <c r="F164" s="104"/>
      <c r="G164" s="108"/>
      <c r="J164" s="174"/>
      <c r="K164" s="4"/>
    </row>
    <row r="165" spans="3:11" x14ac:dyDescent="0.25">
      <c r="C165" s="108"/>
      <c r="D165" s="108"/>
      <c r="E165" s="217"/>
      <c r="F165" s="104"/>
      <c r="G165" s="108"/>
      <c r="J165" s="174"/>
      <c r="K165" s="4"/>
    </row>
    <row r="166" spans="3:11" x14ac:dyDescent="0.25">
      <c r="C166" s="108"/>
      <c r="D166" s="108"/>
      <c r="E166" s="217"/>
      <c r="F166" s="104"/>
      <c r="G166" s="108"/>
      <c r="J166" s="174"/>
      <c r="K166" s="4"/>
    </row>
    <row r="167" spans="3:11" x14ac:dyDescent="0.25">
      <c r="C167" s="108"/>
      <c r="D167" s="108"/>
      <c r="E167" s="217"/>
      <c r="F167" s="104"/>
      <c r="G167" s="108"/>
      <c r="J167" s="174"/>
      <c r="K167" s="4"/>
    </row>
    <row r="168" spans="3:11" x14ac:dyDescent="0.25">
      <c r="C168" s="108"/>
      <c r="D168" s="217"/>
      <c r="E168" s="217"/>
      <c r="F168" s="104"/>
      <c r="G168" s="108"/>
      <c r="J168" s="174"/>
      <c r="K168" s="4"/>
    </row>
    <row r="169" spans="3:11" x14ac:dyDescent="0.25">
      <c r="C169" s="108"/>
      <c r="D169" s="217"/>
      <c r="E169" s="217"/>
      <c r="F169" s="104"/>
      <c r="G169" s="108"/>
      <c r="J169" s="174"/>
      <c r="K169" s="4"/>
    </row>
    <row r="170" spans="3:11" x14ac:dyDescent="0.25">
      <c r="C170" s="108"/>
      <c r="D170" s="217"/>
      <c r="E170" s="217"/>
      <c r="F170" s="104"/>
      <c r="G170" s="108"/>
      <c r="J170" s="174"/>
      <c r="K170" s="4"/>
    </row>
    <row r="171" spans="3:11" x14ac:dyDescent="0.25">
      <c r="C171" s="108"/>
      <c r="D171" s="217"/>
      <c r="E171" s="217"/>
      <c r="F171" s="104"/>
      <c r="G171" s="108"/>
      <c r="J171" s="174"/>
      <c r="K171" s="4"/>
    </row>
    <row r="172" spans="3:11" x14ac:dyDescent="0.25">
      <c r="C172" s="108"/>
      <c r="D172" s="217"/>
      <c r="E172" s="217"/>
      <c r="F172" s="104"/>
      <c r="G172" s="108"/>
      <c r="J172" s="174"/>
      <c r="K172" s="4"/>
    </row>
    <row r="173" spans="3:11" x14ac:dyDescent="0.25">
      <c r="C173" s="108"/>
      <c r="D173" s="217"/>
      <c r="E173" s="217"/>
      <c r="F173" s="104"/>
      <c r="G173" s="108"/>
      <c r="J173" s="174"/>
      <c r="K173" s="4"/>
    </row>
    <row r="174" spans="3:11" x14ac:dyDescent="0.25">
      <c r="C174" s="108"/>
      <c r="D174" s="217"/>
      <c r="E174" s="217"/>
      <c r="F174" s="104"/>
      <c r="G174" s="108"/>
      <c r="J174" s="174"/>
      <c r="K174" s="4"/>
    </row>
    <row r="175" spans="3:11" x14ac:dyDescent="0.25">
      <c r="C175" s="108"/>
      <c r="D175" s="217"/>
      <c r="E175" s="217"/>
      <c r="F175" s="104"/>
      <c r="G175" s="108"/>
      <c r="J175" s="174"/>
      <c r="K175" s="4"/>
    </row>
    <row r="176" spans="3:11" x14ac:dyDescent="0.25">
      <c r="C176" s="108"/>
      <c r="D176" s="217"/>
      <c r="E176" s="217"/>
      <c r="F176" s="104"/>
      <c r="G176" s="108"/>
      <c r="J176" s="174"/>
      <c r="K176" s="4"/>
    </row>
    <row r="177" spans="3:11" x14ac:dyDescent="0.25">
      <c r="C177" s="108"/>
      <c r="D177" s="108"/>
      <c r="E177" s="217"/>
      <c r="F177" s="104"/>
      <c r="G177" s="108"/>
      <c r="J177" s="174"/>
      <c r="K177" s="4"/>
    </row>
    <row r="178" spans="3:11" x14ac:dyDescent="0.25">
      <c r="C178" s="108"/>
      <c r="D178" s="217"/>
      <c r="E178" s="217"/>
      <c r="F178" s="104"/>
      <c r="G178" s="108"/>
      <c r="J178" s="174"/>
      <c r="K178" s="4"/>
    </row>
    <row r="179" spans="3:11" x14ac:dyDescent="0.25">
      <c r="C179" s="108"/>
      <c r="D179" s="108"/>
      <c r="E179" s="217"/>
      <c r="F179" s="104"/>
      <c r="G179" s="108"/>
      <c r="J179" s="174"/>
      <c r="K179" s="4"/>
    </row>
    <row r="180" spans="3:11" x14ac:dyDescent="0.25">
      <c r="C180" s="108"/>
      <c r="D180" s="217"/>
      <c r="E180" s="217"/>
      <c r="F180" s="104"/>
      <c r="G180" s="108"/>
      <c r="J180" s="174"/>
      <c r="K180" s="4"/>
    </row>
    <row r="181" spans="3:11" x14ac:dyDescent="0.25">
      <c r="C181" s="108"/>
      <c r="D181" s="217"/>
      <c r="E181" s="217"/>
      <c r="F181" s="104"/>
      <c r="G181" s="108"/>
      <c r="J181" s="174"/>
      <c r="K181" s="4"/>
    </row>
    <row r="182" spans="3:11" x14ac:dyDescent="0.25">
      <c r="C182" s="108"/>
      <c r="D182" s="108"/>
      <c r="E182" s="217"/>
      <c r="F182" s="104"/>
      <c r="G182" s="108"/>
      <c r="J182" s="174"/>
      <c r="K182" s="4"/>
    </row>
    <row r="183" spans="3:11" x14ac:dyDescent="0.25">
      <c r="C183" s="108"/>
      <c r="D183" s="108"/>
      <c r="E183" s="217"/>
      <c r="F183" s="104"/>
      <c r="G183" s="108"/>
      <c r="J183" s="174"/>
      <c r="K183" s="4"/>
    </row>
    <row r="184" spans="3:11" x14ac:dyDescent="0.25">
      <c r="C184" s="108"/>
      <c r="D184" s="108"/>
      <c r="E184" s="217"/>
      <c r="F184" s="104"/>
      <c r="G184" s="108"/>
      <c r="J184" s="174"/>
      <c r="K184" s="4"/>
    </row>
    <row r="185" spans="3:11" x14ac:dyDescent="0.25">
      <c r="C185" s="108"/>
      <c r="D185" s="108"/>
      <c r="E185" s="217"/>
      <c r="F185" s="104"/>
      <c r="G185" s="108"/>
      <c r="J185" s="174"/>
      <c r="K185" s="4"/>
    </row>
    <row r="186" spans="3:11" x14ac:dyDescent="0.25">
      <c r="C186" s="108"/>
      <c r="D186" s="108"/>
      <c r="E186" s="217"/>
      <c r="F186" s="104"/>
      <c r="G186" s="108"/>
      <c r="J186" s="174"/>
      <c r="K186" s="4"/>
    </row>
    <row r="187" spans="3:11" x14ac:dyDescent="0.25">
      <c r="C187" s="108"/>
      <c r="D187" s="217"/>
      <c r="E187" s="217"/>
      <c r="F187" s="104"/>
      <c r="G187" s="108"/>
      <c r="J187" s="174"/>
      <c r="K187" s="4"/>
    </row>
    <row r="188" spans="3:11" x14ac:dyDescent="0.25">
      <c r="C188" s="108"/>
      <c r="D188" s="217"/>
      <c r="E188" s="217"/>
      <c r="F188" s="104"/>
      <c r="G188" s="108"/>
      <c r="J188" s="174"/>
      <c r="K188" s="4"/>
    </row>
    <row r="189" spans="3:11" x14ac:dyDescent="0.25">
      <c r="C189" s="108"/>
      <c r="D189" s="217"/>
      <c r="E189" s="217"/>
      <c r="F189" s="104"/>
      <c r="G189" s="108"/>
      <c r="J189" s="174"/>
      <c r="K189" s="4"/>
    </row>
    <row r="190" spans="3:11" x14ac:dyDescent="0.25">
      <c r="C190" s="108"/>
      <c r="D190" s="217"/>
      <c r="E190" s="217"/>
      <c r="F190" s="104"/>
      <c r="G190" s="108"/>
      <c r="J190" s="174"/>
      <c r="K190" s="4"/>
    </row>
    <row r="191" spans="3:11" x14ac:dyDescent="0.25">
      <c r="C191" s="108"/>
      <c r="D191" s="108"/>
      <c r="E191" s="217"/>
      <c r="F191" s="104"/>
      <c r="G191" s="108"/>
      <c r="J191" s="174"/>
      <c r="K191" s="4"/>
    </row>
    <row r="192" spans="3:11" x14ac:dyDescent="0.25">
      <c r="C192" s="108"/>
      <c r="D192" s="217"/>
      <c r="E192" s="217"/>
      <c r="F192" s="104"/>
      <c r="G192" s="108"/>
      <c r="J192" s="174"/>
      <c r="K192" s="4"/>
    </row>
    <row r="193" spans="3:11" x14ac:dyDescent="0.25">
      <c r="C193" s="108"/>
      <c r="D193" s="217"/>
      <c r="E193" s="217"/>
      <c r="F193" s="104"/>
      <c r="G193" s="108"/>
      <c r="J193" s="174"/>
      <c r="K193" s="4"/>
    </row>
    <row r="194" spans="3:11" x14ac:dyDescent="0.25">
      <c r="C194" s="108"/>
      <c r="D194" s="217"/>
      <c r="E194" s="217"/>
      <c r="F194" s="104"/>
      <c r="G194" s="108"/>
      <c r="J194" s="174"/>
      <c r="K194" s="4"/>
    </row>
    <row r="195" spans="3:11" x14ac:dyDescent="0.25">
      <c r="C195" s="108"/>
      <c r="D195" s="108"/>
      <c r="E195" s="217"/>
      <c r="F195" s="104"/>
      <c r="G195" s="108"/>
      <c r="J195" s="174"/>
      <c r="K195" s="4"/>
    </row>
    <row r="196" spans="3:11" x14ac:dyDescent="0.25">
      <c r="C196" s="108"/>
      <c r="D196" s="217"/>
      <c r="E196" s="217"/>
      <c r="F196" s="104"/>
      <c r="G196" s="108"/>
      <c r="J196" s="174"/>
      <c r="K196" s="4"/>
    </row>
    <row r="197" spans="3:11" x14ac:dyDescent="0.25">
      <c r="C197" s="108"/>
      <c r="D197" s="217"/>
      <c r="E197" s="217"/>
      <c r="F197" s="104"/>
      <c r="G197" s="108"/>
      <c r="J197" s="174"/>
      <c r="K197" s="4"/>
    </row>
    <row r="198" spans="3:11" x14ac:dyDescent="0.25">
      <c r="C198" s="108"/>
      <c r="D198" s="217"/>
      <c r="E198" s="217"/>
      <c r="F198" s="104"/>
      <c r="G198" s="108"/>
      <c r="J198" s="174"/>
      <c r="K198" s="4"/>
    </row>
    <row r="199" spans="3:11" x14ac:dyDescent="0.25">
      <c r="C199" s="108"/>
      <c r="D199" s="217"/>
      <c r="E199" s="217"/>
      <c r="F199" s="104"/>
      <c r="G199" s="108"/>
      <c r="J199" s="174"/>
      <c r="K199" s="4"/>
    </row>
    <row r="200" spans="3:11" x14ac:dyDescent="0.25">
      <c r="C200" s="108"/>
      <c r="D200" s="108"/>
      <c r="E200" s="217"/>
      <c r="F200" s="104"/>
      <c r="G200" s="108"/>
      <c r="J200" s="174"/>
      <c r="K200" s="4"/>
    </row>
    <row r="201" spans="3:11" x14ac:dyDescent="0.25">
      <c r="C201" s="108"/>
      <c r="D201" s="217"/>
      <c r="E201" s="217"/>
      <c r="F201" s="104"/>
      <c r="G201" s="108"/>
      <c r="J201" s="174"/>
      <c r="K201" s="4"/>
    </row>
    <row r="202" spans="3:11" x14ac:dyDescent="0.25">
      <c r="C202" s="108"/>
      <c r="D202" s="108"/>
      <c r="E202" s="217"/>
      <c r="F202" s="104"/>
      <c r="G202" s="108"/>
      <c r="J202" s="174"/>
      <c r="K202" s="4"/>
    </row>
    <row r="203" spans="3:11" x14ac:dyDescent="0.25">
      <c r="C203" s="108"/>
      <c r="D203" s="217"/>
      <c r="E203" s="217"/>
      <c r="F203" s="104"/>
      <c r="G203" s="108"/>
      <c r="J203" s="174"/>
      <c r="K203" s="4"/>
    </row>
    <row r="204" spans="3:11" x14ac:dyDescent="0.25">
      <c r="C204" s="108"/>
      <c r="D204" s="217"/>
      <c r="E204" s="217"/>
      <c r="F204" s="104"/>
      <c r="G204" s="108"/>
      <c r="J204" s="174"/>
      <c r="K204" s="4"/>
    </row>
    <row r="205" spans="3:11" x14ac:dyDescent="0.25">
      <c r="C205" s="108"/>
      <c r="D205" s="108"/>
      <c r="E205" s="217"/>
      <c r="F205" s="104"/>
      <c r="G205" s="108"/>
      <c r="J205" s="174"/>
      <c r="K205" s="4"/>
    </row>
    <row r="206" spans="3:11" x14ac:dyDescent="0.25">
      <c r="C206" s="108"/>
      <c r="D206" s="217"/>
      <c r="E206" s="217"/>
      <c r="F206" s="104"/>
      <c r="G206" s="108"/>
      <c r="J206" s="174"/>
      <c r="K206" s="4"/>
    </row>
    <row r="207" spans="3:11" x14ac:dyDescent="0.25">
      <c r="C207" s="108"/>
      <c r="D207" s="217"/>
      <c r="E207" s="217"/>
      <c r="F207" s="104"/>
      <c r="G207" s="108"/>
      <c r="J207" s="174"/>
      <c r="K207" s="4"/>
    </row>
    <row r="208" spans="3:11" x14ac:dyDescent="0.25">
      <c r="C208" s="108"/>
      <c r="D208" s="108"/>
      <c r="E208" s="217"/>
      <c r="F208" s="104"/>
      <c r="G208" s="108"/>
      <c r="J208" s="174"/>
      <c r="K208" s="4"/>
    </row>
    <row r="209" spans="3:11" x14ac:dyDescent="0.25">
      <c r="C209" s="108"/>
      <c r="D209" s="217"/>
      <c r="E209" s="217"/>
      <c r="F209" s="104"/>
      <c r="G209" s="108"/>
      <c r="J209" s="174"/>
      <c r="K209" s="4"/>
    </row>
    <row r="210" spans="3:11" x14ac:dyDescent="0.25">
      <c r="C210" s="108"/>
      <c r="D210" s="217"/>
      <c r="E210" s="217"/>
      <c r="F210" s="104"/>
      <c r="G210" s="108"/>
      <c r="J210" s="174"/>
      <c r="K210" s="4"/>
    </row>
    <row r="211" spans="3:11" x14ac:dyDescent="0.25">
      <c r="C211" s="108"/>
      <c r="D211" s="217"/>
      <c r="E211" s="217"/>
      <c r="F211" s="104"/>
      <c r="G211" s="108"/>
      <c r="J211" s="174"/>
      <c r="K211" s="4"/>
    </row>
    <row r="212" spans="3:11" x14ac:dyDescent="0.25">
      <c r="C212" s="108"/>
      <c r="D212" s="217"/>
      <c r="E212" s="217"/>
      <c r="F212" s="104"/>
      <c r="G212" s="108"/>
      <c r="J212" s="174"/>
      <c r="K212" s="4"/>
    </row>
    <row r="213" spans="3:11" x14ac:dyDescent="0.25">
      <c r="C213" s="108"/>
      <c r="D213" s="108"/>
      <c r="E213" s="217"/>
      <c r="F213" s="104"/>
      <c r="G213" s="108"/>
      <c r="J213" s="174"/>
      <c r="K213" s="4"/>
    </row>
    <row r="214" spans="3:11" x14ac:dyDescent="0.25">
      <c r="C214" s="108"/>
      <c r="D214" s="217"/>
      <c r="E214" s="217"/>
      <c r="F214" s="104"/>
      <c r="G214" s="108"/>
      <c r="J214" s="174"/>
      <c r="K214" s="4"/>
    </row>
    <row r="215" spans="3:11" x14ac:dyDescent="0.25">
      <c r="C215" s="108"/>
      <c r="D215" s="217"/>
      <c r="E215" s="217"/>
      <c r="F215" s="104"/>
      <c r="G215" s="108"/>
      <c r="J215" s="174"/>
      <c r="K215" s="4"/>
    </row>
    <row r="216" spans="3:11" x14ac:dyDescent="0.25">
      <c r="C216" s="108"/>
      <c r="D216" s="108"/>
      <c r="E216" s="217"/>
      <c r="F216" s="104"/>
      <c r="G216" s="108"/>
      <c r="J216" s="174"/>
      <c r="K216" s="4"/>
    </row>
    <row r="217" spans="3:11" x14ac:dyDescent="0.25">
      <c r="C217" s="108"/>
      <c r="D217" s="108"/>
      <c r="E217" s="217"/>
      <c r="F217" s="104"/>
      <c r="G217" s="108"/>
      <c r="J217" s="174"/>
      <c r="K217" s="4"/>
    </row>
    <row r="218" spans="3:11" x14ac:dyDescent="0.25">
      <c r="C218" s="108"/>
      <c r="D218" s="108"/>
      <c r="E218" s="217"/>
      <c r="F218" s="104"/>
      <c r="G218" s="108"/>
      <c r="J218" s="174"/>
      <c r="K218" s="4"/>
    </row>
    <row r="219" spans="3:11" x14ac:dyDescent="0.25">
      <c r="C219" s="108"/>
      <c r="D219" s="217"/>
      <c r="E219" s="217"/>
      <c r="F219" s="104"/>
      <c r="G219" s="108"/>
      <c r="J219" s="174"/>
      <c r="K219" s="4"/>
    </row>
    <row r="220" spans="3:11" x14ac:dyDescent="0.25">
      <c r="C220" s="108"/>
      <c r="D220" s="217"/>
      <c r="E220" s="217"/>
      <c r="F220" s="104"/>
      <c r="G220" s="108"/>
      <c r="J220" s="174"/>
      <c r="K220" s="4"/>
    </row>
    <row r="221" spans="3:11" x14ac:dyDescent="0.25">
      <c r="C221" s="108"/>
      <c r="D221" s="108"/>
      <c r="E221" s="217"/>
      <c r="F221" s="104"/>
      <c r="G221" s="108"/>
      <c r="J221" s="174"/>
      <c r="K221" s="4"/>
    </row>
    <row r="222" spans="3:11" x14ac:dyDescent="0.25">
      <c r="C222" s="108"/>
      <c r="D222" s="217"/>
      <c r="E222" s="217"/>
      <c r="F222" s="104"/>
      <c r="G222" s="108"/>
      <c r="J222" s="174"/>
      <c r="K222" s="4"/>
    </row>
    <row r="223" spans="3:11" x14ac:dyDescent="0.25">
      <c r="C223" s="108"/>
      <c r="D223" s="108"/>
      <c r="E223" s="217"/>
      <c r="F223" s="104"/>
      <c r="G223" s="108"/>
      <c r="J223" s="174"/>
      <c r="K223" s="4"/>
    </row>
    <row r="224" spans="3:11" x14ac:dyDescent="0.25">
      <c r="C224" s="108"/>
      <c r="D224" s="217"/>
      <c r="E224" s="217"/>
      <c r="F224" s="104"/>
      <c r="G224" s="108"/>
      <c r="J224" s="174"/>
      <c r="K224" s="4"/>
    </row>
    <row r="225" spans="3:11" x14ac:dyDescent="0.25">
      <c r="C225" s="108"/>
      <c r="D225" s="217"/>
      <c r="E225" s="217"/>
      <c r="F225" s="104"/>
      <c r="G225" s="108"/>
      <c r="J225" s="174"/>
      <c r="K225" s="4"/>
    </row>
    <row r="226" spans="3:11" x14ac:dyDescent="0.25">
      <c r="C226" s="108"/>
      <c r="D226" s="217"/>
      <c r="E226" s="217"/>
      <c r="F226" s="104"/>
      <c r="G226" s="108"/>
      <c r="J226" s="174"/>
      <c r="K226" s="4"/>
    </row>
    <row r="227" spans="3:11" x14ac:dyDescent="0.25">
      <c r="C227" s="108"/>
      <c r="D227" s="217"/>
      <c r="E227" s="217"/>
      <c r="F227" s="104"/>
      <c r="G227" s="108"/>
      <c r="J227" s="174"/>
      <c r="K227" s="4"/>
    </row>
    <row r="228" spans="3:11" x14ac:dyDescent="0.25">
      <c r="C228" s="108"/>
      <c r="D228" s="217"/>
      <c r="E228" s="217"/>
      <c r="F228" s="104"/>
      <c r="G228" s="108"/>
      <c r="J228" s="174"/>
      <c r="K228" s="4"/>
    </row>
    <row r="229" spans="3:11" x14ac:dyDescent="0.25">
      <c r="C229" s="108"/>
      <c r="D229" s="217"/>
      <c r="E229" s="217"/>
      <c r="F229" s="104"/>
      <c r="G229" s="108"/>
      <c r="J229" s="174"/>
      <c r="K229" s="4"/>
    </row>
    <row r="230" spans="3:11" x14ac:dyDescent="0.25">
      <c r="C230" s="108"/>
      <c r="D230" s="217"/>
      <c r="E230" s="217"/>
      <c r="F230" s="104"/>
      <c r="G230" s="108"/>
      <c r="J230" s="174"/>
      <c r="K230" s="4"/>
    </row>
    <row r="231" spans="3:11" x14ac:dyDescent="0.25">
      <c r="C231" s="108"/>
      <c r="D231" s="217"/>
      <c r="E231" s="217"/>
      <c r="F231" s="104"/>
      <c r="G231" s="108"/>
      <c r="J231" s="174"/>
      <c r="K231" s="4"/>
    </row>
    <row r="232" spans="3:11" x14ac:dyDescent="0.25">
      <c r="C232" s="108"/>
      <c r="D232" s="108"/>
      <c r="E232" s="217"/>
      <c r="F232" s="104"/>
      <c r="G232" s="108"/>
      <c r="J232" s="174"/>
      <c r="K232" s="4"/>
    </row>
    <row r="233" spans="3:11" x14ac:dyDescent="0.25">
      <c r="C233" s="108"/>
      <c r="D233" s="108"/>
      <c r="E233" s="217"/>
      <c r="F233" s="104"/>
      <c r="G233" s="108"/>
      <c r="J233" s="174"/>
      <c r="K233" s="4"/>
    </row>
    <row r="234" spans="3:11" x14ac:dyDescent="0.25">
      <c r="C234" s="108"/>
      <c r="D234" s="108"/>
      <c r="E234" s="217"/>
      <c r="F234" s="104"/>
      <c r="G234" s="108"/>
      <c r="J234" s="174"/>
      <c r="K234" s="4"/>
    </row>
    <row r="235" spans="3:11" x14ac:dyDescent="0.25">
      <c r="C235" s="108"/>
      <c r="D235" s="217"/>
      <c r="E235" s="217"/>
      <c r="F235" s="104"/>
      <c r="G235" s="108"/>
      <c r="J235" s="174"/>
      <c r="K235" s="4"/>
    </row>
    <row r="236" spans="3:11" x14ac:dyDescent="0.25">
      <c r="C236" s="108"/>
      <c r="D236" s="217"/>
      <c r="E236" s="217"/>
      <c r="F236" s="104"/>
      <c r="G236" s="108"/>
      <c r="J236" s="174"/>
      <c r="K236" s="4"/>
    </row>
    <row r="237" spans="3:11" x14ac:dyDescent="0.25">
      <c r="C237" s="108"/>
      <c r="D237" s="217"/>
      <c r="E237" s="217"/>
      <c r="F237" s="104"/>
      <c r="G237" s="108"/>
      <c r="J237" s="174"/>
      <c r="K237" s="4"/>
    </row>
    <row r="238" spans="3:11" x14ac:dyDescent="0.25">
      <c r="C238" s="108"/>
      <c r="D238" s="217"/>
      <c r="E238" s="217"/>
      <c r="F238" s="104"/>
      <c r="G238" s="108"/>
      <c r="J238" s="174"/>
      <c r="K238" s="4"/>
    </row>
    <row r="239" spans="3:11" x14ac:dyDescent="0.25">
      <c r="C239" s="108"/>
      <c r="D239" s="108"/>
      <c r="E239" s="217"/>
      <c r="F239" s="104"/>
      <c r="G239" s="108"/>
      <c r="J239" s="174"/>
      <c r="K239" s="4"/>
    </row>
    <row r="240" spans="3:11" x14ac:dyDescent="0.25">
      <c r="C240" s="108"/>
      <c r="D240" s="108"/>
      <c r="E240" s="217"/>
      <c r="F240" s="104"/>
      <c r="G240" s="108"/>
      <c r="J240" s="174"/>
      <c r="K240" s="4"/>
    </row>
    <row r="241" spans="3:11" x14ac:dyDescent="0.25">
      <c r="C241" s="108"/>
      <c r="D241" s="108"/>
      <c r="E241" s="217"/>
      <c r="F241" s="104"/>
      <c r="G241" s="108"/>
      <c r="J241" s="174"/>
      <c r="K241" s="4"/>
    </row>
    <row r="242" spans="3:11" x14ac:dyDescent="0.25">
      <c r="C242" s="108"/>
      <c r="D242" s="217"/>
      <c r="E242" s="217"/>
      <c r="F242" s="104"/>
      <c r="G242" s="108"/>
      <c r="J242" s="174"/>
      <c r="K242" s="4"/>
    </row>
    <row r="243" spans="3:11" x14ac:dyDescent="0.25">
      <c r="C243" s="108"/>
      <c r="D243" s="108"/>
      <c r="E243" s="217"/>
      <c r="F243" s="104"/>
      <c r="G243" s="108"/>
      <c r="J243" s="174"/>
      <c r="K243" s="4"/>
    </row>
    <row r="244" spans="3:11" x14ac:dyDescent="0.25">
      <c r="C244" s="108"/>
      <c r="D244" s="217"/>
      <c r="E244" s="217"/>
      <c r="F244" s="104"/>
      <c r="G244" s="108"/>
      <c r="J244" s="174"/>
      <c r="K244" s="4"/>
    </row>
    <row r="245" spans="3:11" x14ac:dyDescent="0.25">
      <c r="C245" s="108"/>
      <c r="D245" s="108"/>
      <c r="E245" s="217"/>
      <c r="F245" s="104"/>
      <c r="G245" s="108"/>
      <c r="J245" s="174"/>
      <c r="K245" s="4"/>
    </row>
    <row r="246" spans="3:11" x14ac:dyDescent="0.25">
      <c r="C246" s="108"/>
      <c r="D246" s="217"/>
      <c r="E246" s="217"/>
      <c r="F246" s="104"/>
      <c r="G246" s="108"/>
      <c r="J246" s="174"/>
      <c r="K246" s="4"/>
    </row>
    <row r="247" spans="3:11" x14ac:dyDescent="0.25">
      <c r="C247" s="108"/>
      <c r="D247" s="217"/>
      <c r="E247" s="217"/>
      <c r="F247" s="104"/>
      <c r="G247" s="108"/>
      <c r="J247" s="174"/>
      <c r="K247" s="4"/>
    </row>
    <row r="248" spans="3:11" x14ac:dyDescent="0.25">
      <c r="C248" s="108"/>
      <c r="D248" s="108"/>
      <c r="E248" s="217"/>
      <c r="F248" s="104"/>
      <c r="G248" s="108"/>
      <c r="J248" s="174"/>
      <c r="K248" s="4"/>
    </row>
    <row r="249" spans="3:11" x14ac:dyDescent="0.25">
      <c r="C249" s="108"/>
      <c r="D249" s="217"/>
      <c r="E249" s="217"/>
      <c r="F249" s="104"/>
      <c r="G249" s="108"/>
      <c r="J249" s="174"/>
      <c r="K249" s="4"/>
    </row>
    <row r="250" spans="3:11" x14ac:dyDescent="0.25">
      <c r="C250" s="108"/>
      <c r="D250" s="217"/>
      <c r="E250" s="217"/>
      <c r="F250" s="104"/>
      <c r="G250" s="108"/>
      <c r="J250" s="174"/>
      <c r="K250" s="4"/>
    </row>
    <row r="251" spans="3:11" x14ac:dyDescent="0.25">
      <c r="C251" s="108"/>
      <c r="D251" s="217"/>
      <c r="E251" s="217"/>
      <c r="F251" s="104"/>
      <c r="G251" s="108"/>
      <c r="J251" s="174"/>
      <c r="K251" s="4"/>
    </row>
    <row r="252" spans="3:11" x14ac:dyDescent="0.25">
      <c r="C252" s="108"/>
      <c r="D252" s="217"/>
      <c r="E252" s="217"/>
      <c r="F252" s="104"/>
      <c r="G252" s="108"/>
      <c r="J252" s="174"/>
      <c r="K252" s="4"/>
    </row>
    <row r="253" spans="3:11" x14ac:dyDescent="0.25">
      <c r="C253" s="108"/>
      <c r="D253" s="217"/>
      <c r="E253" s="217"/>
      <c r="F253" s="104"/>
      <c r="G253" s="108"/>
      <c r="J253" s="174"/>
      <c r="K253" s="4"/>
    </row>
    <row r="254" spans="3:11" x14ac:dyDescent="0.25">
      <c r="C254" s="108"/>
      <c r="D254" s="217"/>
      <c r="E254" s="217"/>
      <c r="F254" s="104"/>
      <c r="G254" s="108"/>
      <c r="J254" s="174"/>
      <c r="K254" s="4"/>
    </row>
    <row r="255" spans="3:11" x14ac:dyDescent="0.25">
      <c r="C255" s="108"/>
      <c r="D255" s="217"/>
      <c r="E255" s="217"/>
      <c r="F255" s="104"/>
      <c r="G255" s="108"/>
      <c r="J255" s="174"/>
      <c r="K255" s="4"/>
    </row>
    <row r="256" spans="3:11" x14ac:dyDescent="0.25">
      <c r="C256" s="108"/>
      <c r="D256" s="108"/>
      <c r="E256" s="217"/>
      <c r="F256" s="104"/>
      <c r="G256" s="108"/>
      <c r="J256" s="174"/>
      <c r="K256" s="4"/>
    </row>
    <row r="257" spans="3:11" x14ac:dyDescent="0.25">
      <c r="C257" s="108"/>
      <c r="D257" s="217"/>
      <c r="E257" s="217"/>
      <c r="F257" s="104"/>
      <c r="G257" s="108"/>
      <c r="J257" s="174"/>
      <c r="K257" s="4"/>
    </row>
    <row r="258" spans="3:11" x14ac:dyDescent="0.25">
      <c r="C258" s="108"/>
      <c r="D258" s="217"/>
      <c r="E258" s="217"/>
      <c r="F258" s="104"/>
      <c r="G258" s="108"/>
      <c r="J258" s="174"/>
      <c r="K258" s="4"/>
    </row>
    <row r="259" spans="3:11" x14ac:dyDescent="0.25">
      <c r="C259" s="108"/>
      <c r="D259" s="217"/>
      <c r="E259" s="217"/>
      <c r="F259" s="104"/>
      <c r="G259" s="108"/>
      <c r="J259" s="174"/>
      <c r="K259" s="4"/>
    </row>
    <row r="260" spans="3:11" x14ac:dyDescent="0.25">
      <c r="C260" s="108"/>
      <c r="D260" s="217"/>
      <c r="E260" s="217"/>
      <c r="F260" s="104"/>
      <c r="G260" s="108"/>
      <c r="J260" s="174"/>
      <c r="K260" s="4"/>
    </row>
    <row r="261" spans="3:11" x14ac:dyDescent="0.25">
      <c r="C261" s="108"/>
      <c r="D261" s="108"/>
      <c r="E261" s="217"/>
      <c r="F261" s="104"/>
      <c r="G261" s="108"/>
      <c r="J261" s="174"/>
      <c r="K261" s="4"/>
    </row>
    <row r="262" spans="3:11" x14ac:dyDescent="0.25">
      <c r="C262" s="108"/>
      <c r="D262" s="217"/>
      <c r="E262" s="217"/>
      <c r="F262" s="104"/>
      <c r="G262" s="108"/>
      <c r="J262" s="174"/>
      <c r="K262" s="4"/>
    </row>
    <row r="263" spans="3:11" x14ac:dyDescent="0.25">
      <c r="C263" s="108"/>
      <c r="D263" s="108"/>
      <c r="E263" s="217"/>
      <c r="F263" s="104"/>
      <c r="G263" s="108"/>
      <c r="J263" s="174"/>
      <c r="K263" s="4"/>
    </row>
    <row r="264" spans="3:11" x14ac:dyDescent="0.25">
      <c r="C264" s="108"/>
      <c r="D264" s="217"/>
      <c r="E264" s="217"/>
      <c r="F264" s="104"/>
      <c r="G264" s="108"/>
      <c r="J264" s="174"/>
      <c r="K264" s="4"/>
    </row>
    <row r="265" spans="3:11" x14ac:dyDescent="0.25">
      <c r="C265" s="108"/>
      <c r="D265" s="108"/>
      <c r="E265" s="217"/>
      <c r="F265" s="104"/>
      <c r="G265" s="108"/>
      <c r="J265" s="174"/>
      <c r="K265" s="4"/>
    </row>
    <row r="266" spans="3:11" x14ac:dyDescent="0.25">
      <c r="C266" s="108"/>
      <c r="D266" s="217"/>
      <c r="E266" s="217"/>
      <c r="F266" s="104"/>
      <c r="G266" s="108"/>
      <c r="J266" s="174"/>
      <c r="K266" s="4"/>
    </row>
    <row r="267" spans="3:11" x14ac:dyDescent="0.25">
      <c r="C267" s="108"/>
      <c r="D267" s="217"/>
      <c r="E267" s="217"/>
      <c r="F267" s="104"/>
      <c r="G267" s="108"/>
      <c r="J267" s="174"/>
      <c r="K267" s="4"/>
    </row>
    <row r="268" spans="3:11" x14ac:dyDescent="0.25">
      <c r="C268" s="108"/>
      <c r="D268" s="108"/>
      <c r="E268" s="217"/>
      <c r="F268" s="104"/>
      <c r="G268" s="108"/>
      <c r="J268" s="174"/>
      <c r="K268" s="4"/>
    </row>
    <row r="269" spans="3:11" x14ac:dyDescent="0.25">
      <c r="C269" s="108"/>
      <c r="D269" s="108"/>
      <c r="E269" s="217"/>
      <c r="F269" s="104"/>
      <c r="G269" s="108"/>
      <c r="J269" s="174"/>
      <c r="K269" s="4"/>
    </row>
    <row r="270" spans="3:11" x14ac:dyDescent="0.25">
      <c r="C270" s="108"/>
      <c r="D270" s="217"/>
      <c r="E270" s="217"/>
      <c r="F270" s="104"/>
      <c r="G270" s="108"/>
      <c r="J270" s="174"/>
      <c r="K270" s="4"/>
    </row>
    <row r="271" spans="3:11" x14ac:dyDescent="0.25">
      <c r="C271" s="108"/>
      <c r="D271" s="108"/>
      <c r="E271" s="217"/>
      <c r="F271" s="104"/>
      <c r="G271" s="108"/>
      <c r="J271" s="174"/>
      <c r="K271" s="4"/>
    </row>
    <row r="272" spans="3:11" x14ac:dyDescent="0.25">
      <c r="C272" s="108"/>
      <c r="D272" s="217"/>
      <c r="E272" s="217"/>
      <c r="F272" s="104"/>
      <c r="G272" s="108"/>
      <c r="J272" s="174"/>
      <c r="K272" s="4"/>
    </row>
    <row r="273" spans="3:11" x14ac:dyDescent="0.25">
      <c r="C273" s="108"/>
      <c r="D273" s="108"/>
      <c r="E273" s="217"/>
      <c r="F273" s="104"/>
      <c r="G273" s="108"/>
      <c r="J273" s="174"/>
      <c r="K273" s="4"/>
    </row>
    <row r="274" spans="3:11" x14ac:dyDescent="0.25">
      <c r="C274" s="108"/>
      <c r="D274" s="217"/>
      <c r="E274" s="217"/>
      <c r="F274" s="104"/>
      <c r="G274" s="108"/>
      <c r="J274" s="174"/>
      <c r="K274" s="4"/>
    </row>
    <row r="275" spans="3:11" x14ac:dyDescent="0.25">
      <c r="C275" s="108"/>
      <c r="D275" s="217"/>
      <c r="E275" s="217"/>
      <c r="F275" s="104"/>
      <c r="G275" s="108"/>
      <c r="J275" s="174"/>
      <c r="K275" s="4"/>
    </row>
    <row r="276" spans="3:11" x14ac:dyDescent="0.25">
      <c r="C276" s="108"/>
      <c r="D276" s="108"/>
      <c r="E276" s="217"/>
      <c r="F276" s="104"/>
      <c r="G276" s="108"/>
      <c r="J276" s="174"/>
      <c r="K276" s="4"/>
    </row>
    <row r="277" spans="3:11" x14ac:dyDescent="0.25">
      <c r="C277" s="108"/>
      <c r="D277" s="108"/>
      <c r="E277" s="217"/>
      <c r="F277" s="104"/>
      <c r="G277" s="108"/>
      <c r="J277" s="174"/>
      <c r="K277" s="4"/>
    </row>
    <row r="278" spans="3:11" x14ac:dyDescent="0.25">
      <c r="C278" s="108"/>
      <c r="D278" s="217"/>
      <c r="E278" s="217"/>
      <c r="F278" s="104"/>
      <c r="G278" s="108"/>
      <c r="J278" s="174"/>
      <c r="K278" s="4"/>
    </row>
    <row r="279" spans="3:11" x14ac:dyDescent="0.25">
      <c r="C279" s="108"/>
      <c r="D279" s="108"/>
      <c r="E279" s="217"/>
      <c r="F279" s="104"/>
      <c r="G279" s="108"/>
      <c r="J279" s="174"/>
      <c r="K279" s="4"/>
    </row>
    <row r="280" spans="3:11" x14ac:dyDescent="0.25">
      <c r="C280" s="108"/>
      <c r="D280" s="108"/>
      <c r="E280" s="217"/>
      <c r="F280" s="104"/>
      <c r="G280" s="108"/>
      <c r="J280" s="174"/>
      <c r="K280" s="4"/>
    </row>
    <row r="281" spans="3:11" x14ac:dyDescent="0.25">
      <c r="C281" s="108"/>
      <c r="D281" s="108"/>
      <c r="E281" s="217"/>
      <c r="F281" s="104"/>
      <c r="G281" s="108"/>
      <c r="J281" s="174"/>
      <c r="K281" s="4"/>
    </row>
    <row r="282" spans="3:11" x14ac:dyDescent="0.25">
      <c r="C282" s="108"/>
      <c r="D282" s="217"/>
      <c r="E282" s="217"/>
      <c r="F282" s="104"/>
      <c r="G282" s="108"/>
      <c r="J282" s="174"/>
      <c r="K282" s="4"/>
    </row>
    <row r="283" spans="3:11" x14ac:dyDescent="0.25">
      <c r="C283" s="108"/>
      <c r="D283" s="217"/>
      <c r="E283" s="217"/>
      <c r="F283" s="104"/>
      <c r="G283" s="108"/>
      <c r="J283" s="174"/>
      <c r="K283" s="4"/>
    </row>
    <row r="284" spans="3:11" x14ac:dyDescent="0.25">
      <c r="C284" s="108"/>
      <c r="D284" s="108"/>
      <c r="E284" s="217"/>
      <c r="F284" s="104"/>
      <c r="G284" s="108"/>
      <c r="J284" s="174"/>
      <c r="K284" s="4"/>
    </row>
    <row r="285" spans="3:11" x14ac:dyDescent="0.25">
      <c r="C285" s="108"/>
      <c r="D285" s="108"/>
      <c r="E285" s="217"/>
      <c r="F285" s="104"/>
      <c r="G285" s="108"/>
      <c r="J285" s="174"/>
      <c r="K285" s="4"/>
    </row>
    <row r="286" spans="3:11" x14ac:dyDescent="0.25">
      <c r="C286" s="108"/>
      <c r="D286" s="217"/>
      <c r="E286" s="217"/>
      <c r="F286" s="104"/>
      <c r="G286" s="108"/>
      <c r="J286" s="174"/>
      <c r="K286" s="4"/>
    </row>
    <row r="287" spans="3:11" x14ac:dyDescent="0.25">
      <c r="C287" s="108"/>
      <c r="D287" s="217"/>
      <c r="E287" s="217"/>
      <c r="F287" s="104"/>
      <c r="G287" s="108"/>
      <c r="J287" s="174"/>
      <c r="K287" s="4"/>
    </row>
    <row r="288" spans="3:11" x14ac:dyDescent="0.25">
      <c r="C288" s="108"/>
      <c r="D288" s="217"/>
      <c r="E288" s="217"/>
      <c r="F288" s="104"/>
      <c r="G288" s="108"/>
      <c r="J288" s="174"/>
      <c r="K288" s="4"/>
    </row>
    <row r="289" spans="3:11" x14ac:dyDescent="0.25">
      <c r="C289" s="108"/>
      <c r="D289" s="217"/>
      <c r="E289" s="217"/>
      <c r="F289" s="104"/>
      <c r="G289" s="108"/>
      <c r="J289" s="174"/>
      <c r="K289" s="4"/>
    </row>
    <row r="290" spans="3:11" x14ac:dyDescent="0.25">
      <c r="C290" s="108"/>
      <c r="D290" s="108"/>
      <c r="E290" s="217"/>
      <c r="F290" s="104"/>
      <c r="G290" s="108"/>
      <c r="J290" s="174"/>
      <c r="K290" s="4"/>
    </row>
    <row r="291" spans="3:11" x14ac:dyDescent="0.25">
      <c r="C291" s="108"/>
      <c r="D291" s="108"/>
      <c r="E291" s="217"/>
      <c r="F291" s="104"/>
      <c r="G291" s="108"/>
      <c r="J291" s="174"/>
      <c r="K291" s="4"/>
    </row>
    <row r="292" spans="3:11" x14ac:dyDescent="0.25">
      <c r="C292" s="108"/>
      <c r="D292" s="108"/>
      <c r="E292" s="217"/>
      <c r="F292" s="104"/>
      <c r="G292" s="108"/>
      <c r="J292" s="174"/>
      <c r="K292" s="4"/>
    </row>
    <row r="293" spans="3:11" x14ac:dyDescent="0.25">
      <c r="C293" s="108"/>
      <c r="D293" s="217"/>
      <c r="E293" s="217"/>
      <c r="F293" s="104"/>
      <c r="G293" s="108"/>
      <c r="J293" s="174"/>
      <c r="K293" s="4"/>
    </row>
    <row r="294" spans="3:11" x14ac:dyDescent="0.25">
      <c r="C294" s="108"/>
      <c r="D294" s="217"/>
      <c r="E294" s="217"/>
      <c r="F294" s="104"/>
      <c r="G294" s="108"/>
      <c r="J294" s="174"/>
      <c r="K294" s="4"/>
    </row>
    <row r="295" spans="3:11" x14ac:dyDescent="0.25">
      <c r="C295" s="108"/>
      <c r="D295" s="217"/>
      <c r="E295" s="217"/>
      <c r="F295" s="104"/>
      <c r="G295" s="108"/>
      <c r="J295" s="174"/>
      <c r="K295" s="4"/>
    </row>
    <row r="296" spans="3:11" x14ac:dyDescent="0.25">
      <c r="C296" s="108"/>
      <c r="D296" s="217"/>
      <c r="E296" s="217"/>
      <c r="F296" s="104"/>
      <c r="G296" s="108"/>
      <c r="J296" s="174"/>
      <c r="K296" s="4"/>
    </row>
    <row r="297" spans="3:11" x14ac:dyDescent="0.25">
      <c r="C297" s="108"/>
      <c r="D297" s="217"/>
      <c r="E297" s="217"/>
      <c r="F297" s="104"/>
      <c r="G297" s="108"/>
      <c r="J297" s="174"/>
      <c r="K297" s="4"/>
    </row>
    <row r="298" spans="3:11" x14ac:dyDescent="0.25">
      <c r="C298" s="108"/>
      <c r="D298" s="217"/>
      <c r="E298" s="217"/>
      <c r="F298" s="104"/>
      <c r="G298" s="108"/>
      <c r="J298" s="174"/>
      <c r="K298" s="4"/>
    </row>
    <row r="299" spans="3:11" x14ac:dyDescent="0.25">
      <c r="C299" s="108"/>
      <c r="D299" s="217"/>
      <c r="E299" s="217"/>
      <c r="F299" s="104"/>
      <c r="G299" s="108"/>
      <c r="J299" s="174"/>
      <c r="K299" s="4"/>
    </row>
    <row r="300" spans="3:11" x14ac:dyDescent="0.25">
      <c r="C300" s="108"/>
      <c r="D300" s="217"/>
      <c r="E300" s="217"/>
      <c r="F300" s="104"/>
      <c r="G300" s="108"/>
      <c r="J300" s="174"/>
      <c r="K300" s="4"/>
    </row>
    <row r="301" spans="3:11" x14ac:dyDescent="0.25">
      <c r="C301" s="108"/>
      <c r="D301" s="217"/>
      <c r="E301" s="217"/>
      <c r="F301" s="104"/>
      <c r="G301" s="108"/>
      <c r="J301" s="174"/>
      <c r="K301" s="4"/>
    </row>
    <row r="302" spans="3:11" x14ac:dyDescent="0.25">
      <c r="C302" s="108"/>
      <c r="D302" s="217"/>
      <c r="E302" s="217"/>
      <c r="F302" s="104"/>
      <c r="G302" s="108"/>
      <c r="J302" s="174"/>
      <c r="K302" s="4"/>
    </row>
    <row r="303" spans="3:11" x14ac:dyDescent="0.25">
      <c r="C303" s="108"/>
      <c r="D303" s="108"/>
      <c r="E303" s="217"/>
      <c r="F303" s="104"/>
      <c r="G303" s="108"/>
      <c r="J303" s="174"/>
      <c r="K303" s="4"/>
    </row>
    <row r="304" spans="3:11" x14ac:dyDescent="0.25">
      <c r="C304" s="108"/>
      <c r="D304" s="108"/>
      <c r="E304" s="217"/>
      <c r="F304" s="104"/>
      <c r="G304" s="108"/>
      <c r="J304" s="174"/>
      <c r="K304" s="4"/>
    </row>
    <row r="305" spans="3:11" x14ac:dyDescent="0.25">
      <c r="C305" s="108"/>
      <c r="D305" s="217"/>
      <c r="E305" s="217"/>
      <c r="F305" s="104"/>
      <c r="G305" s="108"/>
      <c r="J305" s="174"/>
      <c r="K305" s="4"/>
    </row>
    <row r="306" spans="3:11" x14ac:dyDescent="0.25">
      <c r="C306" s="108"/>
      <c r="D306" s="217"/>
      <c r="E306" s="217"/>
      <c r="F306" s="104"/>
      <c r="G306" s="108"/>
      <c r="J306" s="174"/>
      <c r="K306" s="4"/>
    </row>
    <row r="307" spans="3:11" x14ac:dyDescent="0.25">
      <c r="C307" s="108"/>
      <c r="D307" s="108"/>
      <c r="E307" s="217"/>
      <c r="F307" s="104"/>
      <c r="G307" s="108"/>
      <c r="J307" s="174"/>
      <c r="K307" s="4"/>
    </row>
    <row r="308" spans="3:11" x14ac:dyDescent="0.25">
      <c r="C308" s="108"/>
      <c r="D308" s="217"/>
      <c r="E308" s="217"/>
      <c r="F308" s="104"/>
      <c r="G308" s="108"/>
      <c r="J308" s="174"/>
      <c r="K308" s="4"/>
    </row>
    <row r="309" spans="3:11" x14ac:dyDescent="0.25">
      <c r="C309" s="108"/>
      <c r="D309" s="108"/>
      <c r="E309" s="217"/>
      <c r="F309" s="104"/>
      <c r="G309" s="108"/>
      <c r="J309" s="174"/>
      <c r="K309" s="4"/>
    </row>
    <row r="310" spans="3:11" x14ac:dyDescent="0.25">
      <c r="C310" s="108"/>
      <c r="D310" s="217"/>
      <c r="E310" s="217"/>
      <c r="F310" s="104"/>
      <c r="G310" s="108"/>
      <c r="J310" s="174"/>
      <c r="K310" s="4"/>
    </row>
    <row r="311" spans="3:11" x14ac:dyDescent="0.25">
      <c r="C311" s="108"/>
      <c r="D311" s="108"/>
      <c r="E311" s="217"/>
      <c r="F311" s="104"/>
      <c r="G311" s="108"/>
      <c r="J311" s="174"/>
      <c r="K311" s="4"/>
    </row>
    <row r="312" spans="3:11" x14ac:dyDescent="0.25">
      <c r="C312" s="108"/>
      <c r="D312" s="217"/>
      <c r="E312" s="217"/>
      <c r="F312" s="104"/>
      <c r="G312" s="108"/>
      <c r="J312" s="174"/>
      <c r="K312" s="4"/>
    </row>
    <row r="313" spans="3:11" x14ac:dyDescent="0.25">
      <c r="C313" s="108"/>
      <c r="D313" s="217"/>
      <c r="E313" s="217"/>
      <c r="F313" s="104"/>
      <c r="G313" s="108"/>
      <c r="J313" s="174"/>
      <c r="K313" s="4"/>
    </row>
    <row r="314" spans="3:11" x14ac:dyDescent="0.25">
      <c r="C314" s="108"/>
      <c r="D314" s="217"/>
      <c r="E314" s="217"/>
      <c r="F314" s="104"/>
      <c r="G314" s="108"/>
      <c r="J314" s="174"/>
      <c r="K314" s="4"/>
    </row>
    <row r="315" spans="3:11" x14ac:dyDescent="0.25">
      <c r="C315" s="108"/>
      <c r="D315" s="217"/>
      <c r="E315" s="217"/>
      <c r="F315" s="104"/>
      <c r="G315" s="108"/>
      <c r="J315" s="174"/>
      <c r="K315" s="4"/>
    </row>
    <row r="316" spans="3:11" x14ac:dyDescent="0.25">
      <c r="C316" s="108"/>
      <c r="D316" s="217"/>
      <c r="E316" s="217"/>
      <c r="F316" s="104"/>
      <c r="G316" s="108"/>
      <c r="J316" s="174"/>
      <c r="K316" s="4"/>
    </row>
    <row r="317" spans="3:11" x14ac:dyDescent="0.25">
      <c r="C317" s="108"/>
      <c r="D317" s="217"/>
      <c r="E317" s="217"/>
      <c r="F317" s="104"/>
      <c r="G317" s="108"/>
      <c r="J317" s="174"/>
      <c r="K317" s="4"/>
    </row>
    <row r="318" spans="3:11" x14ac:dyDescent="0.25">
      <c r="C318" s="108"/>
      <c r="D318" s="217"/>
      <c r="E318" s="217"/>
      <c r="F318" s="104"/>
      <c r="G318" s="108"/>
      <c r="J318" s="174"/>
      <c r="K318" s="4"/>
    </row>
    <row r="319" spans="3:11" x14ac:dyDescent="0.25">
      <c r="C319" s="108"/>
      <c r="D319" s="217"/>
      <c r="E319" s="217"/>
      <c r="F319" s="104"/>
      <c r="G319" s="108"/>
      <c r="J319" s="174"/>
      <c r="K319" s="4"/>
    </row>
    <row r="320" spans="3:11" x14ac:dyDescent="0.25">
      <c r="C320" s="108"/>
      <c r="D320" s="217"/>
      <c r="E320" s="217"/>
      <c r="F320" s="104"/>
      <c r="G320" s="108"/>
      <c r="J320" s="174"/>
      <c r="K320" s="4"/>
    </row>
    <row r="321" spans="3:11" x14ac:dyDescent="0.25">
      <c r="C321" s="108"/>
      <c r="D321" s="217"/>
      <c r="E321" s="217"/>
      <c r="F321" s="104"/>
      <c r="G321" s="108"/>
      <c r="J321" s="174"/>
      <c r="K321" s="4"/>
    </row>
    <row r="322" spans="3:11" x14ac:dyDescent="0.25">
      <c r="C322" s="108"/>
      <c r="D322" s="108"/>
      <c r="E322" s="217"/>
      <c r="F322" s="104"/>
      <c r="G322" s="108"/>
      <c r="J322" s="174"/>
      <c r="K322" s="4"/>
    </row>
    <row r="323" spans="3:11" x14ac:dyDescent="0.25">
      <c r="C323" s="108"/>
      <c r="D323" s="217"/>
      <c r="E323" s="217"/>
      <c r="F323" s="104"/>
      <c r="G323" s="108"/>
      <c r="J323" s="174"/>
      <c r="K323" s="4"/>
    </row>
    <row r="324" spans="3:11" x14ac:dyDescent="0.25">
      <c r="C324" s="108"/>
      <c r="D324" s="217"/>
      <c r="E324" s="217"/>
      <c r="F324" s="104"/>
      <c r="G324" s="108"/>
      <c r="J324" s="174"/>
      <c r="K324" s="4"/>
    </row>
    <row r="325" spans="3:11" x14ac:dyDescent="0.25">
      <c r="C325" s="108"/>
      <c r="D325" s="217"/>
      <c r="E325" s="217"/>
      <c r="F325" s="104"/>
      <c r="G325" s="108"/>
      <c r="J325" s="174"/>
      <c r="K325" s="4"/>
    </row>
    <row r="326" spans="3:11" x14ac:dyDescent="0.25">
      <c r="C326" s="108"/>
      <c r="D326" s="108"/>
      <c r="E326" s="217"/>
      <c r="F326" s="104"/>
      <c r="G326" s="108"/>
      <c r="J326" s="174"/>
      <c r="K326" s="4"/>
    </row>
    <row r="327" spans="3:11" x14ac:dyDescent="0.25">
      <c r="C327" s="108"/>
      <c r="D327" s="217"/>
      <c r="E327" s="217"/>
      <c r="F327" s="104"/>
      <c r="G327" s="108"/>
      <c r="J327" s="174"/>
      <c r="K327" s="4"/>
    </row>
    <row r="328" spans="3:11" x14ac:dyDescent="0.25">
      <c r="C328" s="108"/>
      <c r="D328" s="217"/>
      <c r="E328" s="217"/>
      <c r="F328" s="104"/>
      <c r="G328" s="108"/>
      <c r="J328" s="174"/>
      <c r="K328" s="4"/>
    </row>
    <row r="329" spans="3:11" x14ac:dyDescent="0.25">
      <c r="C329" s="108"/>
      <c r="D329" s="217"/>
      <c r="E329" s="217"/>
      <c r="F329" s="104"/>
      <c r="G329" s="108"/>
      <c r="J329" s="174"/>
      <c r="K329" s="4"/>
    </row>
    <row r="330" spans="3:11" x14ac:dyDescent="0.25">
      <c r="C330" s="108"/>
      <c r="D330" s="217"/>
      <c r="E330" s="217"/>
      <c r="F330" s="104"/>
      <c r="G330" s="108"/>
      <c r="J330" s="174"/>
      <c r="K330" s="4"/>
    </row>
    <row r="331" spans="3:11" x14ac:dyDescent="0.25">
      <c r="C331" s="108"/>
      <c r="D331" s="217"/>
      <c r="E331" s="217"/>
      <c r="F331" s="104"/>
      <c r="G331" s="108"/>
      <c r="J331" s="174"/>
      <c r="K331" s="4"/>
    </row>
    <row r="332" spans="3:11" x14ac:dyDescent="0.25">
      <c r="C332" s="108"/>
      <c r="D332" s="217"/>
      <c r="E332" s="217"/>
      <c r="F332" s="104"/>
      <c r="G332" s="108"/>
      <c r="J332" s="174"/>
      <c r="K332" s="4"/>
    </row>
    <row r="333" spans="3:11" x14ac:dyDescent="0.25">
      <c r="C333" s="108"/>
      <c r="D333" s="108"/>
      <c r="E333" s="217"/>
      <c r="F333" s="104"/>
      <c r="G333" s="108"/>
      <c r="J333" s="174"/>
      <c r="K333" s="4"/>
    </row>
    <row r="334" spans="3:11" x14ac:dyDescent="0.25">
      <c r="C334" s="108"/>
      <c r="D334" s="217"/>
      <c r="E334" s="217"/>
      <c r="F334" s="104"/>
      <c r="G334" s="108"/>
      <c r="J334" s="174"/>
      <c r="K334" s="4"/>
    </row>
    <row r="335" spans="3:11" x14ac:dyDescent="0.25">
      <c r="C335" s="108"/>
      <c r="D335" s="108"/>
      <c r="E335" s="217"/>
      <c r="F335" s="104"/>
      <c r="G335" s="108"/>
      <c r="J335" s="174"/>
      <c r="K335" s="4"/>
    </row>
    <row r="336" spans="3:11" x14ac:dyDescent="0.25">
      <c r="C336" s="108"/>
      <c r="D336" s="108"/>
      <c r="E336" s="217"/>
      <c r="F336" s="104"/>
      <c r="G336" s="108"/>
      <c r="J336" s="174"/>
      <c r="K336" s="4"/>
    </row>
    <row r="337" spans="3:11" x14ac:dyDescent="0.25">
      <c r="C337" s="108"/>
      <c r="D337" s="108"/>
      <c r="E337" s="217"/>
      <c r="F337" s="104"/>
      <c r="G337" s="108"/>
      <c r="J337" s="174"/>
      <c r="K337" s="4"/>
    </row>
    <row r="338" spans="3:11" x14ac:dyDescent="0.25">
      <c r="C338" s="108"/>
      <c r="D338" s="217"/>
      <c r="E338" s="217"/>
      <c r="F338" s="104"/>
      <c r="G338" s="108"/>
      <c r="J338" s="174"/>
      <c r="K338" s="4"/>
    </row>
    <row r="339" spans="3:11" x14ac:dyDescent="0.25">
      <c r="C339" s="108"/>
      <c r="D339" s="108"/>
      <c r="E339" s="217"/>
      <c r="F339" s="104"/>
      <c r="G339" s="108"/>
      <c r="J339" s="174"/>
      <c r="K339" s="4"/>
    </row>
    <row r="340" spans="3:11" x14ac:dyDescent="0.25">
      <c r="C340" s="108"/>
      <c r="D340" s="108"/>
      <c r="E340" s="217"/>
      <c r="F340" s="104"/>
      <c r="G340" s="108"/>
      <c r="J340" s="174"/>
      <c r="K340" s="4"/>
    </row>
    <row r="341" spans="3:11" x14ac:dyDescent="0.25">
      <c r="C341" s="108"/>
      <c r="D341" s="108"/>
      <c r="E341" s="217"/>
      <c r="F341" s="104"/>
      <c r="G341" s="108"/>
      <c r="J341" s="174"/>
      <c r="K341" s="4"/>
    </row>
    <row r="342" spans="3:11" x14ac:dyDescent="0.25">
      <c r="C342" s="108"/>
      <c r="D342" s="217"/>
      <c r="E342" s="217"/>
      <c r="F342" s="104"/>
      <c r="G342" s="108"/>
      <c r="J342" s="174"/>
      <c r="K342" s="4"/>
    </row>
    <row r="343" spans="3:11" x14ac:dyDescent="0.25">
      <c r="C343" s="108"/>
      <c r="D343" s="108"/>
      <c r="E343" s="217"/>
      <c r="F343" s="104"/>
      <c r="G343" s="108"/>
      <c r="J343" s="174"/>
      <c r="K343" s="4"/>
    </row>
    <row r="344" spans="3:11" x14ac:dyDescent="0.25">
      <c r="C344" s="108"/>
      <c r="D344" s="217"/>
      <c r="E344" s="217"/>
      <c r="F344" s="104"/>
      <c r="G344" s="108"/>
      <c r="J344" s="174"/>
      <c r="K344" s="4"/>
    </row>
    <row r="345" spans="3:11" x14ac:dyDescent="0.25">
      <c r="C345" s="108"/>
      <c r="D345" s="108"/>
      <c r="E345" s="217"/>
      <c r="F345" s="104"/>
      <c r="G345" s="108"/>
      <c r="J345" s="174"/>
      <c r="K345" s="4"/>
    </row>
    <row r="346" spans="3:11" x14ac:dyDescent="0.25">
      <c r="C346" s="108"/>
      <c r="D346" s="108"/>
      <c r="E346" s="217"/>
      <c r="F346" s="104"/>
      <c r="G346" s="108"/>
      <c r="J346" s="174"/>
      <c r="K346" s="4"/>
    </row>
    <row r="347" spans="3:11" x14ac:dyDescent="0.25">
      <c r="C347" s="108"/>
      <c r="D347" s="108"/>
      <c r="E347" s="217"/>
      <c r="F347" s="104"/>
      <c r="G347" s="108"/>
      <c r="J347" s="174"/>
      <c r="K347" s="4"/>
    </row>
    <row r="348" spans="3:11" x14ac:dyDescent="0.25">
      <c r="C348" s="108"/>
      <c r="D348" s="108"/>
      <c r="E348" s="217"/>
      <c r="F348" s="104"/>
      <c r="G348" s="108"/>
      <c r="J348" s="174"/>
      <c r="K348" s="4"/>
    </row>
    <row r="349" spans="3:11" x14ac:dyDescent="0.25">
      <c r="C349" s="108"/>
      <c r="D349" s="108"/>
      <c r="E349" s="217"/>
      <c r="F349" s="104"/>
      <c r="G349" s="108"/>
      <c r="J349" s="174"/>
      <c r="K349" s="4"/>
    </row>
    <row r="350" spans="3:11" x14ac:dyDescent="0.25">
      <c r="C350" s="108"/>
      <c r="D350" s="108"/>
      <c r="E350" s="217"/>
      <c r="F350" s="104"/>
      <c r="G350" s="108"/>
      <c r="J350" s="174"/>
      <c r="K350" s="4"/>
    </row>
    <row r="351" spans="3:11" x14ac:dyDescent="0.25">
      <c r="C351" s="108"/>
      <c r="D351" s="108"/>
      <c r="E351" s="217"/>
      <c r="F351" s="104"/>
      <c r="G351" s="108"/>
      <c r="J351" s="174"/>
      <c r="K351" s="4"/>
    </row>
    <row r="352" spans="3:11" x14ac:dyDescent="0.25">
      <c r="C352" s="108"/>
      <c r="D352" s="108"/>
      <c r="E352" s="217"/>
      <c r="F352" s="104"/>
      <c r="G352" s="108"/>
      <c r="J352" s="174"/>
      <c r="K352" s="4"/>
    </row>
    <row r="353" spans="3:11" x14ac:dyDescent="0.25">
      <c r="C353" s="108"/>
      <c r="D353" s="108"/>
      <c r="E353" s="217"/>
      <c r="F353" s="104"/>
      <c r="G353" s="108"/>
      <c r="J353" s="174"/>
      <c r="K353" s="4"/>
    </row>
    <row r="354" spans="3:11" x14ac:dyDescent="0.25">
      <c r="C354" s="108"/>
      <c r="D354" s="108"/>
      <c r="E354" s="217"/>
      <c r="F354" s="104"/>
      <c r="G354" s="108"/>
      <c r="J354" s="174"/>
      <c r="K354" s="4"/>
    </row>
    <row r="355" spans="3:11" x14ac:dyDescent="0.25">
      <c r="C355" s="108"/>
      <c r="D355" s="217"/>
      <c r="E355" s="217"/>
      <c r="F355" s="104"/>
      <c r="G355" s="108"/>
      <c r="J355" s="174"/>
      <c r="K355" s="4"/>
    </row>
    <row r="356" spans="3:11" x14ac:dyDescent="0.25">
      <c r="C356" s="108"/>
      <c r="D356" s="108"/>
      <c r="E356" s="217"/>
      <c r="F356" s="104"/>
      <c r="G356" s="108"/>
      <c r="J356" s="174"/>
      <c r="K356" s="4"/>
    </row>
    <row r="357" spans="3:11" x14ac:dyDescent="0.25">
      <c r="C357" s="108"/>
      <c r="D357" s="108"/>
      <c r="E357" s="217"/>
      <c r="F357" s="104"/>
      <c r="G357" s="108"/>
      <c r="J357" s="174"/>
      <c r="K357" s="4"/>
    </row>
    <row r="358" spans="3:11" x14ac:dyDescent="0.25">
      <c r="C358" s="108"/>
      <c r="D358" s="217"/>
      <c r="E358" s="217"/>
      <c r="F358" s="104"/>
      <c r="G358" s="108"/>
      <c r="J358" s="174"/>
      <c r="K358" s="4"/>
    </row>
    <row r="359" spans="3:11" x14ac:dyDescent="0.25">
      <c r="C359" s="108"/>
      <c r="D359" s="217"/>
      <c r="E359" s="217"/>
      <c r="F359" s="104"/>
      <c r="G359" s="108"/>
      <c r="J359" s="174"/>
      <c r="K359" s="4"/>
    </row>
    <row r="360" spans="3:11" x14ac:dyDescent="0.25">
      <c r="C360" s="108"/>
      <c r="D360" s="108"/>
      <c r="E360" s="217"/>
      <c r="F360" s="104"/>
      <c r="G360" s="108"/>
      <c r="J360" s="174"/>
      <c r="K360" s="4"/>
    </row>
    <row r="361" spans="3:11" x14ac:dyDescent="0.25">
      <c r="C361" s="108"/>
      <c r="D361" s="217"/>
      <c r="E361" s="217"/>
      <c r="F361" s="104"/>
      <c r="G361" s="108"/>
      <c r="J361" s="174"/>
      <c r="K361" s="4"/>
    </row>
    <row r="362" spans="3:11" x14ac:dyDescent="0.25">
      <c r="C362" s="108"/>
      <c r="D362" s="108"/>
      <c r="E362" s="217"/>
      <c r="F362" s="104"/>
      <c r="G362" s="108"/>
      <c r="J362" s="174"/>
      <c r="K362" s="4"/>
    </row>
    <row r="363" spans="3:11" x14ac:dyDescent="0.25">
      <c r="C363" s="108"/>
      <c r="D363" s="217"/>
      <c r="E363" s="217"/>
      <c r="F363" s="104"/>
      <c r="G363" s="108"/>
      <c r="J363" s="174"/>
      <c r="K363" s="4"/>
    </row>
    <row r="364" spans="3:11" x14ac:dyDescent="0.25">
      <c r="C364" s="108"/>
      <c r="D364" s="217"/>
      <c r="E364" s="217"/>
      <c r="F364" s="104"/>
      <c r="G364" s="108"/>
      <c r="J364" s="174"/>
      <c r="K364" s="4"/>
    </row>
    <row r="365" spans="3:11" x14ac:dyDescent="0.25">
      <c r="C365" s="108"/>
      <c r="D365" s="217"/>
      <c r="E365" s="217"/>
      <c r="F365" s="104"/>
      <c r="G365" s="108"/>
      <c r="J365" s="174"/>
      <c r="K365" s="4"/>
    </row>
    <row r="366" spans="3:11" x14ac:dyDescent="0.25">
      <c r="C366" s="108"/>
      <c r="D366" s="217"/>
      <c r="E366" s="217"/>
      <c r="F366" s="104"/>
      <c r="G366" s="108"/>
      <c r="J366" s="174"/>
      <c r="K366" s="4"/>
    </row>
    <row r="367" spans="3:11" x14ac:dyDescent="0.25">
      <c r="C367" s="108"/>
      <c r="D367" s="217"/>
      <c r="E367" s="217"/>
      <c r="F367" s="104"/>
      <c r="G367" s="108"/>
      <c r="J367" s="174"/>
      <c r="K367" s="4"/>
    </row>
    <row r="368" spans="3:11" x14ac:dyDescent="0.25">
      <c r="C368" s="108"/>
      <c r="D368" s="217"/>
      <c r="E368" s="217"/>
      <c r="F368" s="104"/>
      <c r="G368" s="108"/>
      <c r="J368" s="174"/>
      <c r="K368" s="4"/>
    </row>
    <row r="369" spans="3:11" x14ac:dyDescent="0.25">
      <c r="C369" s="108"/>
      <c r="D369" s="217"/>
      <c r="E369" s="217"/>
      <c r="F369" s="104"/>
      <c r="G369" s="108"/>
      <c r="J369" s="174"/>
      <c r="K369" s="4"/>
    </row>
    <row r="370" spans="3:11" x14ac:dyDescent="0.25">
      <c r="C370" s="108"/>
      <c r="D370" s="108"/>
      <c r="E370" s="217"/>
      <c r="F370" s="104"/>
      <c r="G370" s="108"/>
      <c r="J370" s="174"/>
      <c r="K370" s="4"/>
    </row>
    <row r="371" spans="3:11" x14ac:dyDescent="0.25">
      <c r="C371" s="108"/>
      <c r="D371" s="108"/>
      <c r="E371" s="217"/>
      <c r="F371" s="104"/>
      <c r="G371" s="108"/>
      <c r="J371" s="174"/>
      <c r="K371" s="4"/>
    </row>
    <row r="372" spans="3:11" x14ac:dyDescent="0.25">
      <c r="C372" s="108"/>
      <c r="D372" s="217"/>
      <c r="E372" s="217"/>
      <c r="F372" s="104"/>
      <c r="G372" s="108"/>
      <c r="J372" s="174"/>
      <c r="K372" s="4"/>
    </row>
    <row r="373" spans="3:11" x14ac:dyDescent="0.25">
      <c r="C373" s="108"/>
      <c r="D373" s="108"/>
      <c r="E373" s="217"/>
      <c r="F373" s="104"/>
      <c r="G373" s="108"/>
      <c r="J373" s="174"/>
      <c r="K373" s="4"/>
    </row>
    <row r="374" spans="3:11" x14ac:dyDescent="0.25">
      <c r="C374" s="108"/>
      <c r="D374" s="217"/>
      <c r="E374" s="217"/>
      <c r="F374" s="104"/>
      <c r="G374" s="108"/>
      <c r="J374" s="174"/>
      <c r="K374" s="4"/>
    </row>
    <row r="375" spans="3:11" x14ac:dyDescent="0.25">
      <c r="C375" s="108"/>
      <c r="D375" s="217"/>
      <c r="E375" s="217"/>
      <c r="F375" s="104"/>
      <c r="G375" s="108"/>
      <c r="J375" s="174"/>
      <c r="K375" s="4"/>
    </row>
    <row r="376" spans="3:11" x14ac:dyDescent="0.25">
      <c r="C376" s="108"/>
      <c r="D376" s="217"/>
      <c r="E376" s="217"/>
      <c r="F376" s="104"/>
      <c r="G376" s="108"/>
      <c r="J376" s="174"/>
      <c r="K376" s="4"/>
    </row>
    <row r="377" spans="3:11" x14ac:dyDescent="0.25">
      <c r="C377" s="108"/>
      <c r="D377" s="108"/>
      <c r="E377" s="217"/>
      <c r="F377" s="104"/>
      <c r="G377" s="108"/>
      <c r="J377" s="174"/>
      <c r="K377" s="4"/>
    </row>
    <row r="378" spans="3:11" x14ac:dyDescent="0.25">
      <c r="C378" s="108"/>
      <c r="D378" s="217"/>
      <c r="E378" s="217"/>
      <c r="F378" s="104"/>
      <c r="G378" s="108"/>
      <c r="J378" s="174"/>
      <c r="K378" s="4"/>
    </row>
    <row r="379" spans="3:11" x14ac:dyDescent="0.25">
      <c r="C379" s="108"/>
      <c r="D379" s="217"/>
      <c r="E379" s="217"/>
      <c r="F379" s="104"/>
      <c r="G379" s="108"/>
      <c r="J379" s="174"/>
      <c r="K379" s="4"/>
    </row>
    <row r="380" spans="3:11" x14ac:dyDescent="0.25">
      <c r="C380" s="108"/>
      <c r="D380" s="108"/>
      <c r="E380" s="217"/>
      <c r="F380" s="104"/>
      <c r="G380" s="108"/>
      <c r="J380" s="174"/>
      <c r="K380" s="4"/>
    </row>
    <row r="381" spans="3:11" x14ac:dyDescent="0.25">
      <c r="C381" s="108"/>
      <c r="D381" s="217"/>
      <c r="E381" s="217"/>
      <c r="F381" s="104"/>
      <c r="G381" s="108"/>
      <c r="J381" s="174"/>
      <c r="K381" s="4"/>
    </row>
    <row r="382" spans="3:11" x14ac:dyDescent="0.25">
      <c r="C382" s="108"/>
      <c r="D382" s="217"/>
      <c r="E382" s="217"/>
      <c r="F382" s="104"/>
      <c r="G382" s="108"/>
      <c r="J382" s="174"/>
      <c r="K382" s="4"/>
    </row>
    <row r="383" spans="3:11" x14ac:dyDescent="0.25">
      <c r="C383" s="108"/>
      <c r="D383" s="108"/>
      <c r="E383" s="217"/>
      <c r="F383" s="104"/>
      <c r="G383" s="108"/>
      <c r="J383" s="174"/>
      <c r="K383" s="4"/>
    </row>
    <row r="384" spans="3:11" x14ac:dyDescent="0.25">
      <c r="C384" s="108"/>
      <c r="D384" s="217"/>
      <c r="E384" s="217"/>
      <c r="F384" s="104"/>
      <c r="G384" s="108"/>
      <c r="J384" s="174"/>
      <c r="K384" s="4"/>
    </row>
    <row r="385" spans="3:11" x14ac:dyDescent="0.25">
      <c r="C385" s="108"/>
      <c r="D385" s="217"/>
      <c r="E385" s="217"/>
      <c r="F385" s="104"/>
      <c r="G385" s="108"/>
      <c r="J385" s="174"/>
      <c r="K385" s="4"/>
    </row>
    <row r="386" spans="3:11" x14ac:dyDescent="0.25">
      <c r="C386" s="108"/>
      <c r="D386" s="108"/>
      <c r="E386" s="217"/>
      <c r="F386" s="104"/>
      <c r="G386" s="108"/>
      <c r="J386" s="174"/>
      <c r="K386" s="4"/>
    </row>
    <row r="387" spans="3:11" x14ac:dyDescent="0.25">
      <c r="C387" s="108"/>
      <c r="D387" s="217"/>
      <c r="E387" s="217"/>
      <c r="F387" s="104"/>
      <c r="G387" s="108"/>
      <c r="J387" s="174"/>
      <c r="K387" s="4"/>
    </row>
    <row r="388" spans="3:11" x14ac:dyDescent="0.25">
      <c r="C388" s="108"/>
      <c r="D388" s="108"/>
      <c r="E388" s="217"/>
      <c r="F388" s="104"/>
      <c r="G388" s="108"/>
      <c r="J388" s="174"/>
      <c r="K388" s="4"/>
    </row>
    <row r="389" spans="3:11" x14ac:dyDescent="0.25">
      <c r="C389" s="108"/>
      <c r="D389" s="108"/>
      <c r="E389" s="217"/>
      <c r="F389" s="104"/>
      <c r="G389" s="108"/>
      <c r="J389" s="174"/>
      <c r="K389" s="4"/>
    </row>
    <row r="390" spans="3:11" x14ac:dyDescent="0.25">
      <c r="C390" s="108"/>
      <c r="D390" s="108"/>
      <c r="E390" s="217"/>
      <c r="F390" s="104"/>
      <c r="G390" s="108"/>
      <c r="J390" s="174"/>
      <c r="K390" s="4"/>
    </row>
    <row r="391" spans="3:11" x14ac:dyDescent="0.25">
      <c r="C391" s="108"/>
      <c r="D391" s="217"/>
      <c r="E391" s="217"/>
      <c r="F391" s="104"/>
      <c r="G391" s="108"/>
      <c r="J391" s="174"/>
      <c r="K391" s="4"/>
    </row>
    <row r="392" spans="3:11" x14ac:dyDescent="0.25">
      <c r="C392" s="108"/>
      <c r="D392" s="217"/>
      <c r="E392" s="217"/>
      <c r="F392" s="104"/>
      <c r="G392" s="108"/>
      <c r="J392" s="174"/>
      <c r="K392" s="4"/>
    </row>
    <row r="393" spans="3:11" x14ac:dyDescent="0.25">
      <c r="C393" s="108"/>
      <c r="D393" s="217"/>
      <c r="E393" s="217"/>
      <c r="F393" s="104"/>
      <c r="G393" s="108"/>
      <c r="J393" s="174"/>
      <c r="K393" s="4"/>
    </row>
    <row r="394" spans="3:11" x14ac:dyDescent="0.25">
      <c r="C394" s="108"/>
      <c r="D394" s="108"/>
      <c r="E394" s="217"/>
      <c r="F394" s="104"/>
      <c r="G394" s="108"/>
      <c r="J394" s="174"/>
      <c r="K394" s="4"/>
    </row>
    <row r="395" spans="3:11" x14ac:dyDescent="0.25">
      <c r="C395" s="108"/>
      <c r="D395" s="108"/>
      <c r="E395" s="217"/>
      <c r="F395" s="104"/>
      <c r="G395" s="108"/>
      <c r="J395" s="174"/>
      <c r="K395" s="4"/>
    </row>
    <row r="396" spans="3:11" x14ac:dyDescent="0.25">
      <c r="C396" s="108"/>
      <c r="D396" s="108"/>
      <c r="E396" s="217"/>
      <c r="F396" s="104"/>
      <c r="G396" s="108"/>
      <c r="J396" s="174"/>
      <c r="K396" s="4"/>
    </row>
    <row r="397" spans="3:11" x14ac:dyDescent="0.25">
      <c r="C397" s="108"/>
      <c r="D397" s="108"/>
      <c r="E397" s="217"/>
      <c r="F397" s="104"/>
      <c r="G397" s="108"/>
      <c r="J397" s="174"/>
      <c r="K397" s="4"/>
    </row>
    <row r="398" spans="3:11" x14ac:dyDescent="0.25">
      <c r="C398" s="108"/>
      <c r="D398" s="108"/>
      <c r="E398" s="217"/>
      <c r="F398" s="104"/>
      <c r="G398" s="108"/>
      <c r="J398" s="174"/>
      <c r="K398" s="4"/>
    </row>
    <row r="399" spans="3:11" x14ac:dyDescent="0.25">
      <c r="C399" s="108"/>
      <c r="D399" s="217"/>
      <c r="E399" s="217"/>
      <c r="F399" s="104"/>
      <c r="G399" s="108"/>
      <c r="J399" s="174"/>
      <c r="K399" s="4"/>
    </row>
    <row r="400" spans="3:11" x14ac:dyDescent="0.25">
      <c r="C400" s="108"/>
      <c r="D400" s="108"/>
      <c r="E400" s="217"/>
      <c r="F400" s="104"/>
      <c r="G400" s="108"/>
      <c r="J400" s="174"/>
      <c r="K400" s="4"/>
    </row>
    <row r="401" spans="3:11" x14ac:dyDescent="0.25">
      <c r="C401" s="108"/>
      <c r="D401" s="108"/>
      <c r="E401" s="217"/>
      <c r="F401" s="104"/>
      <c r="G401" s="108"/>
      <c r="J401" s="174"/>
      <c r="K401" s="4"/>
    </row>
    <row r="402" spans="3:11" x14ac:dyDescent="0.25">
      <c r="C402" s="108"/>
      <c r="D402" s="217"/>
      <c r="E402" s="217"/>
      <c r="F402" s="104"/>
      <c r="G402" s="108"/>
      <c r="J402" s="174"/>
      <c r="K402" s="4"/>
    </row>
    <row r="403" spans="3:11" x14ac:dyDescent="0.25">
      <c r="C403" s="108"/>
      <c r="D403" s="217"/>
      <c r="E403" s="217"/>
      <c r="F403" s="104"/>
      <c r="G403" s="108"/>
      <c r="J403" s="174"/>
      <c r="K403" s="4"/>
    </row>
    <row r="404" spans="3:11" x14ac:dyDescent="0.25">
      <c r="C404" s="108"/>
      <c r="D404" s="108"/>
      <c r="E404" s="217"/>
      <c r="F404" s="104"/>
      <c r="G404" s="108"/>
      <c r="J404" s="174"/>
      <c r="K404" s="4"/>
    </row>
    <row r="405" spans="3:11" x14ac:dyDescent="0.25">
      <c r="C405" s="108"/>
      <c r="D405" s="217"/>
      <c r="E405" s="217"/>
      <c r="F405" s="104"/>
      <c r="G405" s="108"/>
      <c r="J405" s="174"/>
      <c r="K405" s="4"/>
    </row>
    <row r="406" spans="3:11" x14ac:dyDescent="0.25">
      <c r="C406" s="108"/>
      <c r="D406" s="217"/>
      <c r="E406" s="217"/>
      <c r="F406" s="104"/>
      <c r="G406" s="108"/>
      <c r="J406" s="174"/>
      <c r="K406" s="4"/>
    </row>
    <row r="407" spans="3:11" x14ac:dyDescent="0.25">
      <c r="C407" s="108"/>
      <c r="D407" s="108"/>
      <c r="E407" s="217"/>
      <c r="F407" s="104"/>
      <c r="G407" s="108"/>
      <c r="J407" s="174"/>
      <c r="K407" s="4"/>
    </row>
    <row r="408" spans="3:11" x14ac:dyDescent="0.25">
      <c r="C408" s="108"/>
      <c r="D408" s="108"/>
      <c r="E408" s="217"/>
      <c r="F408" s="104"/>
      <c r="G408" s="108"/>
      <c r="J408" s="174"/>
      <c r="K408" s="4"/>
    </row>
    <row r="409" spans="3:11" x14ac:dyDescent="0.25">
      <c r="C409" s="108"/>
      <c r="D409" s="108"/>
      <c r="E409" s="217"/>
      <c r="F409" s="104"/>
      <c r="G409" s="108"/>
      <c r="J409" s="174"/>
      <c r="K409" s="4"/>
    </row>
    <row r="410" spans="3:11" x14ac:dyDescent="0.25">
      <c r="C410" s="108"/>
      <c r="D410" s="217"/>
      <c r="E410" s="217"/>
      <c r="F410" s="104"/>
      <c r="G410" s="108"/>
      <c r="J410" s="174"/>
      <c r="K410" s="4"/>
    </row>
    <row r="411" spans="3:11" x14ac:dyDescent="0.25">
      <c r="C411" s="108"/>
      <c r="D411" s="108"/>
      <c r="E411" s="217"/>
      <c r="F411" s="104"/>
      <c r="G411" s="108"/>
      <c r="J411" s="174"/>
      <c r="K411" s="4"/>
    </row>
    <row r="412" spans="3:11" x14ac:dyDescent="0.25">
      <c r="C412" s="108"/>
      <c r="D412" s="108"/>
      <c r="E412" s="217"/>
      <c r="F412" s="104"/>
      <c r="G412" s="108"/>
      <c r="J412" s="174"/>
      <c r="K412" s="4"/>
    </row>
    <row r="413" spans="3:11" x14ac:dyDescent="0.25">
      <c r="C413" s="108"/>
      <c r="D413" s="108"/>
      <c r="E413" s="217"/>
      <c r="F413" s="104"/>
      <c r="G413" s="108"/>
      <c r="J413" s="174"/>
      <c r="K413" s="4"/>
    </row>
    <row r="414" spans="3:11" x14ac:dyDescent="0.25">
      <c r="C414" s="108"/>
      <c r="D414" s="108"/>
      <c r="E414" s="217"/>
      <c r="F414" s="104"/>
      <c r="G414" s="108"/>
      <c r="J414" s="174"/>
      <c r="K414" s="4"/>
    </row>
    <row r="415" spans="3:11" x14ac:dyDescent="0.25">
      <c r="C415" s="108"/>
      <c r="D415" s="108"/>
      <c r="E415" s="217"/>
      <c r="F415" s="104"/>
      <c r="G415" s="108"/>
      <c r="J415" s="174"/>
      <c r="K415" s="4"/>
    </row>
    <row r="416" spans="3:11" x14ac:dyDescent="0.25">
      <c r="C416" s="108"/>
      <c r="D416" s="108"/>
      <c r="E416" s="217"/>
      <c r="F416" s="104"/>
      <c r="G416" s="108"/>
      <c r="J416" s="174"/>
      <c r="K416" s="4"/>
    </row>
    <row r="417" spans="3:11" x14ac:dyDescent="0.25">
      <c r="C417" s="108"/>
      <c r="D417" s="217"/>
      <c r="E417" s="217"/>
      <c r="F417" s="104"/>
      <c r="G417" s="108"/>
      <c r="J417" s="174"/>
      <c r="K417" s="4"/>
    </row>
    <row r="418" spans="3:11" x14ac:dyDescent="0.25">
      <c r="C418" s="108"/>
      <c r="D418" s="108"/>
      <c r="E418" s="217"/>
      <c r="F418" s="104"/>
      <c r="G418" s="108"/>
      <c r="J418" s="174"/>
      <c r="K418" s="4"/>
    </row>
    <row r="419" spans="3:11" x14ac:dyDescent="0.25">
      <c r="C419" s="108"/>
      <c r="D419" s="217"/>
      <c r="E419" s="217"/>
      <c r="F419" s="104"/>
      <c r="G419" s="108"/>
      <c r="J419" s="174"/>
      <c r="K419" s="4"/>
    </row>
    <row r="420" spans="3:11" x14ac:dyDescent="0.25">
      <c r="C420" s="108"/>
      <c r="D420" s="217"/>
      <c r="E420" s="217"/>
      <c r="F420" s="104"/>
      <c r="G420" s="108"/>
      <c r="J420" s="174"/>
      <c r="K420" s="4"/>
    </row>
    <row r="421" spans="3:11" x14ac:dyDescent="0.25">
      <c r="C421" s="108"/>
      <c r="D421" s="108"/>
      <c r="E421" s="217"/>
      <c r="F421" s="104"/>
      <c r="G421" s="108"/>
      <c r="J421" s="174"/>
      <c r="K421" s="4"/>
    </row>
    <row r="422" spans="3:11" x14ac:dyDescent="0.25">
      <c r="C422" s="108"/>
      <c r="D422" s="108"/>
      <c r="E422" s="217"/>
      <c r="F422" s="104"/>
      <c r="G422" s="108"/>
      <c r="J422" s="174"/>
      <c r="K422" s="4"/>
    </row>
    <row r="423" spans="3:11" x14ac:dyDescent="0.25">
      <c r="C423" s="108"/>
      <c r="D423" s="217"/>
      <c r="E423" s="217"/>
      <c r="F423" s="104"/>
      <c r="G423" s="108"/>
      <c r="J423" s="174"/>
      <c r="K423" s="4"/>
    </row>
    <row r="424" spans="3:11" x14ac:dyDescent="0.25">
      <c r="C424" s="108"/>
      <c r="D424" s="217"/>
      <c r="E424" s="217"/>
      <c r="F424" s="104"/>
      <c r="G424" s="108"/>
      <c r="J424" s="174"/>
      <c r="K424" s="4"/>
    </row>
    <row r="425" spans="3:11" x14ac:dyDescent="0.25">
      <c r="C425" s="108"/>
      <c r="D425" s="108"/>
      <c r="E425" s="217"/>
      <c r="F425" s="104"/>
      <c r="G425" s="108"/>
      <c r="J425" s="174"/>
      <c r="K425" s="4"/>
    </row>
    <row r="426" spans="3:11" x14ac:dyDescent="0.25">
      <c r="C426" s="108"/>
      <c r="D426" s="217"/>
      <c r="E426" s="217"/>
      <c r="F426" s="104"/>
      <c r="G426" s="108"/>
      <c r="J426" s="174"/>
      <c r="K426" s="4"/>
    </row>
    <row r="427" spans="3:11" x14ac:dyDescent="0.25">
      <c r="C427" s="108"/>
      <c r="D427" s="217"/>
      <c r="E427" s="217"/>
      <c r="F427" s="104"/>
      <c r="G427" s="108"/>
      <c r="J427" s="174"/>
      <c r="K427" s="4"/>
    </row>
    <row r="428" spans="3:11" x14ac:dyDescent="0.25">
      <c r="C428" s="108"/>
      <c r="D428" s="217"/>
      <c r="E428" s="217"/>
      <c r="F428" s="104"/>
      <c r="G428" s="108"/>
      <c r="J428" s="174"/>
      <c r="K428" s="4"/>
    </row>
    <row r="429" spans="3:11" x14ac:dyDescent="0.25">
      <c r="C429" s="108"/>
      <c r="D429" s="217"/>
      <c r="E429" s="217"/>
      <c r="F429" s="104"/>
      <c r="G429" s="108"/>
      <c r="J429" s="174"/>
      <c r="K429" s="4"/>
    </row>
    <row r="430" spans="3:11" x14ac:dyDescent="0.25">
      <c r="C430" s="108"/>
      <c r="D430" s="108"/>
      <c r="E430" s="217"/>
      <c r="F430" s="104"/>
      <c r="G430" s="108"/>
      <c r="J430" s="174"/>
      <c r="K430" s="4"/>
    </row>
    <row r="431" spans="3:11" x14ac:dyDescent="0.25">
      <c r="C431" s="108"/>
      <c r="D431" s="108"/>
      <c r="E431" s="217"/>
      <c r="F431" s="104"/>
      <c r="G431" s="108"/>
      <c r="J431" s="174"/>
      <c r="K431" s="4"/>
    </row>
    <row r="432" spans="3:11" x14ac:dyDescent="0.25">
      <c r="C432" s="108"/>
      <c r="D432" s="108"/>
      <c r="E432" s="217"/>
      <c r="F432" s="104"/>
      <c r="G432" s="108"/>
      <c r="J432" s="174"/>
      <c r="K432" s="4"/>
    </row>
    <row r="433" spans="3:11" x14ac:dyDescent="0.25">
      <c r="C433" s="108"/>
      <c r="D433" s="217"/>
      <c r="E433" s="217"/>
      <c r="F433" s="104"/>
      <c r="G433" s="108"/>
      <c r="J433" s="174"/>
      <c r="K433" s="4"/>
    </row>
    <row r="434" spans="3:11" x14ac:dyDescent="0.25">
      <c r="C434" s="108"/>
      <c r="D434" s="108"/>
      <c r="E434" s="217"/>
      <c r="F434" s="104"/>
      <c r="G434" s="108"/>
      <c r="J434" s="174"/>
      <c r="K434" s="4"/>
    </row>
    <row r="435" spans="3:11" x14ac:dyDescent="0.25">
      <c r="C435" s="108"/>
      <c r="D435" s="217"/>
      <c r="E435" s="217"/>
      <c r="F435" s="104"/>
      <c r="G435" s="108"/>
      <c r="J435" s="174"/>
      <c r="K435" s="4"/>
    </row>
    <row r="436" spans="3:11" x14ac:dyDescent="0.25">
      <c r="C436" s="108"/>
      <c r="D436" s="108"/>
      <c r="E436" s="217"/>
      <c r="F436" s="104"/>
      <c r="G436" s="108"/>
      <c r="J436" s="174"/>
      <c r="K436" s="4"/>
    </row>
    <row r="437" spans="3:11" x14ac:dyDescent="0.25">
      <c r="C437" s="108"/>
      <c r="D437" s="217"/>
      <c r="E437" s="217"/>
      <c r="F437" s="104"/>
      <c r="G437" s="108"/>
      <c r="J437" s="174"/>
      <c r="K437" s="4"/>
    </row>
    <row r="438" spans="3:11" x14ac:dyDescent="0.25">
      <c r="C438" s="108"/>
      <c r="D438" s="217"/>
      <c r="E438" s="217"/>
      <c r="F438" s="104"/>
      <c r="G438" s="108"/>
      <c r="J438" s="174"/>
      <c r="K438" s="4"/>
    </row>
    <row r="439" spans="3:11" x14ac:dyDescent="0.25">
      <c r="C439" s="108"/>
      <c r="D439" s="217"/>
      <c r="E439" s="217"/>
      <c r="F439" s="104"/>
      <c r="G439" s="108"/>
      <c r="J439" s="174"/>
      <c r="K439" s="4"/>
    </row>
    <row r="440" spans="3:11" x14ac:dyDescent="0.25">
      <c r="C440" s="108"/>
      <c r="D440" s="217"/>
      <c r="E440" s="217"/>
      <c r="F440" s="104"/>
      <c r="G440" s="108"/>
      <c r="J440" s="174"/>
      <c r="K440" s="4"/>
    </row>
    <row r="441" spans="3:11" x14ac:dyDescent="0.25">
      <c r="C441" s="108"/>
      <c r="D441" s="217"/>
      <c r="E441" s="217"/>
      <c r="F441" s="104"/>
      <c r="G441" s="108"/>
      <c r="J441" s="174"/>
      <c r="K441" s="4"/>
    </row>
    <row r="442" spans="3:11" x14ac:dyDescent="0.25">
      <c r="C442" s="108"/>
      <c r="D442" s="217"/>
      <c r="E442" s="217"/>
      <c r="F442" s="104"/>
      <c r="G442" s="108"/>
      <c r="J442" s="174"/>
      <c r="K442" s="4"/>
    </row>
    <row r="443" spans="3:11" x14ac:dyDescent="0.25">
      <c r="C443" s="108"/>
      <c r="D443" s="217"/>
      <c r="E443" s="217"/>
      <c r="F443" s="104"/>
      <c r="G443" s="108"/>
      <c r="J443" s="174"/>
      <c r="K443" s="4"/>
    </row>
    <row r="444" spans="3:11" x14ac:dyDescent="0.25">
      <c r="C444" s="108"/>
      <c r="D444" s="217"/>
      <c r="E444" s="217"/>
      <c r="F444" s="104"/>
      <c r="G444" s="108"/>
      <c r="J444" s="174"/>
      <c r="K444" s="4"/>
    </row>
    <row r="445" spans="3:11" x14ac:dyDescent="0.25">
      <c r="C445" s="108"/>
      <c r="D445" s="217"/>
      <c r="E445" s="217"/>
      <c r="F445" s="104"/>
      <c r="G445" s="108"/>
      <c r="J445" s="174"/>
      <c r="K445" s="4"/>
    </row>
    <row r="446" spans="3:11" x14ac:dyDescent="0.25">
      <c r="C446" s="108"/>
      <c r="D446" s="217"/>
      <c r="E446" s="217"/>
      <c r="F446" s="104"/>
      <c r="G446" s="108"/>
      <c r="J446" s="174"/>
      <c r="K446" s="4"/>
    </row>
    <row r="447" spans="3:11" x14ac:dyDescent="0.25">
      <c r="C447" s="108"/>
      <c r="D447" s="108"/>
      <c r="E447" s="217"/>
      <c r="F447" s="104"/>
      <c r="G447" s="108"/>
      <c r="J447" s="174"/>
      <c r="K447" s="4"/>
    </row>
    <row r="448" spans="3:11" x14ac:dyDescent="0.25">
      <c r="C448" s="108"/>
      <c r="D448" s="108"/>
      <c r="E448" s="217"/>
      <c r="F448" s="104"/>
      <c r="G448" s="108"/>
      <c r="J448" s="174"/>
      <c r="K448" s="4"/>
    </row>
    <row r="449" spans="3:11" x14ac:dyDescent="0.25">
      <c r="C449" s="108"/>
      <c r="D449" s="217"/>
      <c r="E449" s="217"/>
      <c r="F449" s="104"/>
      <c r="G449" s="108"/>
      <c r="J449" s="174"/>
      <c r="K449" s="4"/>
    </row>
    <row r="450" spans="3:11" x14ac:dyDescent="0.25">
      <c r="C450" s="108"/>
      <c r="D450" s="217"/>
      <c r="E450" s="217"/>
      <c r="F450" s="104"/>
      <c r="G450" s="108"/>
      <c r="J450" s="174"/>
      <c r="K450" s="4"/>
    </row>
    <row r="451" spans="3:11" x14ac:dyDescent="0.25">
      <c r="C451" s="108"/>
      <c r="D451" s="217"/>
      <c r="E451" s="217"/>
      <c r="F451" s="104"/>
      <c r="G451" s="108"/>
      <c r="J451" s="174"/>
      <c r="K451" s="4"/>
    </row>
    <row r="452" spans="3:11" x14ac:dyDescent="0.25">
      <c r="C452" s="108"/>
      <c r="D452" s="108"/>
      <c r="E452" s="217"/>
      <c r="F452" s="104"/>
      <c r="G452" s="108"/>
      <c r="J452" s="174"/>
      <c r="K452" s="4"/>
    </row>
    <row r="453" spans="3:11" x14ac:dyDescent="0.25">
      <c r="C453" s="108"/>
      <c r="D453" s="217"/>
      <c r="E453" s="217"/>
      <c r="F453" s="104"/>
      <c r="G453" s="108"/>
      <c r="J453" s="174"/>
      <c r="K453" s="4"/>
    </row>
    <row r="454" spans="3:11" x14ac:dyDescent="0.25">
      <c r="C454" s="108"/>
      <c r="D454" s="217"/>
      <c r="E454" s="217"/>
      <c r="F454" s="104"/>
      <c r="G454" s="108"/>
      <c r="J454" s="174"/>
      <c r="K454" s="4"/>
    </row>
    <row r="455" spans="3:11" x14ac:dyDescent="0.25">
      <c r="C455" s="108"/>
      <c r="D455" s="217"/>
      <c r="E455" s="217"/>
      <c r="F455" s="104"/>
      <c r="G455" s="108"/>
      <c r="J455" s="174"/>
      <c r="K455" s="4"/>
    </row>
    <row r="456" spans="3:11" x14ac:dyDescent="0.25">
      <c r="C456" s="108"/>
      <c r="D456" s="217"/>
      <c r="E456" s="217"/>
      <c r="F456" s="104"/>
      <c r="G456" s="108"/>
      <c r="J456" s="174"/>
      <c r="K456" s="4"/>
    </row>
    <row r="457" spans="3:11" x14ac:dyDescent="0.25">
      <c r="C457" s="108"/>
      <c r="D457" s="217"/>
      <c r="E457" s="217"/>
      <c r="F457" s="104"/>
      <c r="G457" s="108"/>
      <c r="J457" s="174"/>
      <c r="K457" s="4"/>
    </row>
    <row r="458" spans="3:11" x14ac:dyDescent="0.25">
      <c r="C458" s="108"/>
      <c r="D458" s="217"/>
      <c r="E458" s="217"/>
      <c r="F458" s="104"/>
      <c r="G458" s="108"/>
      <c r="J458" s="174"/>
      <c r="K458" s="4"/>
    </row>
    <row r="459" spans="3:11" x14ac:dyDescent="0.25">
      <c r="C459" s="108"/>
      <c r="D459" s="217"/>
      <c r="E459" s="217"/>
      <c r="F459" s="104"/>
      <c r="G459" s="108"/>
      <c r="J459" s="174"/>
      <c r="K459" s="4"/>
    </row>
    <row r="460" spans="3:11" x14ac:dyDescent="0.25">
      <c r="C460" s="108"/>
      <c r="D460" s="217"/>
      <c r="E460" s="217"/>
      <c r="F460" s="104"/>
      <c r="G460" s="108"/>
      <c r="J460" s="174"/>
      <c r="K460" s="4"/>
    </row>
    <row r="461" spans="3:11" x14ac:dyDescent="0.25">
      <c r="C461" s="108"/>
      <c r="D461" s="217"/>
      <c r="E461" s="217"/>
      <c r="F461" s="104"/>
      <c r="G461" s="108"/>
      <c r="J461" s="174"/>
      <c r="K461" s="4"/>
    </row>
    <row r="462" spans="3:11" x14ac:dyDescent="0.25">
      <c r="C462" s="108"/>
      <c r="D462" s="217"/>
      <c r="E462" s="217"/>
      <c r="F462" s="104"/>
      <c r="G462" s="108"/>
      <c r="J462" s="174"/>
      <c r="K462" s="4"/>
    </row>
    <row r="463" spans="3:11" x14ac:dyDescent="0.25">
      <c r="C463" s="108"/>
      <c r="D463" s="108"/>
      <c r="E463" s="217"/>
      <c r="F463" s="104"/>
      <c r="G463" s="108"/>
      <c r="J463" s="174"/>
      <c r="K463" s="4"/>
    </row>
    <row r="464" spans="3:11" x14ac:dyDescent="0.25">
      <c r="C464" s="108"/>
      <c r="D464" s="108"/>
      <c r="E464" s="217"/>
      <c r="F464" s="104"/>
      <c r="G464" s="108"/>
      <c r="J464" s="174"/>
      <c r="K464" s="4"/>
    </row>
    <row r="465" spans="3:11" x14ac:dyDescent="0.25">
      <c r="C465" s="108"/>
      <c r="D465" s="217"/>
      <c r="E465" s="217"/>
      <c r="F465" s="104"/>
      <c r="G465" s="108"/>
      <c r="J465" s="174"/>
      <c r="K465" s="4"/>
    </row>
    <row r="466" spans="3:11" x14ac:dyDescent="0.25">
      <c r="C466" s="108"/>
      <c r="D466" s="217"/>
      <c r="E466" s="217"/>
      <c r="F466" s="104"/>
      <c r="G466" s="108"/>
      <c r="J466" s="174"/>
      <c r="K466" s="4"/>
    </row>
    <row r="467" spans="3:11" x14ac:dyDescent="0.25">
      <c r="C467" s="108"/>
      <c r="D467" s="217"/>
      <c r="E467" s="217"/>
      <c r="F467" s="104"/>
      <c r="G467" s="108"/>
      <c r="J467" s="174"/>
      <c r="K467" s="4"/>
    </row>
    <row r="468" spans="3:11" x14ac:dyDescent="0.25">
      <c r="C468" s="108"/>
      <c r="D468" s="217"/>
      <c r="E468" s="217"/>
      <c r="F468" s="104"/>
      <c r="G468" s="108"/>
      <c r="J468" s="174"/>
      <c r="K468" s="4"/>
    </row>
    <row r="469" spans="3:11" x14ac:dyDescent="0.25">
      <c r="C469" s="108"/>
      <c r="D469" s="217"/>
      <c r="E469" s="217"/>
      <c r="F469" s="104"/>
      <c r="G469" s="108"/>
      <c r="J469" s="174"/>
      <c r="K469" s="4"/>
    </row>
    <row r="470" spans="3:11" x14ac:dyDescent="0.25">
      <c r="C470" s="108"/>
      <c r="D470" s="217"/>
      <c r="E470" s="217"/>
      <c r="F470" s="104"/>
      <c r="G470" s="108"/>
      <c r="J470" s="174"/>
      <c r="K470" s="4"/>
    </row>
    <row r="471" spans="3:11" x14ac:dyDescent="0.25">
      <c r="C471" s="108"/>
      <c r="D471" s="217"/>
      <c r="E471" s="217"/>
      <c r="F471" s="104"/>
      <c r="G471" s="108"/>
      <c r="J471" s="174"/>
      <c r="K471" s="4"/>
    </row>
    <row r="472" spans="3:11" x14ac:dyDescent="0.25">
      <c r="C472" s="108"/>
      <c r="D472" s="217"/>
      <c r="E472" s="217"/>
      <c r="F472" s="104"/>
      <c r="G472" s="108"/>
      <c r="J472" s="174"/>
      <c r="K472" s="4"/>
    </row>
    <row r="473" spans="3:11" x14ac:dyDescent="0.25">
      <c r="C473" s="108"/>
      <c r="D473" s="217"/>
      <c r="E473" s="217"/>
      <c r="F473" s="104"/>
      <c r="G473" s="108"/>
      <c r="J473" s="174"/>
      <c r="K473" s="4"/>
    </row>
    <row r="474" spans="3:11" x14ac:dyDescent="0.25">
      <c r="C474" s="108"/>
      <c r="D474" s="217"/>
      <c r="E474" s="217"/>
      <c r="F474" s="104"/>
      <c r="G474" s="108"/>
      <c r="J474" s="174"/>
      <c r="K474" s="4"/>
    </row>
    <row r="475" spans="3:11" x14ac:dyDescent="0.25">
      <c r="C475" s="108"/>
      <c r="D475" s="217"/>
      <c r="E475" s="217"/>
      <c r="F475" s="104"/>
      <c r="G475" s="108"/>
      <c r="J475" s="174"/>
      <c r="K475" s="4"/>
    </row>
    <row r="476" spans="3:11" x14ac:dyDescent="0.25">
      <c r="C476" s="108"/>
      <c r="D476" s="217"/>
      <c r="E476" s="217"/>
      <c r="F476" s="104"/>
      <c r="G476" s="108"/>
      <c r="J476" s="174"/>
      <c r="K476" s="4"/>
    </row>
    <row r="477" spans="3:11" x14ac:dyDescent="0.25">
      <c r="C477" s="108"/>
      <c r="D477" s="217"/>
      <c r="E477" s="217"/>
      <c r="F477" s="104"/>
      <c r="G477" s="108"/>
      <c r="J477" s="174"/>
      <c r="K477" s="4"/>
    </row>
    <row r="478" spans="3:11" x14ac:dyDescent="0.25">
      <c r="C478" s="108"/>
      <c r="D478" s="217"/>
      <c r="E478" s="217"/>
      <c r="F478" s="104"/>
      <c r="G478" s="108"/>
      <c r="J478" s="174"/>
      <c r="K478" s="4"/>
    </row>
    <row r="479" spans="3:11" x14ac:dyDescent="0.25">
      <c r="C479" s="108"/>
      <c r="D479" s="217"/>
      <c r="E479" s="217"/>
      <c r="F479" s="104"/>
      <c r="G479" s="108"/>
      <c r="J479" s="174"/>
      <c r="K479" s="4"/>
    </row>
    <row r="480" spans="3:11" x14ac:dyDescent="0.25">
      <c r="C480" s="108"/>
      <c r="D480" s="217"/>
      <c r="E480" s="217"/>
      <c r="F480" s="104"/>
      <c r="G480" s="108"/>
      <c r="J480" s="174"/>
      <c r="K480" s="4"/>
    </row>
    <row r="481" spans="3:11" x14ac:dyDescent="0.25">
      <c r="C481" s="108"/>
      <c r="D481" s="217"/>
      <c r="E481" s="217"/>
      <c r="F481" s="104"/>
      <c r="G481" s="108"/>
      <c r="J481" s="174"/>
      <c r="K481" s="4"/>
    </row>
    <row r="482" spans="3:11" x14ac:dyDescent="0.25">
      <c r="C482" s="108"/>
      <c r="D482" s="217"/>
      <c r="E482" s="217"/>
      <c r="F482" s="104"/>
      <c r="G482" s="108"/>
      <c r="J482" s="174"/>
      <c r="K482" s="4"/>
    </row>
    <row r="483" spans="3:11" x14ac:dyDescent="0.25">
      <c r="C483" s="108"/>
      <c r="D483" s="217"/>
      <c r="E483" s="217"/>
      <c r="F483" s="104"/>
      <c r="G483" s="108"/>
      <c r="J483" s="174"/>
      <c r="K483" s="4"/>
    </row>
    <row r="484" spans="3:11" x14ac:dyDescent="0.25">
      <c r="C484" s="108"/>
      <c r="D484" s="217"/>
      <c r="E484" s="217"/>
      <c r="F484" s="104"/>
      <c r="G484" s="108"/>
      <c r="J484" s="174"/>
      <c r="K484" s="4"/>
    </row>
    <row r="485" spans="3:11" x14ac:dyDescent="0.25">
      <c r="C485" s="108"/>
      <c r="D485" s="217"/>
      <c r="E485" s="217"/>
      <c r="F485" s="104"/>
      <c r="G485" s="108"/>
      <c r="J485" s="174"/>
      <c r="K485" s="4"/>
    </row>
    <row r="486" spans="3:11" x14ac:dyDescent="0.25">
      <c r="C486" s="108"/>
      <c r="D486" s="108"/>
      <c r="E486" s="217"/>
      <c r="F486" s="104"/>
      <c r="G486" s="108"/>
      <c r="J486" s="174"/>
      <c r="K486" s="4"/>
    </row>
    <row r="487" spans="3:11" x14ac:dyDescent="0.25">
      <c r="C487" s="108"/>
      <c r="D487" s="108"/>
      <c r="E487" s="217"/>
      <c r="F487" s="104"/>
      <c r="G487" s="108"/>
      <c r="J487" s="174"/>
      <c r="K487" s="4"/>
    </row>
    <row r="488" spans="3:11" x14ac:dyDescent="0.25">
      <c r="C488" s="108"/>
      <c r="D488" s="217"/>
      <c r="E488" s="217"/>
      <c r="F488" s="104"/>
      <c r="G488" s="108"/>
      <c r="J488" s="174"/>
      <c r="K488" s="4"/>
    </row>
    <row r="489" spans="3:11" x14ac:dyDescent="0.25">
      <c r="C489" s="108"/>
      <c r="D489" s="217"/>
      <c r="E489" s="217"/>
      <c r="F489" s="104"/>
      <c r="G489" s="108"/>
      <c r="J489" s="174"/>
      <c r="K489" s="4"/>
    </row>
    <row r="490" spans="3:11" x14ac:dyDescent="0.25">
      <c r="C490" s="108"/>
      <c r="D490" s="108"/>
      <c r="E490" s="217"/>
      <c r="F490" s="104"/>
      <c r="G490" s="108"/>
      <c r="J490" s="174"/>
      <c r="K490" s="4"/>
    </row>
    <row r="491" spans="3:11" x14ac:dyDescent="0.25">
      <c r="C491" s="108"/>
      <c r="D491" s="217"/>
      <c r="E491" s="217"/>
      <c r="F491" s="104"/>
      <c r="G491" s="108"/>
      <c r="J491" s="174"/>
      <c r="K491" s="4"/>
    </row>
    <row r="492" spans="3:11" x14ac:dyDescent="0.25">
      <c r="C492" s="108"/>
      <c r="D492" s="217"/>
      <c r="E492" s="217"/>
      <c r="F492" s="104"/>
      <c r="G492" s="108"/>
      <c r="J492" s="174"/>
      <c r="K492" s="4"/>
    </row>
    <row r="493" spans="3:11" x14ac:dyDescent="0.25">
      <c r="C493" s="108"/>
      <c r="D493" s="217"/>
      <c r="E493" s="217"/>
      <c r="F493" s="104"/>
      <c r="G493" s="108"/>
      <c r="J493" s="174"/>
      <c r="K493" s="4"/>
    </row>
    <row r="494" spans="3:11" x14ac:dyDescent="0.25">
      <c r="C494" s="108"/>
      <c r="D494" s="217"/>
      <c r="E494" s="217"/>
      <c r="F494" s="104"/>
      <c r="G494" s="108"/>
      <c r="J494" s="174"/>
      <c r="K494" s="4"/>
    </row>
    <row r="495" spans="3:11" x14ac:dyDescent="0.25">
      <c r="C495" s="108"/>
      <c r="D495" s="217"/>
      <c r="E495" s="217"/>
      <c r="F495" s="104"/>
      <c r="G495" s="108"/>
      <c r="J495" s="174"/>
      <c r="K495" s="4"/>
    </row>
    <row r="496" spans="3:11" x14ac:dyDescent="0.25">
      <c r="C496" s="108"/>
      <c r="D496" s="217"/>
      <c r="E496" s="217"/>
      <c r="F496" s="104"/>
      <c r="G496" s="108"/>
      <c r="J496" s="174"/>
      <c r="K496" s="4"/>
    </row>
    <row r="497" spans="3:11" x14ac:dyDescent="0.25">
      <c r="C497" s="108"/>
      <c r="D497" s="217"/>
      <c r="E497" s="217"/>
      <c r="F497" s="104"/>
      <c r="G497" s="108"/>
      <c r="J497" s="174"/>
      <c r="K497" s="4"/>
    </row>
    <row r="498" spans="3:11" x14ac:dyDescent="0.25">
      <c r="C498" s="108"/>
      <c r="D498" s="217"/>
      <c r="E498" s="217"/>
      <c r="F498" s="104"/>
      <c r="G498" s="108"/>
      <c r="J498" s="174"/>
      <c r="K498" s="4"/>
    </row>
    <row r="499" spans="3:11" x14ac:dyDescent="0.25">
      <c r="C499" s="108"/>
      <c r="D499" s="217"/>
      <c r="E499" s="217"/>
      <c r="F499" s="104"/>
      <c r="G499" s="108"/>
      <c r="J499" s="174"/>
      <c r="K499" s="4"/>
    </row>
    <row r="500" spans="3:11" x14ac:dyDescent="0.25">
      <c r="C500" s="108"/>
      <c r="D500" s="217"/>
      <c r="E500" s="217"/>
      <c r="F500" s="104"/>
      <c r="G500" s="108"/>
      <c r="J500" s="174"/>
      <c r="K500" s="4"/>
    </row>
    <row r="501" spans="3:11" x14ac:dyDescent="0.25">
      <c r="C501" s="108"/>
      <c r="D501" s="217"/>
      <c r="E501" s="217"/>
      <c r="F501" s="104"/>
      <c r="G501" s="108"/>
      <c r="J501" s="174"/>
      <c r="K501" s="4"/>
    </row>
    <row r="502" spans="3:11" x14ac:dyDescent="0.25">
      <c r="C502" s="108"/>
      <c r="D502" s="217"/>
      <c r="E502" s="217"/>
      <c r="F502" s="104"/>
      <c r="G502" s="108"/>
      <c r="J502" s="174"/>
      <c r="K502" s="4"/>
    </row>
    <row r="503" spans="3:11" x14ac:dyDescent="0.25">
      <c r="C503" s="108"/>
      <c r="D503" s="217"/>
      <c r="E503" s="217"/>
      <c r="F503" s="104"/>
      <c r="G503" s="108"/>
      <c r="J503" s="174"/>
      <c r="K503" s="4"/>
    </row>
    <row r="504" spans="3:11" x14ac:dyDescent="0.25">
      <c r="C504" s="108"/>
      <c r="D504" s="217"/>
      <c r="E504" s="217"/>
      <c r="F504" s="104"/>
      <c r="G504" s="108"/>
      <c r="J504" s="174"/>
      <c r="K504" s="4"/>
    </row>
    <row r="505" spans="3:11" x14ac:dyDescent="0.25">
      <c r="C505" s="108"/>
      <c r="D505" s="217"/>
      <c r="E505" s="217"/>
      <c r="F505" s="104"/>
      <c r="G505" s="108"/>
      <c r="J505" s="174"/>
      <c r="K505" s="4"/>
    </row>
    <row r="506" spans="3:11" x14ac:dyDescent="0.25">
      <c r="C506" s="108"/>
      <c r="D506" s="217"/>
      <c r="E506" s="217"/>
      <c r="F506" s="104"/>
      <c r="G506" s="108"/>
      <c r="J506" s="174"/>
      <c r="K506" s="4"/>
    </row>
    <row r="507" spans="3:11" x14ac:dyDescent="0.25">
      <c r="C507" s="108"/>
      <c r="D507" s="217"/>
      <c r="E507" s="217"/>
      <c r="F507" s="104"/>
      <c r="G507" s="108"/>
      <c r="J507" s="174"/>
      <c r="K507" s="4"/>
    </row>
    <row r="508" spans="3:11" x14ac:dyDescent="0.25">
      <c r="C508" s="108"/>
      <c r="D508" s="217"/>
      <c r="E508" s="217"/>
      <c r="F508" s="104"/>
      <c r="G508" s="108"/>
      <c r="J508" s="174"/>
      <c r="K508" s="4"/>
    </row>
    <row r="509" spans="3:11" x14ac:dyDescent="0.25">
      <c r="C509" s="108"/>
      <c r="D509" s="217"/>
      <c r="E509" s="217"/>
      <c r="F509" s="104"/>
      <c r="G509" s="108"/>
      <c r="J509" s="174"/>
      <c r="K509" s="4"/>
    </row>
    <row r="510" spans="3:11" x14ac:dyDescent="0.25">
      <c r="C510" s="108"/>
      <c r="D510" s="217"/>
      <c r="E510" s="217"/>
      <c r="F510" s="104"/>
      <c r="G510" s="108"/>
      <c r="J510" s="174"/>
      <c r="K510" s="4"/>
    </row>
    <row r="511" spans="3:11" x14ac:dyDescent="0.25">
      <c r="C511" s="108"/>
      <c r="D511" s="217"/>
      <c r="E511" s="217"/>
      <c r="F511" s="104"/>
      <c r="G511" s="108"/>
      <c r="J511" s="174"/>
      <c r="K511" s="4"/>
    </row>
    <row r="512" spans="3:11" x14ac:dyDescent="0.25">
      <c r="C512" s="108"/>
      <c r="D512" s="217"/>
      <c r="E512" s="217"/>
      <c r="F512" s="104"/>
      <c r="G512" s="108"/>
      <c r="J512" s="174"/>
      <c r="K512" s="4"/>
    </row>
    <row r="513" spans="3:11" x14ac:dyDescent="0.25">
      <c r="C513" s="108"/>
      <c r="D513" s="217"/>
      <c r="E513" s="217"/>
      <c r="F513" s="104"/>
      <c r="G513" s="108"/>
      <c r="J513" s="174"/>
      <c r="K513" s="4"/>
    </row>
    <row r="514" spans="3:11" x14ac:dyDescent="0.25">
      <c r="C514" s="108"/>
      <c r="D514" s="217"/>
      <c r="E514" s="217"/>
      <c r="F514" s="104"/>
      <c r="G514" s="108"/>
      <c r="J514" s="174"/>
      <c r="K514" s="4"/>
    </row>
    <row r="515" spans="3:11" x14ac:dyDescent="0.25">
      <c r="C515" s="108"/>
      <c r="D515" s="217"/>
      <c r="E515" s="217"/>
      <c r="F515" s="104"/>
      <c r="G515" s="108"/>
      <c r="J515" s="174"/>
      <c r="K515" s="4"/>
    </row>
    <row r="516" spans="3:11" x14ac:dyDescent="0.25">
      <c r="C516" s="108"/>
      <c r="D516" s="217"/>
      <c r="E516" s="217"/>
      <c r="F516" s="104"/>
      <c r="G516" s="108"/>
      <c r="J516" s="174"/>
      <c r="K516" s="4"/>
    </row>
    <row r="517" spans="3:11" x14ac:dyDescent="0.25">
      <c r="C517" s="108"/>
      <c r="D517" s="217"/>
      <c r="E517" s="217"/>
      <c r="F517" s="104"/>
      <c r="G517" s="108"/>
      <c r="J517" s="174"/>
      <c r="K517" s="4"/>
    </row>
    <row r="518" spans="3:11" x14ac:dyDescent="0.25">
      <c r="C518" s="108"/>
      <c r="D518" s="217"/>
      <c r="E518" s="217"/>
      <c r="F518" s="104"/>
      <c r="G518" s="108"/>
      <c r="J518" s="174"/>
      <c r="K518" s="4"/>
    </row>
    <row r="519" spans="3:11" x14ac:dyDescent="0.25">
      <c r="C519" s="108"/>
      <c r="D519" s="217"/>
      <c r="E519" s="217"/>
      <c r="F519" s="104"/>
      <c r="G519" s="108"/>
      <c r="J519" s="174"/>
      <c r="K519" s="4"/>
    </row>
    <row r="520" spans="3:11" x14ac:dyDescent="0.25">
      <c r="C520" s="108"/>
      <c r="D520" s="217"/>
      <c r="E520" s="217"/>
      <c r="F520" s="104"/>
      <c r="G520" s="108"/>
      <c r="J520" s="174"/>
      <c r="K520" s="4"/>
    </row>
    <row r="521" spans="3:11" x14ac:dyDescent="0.25">
      <c r="C521" s="108"/>
      <c r="D521" s="217"/>
      <c r="E521" s="217"/>
      <c r="F521" s="104"/>
      <c r="G521" s="108"/>
      <c r="J521" s="174"/>
      <c r="K521" s="4"/>
    </row>
    <row r="522" spans="3:11" x14ac:dyDescent="0.25">
      <c r="C522" s="108"/>
      <c r="D522" s="217"/>
      <c r="E522" s="217"/>
      <c r="F522" s="104"/>
      <c r="G522" s="108"/>
      <c r="J522" s="174"/>
      <c r="K522" s="4"/>
    </row>
    <row r="523" spans="3:11" x14ac:dyDescent="0.25">
      <c r="C523" s="108"/>
      <c r="D523" s="217"/>
      <c r="E523" s="217"/>
      <c r="F523" s="104"/>
      <c r="G523" s="108"/>
      <c r="J523" s="174"/>
      <c r="K523" s="4"/>
    </row>
    <row r="524" spans="3:11" x14ac:dyDescent="0.25">
      <c r="C524" s="108"/>
      <c r="D524" s="217"/>
      <c r="E524" s="217"/>
      <c r="F524" s="104"/>
      <c r="G524" s="108"/>
      <c r="J524" s="174"/>
      <c r="K524" s="4"/>
    </row>
    <row r="525" spans="3:11" x14ac:dyDescent="0.25">
      <c r="C525" s="108"/>
      <c r="D525" s="217"/>
      <c r="E525" s="217"/>
      <c r="F525" s="104"/>
      <c r="G525" s="108"/>
      <c r="J525" s="174"/>
      <c r="K525" s="4"/>
    </row>
    <row r="526" spans="3:11" x14ac:dyDescent="0.25">
      <c r="C526" s="108"/>
      <c r="D526" s="217"/>
      <c r="E526" s="217"/>
      <c r="F526" s="104"/>
      <c r="G526" s="108"/>
      <c r="J526" s="174"/>
      <c r="K526" s="4"/>
    </row>
    <row r="527" spans="3:11" x14ac:dyDescent="0.25">
      <c r="C527" s="108"/>
      <c r="D527" s="217"/>
      <c r="E527" s="217"/>
      <c r="F527" s="104"/>
      <c r="G527" s="108"/>
      <c r="J527" s="174"/>
      <c r="K527" s="4"/>
    </row>
    <row r="528" spans="3:11" x14ac:dyDescent="0.25">
      <c r="C528" s="108"/>
      <c r="D528" s="217"/>
      <c r="E528" s="217"/>
      <c r="F528" s="104"/>
      <c r="G528" s="108"/>
      <c r="J528" s="174"/>
      <c r="K528" s="4"/>
    </row>
    <row r="529" spans="3:11" x14ac:dyDescent="0.25">
      <c r="C529" s="108"/>
      <c r="D529" s="217"/>
      <c r="E529" s="217"/>
      <c r="F529" s="104"/>
      <c r="G529" s="108"/>
      <c r="J529" s="174"/>
      <c r="K529" s="4"/>
    </row>
    <row r="530" spans="3:11" x14ac:dyDescent="0.25">
      <c r="C530" s="108"/>
      <c r="D530" s="217"/>
      <c r="E530" s="217"/>
      <c r="F530" s="104"/>
      <c r="G530" s="108"/>
      <c r="J530" s="174"/>
      <c r="K530" s="4"/>
    </row>
    <row r="531" spans="3:11" x14ac:dyDescent="0.25">
      <c r="C531" s="108"/>
      <c r="D531" s="217"/>
      <c r="E531" s="217"/>
      <c r="F531" s="104"/>
      <c r="G531" s="108"/>
      <c r="J531" s="174"/>
      <c r="K531" s="4"/>
    </row>
    <row r="532" spans="3:11" x14ac:dyDescent="0.25">
      <c r="C532" s="108"/>
      <c r="D532" s="217"/>
      <c r="E532" s="217"/>
      <c r="F532" s="104"/>
      <c r="G532" s="108"/>
      <c r="J532" s="174"/>
      <c r="K532" s="4"/>
    </row>
    <row r="533" spans="3:11" x14ac:dyDescent="0.25">
      <c r="C533" s="108"/>
      <c r="D533" s="217"/>
      <c r="E533" s="217"/>
      <c r="F533" s="104"/>
      <c r="G533" s="108"/>
      <c r="J533" s="174"/>
      <c r="K533" s="4"/>
    </row>
    <row r="534" spans="3:11" x14ac:dyDescent="0.25">
      <c r="C534" s="108"/>
      <c r="D534" s="217"/>
      <c r="E534" s="217"/>
      <c r="F534" s="104"/>
      <c r="G534" s="108"/>
      <c r="J534" s="174"/>
      <c r="K534" s="4"/>
    </row>
    <row r="535" spans="3:11" x14ac:dyDescent="0.25">
      <c r="C535" s="108"/>
      <c r="D535" s="217"/>
      <c r="E535" s="217"/>
      <c r="F535" s="104"/>
      <c r="G535" s="108"/>
      <c r="J535" s="174"/>
      <c r="K535" s="4"/>
    </row>
    <row r="536" spans="3:11" x14ac:dyDescent="0.25">
      <c r="C536" s="108"/>
      <c r="D536" s="217"/>
      <c r="E536" s="217"/>
      <c r="F536" s="104"/>
      <c r="G536" s="108"/>
      <c r="J536" s="174"/>
      <c r="K536" s="4"/>
    </row>
    <row r="537" spans="3:11" x14ac:dyDescent="0.25">
      <c r="C537" s="108"/>
      <c r="D537" s="217"/>
      <c r="E537" s="217"/>
      <c r="F537" s="104"/>
      <c r="G537" s="108"/>
      <c r="J537" s="174"/>
      <c r="K537" s="4"/>
    </row>
    <row r="538" spans="3:11" x14ac:dyDescent="0.25">
      <c r="C538" s="108"/>
      <c r="D538" s="217"/>
      <c r="E538" s="217"/>
      <c r="F538" s="104"/>
      <c r="G538" s="108"/>
      <c r="J538" s="174"/>
      <c r="K538" s="4"/>
    </row>
    <row r="539" spans="3:11" x14ac:dyDescent="0.25">
      <c r="C539" s="108"/>
      <c r="D539" s="217"/>
      <c r="E539" s="217"/>
      <c r="F539" s="104"/>
      <c r="G539" s="108"/>
      <c r="J539" s="174"/>
      <c r="K539" s="4"/>
    </row>
    <row r="540" spans="3:11" x14ac:dyDescent="0.25">
      <c r="C540" s="108"/>
      <c r="D540" s="217"/>
      <c r="E540" s="217"/>
      <c r="F540" s="104"/>
      <c r="G540" s="108"/>
      <c r="J540" s="174"/>
      <c r="K540" s="4"/>
    </row>
    <row r="541" spans="3:11" x14ac:dyDescent="0.25">
      <c r="C541" s="108"/>
      <c r="D541" s="217"/>
      <c r="E541" s="217"/>
      <c r="F541" s="104"/>
      <c r="G541" s="108"/>
      <c r="J541" s="174"/>
      <c r="K541" s="4"/>
    </row>
    <row r="542" spans="3:11" x14ac:dyDescent="0.25">
      <c r="C542" s="108"/>
      <c r="D542" s="217"/>
      <c r="E542" s="217"/>
      <c r="F542" s="104"/>
      <c r="G542" s="108"/>
      <c r="J542" s="174"/>
      <c r="K542" s="4"/>
    </row>
    <row r="543" spans="3:11" x14ac:dyDescent="0.25">
      <c r="C543" s="108"/>
      <c r="D543" s="217"/>
      <c r="E543" s="217"/>
      <c r="F543" s="104"/>
      <c r="G543" s="108"/>
      <c r="J543" s="174"/>
      <c r="K543" s="4"/>
    </row>
    <row r="544" spans="3:11" x14ac:dyDescent="0.25">
      <c r="C544" s="108"/>
      <c r="D544" s="217"/>
      <c r="E544" s="217"/>
      <c r="F544" s="104"/>
      <c r="G544" s="108"/>
      <c r="J544" s="174"/>
      <c r="K544" s="4"/>
    </row>
    <row r="545" spans="3:11" x14ac:dyDescent="0.25">
      <c r="C545" s="108"/>
      <c r="D545" s="217"/>
      <c r="E545" s="217"/>
      <c r="F545" s="104"/>
      <c r="G545" s="108"/>
      <c r="J545" s="174"/>
      <c r="K545" s="4"/>
    </row>
    <row r="546" spans="3:11" x14ac:dyDescent="0.25">
      <c r="C546" s="108"/>
      <c r="D546" s="217"/>
      <c r="E546" s="217"/>
      <c r="F546" s="104"/>
      <c r="G546" s="108"/>
      <c r="J546" s="174"/>
      <c r="K546" s="4"/>
    </row>
    <row r="547" spans="3:11" x14ac:dyDescent="0.25">
      <c r="C547" s="108"/>
      <c r="D547" s="217"/>
      <c r="E547" s="217"/>
      <c r="F547" s="104"/>
      <c r="G547" s="108"/>
      <c r="J547" s="174"/>
      <c r="K547" s="4"/>
    </row>
    <row r="548" spans="3:11" x14ac:dyDescent="0.25">
      <c r="C548" s="108"/>
      <c r="D548" s="217"/>
      <c r="E548" s="217"/>
      <c r="F548" s="104"/>
      <c r="G548" s="108"/>
      <c r="J548" s="174"/>
      <c r="K548" s="4"/>
    </row>
    <row r="549" spans="3:11" x14ac:dyDescent="0.25">
      <c r="C549" s="108"/>
      <c r="D549" s="217"/>
      <c r="E549" s="217"/>
      <c r="F549" s="104"/>
      <c r="G549" s="108"/>
      <c r="J549" s="174"/>
      <c r="K549" s="4"/>
    </row>
    <row r="550" spans="3:11" x14ac:dyDescent="0.25">
      <c r="C550" s="108"/>
      <c r="D550" s="217"/>
      <c r="E550" s="217"/>
      <c r="F550" s="104"/>
      <c r="G550" s="108"/>
      <c r="J550" s="174"/>
      <c r="K550" s="4"/>
    </row>
    <row r="551" spans="3:11" x14ac:dyDescent="0.25">
      <c r="C551" s="108"/>
      <c r="D551" s="217"/>
      <c r="E551" s="217"/>
      <c r="F551" s="104"/>
      <c r="G551" s="108"/>
      <c r="J551" s="174"/>
      <c r="K551" s="4"/>
    </row>
    <row r="552" spans="3:11" x14ac:dyDescent="0.25">
      <c r="C552" s="108"/>
      <c r="D552" s="217"/>
      <c r="E552" s="217"/>
      <c r="F552" s="104"/>
      <c r="G552" s="108"/>
      <c r="J552" s="174"/>
      <c r="K552" s="4"/>
    </row>
    <row r="553" spans="3:11" x14ac:dyDescent="0.25">
      <c r="C553" s="108"/>
      <c r="D553" s="217"/>
      <c r="E553" s="217"/>
      <c r="F553" s="104"/>
      <c r="G553" s="108"/>
      <c r="J553" s="174"/>
      <c r="K553" s="4"/>
    </row>
    <row r="554" spans="3:11" x14ac:dyDescent="0.25">
      <c r="C554" s="108"/>
      <c r="D554" s="217"/>
      <c r="E554" s="217"/>
      <c r="F554" s="104"/>
      <c r="G554" s="108"/>
      <c r="J554" s="174"/>
      <c r="K554" s="4"/>
    </row>
    <row r="555" spans="3:11" x14ac:dyDescent="0.25">
      <c r="C555" s="108"/>
      <c r="D555" s="217"/>
      <c r="E555" s="217"/>
      <c r="F555" s="104"/>
      <c r="G555" s="108"/>
      <c r="J555" s="174"/>
      <c r="K555" s="4"/>
    </row>
    <row r="556" spans="3:11" x14ac:dyDescent="0.25">
      <c r="C556" s="108"/>
      <c r="D556" s="217"/>
      <c r="E556" s="217"/>
      <c r="F556" s="104"/>
      <c r="G556" s="108"/>
      <c r="J556" s="174"/>
      <c r="K556" s="4"/>
    </row>
    <row r="557" spans="3:11" x14ac:dyDescent="0.25">
      <c r="C557" s="108"/>
      <c r="D557" s="217"/>
      <c r="E557" s="217"/>
      <c r="F557" s="104"/>
      <c r="G557" s="108"/>
      <c r="J557" s="174"/>
      <c r="K557" s="4"/>
    </row>
    <row r="558" spans="3:11" x14ac:dyDescent="0.25">
      <c r="C558" s="108"/>
      <c r="D558" s="217"/>
      <c r="E558" s="217"/>
      <c r="F558" s="104"/>
      <c r="G558" s="108"/>
      <c r="J558" s="174"/>
      <c r="K558" s="4"/>
    </row>
    <row r="559" spans="3:11" x14ac:dyDescent="0.25">
      <c r="C559" s="108"/>
      <c r="D559" s="217"/>
      <c r="E559" s="217"/>
      <c r="F559" s="104"/>
      <c r="G559" s="108"/>
      <c r="J559" s="174"/>
      <c r="K559" s="4"/>
    </row>
    <row r="560" spans="3:11" x14ac:dyDescent="0.25">
      <c r="C560" s="108"/>
      <c r="D560" s="217"/>
      <c r="E560" s="217"/>
      <c r="F560" s="104"/>
      <c r="G560" s="108"/>
      <c r="J560" s="174"/>
      <c r="K560" s="4"/>
    </row>
    <row r="561" spans="3:11" x14ac:dyDescent="0.25">
      <c r="C561" s="108"/>
      <c r="D561" s="217"/>
      <c r="E561" s="217"/>
      <c r="F561" s="104"/>
      <c r="G561" s="108"/>
      <c r="J561" s="174"/>
      <c r="K561" s="4"/>
    </row>
    <row r="562" spans="3:11" x14ac:dyDescent="0.25">
      <c r="C562" s="108"/>
      <c r="D562" s="217"/>
      <c r="E562" s="217"/>
      <c r="F562" s="104"/>
      <c r="G562" s="108"/>
      <c r="J562" s="174"/>
      <c r="K562" s="4"/>
    </row>
    <row r="563" spans="3:11" x14ac:dyDescent="0.25">
      <c r="C563" s="108"/>
      <c r="D563" s="217"/>
      <c r="E563" s="217"/>
      <c r="F563" s="104"/>
      <c r="G563" s="108"/>
      <c r="J563" s="174"/>
      <c r="K563" s="4"/>
    </row>
    <row r="564" spans="3:11" x14ac:dyDescent="0.25">
      <c r="C564" s="108"/>
      <c r="D564" s="217"/>
      <c r="E564" s="217"/>
      <c r="F564" s="104"/>
      <c r="G564" s="108"/>
      <c r="J564" s="174"/>
      <c r="K564" s="4"/>
    </row>
    <row r="565" spans="3:11" x14ac:dyDescent="0.25">
      <c r="C565" s="108"/>
      <c r="D565" s="217"/>
      <c r="E565" s="217"/>
      <c r="F565" s="104"/>
      <c r="G565" s="108"/>
      <c r="J565" s="174"/>
      <c r="K565" s="4"/>
    </row>
    <row r="566" spans="3:11" x14ac:dyDescent="0.25">
      <c r="C566" s="108"/>
      <c r="D566" s="217"/>
      <c r="E566" s="217"/>
      <c r="F566" s="104"/>
      <c r="G566" s="108"/>
      <c r="J566" s="174"/>
      <c r="K566" s="4"/>
    </row>
    <row r="567" spans="3:11" x14ac:dyDescent="0.25">
      <c r="C567" s="108"/>
      <c r="D567" s="217"/>
      <c r="E567" s="217"/>
      <c r="F567" s="104"/>
      <c r="G567" s="108"/>
      <c r="J567" s="174"/>
      <c r="K567" s="4"/>
    </row>
    <row r="568" spans="3:11" x14ac:dyDescent="0.25">
      <c r="C568" s="108"/>
      <c r="D568" s="217"/>
      <c r="E568" s="217"/>
      <c r="F568" s="104"/>
      <c r="G568" s="108"/>
      <c r="J568" s="174"/>
      <c r="K568" s="4"/>
    </row>
    <row r="569" spans="3:11" x14ac:dyDescent="0.25">
      <c r="C569" s="108"/>
      <c r="D569" s="217"/>
      <c r="E569" s="217"/>
      <c r="F569" s="104"/>
      <c r="G569" s="108"/>
      <c r="J569" s="174"/>
      <c r="K569" s="4"/>
    </row>
    <row r="570" spans="3:11" x14ac:dyDescent="0.25">
      <c r="C570" s="108"/>
      <c r="D570" s="217"/>
      <c r="E570" s="217"/>
      <c r="F570" s="104"/>
      <c r="G570" s="108"/>
      <c r="J570" s="174"/>
      <c r="K570" s="4"/>
    </row>
    <row r="571" spans="3:11" x14ac:dyDescent="0.25">
      <c r="C571" s="108"/>
      <c r="D571" s="217"/>
      <c r="E571" s="217"/>
      <c r="F571" s="104"/>
      <c r="G571" s="108"/>
      <c r="J571" s="174"/>
      <c r="K571" s="4"/>
    </row>
    <row r="572" spans="3:11" x14ac:dyDescent="0.25">
      <c r="C572" s="108"/>
      <c r="D572" s="217"/>
      <c r="E572" s="217"/>
      <c r="F572" s="104"/>
      <c r="G572" s="108"/>
      <c r="J572" s="174"/>
      <c r="K572" s="4"/>
    </row>
    <row r="573" spans="3:11" x14ac:dyDescent="0.25">
      <c r="C573" s="108"/>
      <c r="D573" s="217"/>
      <c r="E573" s="217"/>
      <c r="F573" s="104"/>
      <c r="G573" s="108"/>
      <c r="J573" s="174"/>
      <c r="K573" s="4"/>
    </row>
    <row r="574" spans="3:11" x14ac:dyDescent="0.25">
      <c r="C574" s="108"/>
      <c r="D574" s="217"/>
      <c r="E574" s="217"/>
      <c r="F574" s="104"/>
      <c r="G574" s="108"/>
      <c r="J574" s="174"/>
      <c r="K574" s="4"/>
    </row>
    <row r="575" spans="3:11" x14ac:dyDescent="0.25">
      <c r="C575" s="108"/>
      <c r="D575" s="217"/>
      <c r="E575" s="217"/>
      <c r="F575" s="104"/>
      <c r="G575" s="108"/>
      <c r="J575" s="174"/>
      <c r="K575" s="4"/>
    </row>
    <row r="576" spans="3:11" x14ac:dyDescent="0.25">
      <c r="C576" s="108"/>
      <c r="D576" s="217"/>
      <c r="E576" s="217"/>
      <c r="F576" s="104"/>
      <c r="G576" s="108"/>
      <c r="J576" s="174"/>
      <c r="K576" s="4"/>
    </row>
    <row r="577" spans="3:11" x14ac:dyDescent="0.25">
      <c r="C577" s="108"/>
      <c r="D577" s="217"/>
      <c r="E577" s="217"/>
      <c r="F577" s="104"/>
      <c r="G577" s="108"/>
      <c r="J577" s="174"/>
      <c r="K577" s="4"/>
    </row>
    <row r="578" spans="3:11" x14ac:dyDescent="0.25">
      <c r="C578" s="108"/>
      <c r="D578" s="217"/>
      <c r="E578" s="217"/>
      <c r="F578" s="104"/>
      <c r="G578" s="108"/>
      <c r="J578" s="174"/>
      <c r="K578" s="4"/>
    </row>
    <row r="579" spans="3:11" x14ac:dyDescent="0.25">
      <c r="C579" s="108"/>
      <c r="D579" s="217"/>
      <c r="E579" s="217"/>
      <c r="F579" s="104"/>
      <c r="G579" s="108"/>
      <c r="J579" s="174"/>
      <c r="K579" s="4"/>
    </row>
    <row r="580" spans="3:11" x14ac:dyDescent="0.25">
      <c r="C580" s="108"/>
      <c r="D580" s="217"/>
      <c r="E580" s="217"/>
      <c r="F580" s="104"/>
      <c r="G580" s="108"/>
      <c r="J580" s="174"/>
      <c r="K580" s="4"/>
    </row>
    <row r="581" spans="3:11" x14ac:dyDescent="0.25">
      <c r="C581" s="108"/>
      <c r="D581" s="217"/>
      <c r="E581" s="217"/>
      <c r="F581" s="104"/>
      <c r="G581" s="108"/>
      <c r="J581" s="174"/>
      <c r="K581" s="4"/>
    </row>
    <row r="582" spans="3:11" x14ac:dyDescent="0.25">
      <c r="C582" s="108"/>
      <c r="D582" s="217"/>
      <c r="E582" s="217"/>
      <c r="F582" s="104"/>
      <c r="G582" s="108"/>
      <c r="J582" s="174"/>
      <c r="K582" s="4"/>
    </row>
    <row r="583" spans="3:11" x14ac:dyDescent="0.25">
      <c r="C583" s="108"/>
      <c r="D583" s="217"/>
      <c r="E583" s="217"/>
      <c r="F583" s="104"/>
      <c r="G583" s="108"/>
      <c r="J583" s="174"/>
      <c r="K583" s="4"/>
    </row>
    <row r="584" spans="3:11" x14ac:dyDescent="0.25">
      <c r="C584" s="108"/>
      <c r="D584" s="217"/>
      <c r="E584" s="217"/>
      <c r="F584" s="104"/>
      <c r="G584" s="108"/>
      <c r="J584" s="174"/>
      <c r="K584" s="4"/>
    </row>
    <row r="585" spans="3:11" x14ac:dyDescent="0.25">
      <c r="C585" s="108"/>
      <c r="D585" s="217"/>
      <c r="E585" s="217"/>
      <c r="F585" s="104"/>
      <c r="G585" s="108"/>
      <c r="J585" s="174"/>
      <c r="K585" s="4"/>
    </row>
    <row r="586" spans="3:11" x14ac:dyDescent="0.25">
      <c r="C586" s="108"/>
      <c r="D586" s="217"/>
      <c r="E586" s="217"/>
      <c r="F586" s="104"/>
      <c r="G586" s="108"/>
      <c r="J586" s="174"/>
      <c r="K586" s="4"/>
    </row>
    <row r="587" spans="3:11" x14ac:dyDescent="0.25">
      <c r="C587" s="108"/>
      <c r="D587" s="217"/>
      <c r="E587" s="217"/>
      <c r="F587" s="104"/>
      <c r="G587" s="108"/>
      <c r="J587" s="174"/>
      <c r="K587" s="4"/>
    </row>
    <row r="588" spans="3:11" x14ac:dyDescent="0.25">
      <c r="C588" s="108"/>
      <c r="D588" s="217"/>
      <c r="E588" s="217"/>
      <c r="F588" s="104"/>
      <c r="G588" s="108"/>
      <c r="J588" s="174"/>
      <c r="K588" s="4"/>
    </row>
    <row r="589" spans="3:11" x14ac:dyDescent="0.25">
      <c r="C589" s="108"/>
      <c r="D589" s="217"/>
      <c r="E589" s="217"/>
      <c r="F589" s="104"/>
      <c r="G589" s="108"/>
      <c r="J589" s="174"/>
      <c r="K589" s="4"/>
    </row>
    <row r="590" spans="3:11" x14ac:dyDescent="0.25">
      <c r="C590" s="108"/>
      <c r="D590" s="217"/>
      <c r="E590" s="217"/>
      <c r="F590" s="104"/>
      <c r="G590" s="108"/>
      <c r="J590" s="174"/>
      <c r="K590" s="4"/>
    </row>
    <row r="591" spans="3:11" x14ac:dyDescent="0.25">
      <c r="C591" s="108"/>
      <c r="D591" s="217"/>
      <c r="E591" s="217"/>
      <c r="F591" s="104"/>
      <c r="G591" s="108"/>
      <c r="J591" s="174"/>
      <c r="K591" s="4"/>
    </row>
    <row r="592" spans="3:11" x14ac:dyDescent="0.25">
      <c r="C592" s="108"/>
      <c r="D592" s="217"/>
      <c r="E592" s="217"/>
      <c r="F592" s="104"/>
      <c r="G592" s="108"/>
      <c r="J592" s="174"/>
      <c r="K592" s="4"/>
    </row>
    <row r="593" spans="3:11" x14ac:dyDescent="0.25">
      <c r="C593" s="108"/>
      <c r="D593" s="217"/>
      <c r="E593" s="217"/>
      <c r="F593" s="104"/>
      <c r="G593" s="108"/>
      <c r="J593" s="174"/>
      <c r="K593" s="4"/>
    </row>
    <row r="594" spans="3:11" x14ac:dyDescent="0.25">
      <c r="C594" s="108"/>
      <c r="D594" s="217"/>
      <c r="E594" s="217"/>
      <c r="F594" s="104"/>
      <c r="G594" s="108"/>
      <c r="J594" s="174"/>
      <c r="K594" s="4"/>
    </row>
    <row r="595" spans="3:11" x14ac:dyDescent="0.25">
      <c r="C595" s="108"/>
      <c r="D595" s="217"/>
      <c r="E595" s="217"/>
      <c r="F595" s="104"/>
      <c r="G595" s="108"/>
      <c r="J595" s="174"/>
      <c r="K595" s="4"/>
    </row>
    <row r="596" spans="3:11" x14ac:dyDescent="0.25">
      <c r="C596" s="108"/>
      <c r="D596" s="217"/>
      <c r="E596" s="217"/>
      <c r="F596" s="104"/>
      <c r="G596" s="108"/>
      <c r="J596" s="174"/>
      <c r="K596" s="4"/>
    </row>
    <row r="597" spans="3:11" x14ac:dyDescent="0.25">
      <c r="C597" s="108"/>
      <c r="D597" s="217"/>
      <c r="E597" s="217"/>
      <c r="F597" s="104"/>
      <c r="G597" s="108"/>
      <c r="J597" s="174"/>
      <c r="K597" s="4"/>
    </row>
    <row r="598" spans="3:11" x14ac:dyDescent="0.25">
      <c r="C598" s="108"/>
      <c r="D598" s="217"/>
      <c r="E598" s="217"/>
      <c r="F598" s="104"/>
      <c r="G598" s="108"/>
      <c r="J598" s="174"/>
      <c r="K598" s="4"/>
    </row>
    <row r="599" spans="3:11" x14ac:dyDescent="0.25">
      <c r="C599" s="108"/>
      <c r="D599" s="217"/>
      <c r="E599" s="217"/>
      <c r="F599" s="104"/>
      <c r="G599" s="108"/>
      <c r="J599" s="174"/>
      <c r="K599" s="4"/>
    </row>
    <row r="600" spans="3:11" x14ac:dyDescent="0.25">
      <c r="C600" s="108"/>
      <c r="D600" s="217"/>
      <c r="E600" s="217"/>
      <c r="F600" s="104"/>
      <c r="G600" s="108"/>
      <c r="J600" s="174"/>
      <c r="K600" s="4"/>
    </row>
    <row r="601" spans="3:11" x14ac:dyDescent="0.25">
      <c r="C601" s="108"/>
      <c r="D601" s="217"/>
      <c r="E601" s="217"/>
      <c r="F601" s="104"/>
      <c r="G601" s="108"/>
      <c r="J601" s="174"/>
      <c r="K601" s="4"/>
    </row>
    <row r="602" spans="3:11" x14ac:dyDescent="0.25">
      <c r="C602" s="108"/>
      <c r="D602" s="217"/>
      <c r="E602" s="217"/>
      <c r="F602" s="104"/>
      <c r="G602" s="108"/>
      <c r="J602" s="174"/>
      <c r="K602" s="4"/>
    </row>
    <row r="603" spans="3:11" x14ac:dyDescent="0.25">
      <c r="C603" s="108"/>
      <c r="D603" s="217"/>
      <c r="E603" s="217"/>
      <c r="F603" s="104"/>
      <c r="G603" s="108"/>
      <c r="J603" s="174"/>
      <c r="K603" s="4"/>
    </row>
    <row r="604" spans="3:11" x14ac:dyDescent="0.25">
      <c r="C604" s="108"/>
      <c r="D604" s="217"/>
      <c r="E604" s="217"/>
      <c r="F604" s="104"/>
      <c r="G604" s="108"/>
      <c r="J604" s="174"/>
      <c r="K604" s="4"/>
    </row>
    <row r="605" spans="3:11" x14ac:dyDescent="0.25">
      <c r="C605" s="108"/>
      <c r="D605" s="217"/>
      <c r="E605" s="217"/>
      <c r="F605" s="104"/>
      <c r="G605" s="108"/>
      <c r="J605" s="174"/>
      <c r="K605" s="4"/>
    </row>
    <row r="606" spans="3:11" x14ac:dyDescent="0.25">
      <c r="C606" s="108"/>
      <c r="D606" s="217"/>
      <c r="E606" s="217"/>
      <c r="F606" s="104"/>
      <c r="G606" s="108"/>
      <c r="J606" s="174"/>
      <c r="K606" s="4"/>
    </row>
    <row r="607" spans="3:11" x14ac:dyDescent="0.25">
      <c r="C607" s="108"/>
      <c r="D607" s="217"/>
      <c r="E607" s="217"/>
      <c r="F607" s="104"/>
      <c r="G607" s="108"/>
      <c r="J607" s="174"/>
      <c r="K607" s="4"/>
    </row>
    <row r="608" spans="3:11" x14ac:dyDescent="0.25">
      <c r="C608" s="108"/>
      <c r="D608" s="217"/>
      <c r="E608" s="217"/>
      <c r="F608" s="104"/>
      <c r="G608" s="108"/>
      <c r="J608" s="174"/>
      <c r="K608" s="4"/>
    </row>
    <row r="609" spans="3:11" x14ac:dyDescent="0.25">
      <c r="C609" s="108"/>
      <c r="D609" s="217"/>
      <c r="E609" s="217"/>
      <c r="F609" s="104"/>
      <c r="G609" s="108"/>
      <c r="J609" s="174"/>
      <c r="K609" s="4"/>
    </row>
    <row r="610" spans="3:11" x14ac:dyDescent="0.25">
      <c r="C610" s="108"/>
      <c r="D610" s="217"/>
      <c r="E610" s="217"/>
      <c r="F610" s="104"/>
      <c r="G610" s="108"/>
      <c r="J610" s="174"/>
      <c r="K610" s="4"/>
    </row>
    <row r="611" spans="3:11" x14ac:dyDescent="0.25">
      <c r="C611" s="108"/>
      <c r="D611" s="217"/>
      <c r="E611" s="217"/>
      <c r="F611" s="104"/>
      <c r="G611" s="108"/>
      <c r="J611" s="174"/>
      <c r="K611" s="4"/>
    </row>
    <row r="612" spans="3:11" x14ac:dyDescent="0.25">
      <c r="C612" s="108"/>
      <c r="D612" s="217"/>
      <c r="E612" s="217"/>
      <c r="F612" s="104"/>
      <c r="G612" s="108"/>
      <c r="J612" s="174"/>
      <c r="K612" s="4"/>
    </row>
    <row r="613" spans="3:11" x14ac:dyDescent="0.25">
      <c r="C613" s="108"/>
      <c r="D613" s="217"/>
      <c r="E613" s="217"/>
      <c r="F613" s="104"/>
      <c r="G613" s="108"/>
      <c r="J613" s="174"/>
      <c r="K613" s="4"/>
    </row>
    <row r="614" spans="3:11" x14ac:dyDescent="0.25">
      <c r="C614" s="108"/>
      <c r="D614" s="217"/>
      <c r="E614" s="217"/>
      <c r="F614" s="104"/>
      <c r="G614" s="108"/>
      <c r="J614" s="174"/>
      <c r="K614" s="4"/>
    </row>
    <row r="615" spans="3:11" x14ac:dyDescent="0.25">
      <c r="C615" s="108"/>
      <c r="D615" s="217"/>
      <c r="E615" s="217"/>
      <c r="F615" s="104"/>
      <c r="G615" s="108"/>
      <c r="J615" s="174"/>
      <c r="K615" s="4"/>
    </row>
    <row r="616" spans="3:11" x14ac:dyDescent="0.25">
      <c r="C616" s="108"/>
      <c r="D616" s="217"/>
      <c r="E616" s="217"/>
      <c r="F616" s="104"/>
      <c r="G616" s="108"/>
      <c r="J616" s="174"/>
      <c r="K616" s="4"/>
    </row>
    <row r="617" spans="3:11" x14ac:dyDescent="0.25">
      <c r="C617" s="108"/>
      <c r="D617" s="217"/>
      <c r="E617" s="217"/>
      <c r="F617" s="104"/>
      <c r="G617" s="108"/>
      <c r="J617" s="174"/>
      <c r="K617" s="4"/>
    </row>
    <row r="618" spans="3:11" x14ac:dyDescent="0.25">
      <c r="C618" s="108"/>
      <c r="D618" s="217"/>
      <c r="E618" s="217"/>
      <c r="F618" s="104"/>
      <c r="G618" s="108"/>
      <c r="J618" s="174"/>
      <c r="K618" s="4"/>
    </row>
    <row r="619" spans="3:11" x14ac:dyDescent="0.25">
      <c r="C619" s="108"/>
      <c r="D619" s="217"/>
      <c r="E619" s="217"/>
      <c r="F619" s="104"/>
      <c r="G619" s="108"/>
      <c r="J619" s="174"/>
      <c r="K619" s="4"/>
    </row>
    <row r="620" spans="3:11" x14ac:dyDescent="0.25">
      <c r="C620" s="108"/>
      <c r="D620" s="217"/>
      <c r="E620" s="217"/>
      <c r="F620" s="104"/>
      <c r="G620" s="108"/>
      <c r="J620" s="174"/>
      <c r="K620" s="4"/>
    </row>
    <row r="621" spans="3:11" x14ac:dyDescent="0.25">
      <c r="C621" s="108"/>
      <c r="D621" s="217"/>
      <c r="E621" s="217"/>
      <c r="F621" s="104"/>
      <c r="G621" s="108"/>
      <c r="J621" s="174"/>
      <c r="K621" s="4"/>
    </row>
    <row r="622" spans="3:11" x14ac:dyDescent="0.25">
      <c r="C622" s="108"/>
      <c r="D622" s="217"/>
      <c r="E622" s="217"/>
      <c r="F622" s="104"/>
      <c r="G622" s="108"/>
      <c r="J622" s="174"/>
      <c r="K622" s="4"/>
    </row>
    <row r="623" spans="3:11" x14ac:dyDescent="0.25">
      <c r="C623" s="108"/>
      <c r="D623" s="217"/>
      <c r="E623" s="217"/>
      <c r="F623" s="104"/>
      <c r="G623" s="108"/>
      <c r="J623" s="174"/>
      <c r="K623" s="4"/>
    </row>
    <row r="624" spans="3:11" x14ac:dyDescent="0.25">
      <c r="C624" s="108"/>
      <c r="D624" s="217"/>
      <c r="E624" s="217"/>
      <c r="F624" s="104"/>
      <c r="G624" s="108"/>
      <c r="J624" s="174"/>
      <c r="K624" s="4"/>
    </row>
    <row r="625" spans="3:11" x14ac:dyDescent="0.25">
      <c r="C625" s="108"/>
      <c r="D625" s="217"/>
      <c r="E625" s="217"/>
      <c r="F625" s="104"/>
      <c r="G625" s="108"/>
      <c r="J625" s="174"/>
      <c r="K625" s="4"/>
    </row>
    <row r="626" spans="3:11" x14ac:dyDescent="0.25">
      <c r="C626" s="108"/>
      <c r="D626" s="217"/>
      <c r="E626" s="217"/>
      <c r="F626" s="104"/>
      <c r="G626" s="108"/>
      <c r="J626" s="174"/>
      <c r="K626" s="4"/>
    </row>
    <row r="627" spans="3:11" x14ac:dyDescent="0.25">
      <c r="C627" s="108"/>
      <c r="D627" s="217"/>
      <c r="E627" s="217"/>
      <c r="F627" s="104"/>
      <c r="G627" s="108"/>
      <c r="J627" s="174"/>
      <c r="K627" s="4"/>
    </row>
    <row r="628" spans="3:11" x14ac:dyDescent="0.25">
      <c r="C628" s="108"/>
      <c r="D628" s="217"/>
      <c r="E628" s="217"/>
      <c r="F628" s="104"/>
      <c r="G628" s="108"/>
      <c r="J628" s="174"/>
      <c r="K628" s="4"/>
    </row>
    <row r="629" spans="3:11" x14ac:dyDescent="0.25">
      <c r="C629" s="108"/>
      <c r="D629" s="217"/>
      <c r="E629" s="217"/>
      <c r="F629" s="104"/>
      <c r="G629" s="108"/>
      <c r="J629" s="174"/>
      <c r="K629" s="4"/>
    </row>
    <row r="630" spans="3:11" x14ac:dyDescent="0.25">
      <c r="C630" s="108"/>
      <c r="D630" s="217"/>
      <c r="E630" s="217"/>
      <c r="F630" s="104"/>
      <c r="G630" s="108"/>
      <c r="J630" s="174"/>
      <c r="K630" s="4"/>
    </row>
    <row r="631" spans="3:11" x14ac:dyDescent="0.25">
      <c r="C631" s="108"/>
      <c r="D631" s="217"/>
      <c r="E631" s="217"/>
      <c r="F631" s="104"/>
      <c r="G631" s="108"/>
      <c r="J631" s="174"/>
      <c r="K631" s="4"/>
    </row>
    <row r="632" spans="3:11" x14ac:dyDescent="0.25">
      <c r="C632" s="108"/>
      <c r="D632" s="217"/>
      <c r="E632" s="217"/>
      <c r="F632" s="104"/>
      <c r="G632" s="108"/>
      <c r="J632" s="174"/>
      <c r="K632" s="4"/>
    </row>
    <row r="633" spans="3:11" x14ac:dyDescent="0.25">
      <c r="C633" s="108"/>
      <c r="D633" s="217"/>
      <c r="E633" s="217"/>
      <c r="F633" s="104"/>
      <c r="G633" s="108"/>
      <c r="J633" s="174"/>
      <c r="K633" s="4"/>
    </row>
    <row r="634" spans="3:11" x14ac:dyDescent="0.25">
      <c r="C634" s="108"/>
      <c r="D634" s="217"/>
      <c r="E634" s="217"/>
      <c r="F634" s="104"/>
      <c r="G634" s="108"/>
      <c r="J634" s="174"/>
      <c r="K634" s="4"/>
    </row>
    <row r="635" spans="3:11" x14ac:dyDescent="0.25">
      <c r="C635" s="108"/>
      <c r="D635" s="217"/>
      <c r="E635" s="217"/>
      <c r="F635" s="104"/>
      <c r="G635" s="108"/>
      <c r="J635" s="174"/>
      <c r="K635" s="4"/>
    </row>
    <row r="636" spans="3:11" x14ac:dyDescent="0.25">
      <c r="C636" s="108"/>
      <c r="D636" s="217"/>
      <c r="E636" s="217"/>
      <c r="F636" s="104"/>
      <c r="G636" s="108"/>
      <c r="J636" s="174"/>
      <c r="K636" s="4"/>
    </row>
    <row r="637" spans="3:11" x14ac:dyDescent="0.25">
      <c r="C637" s="108"/>
      <c r="D637" s="217"/>
      <c r="E637" s="217"/>
      <c r="F637" s="104"/>
      <c r="G637" s="108"/>
      <c r="J637" s="174"/>
      <c r="K637" s="4"/>
    </row>
    <row r="638" spans="3:11" x14ac:dyDescent="0.25">
      <c r="C638" s="108"/>
      <c r="D638" s="217"/>
      <c r="E638" s="217"/>
      <c r="F638" s="104"/>
      <c r="G638" s="108"/>
      <c r="J638" s="174"/>
      <c r="K638" s="4"/>
    </row>
    <row r="639" spans="3:11" x14ac:dyDescent="0.25">
      <c r="C639" s="108"/>
      <c r="D639" s="217"/>
      <c r="E639" s="217"/>
      <c r="F639" s="104"/>
      <c r="G639" s="108"/>
      <c r="J639" s="174"/>
      <c r="K639" s="4"/>
    </row>
    <row r="640" spans="3:11" x14ac:dyDescent="0.25">
      <c r="C640" s="108"/>
      <c r="D640" s="217"/>
      <c r="E640" s="217"/>
      <c r="F640" s="104"/>
      <c r="G640" s="108"/>
      <c r="J640" s="174"/>
      <c r="K640" s="4"/>
    </row>
    <row r="641" spans="3:11" x14ac:dyDescent="0.25">
      <c r="C641" s="108"/>
      <c r="D641" s="217"/>
      <c r="E641" s="217"/>
      <c r="F641" s="104"/>
      <c r="G641" s="108"/>
      <c r="J641" s="174"/>
      <c r="K641" s="4"/>
    </row>
    <row r="642" spans="3:11" x14ac:dyDescent="0.25">
      <c r="C642" s="108"/>
      <c r="D642" s="217"/>
      <c r="E642" s="217"/>
      <c r="F642" s="104"/>
      <c r="G642" s="108"/>
      <c r="J642" s="174"/>
      <c r="K642" s="4"/>
    </row>
    <row r="643" spans="3:11" x14ac:dyDescent="0.25">
      <c r="C643" s="108"/>
      <c r="D643" s="217"/>
      <c r="E643" s="217"/>
      <c r="F643" s="104"/>
      <c r="G643" s="108"/>
      <c r="J643" s="174"/>
      <c r="K643" s="4"/>
    </row>
    <row r="644" spans="3:11" x14ac:dyDescent="0.25">
      <c r="C644" s="108"/>
      <c r="D644" s="217"/>
      <c r="E644" s="217"/>
      <c r="F644" s="104"/>
      <c r="G644" s="108"/>
      <c r="J644" s="174"/>
      <c r="K644" s="4"/>
    </row>
    <row r="645" spans="3:11" x14ac:dyDescent="0.25">
      <c r="C645" s="108"/>
      <c r="D645" s="217"/>
      <c r="E645" s="217"/>
      <c r="F645" s="104"/>
      <c r="G645" s="108"/>
      <c r="J645" s="174"/>
      <c r="K645" s="4"/>
    </row>
    <row r="646" spans="3:11" x14ac:dyDescent="0.25">
      <c r="C646" s="108"/>
      <c r="D646" s="217"/>
      <c r="E646" s="217"/>
      <c r="F646" s="104"/>
      <c r="G646" s="108"/>
      <c r="J646" s="174"/>
      <c r="K646" s="4"/>
    </row>
    <row r="647" spans="3:11" x14ac:dyDescent="0.25">
      <c r="C647" s="108"/>
      <c r="D647" s="217"/>
      <c r="E647" s="217"/>
      <c r="F647" s="104"/>
      <c r="G647" s="108"/>
      <c r="J647" s="174"/>
      <c r="K647" s="4"/>
    </row>
    <row r="648" spans="3:11" x14ac:dyDescent="0.25">
      <c r="C648" s="108"/>
      <c r="D648" s="217"/>
      <c r="E648" s="217"/>
      <c r="F648" s="104"/>
      <c r="G648" s="108"/>
      <c r="J648" s="174"/>
      <c r="K648" s="4"/>
    </row>
    <row r="649" spans="3:11" x14ac:dyDescent="0.25">
      <c r="C649" s="108"/>
      <c r="D649" s="217"/>
      <c r="E649" s="217"/>
      <c r="F649" s="104"/>
      <c r="G649" s="108"/>
      <c r="J649" s="174"/>
      <c r="K649" s="4"/>
    </row>
    <row r="650" spans="3:11" x14ac:dyDescent="0.25">
      <c r="C650" s="108"/>
      <c r="D650" s="217"/>
      <c r="E650" s="217"/>
      <c r="F650" s="104"/>
      <c r="G650" s="108"/>
      <c r="J650" s="174"/>
      <c r="K650" s="4"/>
    </row>
    <row r="651" spans="3:11" x14ac:dyDescent="0.25">
      <c r="C651" s="108"/>
      <c r="D651" s="217"/>
      <c r="E651" s="217"/>
      <c r="F651" s="104"/>
      <c r="G651" s="108"/>
      <c r="J651" s="174"/>
      <c r="K651" s="4"/>
    </row>
    <row r="652" spans="3:11" x14ac:dyDescent="0.25">
      <c r="C652" s="108"/>
      <c r="D652" s="217"/>
      <c r="E652" s="217"/>
      <c r="F652" s="104"/>
      <c r="G652" s="108"/>
      <c r="J652" s="174"/>
      <c r="K652" s="4"/>
    </row>
    <row r="653" spans="3:11" x14ac:dyDescent="0.25">
      <c r="C653" s="108"/>
      <c r="D653" s="217"/>
      <c r="E653" s="217"/>
      <c r="F653" s="104"/>
      <c r="G653" s="108"/>
      <c r="J653" s="174"/>
      <c r="K653" s="4"/>
    </row>
    <row r="654" spans="3:11" x14ac:dyDescent="0.25">
      <c r="C654" s="108"/>
      <c r="D654" s="217"/>
      <c r="E654" s="217"/>
      <c r="F654" s="104"/>
      <c r="G654" s="108"/>
      <c r="J654" s="174"/>
      <c r="K654" s="4"/>
    </row>
    <row r="655" spans="3:11" x14ac:dyDescent="0.25">
      <c r="C655" s="108"/>
      <c r="D655" s="217"/>
      <c r="E655" s="217"/>
      <c r="F655" s="104"/>
      <c r="G655" s="108"/>
      <c r="J655" s="174"/>
      <c r="K655" s="4"/>
    </row>
    <row r="656" spans="3:11" x14ac:dyDescent="0.25">
      <c r="C656" s="108"/>
      <c r="D656" s="217"/>
      <c r="E656" s="217"/>
      <c r="F656" s="104"/>
      <c r="G656" s="108"/>
      <c r="J656" s="174"/>
      <c r="K656" s="4"/>
    </row>
    <row r="657" spans="3:11" x14ac:dyDescent="0.25">
      <c r="C657" s="108"/>
      <c r="D657" s="217"/>
      <c r="E657" s="217"/>
      <c r="F657" s="104"/>
      <c r="G657" s="108"/>
      <c r="J657" s="174"/>
      <c r="K657" s="4"/>
    </row>
    <row r="658" spans="3:11" x14ac:dyDescent="0.25">
      <c r="C658" s="108"/>
      <c r="D658" s="217"/>
      <c r="E658" s="217"/>
      <c r="F658" s="104"/>
      <c r="G658" s="108"/>
      <c r="J658" s="174"/>
      <c r="K658" s="4"/>
    </row>
    <row r="659" spans="3:11" x14ac:dyDescent="0.25">
      <c r="C659" s="108"/>
      <c r="D659" s="217"/>
      <c r="E659" s="217"/>
      <c r="F659" s="104"/>
      <c r="G659" s="108"/>
      <c r="J659" s="174"/>
      <c r="K659" s="4"/>
    </row>
    <row r="660" spans="3:11" x14ac:dyDescent="0.25">
      <c r="C660" s="108"/>
      <c r="D660" s="217"/>
      <c r="E660" s="217"/>
      <c r="F660" s="104"/>
      <c r="G660" s="108"/>
      <c r="J660" s="174"/>
      <c r="K660" s="4"/>
    </row>
    <row r="661" spans="3:11" x14ac:dyDescent="0.25">
      <c r="C661" s="108"/>
      <c r="D661" s="217"/>
      <c r="E661" s="217"/>
      <c r="F661" s="104"/>
      <c r="G661" s="108"/>
      <c r="J661" s="174"/>
      <c r="K661" s="4"/>
    </row>
    <row r="662" spans="3:11" x14ac:dyDescent="0.25">
      <c r="C662" s="108"/>
      <c r="D662" s="217"/>
      <c r="E662" s="217"/>
      <c r="F662" s="104"/>
      <c r="G662" s="108"/>
      <c r="J662" s="174"/>
      <c r="K662" s="4"/>
    </row>
    <row r="663" spans="3:11" x14ac:dyDescent="0.25">
      <c r="C663" s="108"/>
      <c r="D663" s="217"/>
      <c r="E663" s="217"/>
      <c r="F663" s="104"/>
      <c r="G663" s="108"/>
      <c r="J663" s="174"/>
      <c r="K663" s="4"/>
    </row>
    <row r="664" spans="3:11" x14ac:dyDescent="0.25">
      <c r="C664" s="108"/>
      <c r="D664" s="217"/>
      <c r="E664" s="217"/>
      <c r="F664" s="104"/>
      <c r="G664" s="108"/>
      <c r="J664" s="174"/>
      <c r="K664" s="4"/>
    </row>
    <row r="665" spans="3:11" x14ac:dyDescent="0.25">
      <c r="C665" s="108"/>
      <c r="D665" s="217"/>
      <c r="E665" s="217"/>
      <c r="F665" s="104"/>
      <c r="G665" s="108"/>
      <c r="J665" s="174"/>
      <c r="K665" s="4"/>
    </row>
    <row r="666" spans="3:11" x14ac:dyDescent="0.25">
      <c r="C666" s="108"/>
      <c r="D666" s="217"/>
      <c r="E666" s="217"/>
      <c r="F666" s="104"/>
      <c r="G666" s="108"/>
      <c r="J666" s="174"/>
      <c r="K666" s="4"/>
    </row>
    <row r="667" spans="3:11" x14ac:dyDescent="0.25">
      <c r="C667" s="108"/>
      <c r="D667" s="217"/>
      <c r="E667" s="217"/>
      <c r="F667" s="104"/>
      <c r="G667" s="108"/>
      <c r="J667" s="174"/>
      <c r="K667" s="4"/>
    </row>
    <row r="668" spans="3:11" x14ac:dyDescent="0.25">
      <c r="C668" s="108"/>
      <c r="D668" s="217"/>
      <c r="E668" s="217"/>
      <c r="F668" s="104"/>
      <c r="G668" s="108"/>
      <c r="J668" s="174"/>
      <c r="K668" s="4"/>
    </row>
    <row r="669" spans="3:11" x14ac:dyDescent="0.25">
      <c r="C669" s="108"/>
      <c r="D669" s="217"/>
      <c r="E669" s="217"/>
      <c r="F669" s="104"/>
      <c r="G669" s="108"/>
      <c r="J669" s="174"/>
      <c r="K669" s="4"/>
    </row>
    <row r="670" spans="3:11" x14ac:dyDescent="0.25">
      <c r="C670" s="108"/>
      <c r="D670" s="217"/>
      <c r="E670" s="217"/>
      <c r="F670" s="104"/>
      <c r="G670" s="108"/>
      <c r="J670" s="174"/>
      <c r="K670" s="4"/>
    </row>
    <row r="671" spans="3:11" x14ac:dyDescent="0.25">
      <c r="C671" s="108"/>
      <c r="D671" s="217"/>
      <c r="E671" s="217"/>
      <c r="F671" s="104"/>
      <c r="G671" s="108"/>
      <c r="J671" s="174"/>
      <c r="K671" s="4"/>
    </row>
    <row r="672" spans="3:11" x14ac:dyDescent="0.25">
      <c r="C672" s="108"/>
      <c r="D672" s="217"/>
      <c r="E672" s="217"/>
      <c r="F672" s="104"/>
      <c r="G672" s="108"/>
      <c r="J672" s="174"/>
      <c r="K672" s="4"/>
    </row>
    <row r="673" spans="3:11" x14ac:dyDescent="0.25">
      <c r="C673" s="108"/>
      <c r="D673" s="217"/>
      <c r="E673" s="217"/>
      <c r="F673" s="104"/>
      <c r="G673" s="108"/>
      <c r="J673" s="174"/>
      <c r="K673" s="4"/>
    </row>
    <row r="674" spans="3:11" x14ac:dyDescent="0.25">
      <c r="C674" s="108"/>
      <c r="D674" s="217"/>
      <c r="E674" s="217"/>
      <c r="F674" s="104"/>
      <c r="G674" s="108"/>
      <c r="J674" s="174"/>
      <c r="K674" s="4"/>
    </row>
    <row r="675" spans="3:11" x14ac:dyDescent="0.25">
      <c r="C675" s="108"/>
      <c r="D675" s="217"/>
      <c r="E675" s="217"/>
      <c r="F675" s="104"/>
      <c r="G675" s="108"/>
      <c r="J675" s="174"/>
      <c r="K675" s="4"/>
    </row>
    <row r="676" spans="3:11" x14ac:dyDescent="0.25">
      <c r="C676" s="108"/>
      <c r="D676" s="217"/>
      <c r="E676" s="217"/>
      <c r="F676" s="104"/>
      <c r="G676" s="108"/>
      <c r="J676" s="174"/>
      <c r="K676" s="4"/>
    </row>
    <row r="677" spans="3:11" x14ac:dyDescent="0.25">
      <c r="C677" s="108"/>
      <c r="D677" s="217"/>
      <c r="E677" s="217"/>
      <c r="F677" s="104"/>
      <c r="G677" s="108"/>
      <c r="J677" s="174"/>
      <c r="K677" s="4"/>
    </row>
    <row r="678" spans="3:11" x14ac:dyDescent="0.25">
      <c r="C678" s="108"/>
      <c r="D678" s="217"/>
      <c r="E678" s="217"/>
      <c r="F678" s="104"/>
      <c r="G678" s="108"/>
      <c r="J678" s="174"/>
      <c r="K678" s="4"/>
    </row>
    <row r="679" spans="3:11" x14ac:dyDescent="0.25">
      <c r="C679" s="108"/>
      <c r="D679" s="217"/>
      <c r="E679" s="217"/>
      <c r="F679" s="104"/>
      <c r="G679" s="108"/>
      <c r="J679" s="174"/>
      <c r="K679" s="4"/>
    </row>
    <row r="680" spans="3:11" x14ac:dyDescent="0.25">
      <c r="C680" s="108"/>
      <c r="D680" s="217"/>
      <c r="E680" s="217"/>
      <c r="F680" s="104"/>
      <c r="G680" s="108"/>
      <c r="J680" s="174"/>
      <c r="K680" s="4"/>
    </row>
    <row r="681" spans="3:11" x14ac:dyDescent="0.25">
      <c r="C681" s="108"/>
      <c r="D681" s="217"/>
      <c r="E681" s="217"/>
      <c r="F681" s="104"/>
      <c r="G681" s="108"/>
      <c r="J681" s="174"/>
      <c r="K681" s="4"/>
    </row>
    <row r="682" spans="3:11" x14ac:dyDescent="0.25">
      <c r="C682" s="108"/>
      <c r="D682" s="217"/>
      <c r="E682" s="217"/>
      <c r="F682" s="104"/>
      <c r="G682" s="108"/>
      <c r="J682" s="174"/>
      <c r="K682" s="4"/>
    </row>
    <row r="683" spans="3:11" x14ac:dyDescent="0.25">
      <c r="C683" s="108"/>
      <c r="D683" s="217"/>
      <c r="E683" s="217"/>
      <c r="F683" s="104"/>
      <c r="G683" s="108"/>
      <c r="J683" s="174"/>
      <c r="K683" s="4"/>
    </row>
    <row r="684" spans="3:11" x14ac:dyDescent="0.25">
      <c r="C684" s="108"/>
      <c r="D684" s="217"/>
      <c r="E684" s="217"/>
      <c r="F684" s="104"/>
      <c r="G684" s="108"/>
      <c r="J684" s="174"/>
      <c r="K684" s="4"/>
    </row>
    <row r="685" spans="3:11" x14ac:dyDescent="0.25">
      <c r="C685" s="108"/>
      <c r="D685" s="217"/>
      <c r="E685" s="217"/>
      <c r="F685" s="104"/>
      <c r="G685" s="108"/>
      <c r="J685" s="174"/>
      <c r="K685" s="4"/>
    </row>
    <row r="686" spans="3:11" x14ac:dyDescent="0.25">
      <c r="C686" s="108"/>
      <c r="D686" s="217"/>
      <c r="E686" s="217"/>
      <c r="F686" s="104"/>
      <c r="G686" s="108"/>
      <c r="J686" s="174"/>
      <c r="K686" s="4"/>
    </row>
    <row r="687" spans="3:11" x14ac:dyDescent="0.25">
      <c r="C687" s="108"/>
      <c r="D687" s="217"/>
      <c r="E687" s="217"/>
      <c r="F687" s="104"/>
      <c r="G687" s="108"/>
      <c r="J687" s="174"/>
      <c r="K687" s="4"/>
    </row>
    <row r="688" spans="3:11" x14ac:dyDescent="0.25">
      <c r="C688" s="108"/>
      <c r="D688" s="217"/>
      <c r="E688" s="217"/>
      <c r="F688" s="104"/>
      <c r="G688" s="108"/>
      <c r="J688" s="174"/>
      <c r="K688" s="4"/>
    </row>
    <row r="689" spans="3:11" x14ac:dyDescent="0.25">
      <c r="C689" s="108"/>
      <c r="D689" s="217"/>
      <c r="E689" s="217"/>
      <c r="F689" s="104"/>
      <c r="G689" s="108"/>
      <c r="J689" s="174"/>
      <c r="K689" s="4"/>
    </row>
    <row r="690" spans="3:11" x14ac:dyDescent="0.25">
      <c r="C690" s="108"/>
      <c r="D690" s="217"/>
      <c r="E690" s="217"/>
      <c r="F690" s="104"/>
      <c r="G690" s="108"/>
      <c r="J690" s="174"/>
      <c r="K690" s="4"/>
    </row>
    <row r="691" spans="3:11" x14ac:dyDescent="0.25">
      <c r="C691" s="108"/>
      <c r="D691" s="217"/>
      <c r="E691" s="217"/>
      <c r="F691" s="104"/>
      <c r="G691" s="108"/>
      <c r="J691" s="174"/>
      <c r="K691" s="4"/>
    </row>
    <row r="692" spans="3:11" x14ac:dyDescent="0.25">
      <c r="C692" s="108"/>
      <c r="D692" s="217"/>
      <c r="E692" s="217"/>
      <c r="F692" s="104"/>
      <c r="G692" s="108"/>
      <c r="J692" s="174"/>
      <c r="K692" s="4"/>
    </row>
    <row r="693" spans="3:11" x14ac:dyDescent="0.25">
      <c r="C693" s="108"/>
      <c r="D693" s="217"/>
      <c r="E693" s="217"/>
      <c r="F693" s="104"/>
      <c r="G693" s="108"/>
      <c r="J693" s="174"/>
      <c r="K693" s="4"/>
    </row>
    <row r="694" spans="3:11" x14ac:dyDescent="0.25">
      <c r="C694" s="108"/>
      <c r="D694" s="217"/>
      <c r="E694" s="217"/>
      <c r="F694" s="104"/>
      <c r="G694" s="108"/>
      <c r="J694" s="174"/>
      <c r="K694" s="4"/>
    </row>
    <row r="695" spans="3:11" x14ac:dyDescent="0.25">
      <c r="C695" s="108"/>
      <c r="D695" s="217"/>
      <c r="E695" s="217"/>
      <c r="F695" s="104"/>
      <c r="G695" s="108"/>
      <c r="J695" s="174"/>
      <c r="K695" s="4"/>
    </row>
    <row r="696" spans="3:11" x14ac:dyDescent="0.25">
      <c r="C696" s="108"/>
      <c r="D696" s="217"/>
      <c r="E696" s="217"/>
      <c r="F696" s="104"/>
      <c r="G696" s="108"/>
      <c r="J696" s="174"/>
      <c r="K696" s="4"/>
    </row>
    <row r="697" spans="3:11" x14ac:dyDescent="0.25">
      <c r="C697" s="108"/>
      <c r="D697" s="217"/>
      <c r="E697" s="217"/>
      <c r="F697" s="104"/>
      <c r="G697" s="108"/>
      <c r="J697" s="174"/>
      <c r="K697" s="4"/>
    </row>
    <row r="698" spans="3:11" x14ac:dyDescent="0.25">
      <c r="C698" s="108"/>
      <c r="D698" s="217"/>
      <c r="E698" s="217"/>
      <c r="F698" s="104"/>
      <c r="G698" s="108"/>
      <c r="J698" s="174"/>
      <c r="K698" s="4"/>
    </row>
    <row r="699" spans="3:11" x14ac:dyDescent="0.25">
      <c r="C699" s="108"/>
      <c r="D699" s="217"/>
      <c r="E699" s="217"/>
      <c r="F699" s="104"/>
      <c r="G699" s="108"/>
      <c r="J699" s="174"/>
      <c r="K699" s="4"/>
    </row>
    <row r="700" spans="3:11" x14ac:dyDescent="0.25">
      <c r="C700" s="108"/>
      <c r="D700" s="217"/>
      <c r="E700" s="217"/>
      <c r="F700" s="104"/>
      <c r="G700" s="108"/>
      <c r="J700" s="174"/>
      <c r="K700" s="4"/>
    </row>
    <row r="701" spans="3:11" x14ac:dyDescent="0.25">
      <c r="C701" s="108"/>
      <c r="D701" s="217"/>
      <c r="E701" s="217"/>
      <c r="F701" s="104"/>
      <c r="G701" s="108"/>
      <c r="J701" s="174"/>
      <c r="K701" s="4"/>
    </row>
    <row r="702" spans="3:11" x14ac:dyDescent="0.25">
      <c r="C702" s="108"/>
      <c r="D702" s="217"/>
      <c r="E702" s="217"/>
      <c r="F702" s="104"/>
      <c r="G702" s="108"/>
      <c r="J702" s="174"/>
      <c r="K702" s="4"/>
    </row>
    <row r="703" spans="3:11" x14ac:dyDescent="0.25">
      <c r="C703" s="108"/>
      <c r="D703" s="217"/>
      <c r="E703" s="217"/>
      <c r="F703" s="104"/>
      <c r="G703" s="108"/>
      <c r="J703" s="174"/>
      <c r="K703" s="4"/>
    </row>
    <row r="704" spans="3:11" x14ac:dyDescent="0.25">
      <c r="C704" s="108"/>
      <c r="D704" s="217"/>
      <c r="E704" s="217"/>
      <c r="F704" s="104"/>
      <c r="G704" s="108"/>
      <c r="J704" s="174"/>
      <c r="K704" s="4"/>
    </row>
    <row r="705" spans="3:11" x14ac:dyDescent="0.25">
      <c r="C705" s="108"/>
      <c r="D705" s="217"/>
      <c r="E705" s="217"/>
      <c r="F705" s="104"/>
      <c r="G705" s="108"/>
      <c r="J705" s="174"/>
      <c r="K705" s="4"/>
    </row>
    <row r="706" spans="3:11" x14ac:dyDescent="0.25">
      <c r="C706" s="108"/>
      <c r="D706" s="217"/>
      <c r="E706" s="217"/>
      <c r="F706" s="104"/>
      <c r="G706" s="108"/>
      <c r="J706" s="174"/>
      <c r="K706" s="4"/>
    </row>
    <row r="707" spans="3:11" x14ac:dyDescent="0.25">
      <c r="C707" s="108"/>
      <c r="D707" s="217"/>
      <c r="E707" s="217"/>
      <c r="F707" s="104"/>
      <c r="G707" s="108"/>
      <c r="J707" s="174"/>
      <c r="K707" s="4"/>
    </row>
    <row r="708" spans="3:11" x14ac:dyDescent="0.25">
      <c r="C708" s="108"/>
      <c r="D708" s="217"/>
      <c r="E708" s="217"/>
      <c r="F708" s="104"/>
      <c r="G708" s="108"/>
      <c r="J708" s="174"/>
      <c r="K708" s="4"/>
    </row>
    <row r="709" spans="3:11" x14ac:dyDescent="0.25">
      <c r="C709" s="108"/>
      <c r="D709" s="217"/>
      <c r="E709" s="217"/>
      <c r="F709" s="104"/>
      <c r="G709" s="108"/>
      <c r="J709" s="174"/>
      <c r="K709" s="4"/>
    </row>
    <row r="710" spans="3:11" x14ac:dyDescent="0.25">
      <c r="C710" s="108"/>
      <c r="D710" s="217"/>
      <c r="E710" s="217"/>
      <c r="F710" s="104"/>
      <c r="G710" s="108"/>
      <c r="J710" s="174"/>
      <c r="K710" s="4"/>
    </row>
    <row r="711" spans="3:11" x14ac:dyDescent="0.25">
      <c r="C711" s="108"/>
      <c r="D711" s="217"/>
      <c r="E711" s="217"/>
      <c r="F711" s="104"/>
      <c r="G711" s="108"/>
      <c r="J711" s="174"/>
      <c r="K711" s="4"/>
    </row>
    <row r="712" spans="3:11" x14ac:dyDescent="0.25">
      <c r="C712" s="108"/>
      <c r="D712" s="217"/>
      <c r="E712" s="217"/>
      <c r="F712" s="104"/>
      <c r="G712" s="108"/>
      <c r="J712" s="174"/>
      <c r="K712" s="4"/>
    </row>
    <row r="713" spans="3:11" x14ac:dyDescent="0.25">
      <c r="C713" s="108"/>
      <c r="D713" s="217"/>
      <c r="E713" s="217"/>
      <c r="F713" s="104"/>
      <c r="G713" s="108"/>
      <c r="J713" s="174"/>
      <c r="K713" s="4"/>
    </row>
    <row r="714" spans="3:11" x14ac:dyDescent="0.25">
      <c r="C714" s="108"/>
      <c r="D714" s="217"/>
      <c r="E714" s="217"/>
      <c r="F714" s="104"/>
      <c r="G714" s="108"/>
      <c r="J714" s="174"/>
      <c r="K714" s="4"/>
    </row>
    <row r="715" spans="3:11" x14ac:dyDescent="0.25">
      <c r="C715" s="108"/>
      <c r="D715" s="217"/>
      <c r="E715" s="217"/>
      <c r="F715" s="104"/>
      <c r="G715" s="108"/>
      <c r="J715" s="174"/>
      <c r="K715" s="4"/>
    </row>
    <row r="716" spans="3:11" x14ac:dyDescent="0.25">
      <c r="C716" s="108"/>
      <c r="D716" s="217"/>
      <c r="E716" s="217"/>
      <c r="F716" s="104"/>
      <c r="G716" s="108"/>
      <c r="J716" s="174"/>
      <c r="K716" s="4"/>
    </row>
    <row r="717" spans="3:11" x14ac:dyDescent="0.25">
      <c r="C717" s="108"/>
      <c r="D717" s="217"/>
      <c r="E717" s="217"/>
      <c r="F717" s="104"/>
      <c r="G717" s="108"/>
      <c r="J717" s="174"/>
      <c r="K717" s="4"/>
    </row>
    <row r="718" spans="3:11" x14ac:dyDescent="0.25">
      <c r="C718" s="108"/>
      <c r="D718" s="217"/>
      <c r="E718" s="217"/>
      <c r="F718" s="104"/>
      <c r="G718" s="108"/>
      <c r="J718" s="174"/>
      <c r="K718" s="4"/>
    </row>
    <row r="719" spans="3:11" x14ac:dyDescent="0.25">
      <c r="C719" s="108"/>
      <c r="D719" s="217"/>
      <c r="E719" s="217"/>
      <c r="F719" s="104"/>
      <c r="G719" s="108"/>
      <c r="J719" s="174"/>
      <c r="K719" s="4"/>
    </row>
    <row r="720" spans="3:11" x14ac:dyDescent="0.25">
      <c r="C720" s="108"/>
      <c r="D720" s="217"/>
      <c r="E720" s="217"/>
      <c r="F720" s="104"/>
      <c r="G720" s="108"/>
      <c r="J720" s="174"/>
      <c r="K720" s="4"/>
    </row>
    <row r="721" spans="3:11" x14ac:dyDescent="0.25">
      <c r="C721" s="108"/>
      <c r="D721" s="217"/>
      <c r="E721" s="217"/>
      <c r="F721" s="104"/>
      <c r="G721" s="108"/>
      <c r="J721" s="174"/>
      <c r="K721" s="4"/>
    </row>
    <row r="722" spans="3:11" x14ac:dyDescent="0.25">
      <c r="C722" s="108"/>
      <c r="D722" s="217"/>
      <c r="E722" s="217"/>
      <c r="F722" s="104"/>
      <c r="G722" s="108"/>
      <c r="J722" s="174"/>
      <c r="K722" s="4"/>
    </row>
    <row r="723" spans="3:11" x14ac:dyDescent="0.25">
      <c r="C723" s="108"/>
      <c r="D723" s="217"/>
      <c r="E723" s="217"/>
      <c r="F723" s="104"/>
      <c r="G723" s="108"/>
      <c r="J723" s="174"/>
      <c r="K723" s="4"/>
    </row>
    <row r="724" spans="3:11" x14ac:dyDescent="0.25">
      <c r="C724" s="108"/>
      <c r="D724" s="217"/>
      <c r="E724" s="217"/>
      <c r="F724" s="104"/>
      <c r="G724" s="108"/>
      <c r="J724" s="174"/>
      <c r="K724" s="4"/>
    </row>
    <row r="725" spans="3:11" x14ac:dyDescent="0.25">
      <c r="C725" s="108"/>
      <c r="D725" s="217"/>
      <c r="E725" s="217"/>
      <c r="F725" s="104"/>
      <c r="G725" s="108"/>
      <c r="J725" s="174"/>
      <c r="K725" s="4"/>
    </row>
    <row r="726" spans="3:11" x14ac:dyDescent="0.25">
      <c r="C726" s="108"/>
      <c r="D726" s="217"/>
      <c r="E726" s="217"/>
      <c r="F726" s="104"/>
      <c r="G726" s="108"/>
      <c r="J726" s="174"/>
      <c r="K726" s="4"/>
    </row>
    <row r="727" spans="3:11" x14ac:dyDescent="0.25">
      <c r="C727" s="108"/>
      <c r="D727" s="217"/>
      <c r="E727" s="217"/>
      <c r="F727" s="104"/>
      <c r="G727" s="108"/>
      <c r="J727" s="174"/>
      <c r="K727" s="4"/>
    </row>
    <row r="728" spans="3:11" x14ac:dyDescent="0.25">
      <c r="C728" s="108"/>
      <c r="D728" s="217"/>
      <c r="E728" s="217"/>
      <c r="F728" s="104"/>
      <c r="G728" s="108"/>
      <c r="J728" s="174"/>
      <c r="K728" s="4"/>
    </row>
    <row r="729" spans="3:11" x14ac:dyDescent="0.25">
      <c r="C729" s="108"/>
      <c r="D729" s="217"/>
      <c r="E729" s="217"/>
      <c r="F729" s="104"/>
      <c r="G729" s="108"/>
      <c r="J729" s="174"/>
      <c r="K729" s="4"/>
    </row>
    <row r="730" spans="3:11" x14ac:dyDescent="0.25">
      <c r="C730" s="108"/>
      <c r="D730" s="217"/>
      <c r="E730" s="217"/>
      <c r="F730" s="104"/>
      <c r="G730" s="108"/>
      <c r="J730" s="174"/>
      <c r="K730" s="4"/>
    </row>
    <row r="731" spans="3:11" x14ac:dyDescent="0.25">
      <c r="C731" s="108"/>
      <c r="D731" s="217"/>
      <c r="E731" s="217"/>
      <c r="F731" s="104"/>
      <c r="G731" s="108"/>
      <c r="J731" s="174"/>
      <c r="K731" s="4"/>
    </row>
    <row r="732" spans="3:11" x14ac:dyDescent="0.25">
      <c r="C732" s="108"/>
      <c r="D732" s="217"/>
      <c r="E732" s="217"/>
      <c r="F732" s="104"/>
      <c r="G732" s="108"/>
      <c r="J732" s="174"/>
      <c r="K732" s="4"/>
    </row>
    <row r="733" spans="3:11" x14ac:dyDescent="0.25">
      <c r="C733" s="108"/>
      <c r="D733" s="217"/>
      <c r="E733" s="217"/>
      <c r="F733" s="104"/>
      <c r="G733" s="108"/>
      <c r="J733" s="174"/>
      <c r="K733" s="4"/>
    </row>
    <row r="734" spans="3:11" x14ac:dyDescent="0.25">
      <c r="C734" s="108"/>
      <c r="D734" s="217"/>
      <c r="E734" s="217"/>
      <c r="F734" s="104"/>
      <c r="G734" s="108"/>
      <c r="J734" s="174"/>
      <c r="K734" s="4"/>
    </row>
    <row r="735" spans="3:11" x14ac:dyDescent="0.25">
      <c r="C735" s="108"/>
      <c r="D735" s="217"/>
      <c r="E735" s="217"/>
      <c r="F735" s="104"/>
      <c r="G735" s="108"/>
      <c r="J735" s="174"/>
      <c r="K735" s="4"/>
    </row>
    <row r="736" spans="3:11" x14ac:dyDescent="0.25">
      <c r="C736" s="108"/>
      <c r="D736" s="217"/>
      <c r="E736" s="217"/>
      <c r="F736" s="104"/>
      <c r="G736" s="108"/>
      <c r="J736" s="174"/>
      <c r="K736" s="4"/>
    </row>
    <row r="737" spans="3:11" x14ac:dyDescent="0.25">
      <c r="C737" s="108"/>
      <c r="D737" s="217"/>
      <c r="E737" s="217"/>
      <c r="F737" s="104"/>
      <c r="G737" s="108"/>
      <c r="J737" s="174"/>
      <c r="K737" s="4"/>
    </row>
    <row r="738" spans="3:11" x14ac:dyDescent="0.25">
      <c r="C738" s="108"/>
      <c r="D738" s="217"/>
      <c r="E738" s="217"/>
      <c r="F738" s="104"/>
      <c r="G738" s="108"/>
      <c r="J738" s="174"/>
      <c r="K738" s="4"/>
    </row>
    <row r="739" spans="3:11" x14ac:dyDescent="0.25">
      <c r="C739" s="108"/>
      <c r="D739" s="217"/>
      <c r="E739" s="217"/>
      <c r="F739" s="104"/>
      <c r="G739" s="108"/>
      <c r="J739" s="174"/>
      <c r="K739" s="4"/>
    </row>
    <row r="740" spans="3:11" x14ac:dyDescent="0.25">
      <c r="C740" s="108"/>
      <c r="D740" s="217"/>
      <c r="E740" s="217"/>
      <c r="F740" s="104"/>
      <c r="G740" s="108"/>
      <c r="J740" s="174"/>
      <c r="K740" s="4"/>
    </row>
    <row r="741" spans="3:11" x14ac:dyDescent="0.25">
      <c r="C741" s="108"/>
      <c r="D741" s="217"/>
      <c r="E741" s="217"/>
      <c r="F741" s="104"/>
      <c r="G741" s="108"/>
      <c r="J741" s="174"/>
      <c r="K741" s="4"/>
    </row>
    <row r="742" spans="3:11" x14ac:dyDescent="0.25">
      <c r="C742" s="108"/>
      <c r="D742" s="217"/>
      <c r="E742" s="217"/>
      <c r="F742" s="104"/>
      <c r="G742" s="108"/>
      <c r="J742" s="174"/>
      <c r="K742" s="4"/>
    </row>
    <row r="743" spans="3:11" x14ac:dyDescent="0.25">
      <c r="C743" s="108"/>
      <c r="D743" s="217"/>
      <c r="E743" s="217"/>
      <c r="F743" s="104"/>
      <c r="G743" s="108"/>
      <c r="J743" s="174"/>
      <c r="K743" s="4"/>
    </row>
    <row r="744" spans="3:11" x14ac:dyDescent="0.25">
      <c r="C744" s="108"/>
      <c r="D744" s="217"/>
      <c r="E744" s="217"/>
      <c r="F744" s="104"/>
      <c r="G744" s="108"/>
      <c r="J744" s="174"/>
      <c r="K744" s="4"/>
    </row>
    <row r="745" spans="3:11" x14ac:dyDescent="0.25">
      <c r="C745" s="108"/>
      <c r="D745" s="217"/>
      <c r="E745" s="217"/>
      <c r="F745" s="104"/>
      <c r="G745" s="108"/>
      <c r="J745" s="174"/>
      <c r="K745" s="4"/>
    </row>
    <row r="746" spans="3:11" x14ac:dyDescent="0.25">
      <c r="C746" s="108"/>
      <c r="D746" s="217"/>
      <c r="E746" s="217"/>
      <c r="F746" s="104"/>
      <c r="G746" s="108"/>
      <c r="J746" s="174"/>
      <c r="K746" s="4"/>
    </row>
    <row r="747" spans="3:11" x14ac:dyDescent="0.25">
      <c r="C747" s="108"/>
      <c r="D747" s="217"/>
      <c r="E747" s="217"/>
      <c r="F747" s="104"/>
      <c r="G747" s="108"/>
      <c r="J747" s="174"/>
      <c r="K747" s="4"/>
    </row>
    <row r="748" spans="3:11" x14ac:dyDescent="0.25">
      <c r="C748" s="108"/>
      <c r="D748" s="217"/>
      <c r="E748" s="217"/>
      <c r="F748" s="104"/>
      <c r="G748" s="108"/>
      <c r="J748" s="174"/>
      <c r="K748" s="4"/>
    </row>
    <row r="749" spans="3:11" x14ac:dyDescent="0.25">
      <c r="C749" s="108"/>
      <c r="D749" s="217"/>
      <c r="E749" s="217"/>
      <c r="F749" s="104"/>
      <c r="G749" s="108"/>
      <c r="J749" s="174"/>
      <c r="K749" s="4"/>
    </row>
    <row r="750" spans="3:11" x14ac:dyDescent="0.25">
      <c r="C750" s="108"/>
      <c r="D750" s="217"/>
      <c r="E750" s="217"/>
      <c r="F750" s="104"/>
      <c r="G750" s="108"/>
      <c r="J750" s="174"/>
      <c r="K750" s="4"/>
    </row>
    <row r="751" spans="3:11" x14ac:dyDescent="0.25">
      <c r="C751" s="108"/>
      <c r="D751" s="217"/>
      <c r="E751" s="217"/>
      <c r="F751" s="104"/>
      <c r="G751" s="108"/>
      <c r="J751" s="174"/>
      <c r="K751" s="4"/>
    </row>
    <row r="752" spans="3:11" x14ac:dyDescent="0.25">
      <c r="C752" s="108"/>
      <c r="D752" s="217"/>
      <c r="E752" s="217"/>
      <c r="F752" s="104"/>
      <c r="G752" s="108"/>
      <c r="J752" s="174"/>
      <c r="K752" s="4"/>
    </row>
    <row r="753" spans="3:11" x14ac:dyDescent="0.25">
      <c r="C753" s="108"/>
      <c r="D753" s="217"/>
      <c r="E753" s="217"/>
      <c r="F753" s="104"/>
      <c r="G753" s="108"/>
      <c r="J753" s="174"/>
      <c r="K753" s="4"/>
    </row>
    <row r="754" spans="3:11" x14ac:dyDescent="0.25">
      <c r="C754" s="108"/>
      <c r="D754" s="217"/>
      <c r="E754" s="217"/>
      <c r="F754" s="104"/>
      <c r="G754" s="108"/>
      <c r="J754" s="174"/>
      <c r="K754" s="4"/>
    </row>
    <row r="755" spans="3:11" x14ac:dyDescent="0.25">
      <c r="C755" s="108"/>
      <c r="D755" s="217"/>
      <c r="E755" s="217"/>
      <c r="F755" s="104"/>
      <c r="G755" s="108"/>
      <c r="J755" s="174"/>
      <c r="K755" s="4"/>
    </row>
    <row r="756" spans="3:11" x14ac:dyDescent="0.25">
      <c r="C756" s="108"/>
      <c r="D756" s="217"/>
      <c r="E756" s="217"/>
      <c r="F756" s="104"/>
      <c r="G756" s="108"/>
      <c r="J756" s="174"/>
      <c r="K756" s="4"/>
    </row>
    <row r="757" spans="3:11" x14ac:dyDescent="0.25">
      <c r="C757" s="108"/>
      <c r="D757" s="217"/>
      <c r="E757" s="217"/>
      <c r="F757" s="104"/>
      <c r="G757" s="108"/>
      <c r="J757" s="174"/>
      <c r="K757" s="4"/>
    </row>
    <row r="758" spans="3:11" x14ac:dyDescent="0.25">
      <c r="C758" s="108"/>
      <c r="D758" s="217"/>
      <c r="E758" s="217"/>
      <c r="F758" s="104"/>
      <c r="G758" s="108"/>
      <c r="J758" s="174"/>
      <c r="K758" s="4"/>
    </row>
    <row r="759" spans="3:11" x14ac:dyDescent="0.25">
      <c r="C759" s="108"/>
      <c r="D759" s="217"/>
      <c r="E759" s="217"/>
      <c r="F759" s="104"/>
      <c r="G759" s="108"/>
      <c r="J759" s="174"/>
      <c r="K759" s="4"/>
    </row>
    <row r="760" spans="3:11" x14ac:dyDescent="0.25">
      <c r="C760" s="108"/>
      <c r="D760" s="217"/>
      <c r="E760" s="217"/>
      <c r="F760" s="104"/>
      <c r="G760" s="108"/>
      <c r="J760" s="174"/>
      <c r="K760" s="4"/>
    </row>
    <row r="761" spans="3:11" x14ac:dyDescent="0.25">
      <c r="C761" s="108"/>
      <c r="D761" s="217"/>
      <c r="E761" s="217"/>
      <c r="F761" s="104"/>
      <c r="G761" s="108"/>
      <c r="J761" s="174"/>
      <c r="K761" s="4"/>
    </row>
    <row r="762" spans="3:11" x14ac:dyDescent="0.25">
      <c r="C762" s="108"/>
      <c r="D762" s="217"/>
      <c r="E762" s="217"/>
      <c r="F762" s="104"/>
      <c r="G762" s="108"/>
      <c r="J762" s="174"/>
      <c r="K762" s="4"/>
    </row>
    <row r="763" spans="3:11" x14ac:dyDescent="0.25">
      <c r="C763" s="108"/>
      <c r="D763" s="217"/>
      <c r="E763" s="217"/>
      <c r="F763" s="104"/>
      <c r="G763" s="108"/>
      <c r="J763" s="174"/>
      <c r="K763" s="4"/>
    </row>
    <row r="764" spans="3:11" x14ac:dyDescent="0.25">
      <c r="C764" s="108"/>
      <c r="D764" s="217"/>
      <c r="E764" s="217"/>
      <c r="F764" s="104"/>
      <c r="G764" s="108"/>
      <c r="J764" s="174"/>
      <c r="K764" s="4"/>
    </row>
    <row r="765" spans="3:11" x14ac:dyDescent="0.25">
      <c r="C765" s="108"/>
      <c r="D765" s="217"/>
      <c r="E765" s="217"/>
      <c r="F765" s="104"/>
      <c r="G765" s="108"/>
      <c r="J765" s="174"/>
      <c r="K765" s="4"/>
    </row>
    <row r="766" spans="3:11" x14ac:dyDescent="0.25">
      <c r="C766" s="108"/>
      <c r="D766" s="217"/>
      <c r="E766" s="217"/>
      <c r="F766" s="104"/>
      <c r="G766" s="108"/>
      <c r="J766" s="174"/>
      <c r="K766" s="4"/>
    </row>
    <row r="767" spans="3:11" x14ac:dyDescent="0.25">
      <c r="C767" s="108"/>
      <c r="D767" s="217"/>
      <c r="E767" s="217"/>
      <c r="F767" s="104"/>
      <c r="G767" s="108"/>
      <c r="J767" s="174"/>
      <c r="K767" s="4"/>
    </row>
    <row r="768" spans="3:11" x14ac:dyDescent="0.25">
      <c r="C768" s="108"/>
      <c r="D768" s="217"/>
      <c r="E768" s="217"/>
      <c r="F768" s="104"/>
      <c r="G768" s="108"/>
      <c r="J768" s="174"/>
      <c r="K768" s="4"/>
    </row>
    <row r="769" spans="3:11" x14ac:dyDescent="0.25">
      <c r="C769" s="108"/>
      <c r="D769" s="217"/>
      <c r="E769" s="217"/>
      <c r="F769" s="104"/>
      <c r="G769" s="108"/>
      <c r="J769" s="174"/>
      <c r="K769" s="4"/>
    </row>
    <row r="770" spans="3:11" x14ac:dyDescent="0.25">
      <c r="C770" s="108"/>
      <c r="D770" s="217"/>
      <c r="E770" s="217"/>
      <c r="F770" s="104"/>
      <c r="G770" s="108"/>
      <c r="J770" s="174"/>
      <c r="K770" s="4"/>
    </row>
    <row r="771" spans="3:11" x14ac:dyDescent="0.25">
      <c r="C771" s="108"/>
      <c r="D771" s="217"/>
      <c r="E771" s="217"/>
      <c r="F771" s="104"/>
      <c r="G771" s="108"/>
      <c r="J771" s="174"/>
      <c r="K771" s="4"/>
    </row>
    <row r="772" spans="3:11" x14ac:dyDescent="0.25">
      <c r="C772" s="108"/>
      <c r="D772" s="217"/>
      <c r="E772" s="217"/>
      <c r="F772" s="104"/>
      <c r="G772" s="108"/>
      <c r="J772" s="174"/>
      <c r="K772" s="4"/>
    </row>
    <row r="773" spans="3:11" x14ac:dyDescent="0.25">
      <c r="C773" s="108"/>
      <c r="D773" s="217"/>
      <c r="E773" s="217"/>
      <c r="F773" s="104"/>
      <c r="G773" s="108"/>
      <c r="J773" s="174"/>
      <c r="K773" s="4"/>
    </row>
    <row r="774" spans="3:11" x14ac:dyDescent="0.25">
      <c r="C774" s="108"/>
      <c r="D774" s="217"/>
      <c r="E774" s="217"/>
      <c r="F774" s="104"/>
      <c r="G774" s="108"/>
      <c r="J774" s="174"/>
      <c r="K774" s="4"/>
    </row>
    <row r="775" spans="3:11" x14ac:dyDescent="0.25">
      <c r="C775" s="108"/>
      <c r="D775" s="217"/>
      <c r="E775" s="217"/>
      <c r="F775" s="104"/>
      <c r="G775" s="108"/>
      <c r="J775" s="174"/>
      <c r="K775" s="4"/>
    </row>
    <row r="776" spans="3:11" x14ac:dyDescent="0.25">
      <c r="C776" s="108"/>
      <c r="D776" s="217"/>
      <c r="E776" s="217"/>
      <c r="F776" s="104"/>
      <c r="G776" s="108"/>
      <c r="J776" s="174"/>
      <c r="K776" s="4"/>
    </row>
    <row r="777" spans="3:11" x14ac:dyDescent="0.25">
      <c r="C777" s="108"/>
      <c r="D777" s="217"/>
      <c r="E777" s="217"/>
      <c r="F777" s="104"/>
      <c r="G777" s="108"/>
      <c r="J777" s="174"/>
      <c r="K777" s="4"/>
    </row>
    <row r="778" spans="3:11" x14ac:dyDescent="0.25">
      <c r="C778" s="108"/>
      <c r="D778" s="217"/>
      <c r="E778" s="217"/>
      <c r="F778" s="104"/>
      <c r="G778" s="108"/>
      <c r="J778" s="174"/>
      <c r="K778" s="4"/>
    </row>
    <row r="779" spans="3:11" x14ac:dyDescent="0.25">
      <c r="C779" s="108"/>
      <c r="D779" s="217"/>
      <c r="E779" s="217"/>
      <c r="F779" s="104"/>
      <c r="G779" s="108"/>
      <c r="J779" s="174"/>
      <c r="K779" s="4"/>
    </row>
    <row r="780" spans="3:11" x14ac:dyDescent="0.25">
      <c r="C780" s="108"/>
      <c r="D780" s="217"/>
      <c r="E780" s="217"/>
      <c r="F780" s="104"/>
      <c r="G780" s="108"/>
      <c r="J780" s="174"/>
      <c r="K780" s="4"/>
    </row>
    <row r="781" spans="3:11" x14ac:dyDescent="0.25">
      <c r="C781" s="108"/>
      <c r="D781" s="217"/>
      <c r="E781" s="217"/>
      <c r="F781" s="104"/>
      <c r="G781" s="108"/>
      <c r="J781" s="174"/>
      <c r="K781" s="4"/>
    </row>
    <row r="782" spans="3:11" x14ac:dyDescent="0.25">
      <c r="C782" s="108"/>
      <c r="D782" s="217"/>
      <c r="E782" s="217"/>
      <c r="F782" s="104"/>
      <c r="G782" s="108"/>
      <c r="J782" s="174"/>
      <c r="K782" s="4"/>
    </row>
    <row r="783" spans="3:11" x14ac:dyDescent="0.25">
      <c r="C783" s="108"/>
      <c r="D783" s="217"/>
      <c r="E783" s="217"/>
      <c r="F783" s="104"/>
      <c r="G783" s="108"/>
      <c r="J783" s="174"/>
      <c r="K783" s="4"/>
    </row>
    <row r="784" spans="3:11" x14ac:dyDescent="0.25">
      <c r="C784" s="108"/>
      <c r="D784" s="217"/>
      <c r="E784" s="217"/>
      <c r="F784" s="104"/>
      <c r="G784" s="108"/>
      <c r="J784" s="174"/>
      <c r="K784" s="4"/>
    </row>
    <row r="785" spans="3:11" x14ac:dyDescent="0.25">
      <c r="C785" s="108"/>
      <c r="D785" s="217"/>
      <c r="E785" s="217"/>
      <c r="F785" s="104"/>
      <c r="G785" s="108"/>
      <c r="J785" s="174"/>
      <c r="K785" s="4"/>
    </row>
    <row r="786" spans="3:11" x14ac:dyDescent="0.25">
      <c r="C786" s="108"/>
      <c r="D786" s="217"/>
      <c r="E786" s="217"/>
      <c r="F786" s="104"/>
      <c r="G786" s="108"/>
      <c r="J786" s="174"/>
      <c r="K786" s="4"/>
    </row>
    <row r="787" spans="3:11" x14ac:dyDescent="0.25">
      <c r="C787" s="108"/>
      <c r="D787" s="217"/>
      <c r="E787" s="217"/>
      <c r="F787" s="104"/>
      <c r="G787" s="108"/>
      <c r="J787" s="174"/>
      <c r="K787" s="4"/>
    </row>
    <row r="788" spans="3:11" x14ac:dyDescent="0.25">
      <c r="C788" s="108"/>
      <c r="D788" s="217"/>
      <c r="E788" s="217"/>
      <c r="F788" s="104"/>
      <c r="G788" s="108"/>
      <c r="J788" s="174"/>
      <c r="K788" s="4"/>
    </row>
    <row r="789" spans="3:11" x14ac:dyDescent="0.25">
      <c r="C789" s="108"/>
      <c r="D789" s="217"/>
      <c r="E789" s="217"/>
      <c r="F789" s="104"/>
      <c r="G789" s="108"/>
      <c r="J789" s="174"/>
      <c r="K789" s="4"/>
    </row>
    <row r="790" spans="3:11" x14ac:dyDescent="0.25">
      <c r="C790" s="108"/>
      <c r="D790" s="217"/>
      <c r="E790" s="217"/>
      <c r="F790" s="104"/>
      <c r="G790" s="108"/>
      <c r="J790" s="174"/>
      <c r="K790" s="4"/>
    </row>
    <row r="791" spans="3:11" x14ac:dyDescent="0.25">
      <c r="C791" s="108"/>
      <c r="D791" s="217"/>
      <c r="E791" s="217"/>
      <c r="F791" s="104"/>
      <c r="G791" s="108"/>
      <c r="J791" s="174"/>
      <c r="K791" s="4"/>
    </row>
    <row r="792" spans="3:11" x14ac:dyDescent="0.25">
      <c r="C792" s="108"/>
      <c r="D792" s="217"/>
      <c r="E792" s="217"/>
      <c r="F792" s="104"/>
      <c r="G792" s="108"/>
      <c r="J792" s="174"/>
      <c r="K792" s="4"/>
    </row>
    <row r="793" spans="3:11" x14ac:dyDescent="0.25">
      <c r="C793" s="108"/>
      <c r="D793" s="217"/>
      <c r="E793" s="217"/>
      <c r="F793" s="104"/>
      <c r="G793" s="108"/>
      <c r="J793" s="174"/>
      <c r="K793" s="4"/>
    </row>
    <row r="794" spans="3:11" x14ac:dyDescent="0.25">
      <c r="C794" s="108"/>
      <c r="D794" s="217"/>
      <c r="E794" s="217"/>
      <c r="F794" s="104"/>
      <c r="G794" s="108"/>
      <c r="J794" s="174"/>
      <c r="K794" s="4"/>
    </row>
    <row r="795" spans="3:11" x14ac:dyDescent="0.25">
      <c r="C795" s="108"/>
      <c r="D795" s="217"/>
      <c r="E795" s="217"/>
      <c r="F795" s="104"/>
      <c r="G795" s="108"/>
      <c r="J795" s="174"/>
      <c r="K795" s="4"/>
    </row>
    <row r="796" spans="3:11" x14ac:dyDescent="0.25">
      <c r="C796" s="108"/>
      <c r="D796" s="217"/>
      <c r="E796" s="217"/>
      <c r="F796" s="104"/>
      <c r="G796" s="108"/>
      <c r="J796" s="174"/>
      <c r="K796" s="4"/>
    </row>
    <row r="797" spans="3:11" x14ac:dyDescent="0.25">
      <c r="C797" s="108"/>
      <c r="D797" s="217"/>
      <c r="E797" s="217"/>
      <c r="F797" s="104"/>
      <c r="G797" s="108"/>
      <c r="J797" s="174"/>
      <c r="K797" s="4"/>
    </row>
    <row r="798" spans="3:11" x14ac:dyDescent="0.25">
      <c r="C798" s="108"/>
      <c r="D798" s="217"/>
      <c r="E798" s="217"/>
      <c r="F798" s="104"/>
      <c r="G798" s="108"/>
      <c r="J798" s="174"/>
      <c r="K798" s="4"/>
    </row>
    <row r="799" spans="3:11" x14ac:dyDescent="0.25">
      <c r="C799" s="108"/>
      <c r="D799" s="217"/>
      <c r="E799" s="217"/>
      <c r="F799" s="104"/>
      <c r="G799" s="108"/>
      <c r="J799" s="174"/>
      <c r="K799" s="4"/>
    </row>
    <row r="800" spans="3:11" x14ac:dyDescent="0.25">
      <c r="C800" s="108"/>
      <c r="D800" s="217"/>
      <c r="E800" s="217"/>
      <c r="F800" s="104"/>
      <c r="G800" s="108"/>
      <c r="J800" s="174"/>
      <c r="K800" s="4"/>
    </row>
    <row r="801" spans="3:11" x14ac:dyDescent="0.25">
      <c r="C801" s="108"/>
      <c r="D801" s="217"/>
      <c r="E801" s="217"/>
      <c r="F801" s="104"/>
      <c r="G801" s="108"/>
      <c r="J801" s="174"/>
      <c r="K801" s="4"/>
    </row>
    <row r="802" spans="3:11" x14ac:dyDescent="0.25">
      <c r="C802" s="108"/>
      <c r="D802" s="217"/>
      <c r="E802" s="217"/>
      <c r="F802" s="104"/>
      <c r="G802" s="108"/>
      <c r="J802" s="174"/>
      <c r="K802" s="4"/>
    </row>
    <row r="803" spans="3:11" x14ac:dyDescent="0.25">
      <c r="C803" s="108"/>
      <c r="D803" s="217"/>
      <c r="E803" s="217"/>
      <c r="F803" s="104"/>
      <c r="G803" s="108"/>
      <c r="J803" s="174"/>
      <c r="K803" s="4"/>
    </row>
    <row r="804" spans="3:11" x14ac:dyDescent="0.25">
      <c r="C804" s="108"/>
      <c r="D804" s="217"/>
      <c r="E804" s="217"/>
      <c r="F804" s="104"/>
      <c r="G804" s="108"/>
      <c r="J804" s="174"/>
      <c r="K804" s="4"/>
    </row>
    <row r="805" spans="3:11" x14ac:dyDescent="0.25">
      <c r="C805" s="108"/>
      <c r="D805" s="217"/>
      <c r="E805" s="217"/>
      <c r="F805" s="104"/>
      <c r="G805" s="108"/>
      <c r="J805" s="174"/>
      <c r="K805" s="4"/>
    </row>
    <row r="806" spans="3:11" x14ac:dyDescent="0.25">
      <c r="C806" s="108"/>
      <c r="D806" s="217"/>
      <c r="E806" s="217"/>
      <c r="F806" s="104"/>
      <c r="G806" s="108"/>
      <c r="J806" s="174"/>
      <c r="K806" s="4"/>
    </row>
    <row r="807" spans="3:11" x14ac:dyDescent="0.25">
      <c r="C807" s="108"/>
      <c r="D807" s="217"/>
      <c r="E807" s="217"/>
      <c r="F807" s="104"/>
      <c r="G807" s="108"/>
      <c r="J807" s="174"/>
      <c r="K807" s="4"/>
    </row>
    <row r="808" spans="3:11" x14ac:dyDescent="0.25">
      <c r="C808" s="108"/>
      <c r="D808" s="217"/>
      <c r="E808" s="217"/>
      <c r="F808" s="104"/>
      <c r="G808" s="108"/>
      <c r="J808" s="174"/>
      <c r="K808" s="4"/>
    </row>
    <row r="809" spans="3:11" x14ac:dyDescent="0.25">
      <c r="C809" s="108"/>
      <c r="D809" s="217"/>
      <c r="E809" s="217"/>
      <c r="F809" s="104"/>
      <c r="G809" s="108"/>
      <c r="J809" s="174"/>
      <c r="K809" s="4"/>
    </row>
    <row r="810" spans="3:11" x14ac:dyDescent="0.25">
      <c r="C810" s="108"/>
      <c r="D810" s="217"/>
      <c r="E810" s="217"/>
      <c r="F810" s="104"/>
      <c r="G810" s="108"/>
      <c r="J810" s="174"/>
      <c r="K810" s="4"/>
    </row>
    <row r="811" spans="3:11" x14ac:dyDescent="0.25">
      <c r="C811" s="108"/>
      <c r="D811" s="217"/>
      <c r="E811" s="217"/>
      <c r="F811" s="104"/>
      <c r="G811" s="108"/>
      <c r="J811" s="174"/>
      <c r="K811" s="4"/>
    </row>
    <row r="812" spans="3:11" x14ac:dyDescent="0.25">
      <c r="C812" s="108"/>
      <c r="D812" s="217"/>
      <c r="E812" s="217"/>
      <c r="F812" s="104"/>
      <c r="G812" s="108"/>
      <c r="J812" s="174"/>
      <c r="K812" s="4"/>
    </row>
    <row r="813" spans="3:11" x14ac:dyDescent="0.25">
      <c r="C813" s="108"/>
      <c r="D813" s="217"/>
      <c r="E813" s="217"/>
      <c r="F813" s="104"/>
      <c r="G813" s="108"/>
      <c r="J813" s="174"/>
      <c r="K813" s="4"/>
    </row>
    <row r="814" spans="3:11" x14ac:dyDescent="0.25">
      <c r="C814" s="108"/>
      <c r="D814" s="217"/>
      <c r="E814" s="217"/>
      <c r="F814" s="104"/>
      <c r="G814" s="108"/>
      <c r="J814" s="174"/>
      <c r="K814" s="4"/>
    </row>
    <row r="815" spans="3:11" x14ac:dyDescent="0.25">
      <c r="C815" s="108"/>
      <c r="D815" s="217"/>
      <c r="E815" s="217"/>
      <c r="F815" s="104"/>
      <c r="G815" s="108"/>
      <c r="J815" s="174"/>
      <c r="K815" s="4"/>
    </row>
    <row r="816" spans="3:11" x14ac:dyDescent="0.25">
      <c r="C816" s="108"/>
      <c r="D816" s="217"/>
      <c r="E816" s="217"/>
      <c r="F816" s="104"/>
      <c r="G816" s="108"/>
      <c r="J816" s="174"/>
      <c r="K816" s="4"/>
    </row>
    <row r="817" spans="3:11" x14ac:dyDescent="0.25">
      <c r="C817" s="108"/>
      <c r="D817" s="217"/>
      <c r="E817" s="217"/>
      <c r="F817" s="104"/>
      <c r="G817" s="108"/>
      <c r="J817" s="174"/>
      <c r="K817" s="4"/>
    </row>
    <row r="818" spans="3:11" x14ac:dyDescent="0.25">
      <c r="C818" s="108"/>
      <c r="D818" s="217"/>
      <c r="E818" s="217"/>
      <c r="F818" s="104"/>
      <c r="G818" s="108"/>
      <c r="J818" s="174"/>
      <c r="K818" s="4"/>
    </row>
    <row r="819" spans="3:11" x14ac:dyDescent="0.25">
      <c r="C819" s="108"/>
      <c r="D819" s="217"/>
      <c r="E819" s="217"/>
      <c r="F819" s="104"/>
      <c r="G819" s="108"/>
      <c r="J819" s="174"/>
      <c r="K819" s="4"/>
    </row>
    <row r="820" spans="3:11" x14ac:dyDescent="0.25">
      <c r="C820" s="108"/>
      <c r="D820" s="217"/>
      <c r="E820" s="217"/>
      <c r="F820" s="104"/>
      <c r="G820" s="108"/>
      <c r="J820" s="174"/>
      <c r="K820" s="4"/>
    </row>
    <row r="821" spans="3:11" x14ac:dyDescent="0.25">
      <c r="C821" s="108"/>
      <c r="D821" s="217"/>
      <c r="E821" s="217"/>
      <c r="F821" s="104"/>
      <c r="G821" s="108"/>
      <c r="J821" s="174"/>
      <c r="K821" s="4"/>
    </row>
    <row r="822" spans="3:11" x14ac:dyDescent="0.25">
      <c r="C822" s="108"/>
      <c r="D822" s="217"/>
      <c r="E822" s="217"/>
      <c r="F822" s="104"/>
      <c r="G822" s="108"/>
      <c r="J822" s="174"/>
      <c r="K822" s="4"/>
    </row>
    <row r="823" spans="3:11" x14ac:dyDescent="0.25">
      <c r="C823" s="108"/>
      <c r="D823" s="217"/>
      <c r="E823" s="217"/>
      <c r="F823" s="104"/>
      <c r="G823" s="108"/>
      <c r="J823" s="174"/>
      <c r="K823" s="4"/>
    </row>
    <row r="824" spans="3:11" x14ac:dyDescent="0.25">
      <c r="C824" s="108"/>
      <c r="D824" s="217"/>
      <c r="E824" s="217"/>
      <c r="F824" s="104"/>
      <c r="G824" s="108"/>
      <c r="J824" s="174"/>
      <c r="K824" s="4"/>
    </row>
    <row r="825" spans="3:11" x14ac:dyDescent="0.25">
      <c r="C825" s="108"/>
      <c r="D825" s="217"/>
      <c r="E825" s="217"/>
      <c r="F825" s="104"/>
      <c r="G825" s="108"/>
      <c r="J825" s="174"/>
      <c r="K825" s="4"/>
    </row>
    <row r="826" spans="3:11" x14ac:dyDescent="0.25">
      <c r="C826" s="108"/>
      <c r="D826" s="217"/>
      <c r="E826" s="217"/>
      <c r="F826" s="104"/>
      <c r="G826" s="108"/>
      <c r="J826" s="174"/>
      <c r="K826" s="4"/>
    </row>
    <row r="827" spans="3:11" x14ac:dyDescent="0.25">
      <c r="C827" s="108"/>
      <c r="D827" s="217"/>
      <c r="E827" s="217"/>
      <c r="F827" s="104"/>
      <c r="G827" s="108"/>
      <c r="J827" s="174"/>
      <c r="K827" s="4"/>
    </row>
    <row r="828" spans="3:11" x14ac:dyDescent="0.25">
      <c r="C828" s="108"/>
      <c r="D828" s="217"/>
      <c r="E828" s="217"/>
      <c r="F828" s="104"/>
      <c r="G828" s="108"/>
      <c r="J828" s="174"/>
      <c r="K828" s="4"/>
    </row>
    <row r="829" spans="3:11" x14ac:dyDescent="0.25">
      <c r="C829" s="108"/>
      <c r="D829" s="217"/>
      <c r="E829" s="217"/>
      <c r="F829" s="104"/>
      <c r="G829" s="108"/>
      <c r="J829" s="174"/>
      <c r="K829" s="4"/>
    </row>
    <row r="830" spans="3:11" x14ac:dyDescent="0.25">
      <c r="C830" s="108"/>
      <c r="D830" s="217"/>
      <c r="E830" s="217"/>
      <c r="F830" s="104"/>
      <c r="G830" s="108"/>
      <c r="J830" s="174"/>
      <c r="K830" s="4"/>
    </row>
    <row r="831" spans="3:11" x14ac:dyDescent="0.25">
      <c r="C831" s="108"/>
      <c r="D831" s="217"/>
      <c r="E831" s="217"/>
      <c r="F831" s="104"/>
      <c r="G831" s="108"/>
      <c r="J831" s="174"/>
      <c r="K831" s="4"/>
    </row>
    <row r="832" spans="3:11" x14ac:dyDescent="0.25">
      <c r="C832" s="108"/>
      <c r="D832" s="217"/>
      <c r="E832" s="217"/>
      <c r="F832" s="104"/>
      <c r="G832" s="108"/>
      <c r="J832" s="174"/>
      <c r="K832" s="4"/>
    </row>
    <row r="833" spans="3:11" x14ac:dyDescent="0.25">
      <c r="C833" s="108"/>
      <c r="D833" s="217"/>
      <c r="E833" s="217"/>
      <c r="F833" s="104"/>
      <c r="G833" s="108"/>
      <c r="J833" s="174"/>
      <c r="K833" s="4"/>
    </row>
    <row r="834" spans="3:11" x14ac:dyDescent="0.25">
      <c r="C834" s="108"/>
      <c r="D834" s="217"/>
      <c r="E834" s="217"/>
      <c r="F834" s="104"/>
      <c r="G834" s="108"/>
      <c r="J834" s="174"/>
      <c r="K834" s="4"/>
    </row>
    <row r="835" spans="3:11" x14ac:dyDescent="0.25">
      <c r="C835" s="108"/>
      <c r="D835" s="217"/>
      <c r="E835" s="217"/>
      <c r="F835" s="104"/>
      <c r="G835" s="108"/>
      <c r="J835" s="174"/>
      <c r="K835" s="4"/>
    </row>
    <row r="836" spans="3:11" x14ac:dyDescent="0.25">
      <c r="C836" s="108"/>
      <c r="D836" s="217"/>
      <c r="E836" s="217"/>
      <c r="F836" s="104"/>
      <c r="G836" s="108"/>
      <c r="J836" s="174"/>
      <c r="K836" s="4"/>
    </row>
    <row r="837" spans="3:11" x14ac:dyDescent="0.25">
      <c r="C837" s="108"/>
      <c r="D837" s="217"/>
      <c r="E837" s="217"/>
      <c r="F837" s="104"/>
      <c r="G837" s="108"/>
      <c r="J837" s="174"/>
      <c r="K837" s="4"/>
    </row>
    <row r="838" spans="3:11" x14ac:dyDescent="0.25">
      <c r="C838" s="108"/>
      <c r="D838" s="217"/>
      <c r="E838" s="217"/>
      <c r="F838" s="104"/>
      <c r="G838" s="108"/>
      <c r="J838" s="174"/>
      <c r="K838" s="4"/>
    </row>
    <row r="839" spans="3:11" x14ac:dyDescent="0.25">
      <c r="C839" s="108"/>
      <c r="D839" s="217"/>
      <c r="E839" s="217"/>
      <c r="F839" s="104"/>
      <c r="G839" s="108"/>
      <c r="J839" s="174"/>
      <c r="K839" s="4"/>
    </row>
    <row r="840" spans="3:11" x14ac:dyDescent="0.25">
      <c r="C840" s="108"/>
      <c r="D840" s="217"/>
      <c r="E840" s="217"/>
      <c r="F840" s="104"/>
      <c r="G840" s="108"/>
      <c r="J840" s="174"/>
      <c r="K840" s="4"/>
    </row>
    <row r="841" spans="3:11" x14ac:dyDescent="0.25">
      <c r="C841" s="108"/>
      <c r="D841" s="217"/>
      <c r="E841" s="217"/>
      <c r="F841" s="104"/>
      <c r="G841" s="108"/>
      <c r="J841" s="174"/>
      <c r="K841" s="4"/>
    </row>
    <row r="842" spans="3:11" x14ac:dyDescent="0.25">
      <c r="C842" s="108"/>
      <c r="D842" s="217"/>
      <c r="E842" s="217"/>
      <c r="F842" s="104"/>
      <c r="G842" s="108"/>
      <c r="J842" s="174"/>
      <c r="K842" s="4"/>
    </row>
    <row r="843" spans="3:11" x14ac:dyDescent="0.25">
      <c r="C843" s="108"/>
      <c r="D843" s="217"/>
      <c r="E843" s="217"/>
      <c r="F843" s="104"/>
      <c r="G843" s="108"/>
      <c r="J843" s="174"/>
      <c r="K843" s="4"/>
    </row>
    <row r="844" spans="3:11" x14ac:dyDescent="0.25">
      <c r="C844" s="108"/>
      <c r="D844" s="217"/>
      <c r="E844" s="217"/>
      <c r="F844" s="104"/>
      <c r="G844" s="108"/>
      <c r="J844" s="174"/>
      <c r="K844" s="4"/>
    </row>
    <row r="845" spans="3:11" x14ac:dyDescent="0.25">
      <c r="C845" s="108"/>
      <c r="D845" s="217"/>
      <c r="E845" s="217"/>
      <c r="F845" s="104"/>
      <c r="G845" s="108"/>
      <c r="J845" s="174"/>
      <c r="K845" s="4"/>
    </row>
    <row r="846" spans="3:11" x14ac:dyDescent="0.25">
      <c r="C846" s="108"/>
      <c r="D846" s="217"/>
      <c r="E846" s="217"/>
      <c r="F846" s="104"/>
      <c r="G846" s="108"/>
      <c r="J846" s="174"/>
      <c r="K846" s="4"/>
    </row>
    <row r="847" spans="3:11" x14ac:dyDescent="0.25">
      <c r="C847" s="108"/>
      <c r="D847" s="217"/>
      <c r="E847" s="217"/>
      <c r="F847" s="104"/>
      <c r="G847" s="108"/>
      <c r="J847" s="174"/>
      <c r="K847" s="4"/>
    </row>
    <row r="848" spans="3:11" x14ac:dyDescent="0.25">
      <c r="C848" s="108"/>
      <c r="D848" s="217"/>
      <c r="E848" s="217"/>
      <c r="F848" s="104"/>
      <c r="G848" s="108"/>
      <c r="J848" s="174"/>
      <c r="K848" s="4"/>
    </row>
    <row r="849" spans="3:11" x14ac:dyDescent="0.25">
      <c r="C849" s="108"/>
      <c r="D849" s="217"/>
      <c r="E849" s="217"/>
      <c r="F849" s="104"/>
      <c r="G849" s="108"/>
      <c r="J849" s="174"/>
      <c r="K849" s="4"/>
    </row>
    <row r="850" spans="3:11" x14ac:dyDescent="0.25">
      <c r="C850" s="108"/>
      <c r="D850" s="217"/>
      <c r="E850" s="217"/>
      <c r="F850" s="104"/>
      <c r="G850" s="108"/>
      <c r="J850" s="174"/>
      <c r="K850" s="4"/>
    </row>
    <row r="851" spans="3:11" x14ac:dyDescent="0.25">
      <c r="C851" s="108"/>
      <c r="D851" s="217"/>
      <c r="E851" s="217"/>
      <c r="F851" s="104"/>
      <c r="G851" s="108"/>
      <c r="J851" s="174"/>
      <c r="K851" s="4"/>
    </row>
    <row r="852" spans="3:11" x14ac:dyDescent="0.25">
      <c r="C852" s="108"/>
      <c r="D852" s="217"/>
      <c r="E852" s="217"/>
      <c r="F852" s="104"/>
      <c r="G852" s="108"/>
      <c r="J852" s="174"/>
      <c r="K852" s="4"/>
    </row>
    <row r="853" spans="3:11" x14ac:dyDescent="0.25">
      <c r="C853" s="108"/>
      <c r="D853" s="217"/>
      <c r="E853" s="217"/>
      <c r="F853" s="104"/>
      <c r="G853" s="108"/>
      <c r="J853" s="174"/>
      <c r="K853" s="4"/>
    </row>
    <row r="854" spans="3:11" x14ac:dyDescent="0.25">
      <c r="C854" s="108"/>
      <c r="D854" s="217"/>
      <c r="E854" s="217"/>
      <c r="F854" s="104"/>
      <c r="G854" s="108"/>
      <c r="J854" s="174"/>
      <c r="K854" s="4"/>
    </row>
    <row r="855" spans="3:11" x14ac:dyDescent="0.25">
      <c r="C855" s="108"/>
      <c r="D855" s="217"/>
      <c r="E855" s="217"/>
      <c r="F855" s="104"/>
      <c r="G855" s="108"/>
      <c r="J855" s="174"/>
      <c r="K855" s="4"/>
    </row>
    <row r="856" spans="3:11" x14ac:dyDescent="0.25">
      <c r="C856" s="108"/>
      <c r="D856" s="217"/>
      <c r="E856" s="217"/>
      <c r="F856" s="104"/>
      <c r="G856" s="108"/>
      <c r="J856" s="174"/>
      <c r="K856" s="4"/>
    </row>
    <row r="857" spans="3:11" x14ac:dyDescent="0.25">
      <c r="C857" s="108"/>
      <c r="D857" s="217"/>
      <c r="E857" s="217"/>
      <c r="F857" s="104"/>
      <c r="G857" s="108"/>
      <c r="J857" s="174"/>
      <c r="K857" s="4"/>
    </row>
    <row r="858" spans="3:11" x14ac:dyDescent="0.25">
      <c r="C858" s="108"/>
      <c r="D858" s="217"/>
      <c r="E858" s="217"/>
      <c r="F858" s="104"/>
      <c r="G858" s="108"/>
      <c r="J858" s="174"/>
      <c r="K858" s="4"/>
    </row>
    <row r="859" spans="3:11" x14ac:dyDescent="0.25">
      <c r="C859" s="108"/>
      <c r="D859" s="217"/>
      <c r="E859" s="217"/>
      <c r="F859" s="104"/>
      <c r="G859" s="108"/>
      <c r="J859" s="174"/>
      <c r="K859" s="4"/>
    </row>
    <row r="860" spans="3:11" x14ac:dyDescent="0.25">
      <c r="C860" s="108"/>
      <c r="D860" s="217"/>
      <c r="E860" s="217"/>
      <c r="F860" s="104"/>
      <c r="G860" s="108"/>
      <c r="J860" s="174"/>
      <c r="K860" s="4"/>
    </row>
    <row r="861" spans="3:11" x14ac:dyDescent="0.25">
      <c r="C861" s="108"/>
      <c r="D861" s="217"/>
      <c r="E861" s="217"/>
      <c r="F861" s="104"/>
      <c r="G861" s="108"/>
      <c r="J861" s="174"/>
      <c r="K861" s="4"/>
    </row>
    <row r="862" spans="3:11" x14ac:dyDescent="0.25">
      <c r="C862" s="108"/>
      <c r="D862" s="217"/>
      <c r="E862" s="217"/>
      <c r="F862" s="104"/>
      <c r="G862" s="108"/>
      <c r="J862" s="174"/>
      <c r="K862" s="4"/>
    </row>
    <row r="863" spans="3:11" x14ac:dyDescent="0.25">
      <c r="C863" s="108"/>
      <c r="D863" s="217"/>
      <c r="E863" s="217"/>
      <c r="F863" s="104"/>
      <c r="G863" s="108"/>
      <c r="J863" s="174"/>
      <c r="K863" s="4"/>
    </row>
    <row r="864" spans="3:11" x14ac:dyDescent="0.25">
      <c r="C864" s="108"/>
      <c r="D864" s="217"/>
      <c r="E864" s="217"/>
      <c r="F864" s="104"/>
      <c r="G864" s="108"/>
      <c r="J864" s="174"/>
      <c r="K864" s="4"/>
    </row>
    <row r="865" spans="3:11" x14ac:dyDescent="0.25">
      <c r="C865" s="108"/>
      <c r="D865" s="217"/>
      <c r="E865" s="217"/>
      <c r="F865" s="104"/>
      <c r="G865" s="108"/>
      <c r="J865" s="174"/>
      <c r="K865" s="4"/>
    </row>
    <row r="866" spans="3:11" x14ac:dyDescent="0.25">
      <c r="C866" s="108"/>
      <c r="D866" s="217"/>
      <c r="E866" s="217"/>
      <c r="F866" s="104"/>
      <c r="G866" s="108"/>
      <c r="J866" s="174"/>
      <c r="K866" s="4"/>
    </row>
    <row r="867" spans="3:11" x14ac:dyDescent="0.25">
      <c r="C867" s="108"/>
      <c r="D867" s="217"/>
      <c r="E867" s="217"/>
      <c r="F867" s="104"/>
      <c r="G867" s="108"/>
      <c r="J867" s="174"/>
      <c r="K867" s="4"/>
    </row>
    <row r="868" spans="3:11" x14ac:dyDescent="0.25">
      <c r="C868" s="108"/>
      <c r="D868" s="217"/>
      <c r="E868" s="217"/>
      <c r="F868" s="104"/>
      <c r="G868" s="108"/>
      <c r="J868" s="174"/>
      <c r="K868" s="4"/>
    </row>
    <row r="869" spans="3:11" x14ac:dyDescent="0.25">
      <c r="C869" s="108"/>
      <c r="D869" s="217"/>
      <c r="E869" s="217"/>
      <c r="F869" s="104"/>
      <c r="G869" s="108"/>
      <c r="J869" s="174"/>
      <c r="K869" s="4"/>
    </row>
    <row r="870" spans="3:11" x14ac:dyDescent="0.25">
      <c r="C870" s="108"/>
      <c r="D870" s="217"/>
      <c r="E870" s="217"/>
      <c r="F870" s="104"/>
      <c r="G870" s="108"/>
      <c r="J870" s="174"/>
      <c r="K870" s="4"/>
    </row>
    <row r="871" spans="3:11" x14ac:dyDescent="0.25">
      <c r="C871" s="108"/>
      <c r="D871" s="217"/>
      <c r="E871" s="217"/>
      <c r="F871" s="104"/>
      <c r="G871" s="108"/>
      <c r="J871" s="174"/>
      <c r="K871" s="4"/>
    </row>
    <row r="872" spans="3:11" x14ac:dyDescent="0.25">
      <c r="C872" s="108"/>
      <c r="D872" s="217"/>
      <c r="E872" s="217"/>
      <c r="F872" s="104"/>
      <c r="G872" s="108"/>
      <c r="J872" s="174"/>
      <c r="K872" s="4"/>
    </row>
    <row r="873" spans="3:11" x14ac:dyDescent="0.25">
      <c r="C873" s="108"/>
      <c r="D873" s="217"/>
      <c r="E873" s="217"/>
      <c r="F873" s="104"/>
      <c r="G873" s="108"/>
      <c r="J873" s="174"/>
      <c r="K873" s="4"/>
    </row>
    <row r="874" spans="3:11" x14ac:dyDescent="0.25">
      <c r="C874" s="108"/>
      <c r="D874" s="217"/>
      <c r="E874" s="217"/>
      <c r="F874" s="104"/>
      <c r="G874" s="108"/>
      <c r="J874" s="174"/>
      <c r="K874" s="4"/>
    </row>
    <row r="875" spans="3:11" x14ac:dyDescent="0.25">
      <c r="C875" s="108"/>
      <c r="D875" s="217"/>
      <c r="E875" s="217"/>
      <c r="F875" s="104"/>
      <c r="G875" s="108"/>
      <c r="J875" s="174"/>
      <c r="K875" s="4"/>
    </row>
    <row r="876" spans="3:11" x14ac:dyDescent="0.25">
      <c r="C876" s="108"/>
      <c r="D876" s="217"/>
      <c r="E876" s="217"/>
      <c r="F876" s="104"/>
      <c r="G876" s="108"/>
      <c r="J876" s="174"/>
      <c r="K876" s="4"/>
    </row>
    <row r="877" spans="3:11" x14ac:dyDescent="0.25">
      <c r="C877" s="108"/>
      <c r="D877" s="217"/>
      <c r="E877" s="217"/>
      <c r="F877" s="104"/>
      <c r="G877" s="108"/>
      <c r="J877" s="174"/>
      <c r="K877" s="4"/>
    </row>
    <row r="878" spans="3:11" x14ac:dyDescent="0.25">
      <c r="C878" s="108"/>
      <c r="D878" s="217"/>
      <c r="E878" s="217"/>
      <c r="F878" s="104"/>
      <c r="G878" s="108"/>
      <c r="J878" s="174"/>
      <c r="K878" s="4"/>
    </row>
    <row r="879" spans="3:11" x14ac:dyDescent="0.25">
      <c r="C879" s="108"/>
      <c r="D879" s="217"/>
      <c r="E879" s="217"/>
      <c r="F879" s="104"/>
      <c r="G879" s="108"/>
      <c r="J879" s="174"/>
      <c r="K879" s="4"/>
    </row>
    <row r="880" spans="3:11" x14ac:dyDescent="0.25">
      <c r="C880" s="108"/>
      <c r="D880" s="217"/>
      <c r="E880" s="217"/>
      <c r="F880" s="104"/>
      <c r="G880" s="108"/>
      <c r="J880" s="174"/>
      <c r="K880" s="4"/>
    </row>
    <row r="881" spans="3:11" x14ac:dyDescent="0.25">
      <c r="C881" s="108"/>
      <c r="D881" s="217"/>
      <c r="E881" s="217"/>
      <c r="F881" s="104"/>
      <c r="G881" s="108"/>
      <c r="J881" s="174"/>
      <c r="K881" s="4"/>
    </row>
    <row r="882" spans="3:11" x14ac:dyDescent="0.25">
      <c r="C882" s="108"/>
      <c r="D882" s="217"/>
      <c r="E882" s="217"/>
      <c r="F882" s="104"/>
      <c r="G882" s="108"/>
      <c r="J882" s="174"/>
      <c r="K882" s="4"/>
    </row>
    <row r="883" spans="3:11" x14ac:dyDescent="0.25">
      <c r="C883" s="108"/>
      <c r="D883" s="217"/>
      <c r="E883" s="217"/>
      <c r="F883" s="104"/>
      <c r="G883" s="108"/>
      <c r="J883" s="174"/>
      <c r="K883" s="4"/>
    </row>
    <row r="884" spans="3:11" x14ac:dyDescent="0.25">
      <c r="C884" s="108"/>
      <c r="D884" s="217"/>
      <c r="E884" s="217"/>
      <c r="F884" s="104"/>
      <c r="G884" s="108"/>
      <c r="J884" s="174"/>
      <c r="K884" s="4"/>
    </row>
    <row r="885" spans="3:11" x14ac:dyDescent="0.25">
      <c r="C885" s="108"/>
      <c r="D885" s="217"/>
      <c r="E885" s="217"/>
      <c r="F885" s="104"/>
      <c r="G885" s="108"/>
      <c r="J885" s="174"/>
      <c r="K885" s="4"/>
    </row>
    <row r="886" spans="3:11" x14ac:dyDescent="0.25">
      <c r="C886" s="108"/>
      <c r="D886" s="217"/>
      <c r="E886" s="217"/>
      <c r="F886" s="104"/>
      <c r="G886" s="108"/>
      <c r="J886" s="174"/>
      <c r="K886" s="4"/>
    </row>
    <row r="887" spans="3:11" x14ac:dyDescent="0.25">
      <c r="C887" s="108"/>
      <c r="D887" s="217"/>
      <c r="E887" s="217"/>
      <c r="F887" s="104"/>
      <c r="G887" s="108"/>
      <c r="J887" s="174"/>
      <c r="K887" s="4"/>
    </row>
    <row r="888" spans="3:11" x14ac:dyDescent="0.25">
      <c r="C888" s="108"/>
      <c r="D888" s="217"/>
      <c r="E888" s="217"/>
      <c r="F888" s="104"/>
      <c r="G888" s="108"/>
      <c r="J888" s="174"/>
      <c r="K888" s="4"/>
    </row>
    <row r="889" spans="3:11" x14ac:dyDescent="0.25">
      <c r="C889" s="108"/>
      <c r="D889" s="217"/>
      <c r="E889" s="217"/>
      <c r="F889" s="104"/>
      <c r="G889" s="108"/>
      <c r="J889" s="174"/>
      <c r="K889" s="4"/>
    </row>
    <row r="890" spans="3:11" x14ac:dyDescent="0.25">
      <c r="C890" s="108"/>
      <c r="D890" s="217"/>
      <c r="E890" s="217"/>
      <c r="F890" s="104"/>
      <c r="G890" s="108"/>
      <c r="J890" s="174"/>
      <c r="K890" s="4"/>
    </row>
    <row r="891" spans="3:11" x14ac:dyDescent="0.25">
      <c r="C891" s="108"/>
      <c r="D891" s="217"/>
      <c r="E891" s="217"/>
      <c r="F891" s="104"/>
      <c r="G891" s="108"/>
      <c r="J891" s="174"/>
      <c r="K891" s="4"/>
    </row>
    <row r="892" spans="3:11" x14ac:dyDescent="0.25">
      <c r="C892" s="108"/>
      <c r="D892" s="217"/>
      <c r="E892" s="217"/>
      <c r="F892" s="104"/>
      <c r="G892" s="108"/>
      <c r="J892" s="174"/>
      <c r="K892" s="4"/>
    </row>
    <row r="893" spans="3:11" x14ac:dyDescent="0.25">
      <c r="C893" s="108"/>
      <c r="D893" s="217"/>
      <c r="E893" s="217"/>
      <c r="F893" s="104"/>
      <c r="G893" s="108"/>
      <c r="J893" s="174"/>
      <c r="K893" s="4"/>
    </row>
    <row r="894" spans="3:11" x14ac:dyDescent="0.25">
      <c r="C894" s="108"/>
      <c r="D894" s="217"/>
      <c r="E894" s="217"/>
      <c r="F894" s="104"/>
      <c r="G894" s="108"/>
      <c r="J894" s="174"/>
      <c r="K894" s="4"/>
    </row>
    <row r="895" spans="3:11" x14ac:dyDescent="0.25">
      <c r="C895" s="108"/>
      <c r="D895" s="217"/>
      <c r="E895" s="217"/>
      <c r="F895" s="104"/>
      <c r="G895" s="108"/>
      <c r="J895" s="174"/>
      <c r="K895" s="4"/>
    </row>
    <row r="896" spans="3:11" x14ac:dyDescent="0.25">
      <c r="C896" s="108"/>
      <c r="D896" s="217"/>
      <c r="E896" s="217"/>
      <c r="F896" s="104"/>
      <c r="G896" s="108"/>
      <c r="J896" s="174"/>
      <c r="K896" s="4"/>
    </row>
    <row r="897" spans="3:11" x14ac:dyDescent="0.25">
      <c r="C897" s="108"/>
      <c r="D897" s="217"/>
      <c r="E897" s="217"/>
      <c r="F897" s="104"/>
      <c r="G897" s="108"/>
      <c r="J897" s="174"/>
      <c r="K897" s="4"/>
    </row>
    <row r="898" spans="3:11" x14ac:dyDescent="0.25">
      <c r="C898" s="108"/>
      <c r="D898" s="217"/>
      <c r="E898" s="217"/>
      <c r="F898" s="104"/>
      <c r="G898" s="108"/>
      <c r="J898" s="174"/>
      <c r="K898" s="4"/>
    </row>
    <row r="899" spans="3:11" x14ac:dyDescent="0.25">
      <c r="C899" s="108"/>
      <c r="D899" s="217"/>
      <c r="E899" s="217"/>
      <c r="F899" s="104"/>
      <c r="G899" s="108"/>
      <c r="J899" s="174"/>
      <c r="K899" s="4"/>
    </row>
    <row r="900" spans="3:11" x14ac:dyDescent="0.25">
      <c r="C900" s="108"/>
      <c r="D900" s="217"/>
      <c r="E900" s="217"/>
      <c r="F900" s="104"/>
      <c r="G900" s="108"/>
      <c r="J900" s="174"/>
      <c r="K900" s="4"/>
    </row>
    <row r="901" spans="3:11" x14ac:dyDescent="0.25">
      <c r="C901" s="108"/>
      <c r="D901" s="217"/>
      <c r="E901" s="217"/>
      <c r="F901" s="104"/>
      <c r="G901" s="108"/>
      <c r="J901" s="174"/>
      <c r="K901" s="4"/>
    </row>
    <row r="902" spans="3:11" x14ac:dyDescent="0.25">
      <c r="C902" s="108"/>
      <c r="D902" s="217"/>
      <c r="E902" s="217"/>
      <c r="F902" s="104"/>
      <c r="G902" s="108"/>
      <c r="J902" s="174"/>
      <c r="K902" s="4"/>
    </row>
    <row r="903" spans="3:11" x14ac:dyDescent="0.25">
      <c r="C903" s="108"/>
      <c r="D903" s="217"/>
      <c r="E903" s="217"/>
      <c r="F903" s="104"/>
      <c r="G903" s="108"/>
      <c r="J903" s="174"/>
      <c r="K903" s="4"/>
    </row>
    <row r="904" spans="3:11" x14ac:dyDescent="0.25">
      <c r="C904" s="108"/>
      <c r="D904" s="217"/>
      <c r="E904" s="217"/>
      <c r="F904" s="104"/>
      <c r="G904" s="108"/>
      <c r="J904" s="174"/>
      <c r="K904" s="4"/>
    </row>
    <row r="905" spans="3:11" x14ac:dyDescent="0.25">
      <c r="C905" s="108"/>
      <c r="D905" s="217"/>
      <c r="E905" s="217"/>
      <c r="F905" s="104"/>
      <c r="G905" s="108"/>
      <c r="J905" s="174"/>
      <c r="K905" s="4"/>
    </row>
    <row r="906" spans="3:11" x14ac:dyDescent="0.25">
      <c r="C906" s="108"/>
      <c r="D906" s="217"/>
      <c r="E906" s="217"/>
      <c r="F906" s="104"/>
      <c r="G906" s="108"/>
      <c r="J906" s="174"/>
      <c r="K906" s="4"/>
    </row>
    <row r="907" spans="3:11" x14ac:dyDescent="0.25">
      <c r="C907" s="108"/>
      <c r="D907" s="217"/>
      <c r="E907" s="217"/>
      <c r="F907" s="104"/>
      <c r="G907" s="108"/>
      <c r="J907" s="174"/>
      <c r="K907" s="4"/>
    </row>
    <row r="908" spans="3:11" x14ac:dyDescent="0.25">
      <c r="C908" s="108"/>
      <c r="D908" s="217"/>
      <c r="E908" s="217"/>
      <c r="F908" s="104"/>
      <c r="G908" s="108"/>
      <c r="J908" s="174"/>
      <c r="K908" s="4"/>
    </row>
    <row r="909" spans="3:11" x14ac:dyDescent="0.25">
      <c r="C909" s="108"/>
      <c r="D909" s="217"/>
      <c r="E909" s="217"/>
      <c r="F909" s="104"/>
      <c r="G909" s="108"/>
      <c r="J909" s="174"/>
      <c r="K909" s="4"/>
    </row>
    <row r="910" spans="3:11" x14ac:dyDescent="0.25">
      <c r="C910" s="108"/>
      <c r="D910" s="217"/>
      <c r="E910" s="217"/>
      <c r="F910" s="104"/>
      <c r="G910" s="108"/>
      <c r="J910" s="174"/>
      <c r="K910" s="4"/>
    </row>
    <row r="911" spans="3:11" x14ac:dyDescent="0.25">
      <c r="C911" s="108"/>
      <c r="D911" s="217"/>
      <c r="E911" s="217"/>
      <c r="F911" s="104"/>
      <c r="G911" s="108"/>
      <c r="J911" s="174"/>
      <c r="K911" s="4"/>
    </row>
    <row r="912" spans="3:11" x14ac:dyDescent="0.25">
      <c r="C912" s="108"/>
      <c r="D912" s="217"/>
      <c r="E912" s="217"/>
      <c r="F912" s="104"/>
      <c r="G912" s="108"/>
      <c r="J912" s="174"/>
      <c r="K912" s="4"/>
    </row>
    <row r="913" spans="3:11" x14ac:dyDescent="0.25">
      <c r="C913" s="108"/>
      <c r="D913" s="217"/>
      <c r="E913" s="217"/>
      <c r="F913" s="104"/>
      <c r="G913" s="108"/>
      <c r="J913" s="174"/>
      <c r="K913" s="4"/>
    </row>
    <row r="914" spans="3:11" x14ac:dyDescent="0.25">
      <c r="C914" s="108"/>
      <c r="D914" s="217"/>
      <c r="E914" s="217"/>
      <c r="F914" s="104"/>
      <c r="G914" s="108"/>
      <c r="J914" s="174"/>
      <c r="K914" s="4"/>
    </row>
    <row r="915" spans="3:11" x14ac:dyDescent="0.25">
      <c r="C915" s="108"/>
      <c r="D915" s="217"/>
      <c r="E915" s="217"/>
      <c r="F915" s="104"/>
      <c r="G915" s="108"/>
      <c r="J915" s="174"/>
      <c r="K915" s="4"/>
    </row>
    <row r="916" spans="3:11" x14ac:dyDescent="0.25">
      <c r="C916" s="108"/>
      <c r="D916" s="217"/>
      <c r="E916" s="217"/>
      <c r="F916" s="104"/>
      <c r="G916" s="108"/>
      <c r="J916" s="174"/>
      <c r="K916" s="4"/>
    </row>
    <row r="917" spans="3:11" x14ac:dyDescent="0.25">
      <c r="C917" s="108"/>
      <c r="D917" s="217"/>
      <c r="E917" s="217"/>
      <c r="F917" s="104"/>
      <c r="G917" s="108"/>
      <c r="J917" s="174"/>
      <c r="K917" s="4"/>
    </row>
    <row r="918" spans="3:11" x14ac:dyDescent="0.25">
      <c r="C918" s="108"/>
      <c r="D918" s="217"/>
      <c r="E918" s="217"/>
      <c r="F918" s="104"/>
      <c r="G918" s="108"/>
      <c r="J918" s="174"/>
      <c r="K918" s="4"/>
    </row>
    <row r="919" spans="3:11" x14ac:dyDescent="0.25">
      <c r="C919" s="108"/>
      <c r="D919" s="217"/>
      <c r="E919" s="217"/>
      <c r="F919" s="104"/>
      <c r="G919" s="108"/>
      <c r="J919" s="174"/>
      <c r="K919" s="4"/>
    </row>
    <row r="920" spans="3:11" x14ac:dyDescent="0.25">
      <c r="C920" s="108"/>
      <c r="D920" s="217"/>
      <c r="E920" s="217"/>
      <c r="F920" s="104"/>
      <c r="G920" s="108"/>
      <c r="J920" s="174"/>
      <c r="K920" s="4"/>
    </row>
    <row r="921" spans="3:11" x14ac:dyDescent="0.25">
      <c r="C921" s="108"/>
      <c r="D921" s="217"/>
      <c r="E921" s="217"/>
      <c r="F921" s="104"/>
      <c r="G921" s="108"/>
      <c r="J921" s="174"/>
      <c r="K921" s="4"/>
    </row>
    <row r="922" spans="3:11" x14ac:dyDescent="0.25">
      <c r="C922" s="108"/>
      <c r="D922" s="217"/>
      <c r="E922" s="217"/>
      <c r="F922" s="104"/>
      <c r="G922" s="108"/>
      <c r="J922" s="174"/>
      <c r="K922" s="4"/>
    </row>
    <row r="923" spans="3:11" x14ac:dyDescent="0.25">
      <c r="C923" s="108"/>
      <c r="D923" s="217"/>
      <c r="E923" s="217"/>
      <c r="F923" s="104"/>
      <c r="G923" s="108"/>
      <c r="J923" s="174"/>
      <c r="K923" s="4"/>
    </row>
    <row r="924" spans="3:11" x14ac:dyDescent="0.25">
      <c r="C924" s="108"/>
      <c r="D924" s="217"/>
      <c r="E924" s="217"/>
      <c r="F924" s="104"/>
      <c r="G924" s="108"/>
      <c r="J924" s="174"/>
      <c r="K924" s="4"/>
    </row>
    <row r="925" spans="3:11" x14ac:dyDescent="0.25">
      <c r="C925" s="108"/>
      <c r="D925" s="217"/>
      <c r="E925" s="217"/>
      <c r="F925" s="104"/>
      <c r="G925" s="108"/>
      <c r="J925" s="174"/>
      <c r="K925" s="4"/>
    </row>
    <row r="926" spans="3:11" x14ac:dyDescent="0.25">
      <c r="C926" s="108"/>
      <c r="D926" s="217"/>
      <c r="E926" s="217"/>
      <c r="F926" s="104"/>
      <c r="G926" s="108"/>
      <c r="J926" s="174"/>
      <c r="K926" s="4"/>
    </row>
    <row r="927" spans="3:11" x14ac:dyDescent="0.25">
      <c r="C927" s="108"/>
      <c r="D927" s="217"/>
      <c r="E927" s="217"/>
      <c r="F927" s="104"/>
      <c r="G927" s="108"/>
      <c r="J927" s="174"/>
      <c r="K927" s="4"/>
    </row>
    <row r="928" spans="3:11" x14ac:dyDescent="0.25">
      <c r="C928" s="108"/>
      <c r="D928" s="217"/>
      <c r="E928" s="217"/>
      <c r="F928" s="104"/>
      <c r="G928" s="108"/>
      <c r="J928" s="174"/>
      <c r="K928" s="4"/>
    </row>
    <row r="929" spans="3:11" x14ac:dyDescent="0.25">
      <c r="C929" s="108"/>
      <c r="D929" s="217"/>
      <c r="E929" s="217"/>
      <c r="F929" s="104"/>
      <c r="G929" s="108"/>
      <c r="J929" s="174"/>
      <c r="K929" s="4"/>
    </row>
    <row r="930" spans="3:11" x14ac:dyDescent="0.25">
      <c r="C930" s="108"/>
      <c r="D930" s="217"/>
      <c r="E930" s="217"/>
      <c r="F930" s="104"/>
      <c r="G930" s="108"/>
      <c r="J930" s="174"/>
      <c r="K930" s="4"/>
    </row>
    <row r="931" spans="3:11" x14ac:dyDescent="0.25">
      <c r="C931" s="108"/>
      <c r="D931" s="217"/>
      <c r="E931" s="217"/>
      <c r="F931" s="104"/>
      <c r="G931" s="108"/>
      <c r="J931" s="174"/>
      <c r="K931" s="4"/>
    </row>
    <row r="932" spans="3:11" x14ac:dyDescent="0.25">
      <c r="C932" s="108"/>
      <c r="D932" s="217"/>
      <c r="E932" s="217"/>
      <c r="F932" s="104"/>
      <c r="G932" s="108"/>
      <c r="J932" s="174"/>
      <c r="K932" s="4"/>
    </row>
    <row r="933" spans="3:11" x14ac:dyDescent="0.25">
      <c r="C933" s="108"/>
      <c r="D933" s="217"/>
      <c r="E933" s="217"/>
      <c r="F933" s="104"/>
      <c r="G933" s="108"/>
      <c r="J933" s="174"/>
      <c r="K933" s="4"/>
    </row>
    <row r="934" spans="3:11" x14ac:dyDescent="0.25">
      <c r="C934" s="108"/>
      <c r="D934" s="217"/>
      <c r="E934" s="217"/>
      <c r="F934" s="104"/>
      <c r="G934" s="108"/>
      <c r="J934" s="174"/>
      <c r="K934" s="4"/>
    </row>
    <row r="935" spans="3:11" x14ac:dyDescent="0.25">
      <c r="C935" s="108"/>
      <c r="D935" s="217"/>
      <c r="E935" s="217"/>
      <c r="F935" s="104"/>
      <c r="G935" s="108"/>
      <c r="J935" s="174"/>
      <c r="K935" s="4"/>
    </row>
    <row r="936" spans="3:11" x14ac:dyDescent="0.25">
      <c r="C936" s="108"/>
      <c r="D936" s="217"/>
      <c r="E936" s="217"/>
      <c r="F936" s="104"/>
      <c r="G936" s="108"/>
      <c r="J936" s="174"/>
      <c r="K936" s="4"/>
    </row>
    <row r="937" spans="3:11" x14ac:dyDescent="0.25">
      <c r="C937" s="108"/>
      <c r="D937" s="217"/>
      <c r="E937" s="217"/>
      <c r="F937" s="104"/>
      <c r="G937" s="108"/>
      <c r="J937" s="174"/>
      <c r="K937" s="4"/>
    </row>
    <row r="938" spans="3:11" x14ac:dyDescent="0.25">
      <c r="C938" s="108"/>
      <c r="D938" s="217"/>
      <c r="E938" s="217"/>
      <c r="F938" s="104"/>
      <c r="G938" s="108"/>
      <c r="J938" s="174"/>
      <c r="K938" s="4"/>
    </row>
    <row r="939" spans="3:11" x14ac:dyDescent="0.25">
      <c r="C939" s="108"/>
      <c r="D939" s="217"/>
      <c r="E939" s="217"/>
      <c r="F939" s="104"/>
      <c r="G939" s="108"/>
      <c r="J939" s="174"/>
      <c r="K939" s="4"/>
    </row>
    <row r="940" spans="3:11" x14ac:dyDescent="0.25">
      <c r="C940" s="108"/>
      <c r="D940" s="217"/>
      <c r="E940" s="217"/>
      <c r="F940" s="104"/>
      <c r="G940" s="108"/>
      <c r="J940" s="174"/>
      <c r="K940" s="4"/>
    </row>
    <row r="941" spans="3:11" x14ac:dyDescent="0.25">
      <c r="C941" s="108"/>
      <c r="D941" s="217"/>
      <c r="E941" s="217"/>
      <c r="F941" s="104"/>
      <c r="G941" s="108"/>
      <c r="J941" s="174"/>
      <c r="K941" s="4"/>
    </row>
    <row r="942" spans="3:11" x14ac:dyDescent="0.25">
      <c r="C942" s="108"/>
      <c r="D942" s="217"/>
      <c r="E942" s="217"/>
      <c r="F942" s="104"/>
      <c r="G942" s="108"/>
      <c r="J942" s="174"/>
      <c r="K942" s="4"/>
    </row>
    <row r="943" spans="3:11" x14ac:dyDescent="0.25">
      <c r="C943" s="108"/>
      <c r="D943" s="217"/>
      <c r="E943" s="217"/>
      <c r="F943" s="104"/>
      <c r="G943" s="108"/>
      <c r="J943" s="174"/>
      <c r="K943" s="4"/>
    </row>
    <row r="944" spans="3:11" x14ac:dyDescent="0.25">
      <c r="C944" s="108"/>
      <c r="D944" s="217"/>
      <c r="E944" s="217"/>
      <c r="F944" s="104"/>
      <c r="G944" s="108"/>
      <c r="J944" s="174"/>
      <c r="K944" s="4"/>
    </row>
    <row r="945" spans="3:11" x14ac:dyDescent="0.25">
      <c r="C945" s="108"/>
      <c r="D945" s="217"/>
      <c r="E945" s="217"/>
      <c r="F945" s="104"/>
      <c r="G945" s="108"/>
      <c r="J945" s="174"/>
      <c r="K945" s="4"/>
    </row>
    <row r="946" spans="3:11" x14ac:dyDescent="0.25">
      <c r="C946" s="108"/>
      <c r="D946" s="217"/>
      <c r="E946" s="217"/>
      <c r="F946" s="104"/>
      <c r="G946" s="108"/>
      <c r="J946" s="174"/>
      <c r="K946" s="4"/>
    </row>
    <row r="947" spans="3:11" x14ac:dyDescent="0.25">
      <c r="C947" s="108"/>
      <c r="D947" s="217"/>
      <c r="E947" s="217"/>
      <c r="F947" s="104"/>
      <c r="G947" s="108"/>
      <c r="J947" s="174"/>
      <c r="K947" s="4"/>
    </row>
    <row r="948" spans="3:11" x14ac:dyDescent="0.25">
      <c r="C948" s="108"/>
      <c r="D948" s="217"/>
      <c r="E948" s="217"/>
      <c r="F948" s="104"/>
      <c r="G948" s="108"/>
      <c r="J948" s="174"/>
      <c r="K948" s="4"/>
    </row>
    <row r="949" spans="3:11" x14ac:dyDescent="0.25">
      <c r="C949" s="108"/>
      <c r="D949" s="217"/>
      <c r="E949" s="217"/>
      <c r="F949" s="104"/>
      <c r="G949" s="108"/>
      <c r="J949" s="174"/>
      <c r="K949" s="4"/>
    </row>
    <row r="950" spans="3:11" x14ac:dyDescent="0.25">
      <c r="C950" s="108"/>
      <c r="D950" s="217"/>
      <c r="E950" s="217"/>
      <c r="F950" s="104"/>
      <c r="G950" s="108"/>
      <c r="J950" s="174"/>
      <c r="K950" s="4"/>
    </row>
    <row r="951" spans="3:11" x14ac:dyDescent="0.25">
      <c r="C951" s="108"/>
      <c r="D951" s="217"/>
      <c r="E951" s="217"/>
      <c r="F951" s="104"/>
      <c r="G951" s="108"/>
      <c r="J951" s="174"/>
      <c r="K951" s="4"/>
    </row>
    <row r="952" spans="3:11" x14ac:dyDescent="0.25">
      <c r="C952" s="108"/>
      <c r="D952" s="217"/>
      <c r="E952" s="217"/>
      <c r="F952" s="104"/>
      <c r="G952" s="108"/>
      <c r="J952" s="174"/>
      <c r="K952" s="4"/>
    </row>
    <row r="953" spans="3:11" x14ac:dyDescent="0.25">
      <c r="C953" s="108"/>
      <c r="D953" s="217"/>
      <c r="E953" s="217"/>
      <c r="F953" s="104"/>
      <c r="G953" s="108"/>
      <c r="J953" s="174"/>
      <c r="K953" s="4"/>
    </row>
    <row r="954" spans="3:11" x14ac:dyDescent="0.25">
      <c r="C954" s="108"/>
      <c r="D954" s="217"/>
      <c r="E954" s="217"/>
      <c r="F954" s="104"/>
      <c r="G954" s="108"/>
      <c r="J954" s="174"/>
      <c r="K954" s="4"/>
    </row>
    <row r="955" spans="3:11" x14ac:dyDescent="0.25">
      <c r="C955" s="108"/>
      <c r="D955" s="217"/>
      <c r="E955" s="217"/>
      <c r="F955" s="104"/>
      <c r="G955" s="108"/>
      <c r="J955" s="174"/>
      <c r="K955" s="4"/>
    </row>
    <row r="956" spans="3:11" x14ac:dyDescent="0.25">
      <c r="C956" s="108"/>
      <c r="D956" s="217"/>
      <c r="E956" s="217"/>
      <c r="F956" s="104"/>
      <c r="G956" s="108"/>
      <c r="J956" s="174"/>
      <c r="K956" s="4"/>
    </row>
    <row r="957" spans="3:11" x14ac:dyDescent="0.25">
      <c r="C957" s="108"/>
      <c r="D957" s="217"/>
      <c r="E957" s="217"/>
      <c r="F957" s="104"/>
      <c r="G957" s="108"/>
      <c r="J957" s="174"/>
      <c r="K957" s="4"/>
    </row>
    <row r="958" spans="3:11" x14ac:dyDescent="0.25">
      <c r="C958" s="108"/>
      <c r="D958" s="217"/>
      <c r="E958" s="217"/>
      <c r="F958" s="104"/>
      <c r="G958" s="108"/>
      <c r="J958" s="174"/>
      <c r="K958" s="4"/>
    </row>
    <row r="959" spans="3:11" x14ac:dyDescent="0.25">
      <c r="C959" s="108"/>
      <c r="D959" s="217"/>
      <c r="E959" s="217"/>
      <c r="F959" s="104"/>
      <c r="G959" s="108"/>
      <c r="J959" s="174"/>
      <c r="K959" s="4"/>
    </row>
    <row r="960" spans="3:11" x14ac:dyDescent="0.25">
      <c r="C960" s="108"/>
      <c r="D960" s="217"/>
      <c r="E960" s="217"/>
      <c r="F960" s="104"/>
      <c r="G960" s="108"/>
      <c r="J960" s="174"/>
      <c r="K960" s="4"/>
    </row>
    <row r="961" spans="3:11" x14ac:dyDescent="0.25">
      <c r="C961" s="108"/>
      <c r="D961" s="217"/>
      <c r="E961" s="217"/>
      <c r="F961" s="104"/>
      <c r="G961" s="108"/>
      <c r="J961" s="174"/>
      <c r="K961" s="4"/>
    </row>
    <row r="962" spans="3:11" x14ac:dyDescent="0.25">
      <c r="C962" s="108"/>
      <c r="D962" s="217"/>
      <c r="E962" s="217"/>
      <c r="F962" s="104"/>
      <c r="G962" s="108"/>
      <c r="J962" s="174"/>
      <c r="K962" s="4"/>
    </row>
    <row r="963" spans="3:11" x14ac:dyDescent="0.25">
      <c r="C963" s="108"/>
      <c r="D963" s="217"/>
      <c r="E963" s="217"/>
      <c r="F963" s="104"/>
      <c r="G963" s="108"/>
      <c r="J963" s="174"/>
      <c r="K963" s="4"/>
    </row>
    <row r="964" spans="3:11" x14ac:dyDescent="0.25">
      <c r="C964" s="108"/>
      <c r="D964" s="217"/>
      <c r="E964" s="217"/>
      <c r="F964" s="104"/>
      <c r="G964" s="108"/>
      <c r="J964" s="174"/>
      <c r="K964" s="4"/>
    </row>
    <row r="965" spans="3:11" x14ac:dyDescent="0.25">
      <c r="C965" s="108"/>
      <c r="D965" s="217"/>
      <c r="E965" s="217"/>
      <c r="F965" s="104"/>
      <c r="G965" s="108"/>
      <c r="J965" s="174"/>
      <c r="K965" s="4"/>
    </row>
    <row r="966" spans="3:11" x14ac:dyDescent="0.25">
      <c r="C966" s="108"/>
      <c r="D966" s="217"/>
      <c r="E966" s="217"/>
      <c r="F966" s="104"/>
      <c r="G966" s="108"/>
      <c r="J966" s="174"/>
      <c r="K966" s="4"/>
    </row>
    <row r="967" spans="3:11" x14ac:dyDescent="0.25">
      <c r="C967" s="108"/>
      <c r="D967" s="217"/>
      <c r="E967" s="217"/>
      <c r="F967" s="104"/>
      <c r="G967" s="108"/>
      <c r="J967" s="174"/>
      <c r="K967" s="4"/>
    </row>
    <row r="968" spans="3:11" x14ac:dyDescent="0.25">
      <c r="C968" s="108"/>
      <c r="D968" s="217"/>
      <c r="E968" s="217"/>
      <c r="F968" s="104"/>
      <c r="G968" s="108"/>
      <c r="J968" s="174"/>
      <c r="K968" s="4"/>
    </row>
    <row r="969" spans="3:11" x14ac:dyDescent="0.25">
      <c r="C969" s="108"/>
      <c r="D969" s="217"/>
      <c r="E969" s="217"/>
      <c r="F969" s="104"/>
      <c r="G969" s="108"/>
      <c r="J969" s="174"/>
      <c r="K969" s="4"/>
    </row>
    <row r="970" spans="3:11" x14ac:dyDescent="0.25">
      <c r="C970" s="108"/>
      <c r="D970" s="217"/>
      <c r="E970" s="217"/>
      <c r="F970" s="104"/>
      <c r="G970" s="108"/>
      <c r="J970" s="174"/>
      <c r="K970" s="4"/>
    </row>
    <row r="971" spans="3:11" x14ac:dyDescent="0.25">
      <c r="C971" s="108"/>
      <c r="D971" s="217"/>
      <c r="E971" s="217"/>
      <c r="F971" s="104"/>
      <c r="G971" s="108"/>
      <c r="J971" s="174"/>
      <c r="K971" s="4"/>
    </row>
    <row r="972" spans="3:11" x14ac:dyDescent="0.25">
      <c r="C972" s="108"/>
      <c r="D972" s="217"/>
      <c r="E972" s="217"/>
      <c r="F972" s="104"/>
      <c r="G972" s="108"/>
      <c r="J972" s="174"/>
      <c r="K972" s="4"/>
    </row>
    <row r="973" spans="3:11" x14ac:dyDescent="0.25">
      <c r="C973" s="108"/>
      <c r="D973" s="217"/>
      <c r="E973" s="217"/>
      <c r="F973" s="104"/>
      <c r="G973" s="108"/>
      <c r="J973" s="174"/>
      <c r="K973" s="4"/>
    </row>
    <row r="974" spans="3:11" x14ac:dyDescent="0.25">
      <c r="C974" s="108"/>
      <c r="D974" s="217"/>
      <c r="E974" s="217"/>
      <c r="F974" s="104"/>
      <c r="G974" s="108"/>
      <c r="J974" s="174"/>
      <c r="K974" s="4"/>
    </row>
    <row r="975" spans="3:11" x14ac:dyDescent="0.25">
      <c r="C975" s="108"/>
      <c r="D975" s="217"/>
      <c r="E975" s="217"/>
      <c r="F975" s="104"/>
      <c r="G975" s="108"/>
      <c r="J975" s="174"/>
      <c r="K975" s="4"/>
    </row>
    <row r="976" spans="3:11" x14ac:dyDescent="0.25">
      <c r="C976" s="108"/>
      <c r="D976" s="217"/>
      <c r="E976" s="217"/>
      <c r="F976" s="104"/>
      <c r="G976" s="108"/>
      <c r="J976" s="174"/>
      <c r="K976" s="4"/>
    </row>
    <row r="977" spans="3:11" x14ac:dyDescent="0.25">
      <c r="C977" s="108"/>
      <c r="D977" s="217"/>
      <c r="E977" s="217"/>
      <c r="F977" s="104"/>
      <c r="G977" s="108"/>
      <c r="J977" s="174"/>
      <c r="K977" s="4"/>
    </row>
    <row r="978" spans="3:11" x14ac:dyDescent="0.25">
      <c r="C978" s="108"/>
      <c r="D978" s="217"/>
      <c r="E978" s="217"/>
      <c r="F978" s="104"/>
      <c r="G978" s="108"/>
      <c r="J978" s="174"/>
      <c r="K978" s="4"/>
    </row>
    <row r="979" spans="3:11" x14ac:dyDescent="0.25">
      <c r="C979" s="108"/>
      <c r="D979" s="217"/>
      <c r="E979" s="217"/>
      <c r="F979" s="104"/>
      <c r="G979" s="108"/>
      <c r="J979" s="174"/>
      <c r="K979" s="4"/>
    </row>
    <row r="980" spans="3:11" x14ac:dyDescent="0.25">
      <c r="C980" s="108"/>
      <c r="D980" s="217"/>
      <c r="E980" s="217"/>
      <c r="F980" s="104"/>
      <c r="G980" s="108"/>
      <c r="J980" s="174"/>
      <c r="K980" s="4"/>
    </row>
    <row r="981" spans="3:11" x14ac:dyDescent="0.25">
      <c r="C981" s="108"/>
      <c r="D981" s="217"/>
      <c r="E981" s="217"/>
      <c r="F981" s="104"/>
      <c r="G981" s="108"/>
      <c r="J981" s="174"/>
      <c r="K981" s="4"/>
    </row>
    <row r="982" spans="3:11" x14ac:dyDescent="0.25">
      <c r="C982" s="108"/>
      <c r="D982" s="217"/>
      <c r="E982" s="217"/>
      <c r="F982" s="104"/>
      <c r="G982" s="108"/>
      <c r="J982" s="174"/>
      <c r="K982" s="4"/>
    </row>
    <row r="983" spans="3:11" x14ac:dyDescent="0.25">
      <c r="C983" s="108"/>
      <c r="D983" s="217"/>
      <c r="E983" s="217"/>
      <c r="F983" s="104"/>
      <c r="G983" s="108"/>
      <c r="J983" s="174"/>
      <c r="K983" s="4"/>
    </row>
    <row r="984" spans="3:11" x14ac:dyDescent="0.25">
      <c r="C984" s="108"/>
      <c r="D984" s="217"/>
      <c r="E984" s="217"/>
      <c r="F984" s="104"/>
      <c r="G984" s="108"/>
      <c r="J984" s="174"/>
      <c r="K984" s="4"/>
    </row>
    <row r="985" spans="3:11" x14ac:dyDescent="0.25">
      <c r="C985" s="108"/>
      <c r="D985" s="217"/>
      <c r="E985" s="217"/>
      <c r="F985" s="104"/>
      <c r="G985" s="108"/>
      <c r="J985" s="174"/>
      <c r="K985" s="4"/>
    </row>
    <row r="986" spans="3:11" x14ac:dyDescent="0.25">
      <c r="C986" s="108"/>
      <c r="D986" s="217"/>
      <c r="E986" s="217"/>
      <c r="F986" s="104"/>
      <c r="G986" s="108"/>
      <c r="J986" s="174"/>
      <c r="K986" s="4"/>
    </row>
    <row r="987" spans="3:11" x14ac:dyDescent="0.25">
      <c r="C987" s="108"/>
      <c r="D987" s="217"/>
      <c r="E987" s="217"/>
      <c r="F987" s="104"/>
      <c r="G987" s="108"/>
      <c r="J987" s="174"/>
      <c r="K987" s="4"/>
    </row>
    <row r="988" spans="3:11" x14ac:dyDescent="0.25">
      <c r="C988" s="108"/>
      <c r="D988" s="217"/>
      <c r="E988" s="217"/>
      <c r="F988" s="104"/>
      <c r="G988" s="108"/>
      <c r="J988" s="174"/>
      <c r="K988" s="4"/>
    </row>
    <row r="989" spans="3:11" x14ac:dyDescent="0.25">
      <c r="C989" s="108"/>
      <c r="D989" s="217"/>
      <c r="E989" s="217"/>
      <c r="F989" s="104"/>
      <c r="G989" s="108"/>
      <c r="J989" s="174"/>
      <c r="K989" s="4"/>
    </row>
    <row r="990" spans="3:11" x14ac:dyDescent="0.25">
      <c r="C990" s="108"/>
      <c r="D990" s="217"/>
      <c r="E990" s="217"/>
      <c r="F990" s="104"/>
      <c r="G990" s="108"/>
      <c r="J990" s="174"/>
      <c r="K990" s="4"/>
    </row>
    <row r="991" spans="3:11" x14ac:dyDescent="0.25">
      <c r="C991" s="108"/>
      <c r="D991" s="217"/>
      <c r="E991" s="217"/>
      <c r="F991" s="104"/>
      <c r="G991" s="108"/>
      <c r="J991" s="174"/>
      <c r="K991" s="4"/>
    </row>
    <row r="992" spans="3:11" x14ac:dyDescent="0.25">
      <c r="C992" s="108"/>
      <c r="D992" s="217"/>
      <c r="E992" s="217"/>
      <c r="F992" s="104"/>
      <c r="G992" s="108"/>
      <c r="J992" s="174"/>
      <c r="K992" s="4"/>
    </row>
    <row r="993" spans="3:11" x14ac:dyDescent="0.25">
      <c r="C993" s="108"/>
      <c r="D993" s="217"/>
      <c r="E993" s="217"/>
      <c r="F993" s="104"/>
      <c r="G993" s="108"/>
      <c r="J993" s="174"/>
      <c r="K993" s="4"/>
    </row>
    <row r="994" spans="3:11" x14ac:dyDescent="0.25">
      <c r="C994" s="108"/>
      <c r="D994" s="217"/>
      <c r="E994" s="217"/>
      <c r="F994" s="104"/>
      <c r="G994" s="108"/>
      <c r="J994" s="174"/>
      <c r="K994" s="4"/>
    </row>
    <row r="995" spans="3:11" x14ac:dyDescent="0.25">
      <c r="C995" s="108"/>
      <c r="D995" s="217"/>
      <c r="E995" s="217"/>
      <c r="F995" s="104"/>
      <c r="G995" s="108"/>
      <c r="J995" s="174"/>
      <c r="K995" s="4"/>
    </row>
    <row r="996" spans="3:11" x14ac:dyDescent="0.25">
      <c r="C996" s="108"/>
      <c r="D996" s="217"/>
      <c r="E996" s="217"/>
      <c r="F996" s="104"/>
      <c r="G996" s="108"/>
      <c r="J996" s="174"/>
      <c r="K996" s="4"/>
    </row>
    <row r="997" spans="3:11" x14ac:dyDescent="0.25">
      <c r="C997" s="108"/>
      <c r="D997" s="217"/>
      <c r="E997" s="217"/>
      <c r="F997" s="104"/>
      <c r="G997" s="108"/>
      <c r="J997" s="174"/>
      <c r="K997" s="4"/>
    </row>
    <row r="998" spans="3:11" x14ac:dyDescent="0.25">
      <c r="C998" s="108"/>
      <c r="D998" s="217"/>
      <c r="E998" s="217"/>
      <c r="F998" s="104"/>
      <c r="G998" s="108"/>
      <c r="J998" s="174"/>
      <c r="K998" s="4"/>
    </row>
    <row r="999" spans="3:11" x14ac:dyDescent="0.25">
      <c r="C999" s="108"/>
      <c r="D999" s="217"/>
      <c r="E999" s="217"/>
      <c r="F999" s="104"/>
      <c r="G999" s="108"/>
      <c r="J999" s="174"/>
      <c r="K999" s="4"/>
    </row>
    <row r="1000" spans="3:11" x14ac:dyDescent="0.25">
      <c r="C1000" s="108"/>
      <c r="D1000" s="217"/>
      <c r="E1000" s="217"/>
      <c r="F1000" s="104"/>
      <c r="G1000" s="108"/>
      <c r="J1000" s="174"/>
      <c r="K1000" s="4"/>
    </row>
    <row r="1001" spans="3:11" x14ac:dyDescent="0.25">
      <c r="C1001" s="108"/>
      <c r="D1001" s="217"/>
      <c r="E1001" s="217"/>
      <c r="F1001" s="104"/>
      <c r="G1001" s="108"/>
      <c r="J1001" s="174"/>
      <c r="K1001" s="4"/>
    </row>
    <row r="1002" spans="3:11" x14ac:dyDescent="0.25">
      <c r="C1002" s="108"/>
      <c r="D1002" s="217"/>
      <c r="E1002" s="217"/>
      <c r="F1002" s="104"/>
      <c r="G1002" s="108"/>
      <c r="J1002" s="174"/>
      <c r="K1002" s="4"/>
    </row>
    <row r="1003" spans="3:11" x14ac:dyDescent="0.25">
      <c r="C1003" s="108"/>
      <c r="D1003" s="217"/>
      <c r="E1003" s="217"/>
      <c r="F1003" s="104"/>
      <c r="G1003" s="108"/>
      <c r="J1003" s="174"/>
      <c r="K1003" s="4"/>
    </row>
    <row r="1004" spans="3:11" x14ac:dyDescent="0.25">
      <c r="C1004" s="108"/>
      <c r="D1004" s="217"/>
      <c r="E1004" s="217"/>
      <c r="F1004" s="104"/>
      <c r="G1004" s="108"/>
      <c r="J1004" s="174"/>
      <c r="K1004" s="4"/>
    </row>
    <row r="1005" spans="3:11" x14ac:dyDescent="0.25">
      <c r="C1005" s="108"/>
      <c r="D1005" s="217"/>
      <c r="E1005" s="217"/>
      <c r="F1005" s="104"/>
      <c r="G1005" s="108"/>
      <c r="J1005" s="174"/>
      <c r="K1005" s="4"/>
    </row>
    <row r="1006" spans="3:11" x14ac:dyDescent="0.25">
      <c r="C1006" s="108"/>
      <c r="D1006" s="217"/>
      <c r="E1006" s="217"/>
      <c r="F1006" s="104"/>
      <c r="G1006" s="108"/>
      <c r="J1006" s="174"/>
      <c r="K1006" s="4"/>
    </row>
    <row r="1007" spans="3:11" x14ac:dyDescent="0.25">
      <c r="C1007" s="108"/>
      <c r="D1007" s="217"/>
      <c r="E1007" s="217"/>
      <c r="F1007" s="104"/>
      <c r="G1007" s="108"/>
      <c r="J1007" s="174"/>
      <c r="K1007" s="4"/>
    </row>
    <row r="1008" spans="3:11" x14ac:dyDescent="0.25">
      <c r="C1008" s="108"/>
      <c r="D1008" s="217"/>
      <c r="E1008" s="217"/>
      <c r="F1008" s="104"/>
      <c r="G1008" s="108"/>
      <c r="J1008" s="174"/>
      <c r="K1008" s="4"/>
    </row>
    <row r="1009" spans="3:11" x14ac:dyDescent="0.25">
      <c r="C1009" s="108"/>
      <c r="D1009" s="217"/>
      <c r="E1009" s="217"/>
      <c r="F1009" s="104"/>
      <c r="G1009" s="108"/>
      <c r="J1009" s="174"/>
      <c r="K1009" s="4"/>
    </row>
    <row r="1010" spans="3:11" x14ac:dyDescent="0.25">
      <c r="C1010" s="108"/>
      <c r="D1010" s="217"/>
      <c r="E1010" s="217"/>
      <c r="F1010" s="104"/>
      <c r="G1010" s="108"/>
      <c r="J1010" s="174"/>
      <c r="K1010" s="4"/>
    </row>
    <row r="1011" spans="3:11" x14ac:dyDescent="0.25">
      <c r="C1011" s="108"/>
      <c r="D1011" s="217"/>
      <c r="E1011" s="217"/>
      <c r="F1011" s="104"/>
      <c r="G1011" s="108"/>
      <c r="J1011" s="174"/>
      <c r="K1011" s="4"/>
    </row>
    <row r="1012" spans="3:11" x14ac:dyDescent="0.25">
      <c r="C1012" s="108"/>
      <c r="D1012" s="217"/>
      <c r="E1012" s="217"/>
      <c r="F1012" s="104"/>
      <c r="G1012" s="108"/>
      <c r="J1012" s="174"/>
      <c r="K1012" s="4"/>
    </row>
    <row r="1013" spans="3:11" x14ac:dyDescent="0.25">
      <c r="C1013" s="108"/>
      <c r="D1013" s="217"/>
      <c r="E1013" s="217"/>
      <c r="F1013" s="104"/>
      <c r="G1013" s="108"/>
      <c r="J1013" s="174"/>
      <c r="K1013" s="4"/>
    </row>
    <row r="1014" spans="3:11" x14ac:dyDescent="0.25">
      <c r="C1014" s="108"/>
      <c r="D1014" s="217"/>
      <c r="E1014" s="217"/>
      <c r="F1014" s="104"/>
      <c r="G1014" s="108"/>
      <c r="J1014" s="174"/>
      <c r="K1014" s="4"/>
    </row>
    <row r="1015" spans="3:11" x14ac:dyDescent="0.25">
      <c r="C1015" s="108"/>
      <c r="D1015" s="217"/>
      <c r="E1015" s="217"/>
      <c r="F1015" s="104"/>
      <c r="G1015" s="108"/>
      <c r="J1015" s="174"/>
      <c r="K1015" s="4"/>
    </row>
    <row r="1016" spans="3:11" x14ac:dyDescent="0.25">
      <c r="C1016" s="108"/>
      <c r="D1016" s="217"/>
      <c r="E1016" s="217"/>
      <c r="F1016" s="104"/>
      <c r="G1016" s="108"/>
      <c r="J1016" s="174"/>
      <c r="K1016" s="4"/>
    </row>
    <row r="1017" spans="3:11" x14ac:dyDescent="0.25">
      <c r="C1017" s="108"/>
      <c r="D1017" s="217"/>
      <c r="E1017" s="217"/>
      <c r="F1017" s="104"/>
      <c r="G1017" s="108"/>
      <c r="J1017" s="174"/>
      <c r="K1017" s="4"/>
    </row>
    <row r="1018" spans="3:11" x14ac:dyDescent="0.25">
      <c r="C1018" s="108"/>
      <c r="D1018" s="217"/>
      <c r="E1018" s="217"/>
      <c r="F1018" s="104"/>
      <c r="G1018" s="108"/>
      <c r="J1018" s="174"/>
      <c r="K1018" s="4"/>
    </row>
    <row r="1019" spans="3:11" x14ac:dyDescent="0.25">
      <c r="C1019" s="108"/>
      <c r="D1019" s="217"/>
      <c r="E1019" s="217"/>
      <c r="F1019" s="104"/>
      <c r="G1019" s="108"/>
      <c r="J1019" s="174"/>
      <c r="K1019" s="4"/>
    </row>
    <row r="1020" spans="3:11" x14ac:dyDescent="0.25">
      <c r="C1020" s="108"/>
      <c r="D1020" s="217"/>
      <c r="E1020" s="217"/>
      <c r="F1020" s="104"/>
      <c r="G1020" s="108"/>
      <c r="J1020" s="174"/>
      <c r="K1020" s="4"/>
    </row>
    <row r="1021" spans="3:11" x14ac:dyDescent="0.25">
      <c r="C1021" s="108"/>
      <c r="D1021" s="217"/>
      <c r="E1021" s="217"/>
      <c r="F1021" s="104"/>
      <c r="G1021" s="108"/>
      <c r="J1021" s="174"/>
      <c r="K1021" s="4"/>
    </row>
    <row r="1022" spans="3:11" x14ac:dyDescent="0.25">
      <c r="C1022" s="108"/>
      <c r="D1022" s="217"/>
      <c r="E1022" s="217"/>
      <c r="F1022" s="104"/>
      <c r="G1022" s="108"/>
      <c r="J1022" s="174"/>
      <c r="K1022" s="4"/>
    </row>
    <row r="1023" spans="3:11" x14ac:dyDescent="0.25">
      <c r="C1023" s="108"/>
      <c r="D1023" s="217"/>
      <c r="E1023" s="217"/>
      <c r="F1023" s="104"/>
      <c r="G1023" s="108"/>
      <c r="J1023" s="174"/>
      <c r="K1023" s="4"/>
    </row>
    <row r="1024" spans="3:11" x14ac:dyDescent="0.25">
      <c r="C1024" s="108"/>
      <c r="D1024" s="217"/>
      <c r="E1024" s="217"/>
      <c r="F1024" s="104"/>
      <c r="G1024" s="108"/>
      <c r="J1024" s="174"/>
      <c r="K1024" s="4"/>
    </row>
    <row r="1025" spans="3:11" x14ac:dyDescent="0.25">
      <c r="C1025" s="108"/>
      <c r="D1025" s="217"/>
      <c r="E1025" s="217"/>
      <c r="F1025" s="104"/>
      <c r="G1025" s="108"/>
      <c r="J1025" s="174"/>
      <c r="K1025" s="4"/>
    </row>
    <row r="1026" spans="3:11" x14ac:dyDescent="0.25">
      <c r="C1026" s="108"/>
      <c r="D1026" s="217"/>
      <c r="E1026" s="217"/>
      <c r="F1026" s="104"/>
      <c r="G1026" s="108"/>
      <c r="J1026" s="174"/>
      <c r="K1026" s="4"/>
    </row>
    <row r="1027" spans="3:11" x14ac:dyDescent="0.25">
      <c r="C1027" s="108"/>
      <c r="D1027" s="217"/>
      <c r="E1027" s="217"/>
      <c r="F1027" s="104"/>
      <c r="G1027" s="108"/>
      <c r="J1027" s="174"/>
      <c r="K1027" s="4"/>
    </row>
    <row r="1028" spans="3:11" x14ac:dyDescent="0.25">
      <c r="C1028" s="108"/>
      <c r="D1028" s="217"/>
      <c r="E1028" s="217"/>
      <c r="F1028" s="104"/>
      <c r="G1028" s="108"/>
      <c r="J1028" s="174"/>
      <c r="K1028" s="4"/>
    </row>
    <row r="1029" spans="3:11" x14ac:dyDescent="0.25">
      <c r="C1029" s="108"/>
      <c r="D1029" s="217"/>
      <c r="E1029" s="217"/>
      <c r="F1029" s="104"/>
      <c r="G1029" s="108"/>
      <c r="J1029" s="174"/>
      <c r="K1029" s="4"/>
    </row>
    <row r="1030" spans="3:11" x14ac:dyDescent="0.25">
      <c r="C1030" s="108"/>
      <c r="D1030" s="217"/>
      <c r="E1030" s="217"/>
      <c r="F1030" s="104"/>
      <c r="G1030" s="108"/>
      <c r="J1030" s="174"/>
      <c r="K1030" s="4"/>
    </row>
    <row r="1031" spans="3:11" x14ac:dyDescent="0.25">
      <c r="C1031" s="108"/>
      <c r="D1031" s="217"/>
      <c r="E1031" s="217"/>
      <c r="F1031" s="104"/>
      <c r="G1031" s="108"/>
      <c r="J1031" s="174"/>
      <c r="K1031" s="4"/>
    </row>
    <row r="1032" spans="3:11" x14ac:dyDescent="0.25">
      <c r="C1032" s="108"/>
      <c r="D1032" s="217"/>
      <c r="E1032" s="217"/>
      <c r="F1032" s="104"/>
      <c r="G1032" s="108"/>
      <c r="J1032" s="174"/>
      <c r="K1032" s="4"/>
    </row>
    <row r="1033" spans="3:11" x14ac:dyDescent="0.25">
      <c r="C1033" s="108"/>
      <c r="D1033" s="217"/>
      <c r="E1033" s="217"/>
      <c r="F1033" s="104"/>
      <c r="G1033" s="108"/>
      <c r="J1033" s="174"/>
      <c r="K1033" s="4"/>
    </row>
    <row r="1034" spans="3:11" x14ac:dyDescent="0.25">
      <c r="C1034" s="108"/>
      <c r="D1034" s="217"/>
      <c r="E1034" s="217"/>
      <c r="F1034" s="104"/>
      <c r="G1034" s="108"/>
      <c r="J1034" s="174"/>
      <c r="K1034" s="4"/>
    </row>
    <row r="1035" spans="3:11" x14ac:dyDescent="0.25">
      <c r="C1035" s="108"/>
      <c r="D1035" s="217"/>
      <c r="E1035" s="217"/>
      <c r="F1035" s="104"/>
      <c r="G1035" s="108"/>
      <c r="J1035" s="174"/>
      <c r="K1035" s="4"/>
    </row>
    <row r="1036" spans="3:11" x14ac:dyDescent="0.25">
      <c r="C1036" s="108"/>
      <c r="D1036" s="217"/>
      <c r="E1036" s="217"/>
      <c r="F1036" s="104"/>
      <c r="G1036" s="108"/>
      <c r="J1036" s="174"/>
      <c r="K1036" s="4"/>
    </row>
    <row r="1037" spans="3:11" x14ac:dyDescent="0.25">
      <c r="C1037" s="108"/>
      <c r="D1037" s="217"/>
      <c r="E1037" s="217"/>
      <c r="F1037" s="104"/>
      <c r="G1037" s="108"/>
      <c r="J1037" s="174"/>
      <c r="K1037" s="4"/>
    </row>
    <row r="1038" spans="3:11" x14ac:dyDescent="0.25">
      <c r="C1038" s="108"/>
      <c r="D1038" s="217"/>
      <c r="E1038" s="217"/>
      <c r="F1038" s="104"/>
      <c r="G1038" s="108"/>
      <c r="J1038" s="174"/>
      <c r="K1038" s="4"/>
    </row>
    <row r="1039" spans="3:11" x14ac:dyDescent="0.25">
      <c r="C1039" s="108"/>
      <c r="D1039" s="217"/>
      <c r="E1039" s="217"/>
      <c r="F1039" s="104"/>
      <c r="G1039" s="108"/>
      <c r="J1039" s="174"/>
      <c r="K1039" s="4"/>
    </row>
    <row r="1040" spans="3:11" x14ac:dyDescent="0.25">
      <c r="C1040" s="108"/>
      <c r="D1040" s="217"/>
      <c r="E1040" s="217"/>
      <c r="F1040" s="104"/>
      <c r="G1040" s="108"/>
      <c r="J1040" s="174"/>
      <c r="K1040" s="4"/>
    </row>
    <row r="1041" spans="3:11" x14ac:dyDescent="0.25">
      <c r="C1041" s="108"/>
      <c r="D1041" s="217"/>
      <c r="E1041" s="217"/>
      <c r="F1041" s="104"/>
      <c r="G1041" s="108"/>
      <c r="J1041" s="174"/>
      <c r="K1041" s="4"/>
    </row>
    <row r="1042" spans="3:11" x14ac:dyDescent="0.25">
      <c r="C1042" s="108"/>
      <c r="D1042" s="217"/>
      <c r="E1042" s="217"/>
      <c r="F1042" s="104"/>
      <c r="G1042" s="108"/>
      <c r="J1042" s="174"/>
      <c r="K1042" s="4"/>
    </row>
    <row r="1043" spans="3:11" x14ac:dyDescent="0.25">
      <c r="C1043" s="108"/>
      <c r="D1043" s="217"/>
      <c r="E1043" s="217"/>
      <c r="F1043" s="104"/>
      <c r="G1043" s="108"/>
      <c r="J1043" s="174"/>
      <c r="K1043" s="4"/>
    </row>
    <row r="1044" spans="3:11" x14ac:dyDescent="0.25">
      <c r="C1044" s="108"/>
      <c r="D1044" s="217"/>
      <c r="E1044" s="217"/>
      <c r="F1044" s="104"/>
      <c r="G1044" s="108"/>
      <c r="J1044" s="174"/>
      <c r="K1044" s="4"/>
    </row>
    <row r="1045" spans="3:11" x14ac:dyDescent="0.25">
      <c r="C1045" s="108"/>
      <c r="D1045" s="217"/>
      <c r="E1045" s="217"/>
      <c r="F1045" s="104"/>
      <c r="G1045" s="108"/>
      <c r="J1045" s="174"/>
      <c r="K1045" s="4"/>
    </row>
    <row r="1046" spans="3:11" x14ac:dyDescent="0.25">
      <c r="C1046" s="108"/>
      <c r="D1046" s="217"/>
      <c r="E1046" s="217"/>
      <c r="F1046" s="104"/>
      <c r="G1046" s="108"/>
      <c r="J1046" s="174"/>
      <c r="K1046" s="4"/>
    </row>
    <row r="1047" spans="3:11" x14ac:dyDescent="0.25">
      <c r="C1047" s="108"/>
      <c r="D1047" s="217"/>
      <c r="E1047" s="217"/>
      <c r="F1047" s="104"/>
      <c r="G1047" s="108"/>
      <c r="J1047" s="174"/>
      <c r="K1047" s="4"/>
    </row>
    <row r="1048" spans="3:11" x14ac:dyDescent="0.25">
      <c r="C1048" s="108"/>
      <c r="D1048" s="217"/>
      <c r="E1048" s="217"/>
      <c r="F1048" s="104"/>
      <c r="G1048" s="108"/>
      <c r="J1048" s="174"/>
      <c r="K1048" s="4"/>
    </row>
    <row r="1049" spans="3:11" x14ac:dyDescent="0.25">
      <c r="C1049" s="108"/>
      <c r="D1049" s="217"/>
      <c r="E1049" s="217"/>
      <c r="F1049" s="104"/>
      <c r="G1049" s="108"/>
      <c r="J1049" s="174"/>
      <c r="K1049" s="4"/>
    </row>
    <row r="1050" spans="3:11" x14ac:dyDescent="0.25">
      <c r="C1050" s="108"/>
      <c r="D1050" s="217"/>
      <c r="E1050" s="217"/>
      <c r="F1050" s="104"/>
      <c r="G1050" s="108"/>
      <c r="J1050" s="174"/>
      <c r="K1050" s="4"/>
    </row>
    <row r="1051" spans="3:11" x14ac:dyDescent="0.25">
      <c r="C1051" s="108"/>
      <c r="D1051" s="217"/>
      <c r="E1051" s="217"/>
      <c r="F1051" s="104"/>
      <c r="G1051" s="108"/>
      <c r="J1051" s="174"/>
      <c r="K1051" s="4"/>
    </row>
    <row r="1052" spans="3:11" x14ac:dyDescent="0.25">
      <c r="C1052" s="108"/>
      <c r="D1052" s="217"/>
      <c r="E1052" s="217"/>
      <c r="F1052" s="104"/>
      <c r="G1052" s="108"/>
      <c r="J1052" s="174"/>
      <c r="K1052" s="4"/>
    </row>
    <row r="1053" spans="3:11" x14ac:dyDescent="0.25">
      <c r="C1053" s="108"/>
      <c r="D1053" s="217"/>
      <c r="E1053" s="217"/>
      <c r="F1053" s="104"/>
      <c r="G1053" s="108"/>
      <c r="J1053" s="174"/>
      <c r="K1053" s="4"/>
    </row>
    <row r="1054" spans="3:11" x14ac:dyDescent="0.25">
      <c r="C1054" s="108"/>
      <c r="D1054" s="217"/>
      <c r="E1054" s="217"/>
      <c r="F1054" s="104"/>
      <c r="G1054" s="108"/>
      <c r="J1054" s="174"/>
      <c r="K1054" s="4"/>
    </row>
    <row r="1055" spans="3:11" x14ac:dyDescent="0.25">
      <c r="C1055" s="108"/>
      <c r="D1055" s="217"/>
      <c r="E1055" s="217"/>
      <c r="F1055" s="104"/>
      <c r="G1055" s="108"/>
      <c r="J1055" s="174"/>
      <c r="K1055" s="4"/>
    </row>
    <row r="1056" spans="3:11" x14ac:dyDescent="0.25">
      <c r="C1056" s="108"/>
      <c r="D1056" s="217"/>
      <c r="E1056" s="217"/>
      <c r="F1056" s="104"/>
      <c r="G1056" s="108"/>
      <c r="J1056" s="174"/>
      <c r="K1056" s="4"/>
    </row>
    <row r="1057" spans="3:11" x14ac:dyDescent="0.25">
      <c r="C1057" s="108"/>
      <c r="D1057" s="217"/>
      <c r="E1057" s="217"/>
      <c r="F1057" s="104"/>
      <c r="G1057" s="108"/>
      <c r="J1057" s="174"/>
      <c r="K1057" s="4"/>
    </row>
    <row r="1058" spans="3:11" x14ac:dyDescent="0.25">
      <c r="C1058" s="108"/>
      <c r="D1058" s="217"/>
      <c r="E1058" s="217"/>
      <c r="F1058" s="104"/>
      <c r="G1058" s="108"/>
      <c r="J1058" s="174"/>
      <c r="K1058" s="4"/>
    </row>
    <row r="1059" spans="3:11" x14ac:dyDescent="0.25">
      <c r="C1059" s="108"/>
      <c r="D1059" s="217"/>
      <c r="E1059" s="217"/>
      <c r="F1059" s="104"/>
      <c r="G1059" s="108"/>
      <c r="J1059" s="174"/>
      <c r="K1059" s="4"/>
    </row>
    <row r="1060" spans="3:11" x14ac:dyDescent="0.25">
      <c r="C1060" s="108"/>
      <c r="D1060" s="217"/>
      <c r="E1060" s="217"/>
      <c r="F1060" s="104"/>
      <c r="G1060" s="108"/>
      <c r="J1060" s="174"/>
      <c r="K1060" s="4"/>
    </row>
    <row r="1061" spans="3:11" x14ac:dyDescent="0.25">
      <c r="C1061" s="108"/>
      <c r="D1061" s="217"/>
      <c r="E1061" s="217"/>
      <c r="F1061" s="104"/>
      <c r="G1061" s="108"/>
      <c r="J1061" s="174"/>
      <c r="K1061" s="4"/>
    </row>
    <row r="1062" spans="3:11" x14ac:dyDescent="0.25">
      <c r="C1062" s="108"/>
      <c r="D1062" s="217"/>
      <c r="E1062" s="217"/>
      <c r="F1062" s="104"/>
      <c r="G1062" s="108"/>
      <c r="J1062" s="174"/>
      <c r="K1062" s="4"/>
    </row>
    <row r="1063" spans="3:11" x14ac:dyDescent="0.25">
      <c r="C1063" s="108"/>
      <c r="D1063" s="217"/>
      <c r="E1063" s="217"/>
      <c r="F1063" s="104"/>
      <c r="G1063" s="108"/>
      <c r="J1063" s="174"/>
      <c r="K1063" s="4"/>
    </row>
    <row r="1064" spans="3:11" x14ac:dyDescent="0.25">
      <c r="C1064" s="108"/>
      <c r="D1064" s="217"/>
      <c r="E1064" s="217"/>
      <c r="F1064" s="104"/>
      <c r="G1064" s="108"/>
      <c r="J1064" s="174"/>
      <c r="K1064" s="4"/>
    </row>
    <row r="1065" spans="3:11" x14ac:dyDescent="0.25">
      <c r="C1065" s="108"/>
      <c r="D1065" s="217"/>
      <c r="E1065" s="217"/>
      <c r="F1065" s="104"/>
      <c r="G1065" s="108"/>
      <c r="J1065" s="174"/>
      <c r="K1065" s="4"/>
    </row>
    <row r="1066" spans="3:11" x14ac:dyDescent="0.25">
      <c r="C1066" s="108"/>
      <c r="D1066" s="217"/>
      <c r="E1066" s="217"/>
      <c r="F1066" s="104"/>
      <c r="G1066" s="108"/>
      <c r="J1066" s="174"/>
      <c r="K1066" s="4"/>
    </row>
    <row r="1067" spans="3:11" x14ac:dyDescent="0.25">
      <c r="C1067" s="108"/>
      <c r="D1067" s="217"/>
      <c r="E1067" s="217"/>
      <c r="F1067" s="104"/>
      <c r="G1067" s="108"/>
      <c r="J1067" s="174"/>
      <c r="K1067" s="4"/>
    </row>
    <row r="1068" spans="3:11" x14ac:dyDescent="0.25">
      <c r="C1068" s="108"/>
      <c r="D1068" s="217"/>
      <c r="E1068" s="217"/>
      <c r="F1068" s="104"/>
      <c r="G1068" s="108"/>
      <c r="J1068" s="174"/>
      <c r="K1068" s="4"/>
    </row>
    <row r="1069" spans="3:11" x14ac:dyDescent="0.25">
      <c r="C1069" s="108"/>
      <c r="D1069" s="217"/>
      <c r="E1069" s="217"/>
      <c r="F1069" s="104"/>
      <c r="G1069" s="108"/>
      <c r="J1069" s="174"/>
      <c r="K1069" s="4"/>
    </row>
    <row r="1070" spans="3:11" x14ac:dyDescent="0.25">
      <c r="C1070" s="108"/>
      <c r="D1070" s="217"/>
      <c r="E1070" s="217"/>
      <c r="F1070" s="104"/>
      <c r="G1070" s="108"/>
      <c r="J1070" s="174"/>
      <c r="K1070" s="4"/>
    </row>
    <row r="1071" spans="3:11" x14ac:dyDescent="0.25">
      <c r="C1071" s="108"/>
      <c r="D1071" s="217"/>
      <c r="E1071" s="217"/>
      <c r="F1071" s="104"/>
      <c r="G1071" s="108"/>
      <c r="J1071" s="174"/>
      <c r="K1071" s="4"/>
    </row>
    <row r="1072" spans="3:11" x14ac:dyDescent="0.25">
      <c r="C1072" s="108"/>
      <c r="D1072" s="217"/>
      <c r="E1072" s="217"/>
      <c r="F1072" s="104"/>
      <c r="G1072" s="108"/>
      <c r="J1072" s="174"/>
      <c r="K1072" s="4"/>
    </row>
    <row r="1073" spans="3:11" x14ac:dyDescent="0.25">
      <c r="C1073" s="108"/>
      <c r="D1073" s="217"/>
      <c r="E1073" s="217"/>
      <c r="F1073" s="104"/>
      <c r="G1073" s="108"/>
      <c r="J1073" s="174"/>
      <c r="K1073" s="4"/>
    </row>
    <row r="1074" spans="3:11" x14ac:dyDescent="0.25">
      <c r="C1074" s="108"/>
      <c r="D1074" s="217"/>
      <c r="E1074" s="217"/>
      <c r="F1074" s="104"/>
      <c r="G1074" s="108"/>
      <c r="J1074" s="174"/>
      <c r="K1074" s="4"/>
    </row>
    <row r="1075" spans="3:11" x14ac:dyDescent="0.25">
      <c r="C1075" s="108"/>
      <c r="D1075" s="217"/>
      <c r="E1075" s="217"/>
      <c r="F1075" s="104"/>
      <c r="G1075" s="108"/>
      <c r="J1075" s="174"/>
      <c r="K1075" s="4"/>
    </row>
    <row r="1076" spans="3:11" x14ac:dyDescent="0.25">
      <c r="C1076" s="108"/>
      <c r="D1076" s="217"/>
      <c r="E1076" s="217"/>
      <c r="F1076" s="104"/>
      <c r="G1076" s="108"/>
      <c r="J1076" s="174"/>
      <c r="K1076" s="4"/>
    </row>
    <row r="1077" spans="3:11" x14ac:dyDescent="0.25">
      <c r="C1077" s="108"/>
      <c r="D1077" s="217"/>
      <c r="E1077" s="217"/>
      <c r="F1077" s="104"/>
      <c r="G1077" s="108"/>
      <c r="J1077" s="174"/>
      <c r="K1077" s="4"/>
    </row>
    <row r="1078" spans="3:11" x14ac:dyDescent="0.25">
      <c r="C1078" s="108"/>
      <c r="D1078" s="217"/>
      <c r="E1078" s="217"/>
      <c r="F1078" s="104"/>
      <c r="G1078" s="108"/>
      <c r="J1078" s="174"/>
      <c r="K1078" s="4"/>
    </row>
    <row r="1079" spans="3:11" x14ac:dyDescent="0.25">
      <c r="C1079" s="108"/>
      <c r="D1079" s="217"/>
      <c r="E1079" s="217"/>
      <c r="F1079" s="104"/>
      <c r="G1079" s="108"/>
      <c r="J1079" s="174"/>
      <c r="K1079" s="4"/>
    </row>
    <row r="1080" spans="3:11" x14ac:dyDescent="0.25">
      <c r="C1080" s="108"/>
      <c r="D1080" s="217"/>
      <c r="E1080" s="217"/>
      <c r="F1080" s="104"/>
      <c r="G1080" s="108"/>
      <c r="J1080" s="174"/>
      <c r="K1080" s="4"/>
    </row>
    <row r="1081" spans="3:11" x14ac:dyDescent="0.25">
      <c r="C1081" s="108"/>
      <c r="D1081" s="217"/>
      <c r="E1081" s="217"/>
      <c r="F1081" s="104"/>
      <c r="G1081" s="108"/>
      <c r="J1081" s="174"/>
      <c r="K1081" s="4"/>
    </row>
    <row r="1082" spans="3:11" x14ac:dyDescent="0.25">
      <c r="C1082" s="108"/>
      <c r="D1082" s="217"/>
      <c r="E1082" s="217"/>
      <c r="F1082" s="104"/>
      <c r="G1082" s="108"/>
      <c r="J1082" s="174"/>
      <c r="K1082" s="4"/>
    </row>
    <row r="1083" spans="3:11" x14ac:dyDescent="0.25">
      <c r="C1083" s="108"/>
      <c r="D1083" s="217"/>
      <c r="E1083" s="217"/>
      <c r="F1083" s="104"/>
      <c r="G1083" s="108"/>
      <c r="J1083" s="174"/>
      <c r="K1083" s="4"/>
    </row>
    <row r="1084" spans="3:11" x14ac:dyDescent="0.25">
      <c r="C1084" s="108"/>
      <c r="D1084" s="217"/>
      <c r="E1084" s="217"/>
      <c r="F1084" s="104"/>
      <c r="G1084" s="108"/>
      <c r="J1084" s="174"/>
      <c r="K1084" s="4"/>
    </row>
    <row r="1085" spans="3:11" x14ac:dyDescent="0.25">
      <c r="C1085" s="108"/>
      <c r="D1085" s="217"/>
      <c r="E1085" s="217"/>
      <c r="F1085" s="104"/>
      <c r="G1085" s="108"/>
      <c r="J1085" s="174"/>
      <c r="K1085" s="4"/>
    </row>
    <row r="1086" spans="3:11" x14ac:dyDescent="0.25">
      <c r="C1086" s="108"/>
      <c r="D1086" s="217"/>
      <c r="E1086" s="217"/>
      <c r="F1086" s="104"/>
      <c r="G1086" s="108"/>
      <c r="J1086" s="174"/>
      <c r="K1086" s="4"/>
    </row>
    <row r="1087" spans="3:11" x14ac:dyDescent="0.25">
      <c r="C1087" s="108"/>
      <c r="D1087" s="217"/>
      <c r="E1087" s="217"/>
      <c r="F1087" s="104"/>
      <c r="G1087" s="108"/>
      <c r="J1087" s="174"/>
      <c r="K1087" s="4"/>
    </row>
    <row r="1088" spans="3:11" x14ac:dyDescent="0.25">
      <c r="C1088" s="108"/>
      <c r="D1088" s="217"/>
      <c r="E1088" s="217"/>
      <c r="F1088" s="104"/>
      <c r="G1088" s="108"/>
      <c r="J1088" s="174"/>
      <c r="K1088" s="4"/>
    </row>
    <row r="1089" spans="3:11" x14ac:dyDescent="0.25">
      <c r="C1089" s="108"/>
      <c r="D1089" s="217"/>
      <c r="E1089" s="217"/>
      <c r="F1089" s="104"/>
      <c r="G1089" s="108"/>
      <c r="J1089" s="174"/>
      <c r="K1089" s="4"/>
    </row>
    <row r="1090" spans="3:11" x14ac:dyDescent="0.25">
      <c r="C1090" s="108"/>
      <c r="D1090" s="217"/>
      <c r="E1090" s="217"/>
      <c r="F1090" s="104"/>
      <c r="G1090" s="108"/>
      <c r="J1090" s="174"/>
      <c r="K1090" s="4"/>
    </row>
    <row r="1091" spans="3:11" x14ac:dyDescent="0.25">
      <c r="C1091" s="108"/>
      <c r="D1091" s="217"/>
      <c r="E1091" s="217"/>
      <c r="F1091" s="104"/>
      <c r="G1091" s="108"/>
      <c r="J1091" s="174"/>
      <c r="K1091" s="4"/>
    </row>
    <row r="1092" spans="3:11" x14ac:dyDescent="0.25">
      <c r="C1092" s="108"/>
      <c r="D1092" s="217"/>
      <c r="E1092" s="217"/>
      <c r="F1092" s="104"/>
      <c r="G1092" s="108"/>
      <c r="J1092" s="174"/>
      <c r="K1092" s="4"/>
    </row>
    <row r="1093" spans="3:11" x14ac:dyDescent="0.25">
      <c r="C1093" s="108"/>
      <c r="D1093" s="217"/>
      <c r="E1093" s="217"/>
      <c r="F1093" s="104"/>
      <c r="G1093" s="108"/>
      <c r="J1093" s="174"/>
      <c r="K1093" s="4"/>
    </row>
    <row r="1094" spans="3:11" x14ac:dyDescent="0.25">
      <c r="C1094" s="108"/>
      <c r="D1094" s="217"/>
      <c r="E1094" s="217"/>
      <c r="F1094" s="104"/>
      <c r="G1094" s="108"/>
      <c r="J1094" s="174"/>
      <c r="K1094" s="4"/>
    </row>
    <row r="1095" spans="3:11" x14ac:dyDescent="0.25">
      <c r="C1095" s="108"/>
      <c r="D1095" s="217"/>
      <c r="E1095" s="217"/>
      <c r="F1095" s="104"/>
      <c r="G1095" s="108"/>
      <c r="J1095" s="174"/>
      <c r="K1095" s="4"/>
    </row>
    <row r="1096" spans="3:11" x14ac:dyDescent="0.25">
      <c r="C1096" s="108"/>
      <c r="D1096" s="217"/>
      <c r="E1096" s="217"/>
      <c r="F1096" s="104"/>
      <c r="G1096" s="108"/>
      <c r="J1096" s="174"/>
      <c r="K1096" s="4"/>
    </row>
    <row r="1097" spans="3:11" x14ac:dyDescent="0.25">
      <c r="C1097" s="108"/>
      <c r="D1097" s="217"/>
      <c r="E1097" s="217"/>
      <c r="F1097" s="104"/>
      <c r="G1097" s="108"/>
      <c r="J1097" s="174"/>
      <c r="K1097" s="4"/>
    </row>
    <row r="1098" spans="3:11" x14ac:dyDescent="0.25">
      <c r="C1098" s="108"/>
      <c r="D1098" s="217"/>
      <c r="E1098" s="217"/>
      <c r="F1098" s="104"/>
      <c r="G1098" s="108"/>
      <c r="J1098" s="174"/>
      <c r="K1098" s="4"/>
    </row>
    <row r="1099" spans="3:11" x14ac:dyDescent="0.25">
      <c r="C1099" s="108"/>
      <c r="D1099" s="217"/>
      <c r="E1099" s="217"/>
      <c r="F1099" s="104"/>
      <c r="G1099" s="108"/>
      <c r="J1099" s="174"/>
      <c r="K1099" s="4"/>
    </row>
    <row r="1100" spans="3:11" x14ac:dyDescent="0.25">
      <c r="C1100" s="108"/>
      <c r="D1100" s="217"/>
      <c r="E1100" s="217"/>
      <c r="F1100" s="104"/>
      <c r="G1100" s="108"/>
      <c r="J1100" s="174"/>
      <c r="K1100" s="4"/>
    </row>
    <row r="1101" spans="3:11" x14ac:dyDescent="0.25">
      <c r="C1101" s="108"/>
      <c r="D1101" s="217"/>
      <c r="E1101" s="217"/>
      <c r="F1101" s="104"/>
      <c r="G1101" s="108"/>
      <c r="J1101" s="174"/>
      <c r="K1101" s="4"/>
    </row>
    <row r="1102" spans="3:11" x14ac:dyDescent="0.25">
      <c r="C1102" s="108"/>
      <c r="D1102" s="217"/>
      <c r="E1102" s="217"/>
      <c r="F1102" s="104"/>
      <c r="G1102" s="108"/>
      <c r="J1102" s="174"/>
      <c r="K1102" s="4"/>
    </row>
    <row r="1103" spans="3:11" x14ac:dyDescent="0.25">
      <c r="C1103" s="108"/>
      <c r="D1103" s="217"/>
      <c r="E1103" s="217"/>
      <c r="F1103" s="104"/>
      <c r="G1103" s="108"/>
      <c r="J1103" s="174"/>
      <c r="K1103" s="4"/>
    </row>
    <row r="1104" spans="3:11" x14ac:dyDescent="0.25">
      <c r="C1104" s="108"/>
      <c r="D1104" s="217"/>
      <c r="E1104" s="217"/>
      <c r="F1104" s="104"/>
      <c r="G1104" s="108"/>
      <c r="J1104" s="174"/>
      <c r="K1104" s="4"/>
    </row>
    <row r="1105" spans="3:11" x14ac:dyDescent="0.25">
      <c r="C1105" s="108"/>
      <c r="D1105" s="217"/>
      <c r="E1105" s="217"/>
      <c r="F1105" s="104"/>
      <c r="G1105" s="108"/>
      <c r="J1105" s="174"/>
      <c r="K1105" s="4"/>
    </row>
    <row r="1106" spans="3:11" x14ac:dyDescent="0.25">
      <c r="C1106" s="108"/>
      <c r="D1106" s="217"/>
      <c r="E1106" s="217"/>
      <c r="F1106" s="104"/>
      <c r="G1106" s="108"/>
      <c r="J1106" s="174"/>
      <c r="K1106" s="4"/>
    </row>
    <row r="1107" spans="3:11" x14ac:dyDescent="0.25">
      <c r="C1107" s="108"/>
      <c r="D1107" s="217"/>
      <c r="E1107" s="217"/>
      <c r="F1107" s="104"/>
      <c r="G1107" s="108"/>
      <c r="J1107" s="174"/>
      <c r="K1107" s="4"/>
    </row>
    <row r="1108" spans="3:11" x14ac:dyDescent="0.25">
      <c r="C1108" s="108"/>
      <c r="D1108" s="217"/>
      <c r="E1108" s="217"/>
      <c r="F1108" s="104"/>
      <c r="G1108" s="108"/>
      <c r="J1108" s="174"/>
      <c r="K1108" s="4"/>
    </row>
    <row r="1109" spans="3:11" x14ac:dyDescent="0.25">
      <c r="C1109" s="108"/>
      <c r="D1109" s="217"/>
      <c r="E1109" s="217"/>
      <c r="F1109" s="104"/>
      <c r="G1109" s="108"/>
      <c r="J1109" s="174"/>
      <c r="K1109" s="4"/>
    </row>
    <row r="1110" spans="3:11" x14ac:dyDescent="0.25">
      <c r="C1110" s="108"/>
      <c r="D1110" s="217"/>
      <c r="E1110" s="217"/>
      <c r="F1110" s="104"/>
      <c r="G1110" s="108"/>
      <c r="J1110" s="174"/>
      <c r="K1110" s="4"/>
    </row>
    <row r="1111" spans="3:11" x14ac:dyDescent="0.25">
      <c r="C1111" s="108"/>
      <c r="D1111" s="217"/>
      <c r="E1111" s="217"/>
      <c r="F1111" s="104"/>
      <c r="G1111" s="108"/>
      <c r="J1111" s="174"/>
      <c r="K1111" s="4"/>
    </row>
    <row r="1112" spans="3:11" x14ac:dyDescent="0.25">
      <c r="C1112" s="108"/>
      <c r="D1112" s="217"/>
      <c r="E1112" s="217"/>
      <c r="F1112" s="104"/>
      <c r="G1112" s="108"/>
      <c r="J1112" s="174"/>
      <c r="K1112" s="4"/>
    </row>
    <row r="1113" spans="3:11" x14ac:dyDescent="0.25">
      <c r="C1113" s="108"/>
      <c r="D1113" s="217"/>
      <c r="E1113" s="217"/>
      <c r="F1113" s="104"/>
      <c r="G1113" s="108"/>
      <c r="J1113" s="174"/>
      <c r="K1113" s="4"/>
    </row>
    <row r="1114" spans="3:11" x14ac:dyDescent="0.25">
      <c r="C1114" s="108"/>
      <c r="D1114" s="217"/>
      <c r="E1114" s="217"/>
      <c r="F1114" s="104"/>
      <c r="G1114" s="108"/>
      <c r="J1114" s="174"/>
      <c r="K1114" s="4"/>
    </row>
    <row r="1115" spans="3:11" x14ac:dyDescent="0.25">
      <c r="C1115" s="108"/>
      <c r="D1115" s="217"/>
      <c r="E1115" s="217"/>
      <c r="F1115" s="104"/>
      <c r="G1115" s="108"/>
      <c r="J1115" s="174"/>
      <c r="K1115" s="4"/>
    </row>
    <row r="1116" spans="3:11" x14ac:dyDescent="0.25">
      <c r="C1116" s="108"/>
      <c r="D1116" s="217"/>
      <c r="E1116" s="217"/>
      <c r="F1116" s="104"/>
      <c r="G1116" s="108"/>
      <c r="J1116" s="174"/>
      <c r="K1116" s="4"/>
    </row>
    <row r="1117" spans="3:11" x14ac:dyDescent="0.25">
      <c r="C1117" s="108"/>
      <c r="D1117" s="217"/>
      <c r="E1117" s="217"/>
      <c r="F1117" s="104"/>
      <c r="G1117" s="108"/>
      <c r="J1117" s="174"/>
      <c r="K1117" s="4"/>
    </row>
    <row r="1118" spans="3:11" x14ac:dyDescent="0.25">
      <c r="C1118" s="108"/>
      <c r="D1118" s="217"/>
      <c r="E1118" s="217"/>
      <c r="F1118" s="104"/>
      <c r="G1118" s="108"/>
      <c r="J1118" s="174"/>
      <c r="K1118" s="4"/>
    </row>
    <row r="1119" spans="3:11" x14ac:dyDescent="0.25">
      <c r="C1119" s="108"/>
      <c r="D1119" s="217"/>
      <c r="E1119" s="217"/>
      <c r="F1119" s="104"/>
      <c r="G1119" s="108"/>
      <c r="J1119" s="174"/>
      <c r="K1119" s="4"/>
    </row>
    <row r="1120" spans="3:11" x14ac:dyDescent="0.25">
      <c r="C1120" s="108"/>
      <c r="D1120" s="217"/>
      <c r="E1120" s="217"/>
      <c r="F1120" s="104"/>
      <c r="G1120" s="108"/>
      <c r="J1120" s="174"/>
      <c r="K1120" s="4"/>
    </row>
    <row r="1121" spans="3:11" x14ac:dyDescent="0.25">
      <c r="C1121" s="108"/>
      <c r="D1121" s="217"/>
      <c r="E1121" s="217"/>
      <c r="F1121" s="104"/>
      <c r="G1121" s="108"/>
      <c r="J1121" s="174"/>
      <c r="K1121" s="4"/>
    </row>
    <row r="1122" spans="3:11" x14ac:dyDescent="0.25">
      <c r="C1122" s="108"/>
      <c r="D1122" s="217"/>
      <c r="E1122" s="217"/>
      <c r="F1122" s="104"/>
      <c r="G1122" s="108"/>
      <c r="J1122" s="174"/>
      <c r="K1122" s="4"/>
    </row>
    <row r="1123" spans="3:11" x14ac:dyDescent="0.25">
      <c r="C1123" s="108"/>
      <c r="D1123" s="217"/>
      <c r="E1123" s="217"/>
      <c r="F1123" s="104"/>
      <c r="G1123" s="108"/>
      <c r="J1123" s="174"/>
      <c r="K1123" s="4"/>
    </row>
    <row r="1124" spans="3:11" x14ac:dyDescent="0.25">
      <c r="C1124" s="108"/>
      <c r="D1124" s="217"/>
      <c r="E1124" s="217"/>
      <c r="F1124" s="104"/>
      <c r="G1124" s="108"/>
      <c r="J1124" s="174"/>
      <c r="K1124" s="4"/>
    </row>
    <row r="1125" spans="3:11" x14ac:dyDescent="0.25">
      <c r="C1125" s="108"/>
      <c r="D1125" s="217"/>
      <c r="E1125" s="217"/>
      <c r="F1125" s="104"/>
      <c r="G1125" s="108"/>
      <c r="J1125" s="174"/>
      <c r="K1125" s="4"/>
    </row>
    <row r="1126" spans="3:11" x14ac:dyDescent="0.25">
      <c r="C1126" s="108"/>
      <c r="D1126" s="217"/>
      <c r="E1126" s="217"/>
      <c r="F1126" s="104"/>
      <c r="G1126" s="108"/>
      <c r="J1126" s="174"/>
      <c r="K1126" s="4"/>
    </row>
    <row r="1127" spans="3:11" x14ac:dyDescent="0.25">
      <c r="C1127" s="108"/>
      <c r="D1127" s="217"/>
      <c r="E1127" s="217"/>
      <c r="F1127" s="104"/>
      <c r="G1127" s="108"/>
      <c r="J1127" s="174"/>
      <c r="K1127" s="4"/>
    </row>
    <row r="1128" spans="3:11" x14ac:dyDescent="0.25">
      <c r="C1128" s="108"/>
      <c r="D1128" s="217"/>
      <c r="E1128" s="217"/>
      <c r="F1128" s="104"/>
      <c r="G1128" s="108"/>
      <c r="J1128" s="174"/>
      <c r="K1128" s="4"/>
    </row>
    <row r="1129" spans="3:11" x14ac:dyDescent="0.25">
      <c r="C1129" s="108"/>
      <c r="D1129" s="217"/>
      <c r="E1129" s="217"/>
      <c r="F1129" s="104"/>
      <c r="G1129" s="108"/>
      <c r="J1129" s="174"/>
      <c r="K1129" s="4"/>
    </row>
    <row r="1130" spans="3:11" x14ac:dyDescent="0.25">
      <c r="C1130" s="108"/>
      <c r="D1130" s="217"/>
      <c r="E1130" s="217"/>
      <c r="F1130" s="104"/>
      <c r="G1130" s="108"/>
      <c r="J1130" s="174"/>
      <c r="K1130" s="4"/>
    </row>
    <row r="1131" spans="3:11" x14ac:dyDescent="0.25">
      <c r="C1131" s="108"/>
      <c r="D1131" s="217"/>
      <c r="E1131" s="217"/>
      <c r="F1131" s="104"/>
      <c r="G1131" s="108"/>
      <c r="J1131" s="174"/>
      <c r="K1131" s="4"/>
    </row>
    <row r="1132" spans="3:11" x14ac:dyDescent="0.25">
      <c r="C1132" s="108"/>
      <c r="D1132" s="217"/>
      <c r="E1132" s="217"/>
      <c r="F1132" s="104"/>
      <c r="G1132" s="108"/>
      <c r="J1132" s="174"/>
      <c r="K1132" s="4"/>
    </row>
    <row r="1133" spans="3:11" x14ac:dyDescent="0.25">
      <c r="C1133" s="108"/>
      <c r="D1133" s="217"/>
      <c r="E1133" s="217"/>
      <c r="F1133" s="104"/>
      <c r="G1133" s="108"/>
      <c r="J1133" s="174"/>
      <c r="K1133" s="4"/>
    </row>
    <row r="1134" spans="3:11" x14ac:dyDescent="0.25">
      <c r="C1134" s="108"/>
      <c r="D1134" s="217"/>
      <c r="E1134" s="217"/>
      <c r="F1134" s="104"/>
      <c r="G1134" s="108"/>
      <c r="J1134" s="174"/>
      <c r="K1134" s="4"/>
    </row>
    <row r="1135" spans="3:11" x14ac:dyDescent="0.25">
      <c r="C1135" s="108"/>
      <c r="D1135" s="217"/>
      <c r="E1135" s="217"/>
      <c r="F1135" s="104"/>
      <c r="G1135" s="108"/>
      <c r="J1135" s="174"/>
      <c r="K1135" s="4"/>
    </row>
    <row r="1136" spans="3:11" x14ac:dyDescent="0.25">
      <c r="C1136" s="108"/>
      <c r="D1136" s="217"/>
      <c r="E1136" s="217"/>
      <c r="F1136" s="104"/>
      <c r="G1136" s="108"/>
      <c r="J1136" s="174"/>
      <c r="K1136" s="4"/>
    </row>
    <row r="1137" spans="3:11" x14ac:dyDescent="0.25">
      <c r="C1137" s="108"/>
      <c r="D1137" s="217"/>
      <c r="E1137" s="217"/>
      <c r="F1137" s="104"/>
      <c r="G1137" s="108"/>
      <c r="J1137" s="174"/>
      <c r="K1137" s="4"/>
    </row>
    <row r="1138" spans="3:11" x14ac:dyDescent="0.25">
      <c r="C1138" s="108"/>
      <c r="D1138" s="217"/>
      <c r="E1138" s="217"/>
      <c r="F1138" s="104"/>
      <c r="G1138" s="108"/>
      <c r="J1138" s="174"/>
      <c r="K1138" s="4"/>
    </row>
    <row r="1139" spans="3:11" x14ac:dyDescent="0.25">
      <c r="C1139" s="108"/>
      <c r="D1139" s="217"/>
      <c r="E1139" s="217"/>
      <c r="F1139" s="104"/>
      <c r="G1139" s="108"/>
      <c r="J1139" s="174"/>
      <c r="K1139" s="4"/>
    </row>
    <row r="1140" spans="3:11" x14ac:dyDescent="0.25">
      <c r="C1140" s="108"/>
      <c r="D1140" s="217"/>
      <c r="E1140" s="217"/>
      <c r="F1140" s="104"/>
      <c r="G1140" s="108"/>
      <c r="J1140" s="174"/>
      <c r="K1140" s="4"/>
    </row>
    <row r="1141" spans="3:11" x14ac:dyDescent="0.25">
      <c r="C1141" s="108"/>
      <c r="D1141" s="217"/>
      <c r="E1141" s="217"/>
      <c r="F1141" s="104"/>
      <c r="G1141" s="108"/>
      <c r="J1141" s="174"/>
      <c r="K1141" s="4"/>
    </row>
    <row r="1142" spans="3:11" x14ac:dyDescent="0.25">
      <c r="C1142" s="108"/>
      <c r="D1142" s="217"/>
      <c r="E1142" s="217"/>
      <c r="F1142" s="104"/>
      <c r="G1142" s="108"/>
      <c r="J1142" s="174"/>
      <c r="K1142" s="4"/>
    </row>
    <row r="1143" spans="3:11" x14ac:dyDescent="0.25">
      <c r="C1143" s="108"/>
      <c r="D1143" s="217"/>
      <c r="E1143" s="217"/>
      <c r="F1143" s="104"/>
      <c r="G1143" s="108"/>
      <c r="J1143" s="174"/>
      <c r="K1143" s="4"/>
    </row>
    <row r="1144" spans="3:11" x14ac:dyDescent="0.25">
      <c r="C1144" s="108"/>
      <c r="D1144" s="217"/>
      <c r="E1144" s="217"/>
      <c r="F1144" s="104"/>
      <c r="G1144" s="108"/>
      <c r="J1144" s="174"/>
      <c r="K1144" s="4"/>
    </row>
    <row r="1145" spans="3:11" x14ac:dyDescent="0.25">
      <c r="C1145" s="108"/>
      <c r="D1145" s="217"/>
      <c r="E1145" s="217"/>
      <c r="F1145" s="104"/>
      <c r="G1145" s="108"/>
      <c r="J1145" s="174"/>
      <c r="K1145" s="4"/>
    </row>
    <row r="1146" spans="3:11" x14ac:dyDescent="0.25">
      <c r="C1146" s="108"/>
      <c r="D1146" s="217"/>
      <c r="E1146" s="217"/>
      <c r="F1146" s="104"/>
      <c r="G1146" s="108"/>
      <c r="J1146" s="174"/>
      <c r="K1146" s="4"/>
    </row>
    <row r="1147" spans="3:11" x14ac:dyDescent="0.25">
      <c r="C1147" s="108"/>
      <c r="D1147" s="217"/>
      <c r="E1147" s="217"/>
      <c r="F1147" s="104"/>
      <c r="G1147" s="108"/>
      <c r="J1147" s="174"/>
      <c r="K1147" s="4"/>
    </row>
    <row r="1148" spans="3:11" x14ac:dyDescent="0.25">
      <c r="C1148" s="108"/>
      <c r="D1148" s="217"/>
      <c r="E1148" s="217"/>
      <c r="F1148" s="104"/>
      <c r="G1148" s="108"/>
      <c r="J1148" s="174"/>
      <c r="K1148" s="4"/>
    </row>
    <row r="1149" spans="3:11" x14ac:dyDescent="0.25">
      <c r="C1149" s="108"/>
      <c r="D1149" s="217"/>
      <c r="E1149" s="217"/>
      <c r="F1149" s="104"/>
      <c r="G1149" s="108"/>
      <c r="J1149" s="174"/>
      <c r="K1149" s="4"/>
    </row>
    <row r="1150" spans="3:11" x14ac:dyDescent="0.25">
      <c r="C1150" s="108"/>
      <c r="D1150" s="217"/>
      <c r="E1150" s="217"/>
      <c r="F1150" s="104"/>
      <c r="G1150" s="108"/>
      <c r="J1150" s="174"/>
      <c r="K1150" s="4"/>
    </row>
    <row r="1151" spans="3:11" x14ac:dyDescent="0.25">
      <c r="C1151" s="108"/>
      <c r="D1151" s="217"/>
      <c r="E1151" s="217"/>
      <c r="F1151" s="104"/>
      <c r="G1151" s="108"/>
      <c r="J1151" s="174"/>
      <c r="K1151" s="4"/>
    </row>
    <row r="1152" spans="3:11" x14ac:dyDescent="0.25">
      <c r="C1152" s="108"/>
      <c r="D1152" s="217"/>
      <c r="E1152" s="217"/>
      <c r="F1152" s="104"/>
      <c r="G1152" s="108"/>
      <c r="J1152" s="174"/>
      <c r="K1152" s="4"/>
    </row>
    <row r="1153" spans="3:11" x14ac:dyDescent="0.25">
      <c r="C1153" s="108"/>
      <c r="D1153" s="217"/>
      <c r="E1153" s="217"/>
      <c r="F1153" s="104"/>
      <c r="G1153" s="108"/>
      <c r="J1153" s="174"/>
      <c r="K1153" s="4"/>
    </row>
    <row r="1154" spans="3:11" x14ac:dyDescent="0.25">
      <c r="C1154" s="108"/>
      <c r="D1154" s="217"/>
      <c r="E1154" s="217"/>
      <c r="F1154" s="104"/>
      <c r="G1154" s="108"/>
      <c r="J1154" s="174"/>
      <c r="K1154" s="4"/>
    </row>
    <row r="1155" spans="3:11" x14ac:dyDescent="0.25">
      <c r="C1155" s="108"/>
      <c r="D1155" s="217"/>
      <c r="E1155" s="217"/>
      <c r="F1155" s="104"/>
      <c r="G1155" s="108"/>
      <c r="J1155" s="174"/>
      <c r="K1155" s="4"/>
    </row>
    <row r="1156" spans="3:11" x14ac:dyDescent="0.25">
      <c r="C1156" s="108"/>
      <c r="D1156" s="217"/>
      <c r="E1156" s="217"/>
      <c r="F1156" s="104"/>
      <c r="G1156" s="108"/>
      <c r="J1156" s="174"/>
      <c r="K1156" s="4"/>
    </row>
    <row r="1157" spans="3:11" x14ac:dyDescent="0.25">
      <c r="C1157" s="108"/>
      <c r="D1157" s="217"/>
      <c r="E1157" s="217"/>
      <c r="F1157" s="104"/>
      <c r="G1157" s="108"/>
      <c r="J1157" s="174"/>
      <c r="K1157" s="4"/>
    </row>
    <row r="1158" spans="3:11" x14ac:dyDescent="0.25">
      <c r="C1158" s="108"/>
      <c r="D1158" s="217"/>
      <c r="E1158" s="217"/>
      <c r="F1158" s="104"/>
      <c r="G1158" s="108"/>
      <c r="J1158" s="174"/>
      <c r="K1158" s="4"/>
    </row>
    <row r="1159" spans="3:11" x14ac:dyDescent="0.25">
      <c r="C1159" s="108"/>
      <c r="D1159" s="217"/>
      <c r="E1159" s="217"/>
      <c r="F1159" s="104"/>
      <c r="G1159" s="108"/>
      <c r="J1159" s="174"/>
      <c r="K1159" s="4"/>
    </row>
    <row r="1160" spans="3:11" x14ac:dyDescent="0.25">
      <c r="C1160" s="108"/>
      <c r="D1160" s="217"/>
      <c r="E1160" s="217"/>
      <c r="F1160" s="104"/>
      <c r="G1160" s="108"/>
      <c r="J1160" s="174"/>
      <c r="K1160" s="4"/>
    </row>
    <row r="1161" spans="3:11" x14ac:dyDescent="0.25">
      <c r="C1161" s="108"/>
      <c r="D1161" s="217"/>
      <c r="E1161" s="217"/>
      <c r="F1161" s="104"/>
      <c r="G1161" s="108"/>
      <c r="J1161" s="174"/>
      <c r="K1161" s="4"/>
    </row>
    <row r="1162" spans="3:11" x14ac:dyDescent="0.25">
      <c r="C1162" s="108"/>
      <c r="D1162" s="217"/>
      <c r="E1162" s="217"/>
      <c r="F1162" s="104"/>
      <c r="G1162" s="108"/>
      <c r="J1162" s="174"/>
      <c r="K1162" s="4"/>
    </row>
    <row r="1163" spans="3:11" x14ac:dyDescent="0.25">
      <c r="C1163" s="108"/>
      <c r="D1163" s="217"/>
      <c r="E1163" s="217"/>
      <c r="F1163" s="104"/>
      <c r="G1163" s="108"/>
      <c r="J1163" s="174"/>
      <c r="K1163" s="4"/>
    </row>
    <row r="1164" spans="3:11" x14ac:dyDescent="0.25">
      <c r="C1164" s="108"/>
      <c r="D1164" s="217"/>
      <c r="E1164" s="217"/>
      <c r="F1164" s="104"/>
      <c r="G1164" s="108"/>
      <c r="J1164" s="174"/>
      <c r="K1164" s="4"/>
    </row>
    <row r="1165" spans="3:11" x14ac:dyDescent="0.25">
      <c r="C1165" s="108"/>
      <c r="D1165" s="217"/>
      <c r="E1165" s="217"/>
      <c r="F1165" s="104"/>
      <c r="G1165" s="108"/>
      <c r="J1165" s="174"/>
      <c r="K1165" s="4"/>
    </row>
    <row r="1166" spans="3:11" x14ac:dyDescent="0.25">
      <c r="C1166" s="108"/>
      <c r="D1166" s="217"/>
      <c r="E1166" s="217"/>
      <c r="F1166" s="104"/>
      <c r="G1166" s="108"/>
      <c r="J1166" s="174"/>
      <c r="K1166" s="4"/>
    </row>
    <row r="1167" spans="3:11" x14ac:dyDescent="0.25">
      <c r="C1167" s="108"/>
      <c r="D1167" s="217"/>
      <c r="E1167" s="217"/>
      <c r="F1167" s="104"/>
      <c r="G1167" s="108"/>
      <c r="J1167" s="174"/>
      <c r="K1167" s="4"/>
    </row>
    <row r="1168" spans="3:11" x14ac:dyDescent="0.25">
      <c r="C1168" s="108"/>
      <c r="D1168" s="217"/>
      <c r="E1168" s="217"/>
      <c r="F1168" s="104"/>
      <c r="G1168" s="108"/>
      <c r="J1168" s="174"/>
      <c r="K1168" s="4"/>
    </row>
    <row r="1169" spans="3:11" x14ac:dyDescent="0.25">
      <c r="C1169" s="108"/>
      <c r="D1169" s="217"/>
      <c r="E1169" s="217"/>
      <c r="F1169" s="104"/>
      <c r="G1169" s="108"/>
      <c r="J1169" s="174"/>
      <c r="K1169" s="4"/>
    </row>
    <row r="1170" spans="3:11" x14ac:dyDescent="0.25">
      <c r="C1170" s="108"/>
      <c r="D1170" s="217"/>
      <c r="E1170" s="217"/>
      <c r="F1170" s="104"/>
      <c r="G1170" s="108"/>
      <c r="J1170" s="174"/>
      <c r="K1170" s="4"/>
    </row>
    <row r="1171" spans="3:11" x14ac:dyDescent="0.25">
      <c r="C1171" s="108"/>
      <c r="D1171" s="217"/>
      <c r="E1171" s="217"/>
      <c r="F1171" s="104"/>
      <c r="G1171" s="108"/>
      <c r="J1171" s="174"/>
      <c r="K1171" s="4"/>
    </row>
    <row r="1172" spans="3:11" x14ac:dyDescent="0.25">
      <c r="C1172" s="108"/>
      <c r="D1172" s="217"/>
      <c r="E1172" s="217"/>
      <c r="F1172" s="104"/>
      <c r="G1172" s="108"/>
      <c r="J1172" s="174"/>
      <c r="K1172" s="4"/>
    </row>
    <row r="1173" spans="3:11" x14ac:dyDescent="0.25">
      <c r="C1173" s="108"/>
      <c r="D1173" s="217"/>
      <c r="E1173" s="217"/>
      <c r="F1173" s="104"/>
      <c r="G1173" s="108"/>
      <c r="J1173" s="174"/>
      <c r="K1173" s="4"/>
    </row>
    <row r="1174" spans="3:11" x14ac:dyDescent="0.25">
      <c r="C1174" s="108"/>
      <c r="D1174" s="217"/>
      <c r="E1174" s="217"/>
      <c r="F1174" s="104"/>
      <c r="G1174" s="108"/>
      <c r="J1174" s="174"/>
      <c r="K1174" s="4"/>
    </row>
    <row r="1175" spans="3:11" x14ac:dyDescent="0.25">
      <c r="C1175" s="108"/>
      <c r="D1175" s="217"/>
      <c r="E1175" s="217"/>
      <c r="F1175" s="104"/>
      <c r="G1175" s="108"/>
      <c r="J1175" s="174"/>
      <c r="K1175" s="4"/>
    </row>
    <row r="1176" spans="3:11" x14ac:dyDescent="0.25">
      <c r="C1176" s="108"/>
      <c r="D1176" s="217"/>
      <c r="E1176" s="217"/>
      <c r="F1176" s="104"/>
      <c r="G1176" s="108"/>
      <c r="J1176" s="174"/>
      <c r="K1176" s="4"/>
    </row>
    <row r="1177" spans="3:11" x14ac:dyDescent="0.25">
      <c r="C1177" s="108"/>
      <c r="D1177" s="217"/>
      <c r="E1177" s="217"/>
      <c r="F1177" s="104"/>
      <c r="G1177" s="108"/>
      <c r="J1177" s="174"/>
      <c r="K1177" s="4"/>
    </row>
    <row r="1178" spans="3:11" x14ac:dyDescent="0.25">
      <c r="C1178" s="108"/>
      <c r="D1178" s="217"/>
      <c r="E1178" s="217"/>
      <c r="F1178" s="104"/>
      <c r="G1178" s="108"/>
      <c r="J1178" s="174"/>
      <c r="K1178" s="4"/>
    </row>
    <row r="1179" spans="3:11" x14ac:dyDescent="0.25">
      <c r="C1179" s="108"/>
      <c r="D1179" s="217"/>
      <c r="E1179" s="217"/>
      <c r="F1179" s="104"/>
      <c r="G1179" s="108"/>
      <c r="J1179" s="174"/>
      <c r="K1179" s="4"/>
    </row>
    <row r="1180" spans="3:11" x14ac:dyDescent="0.25">
      <c r="C1180" s="108"/>
      <c r="D1180" s="217"/>
      <c r="E1180" s="217"/>
      <c r="F1180" s="104"/>
      <c r="G1180" s="108"/>
      <c r="J1180" s="174"/>
      <c r="K1180" s="4"/>
    </row>
    <row r="1181" spans="3:11" x14ac:dyDescent="0.25">
      <c r="C1181" s="108"/>
      <c r="D1181" s="217"/>
      <c r="E1181" s="217"/>
      <c r="F1181" s="104"/>
      <c r="G1181" s="108"/>
      <c r="J1181" s="174"/>
      <c r="K1181" s="4"/>
    </row>
    <row r="1182" spans="3:11" x14ac:dyDescent="0.25">
      <c r="C1182" s="108"/>
      <c r="D1182" s="217"/>
      <c r="E1182" s="217"/>
      <c r="F1182" s="104"/>
      <c r="G1182" s="108"/>
      <c r="J1182" s="174"/>
      <c r="K1182" s="4"/>
    </row>
    <row r="1183" spans="3:11" x14ac:dyDescent="0.25">
      <c r="C1183" s="108"/>
      <c r="D1183" s="217"/>
      <c r="E1183" s="217"/>
      <c r="F1183" s="104"/>
      <c r="G1183" s="108"/>
      <c r="J1183" s="174"/>
      <c r="K1183" s="4"/>
    </row>
    <row r="1184" spans="3:11" x14ac:dyDescent="0.25">
      <c r="C1184" s="108"/>
      <c r="D1184" s="217"/>
      <c r="E1184" s="217"/>
      <c r="F1184" s="104"/>
      <c r="G1184" s="108"/>
      <c r="J1184" s="174"/>
      <c r="K1184" s="4"/>
    </row>
    <row r="1185" spans="3:11" x14ac:dyDescent="0.25">
      <c r="C1185" s="108"/>
      <c r="D1185" s="217"/>
      <c r="E1185" s="217"/>
      <c r="F1185" s="104"/>
      <c r="G1185" s="108"/>
      <c r="J1185" s="174"/>
      <c r="K1185" s="4"/>
    </row>
    <row r="1186" spans="3:11" x14ac:dyDescent="0.25">
      <c r="C1186" s="108"/>
      <c r="D1186" s="217"/>
      <c r="E1186" s="217"/>
      <c r="F1186" s="104"/>
      <c r="G1186" s="108"/>
      <c r="J1186" s="174"/>
      <c r="K1186" s="4"/>
    </row>
    <row r="1187" spans="3:11" x14ac:dyDescent="0.25">
      <c r="C1187" s="108"/>
      <c r="D1187" s="217"/>
      <c r="E1187" s="217"/>
      <c r="F1187" s="104"/>
      <c r="G1187" s="108"/>
      <c r="J1187" s="174"/>
      <c r="K1187" s="4"/>
    </row>
    <row r="1188" spans="3:11" x14ac:dyDescent="0.25">
      <c r="C1188" s="108"/>
      <c r="D1188" s="217"/>
      <c r="E1188" s="217"/>
      <c r="F1188" s="104"/>
      <c r="G1188" s="108"/>
      <c r="J1188" s="174"/>
      <c r="K1188" s="4"/>
    </row>
    <row r="1189" spans="3:11" x14ac:dyDescent="0.25">
      <c r="C1189" s="108"/>
      <c r="D1189" s="217"/>
      <c r="E1189" s="217"/>
      <c r="F1189" s="104"/>
      <c r="G1189" s="108"/>
      <c r="J1189" s="174"/>
      <c r="K1189" s="4"/>
    </row>
    <row r="1190" spans="3:11" x14ac:dyDescent="0.25">
      <c r="C1190" s="108"/>
      <c r="D1190" s="217"/>
      <c r="E1190" s="217"/>
      <c r="F1190" s="104"/>
      <c r="G1190" s="108"/>
      <c r="J1190" s="174"/>
      <c r="K1190" s="4"/>
    </row>
    <row r="1191" spans="3:11" x14ac:dyDescent="0.25">
      <c r="C1191" s="108"/>
      <c r="D1191" s="217"/>
      <c r="E1191" s="217"/>
      <c r="F1191" s="104"/>
      <c r="G1191" s="108"/>
      <c r="J1191" s="174"/>
      <c r="K1191" s="4"/>
    </row>
    <row r="1192" spans="3:11" x14ac:dyDescent="0.25">
      <c r="C1192" s="108"/>
      <c r="D1192" s="217"/>
      <c r="E1192" s="217"/>
      <c r="F1192" s="104"/>
      <c r="G1192" s="108"/>
      <c r="J1192" s="174"/>
      <c r="K1192" s="4"/>
    </row>
    <row r="1193" spans="3:11" x14ac:dyDescent="0.25">
      <c r="C1193" s="108"/>
      <c r="D1193" s="217"/>
      <c r="E1193" s="217"/>
      <c r="F1193" s="104"/>
      <c r="G1193" s="108"/>
      <c r="J1193" s="174"/>
      <c r="K1193" s="4"/>
    </row>
    <row r="1194" spans="3:11" x14ac:dyDescent="0.25">
      <c r="C1194" s="108"/>
      <c r="D1194" s="217"/>
      <c r="E1194" s="217"/>
      <c r="F1194" s="104"/>
      <c r="G1194" s="108"/>
      <c r="J1194" s="174"/>
      <c r="K1194" s="4"/>
    </row>
    <row r="1195" spans="3:11" x14ac:dyDescent="0.25">
      <c r="C1195" s="108"/>
      <c r="D1195" s="217"/>
      <c r="E1195" s="217"/>
      <c r="F1195" s="104"/>
      <c r="G1195" s="108"/>
      <c r="J1195" s="174"/>
      <c r="K1195" s="4"/>
    </row>
    <row r="1196" spans="3:11" x14ac:dyDescent="0.25">
      <c r="C1196" s="108"/>
      <c r="D1196" s="217"/>
      <c r="E1196" s="217"/>
      <c r="F1196" s="104"/>
      <c r="G1196" s="108"/>
      <c r="J1196" s="174"/>
      <c r="K1196" s="4"/>
    </row>
    <row r="1197" spans="3:11" x14ac:dyDescent="0.25">
      <c r="C1197" s="108"/>
      <c r="D1197" s="217"/>
      <c r="E1197" s="217"/>
      <c r="F1197" s="104"/>
      <c r="G1197" s="108"/>
      <c r="J1197" s="174"/>
      <c r="K1197" s="4"/>
    </row>
    <row r="1198" spans="3:11" x14ac:dyDescent="0.25">
      <c r="C1198" s="108"/>
      <c r="D1198" s="217"/>
      <c r="E1198" s="217"/>
      <c r="F1198" s="104"/>
      <c r="G1198" s="108"/>
      <c r="J1198" s="174"/>
      <c r="K1198" s="4"/>
    </row>
    <row r="1199" spans="3:11" x14ac:dyDescent="0.25">
      <c r="C1199" s="108"/>
      <c r="D1199" s="217"/>
      <c r="E1199" s="217"/>
      <c r="F1199" s="104"/>
      <c r="G1199" s="108"/>
      <c r="J1199" s="174"/>
      <c r="K1199" s="4"/>
    </row>
    <row r="1200" spans="3:11" x14ac:dyDescent="0.25">
      <c r="C1200" s="108"/>
      <c r="D1200" s="217"/>
      <c r="E1200" s="217"/>
      <c r="F1200" s="104"/>
      <c r="G1200" s="108"/>
      <c r="J1200" s="174"/>
      <c r="K1200" s="4"/>
    </row>
    <row r="1201" spans="3:11" x14ac:dyDescent="0.25">
      <c r="C1201" s="108"/>
      <c r="D1201" s="217"/>
      <c r="E1201" s="217"/>
      <c r="F1201" s="104"/>
      <c r="G1201" s="108"/>
      <c r="J1201" s="174"/>
      <c r="K1201" s="4"/>
    </row>
    <row r="1202" spans="3:11" x14ac:dyDescent="0.25">
      <c r="C1202" s="108"/>
      <c r="D1202" s="217"/>
      <c r="E1202" s="217"/>
      <c r="F1202" s="104"/>
      <c r="G1202" s="108"/>
      <c r="J1202" s="174"/>
      <c r="K1202" s="4"/>
    </row>
    <row r="1203" spans="3:11" x14ac:dyDescent="0.25">
      <c r="C1203" s="108"/>
      <c r="D1203" s="217"/>
      <c r="E1203" s="217"/>
      <c r="F1203" s="104"/>
      <c r="G1203" s="108"/>
      <c r="J1203" s="174"/>
      <c r="K1203" s="4"/>
    </row>
    <row r="1204" spans="3:11" x14ac:dyDescent="0.25">
      <c r="C1204" s="108"/>
      <c r="D1204" s="217"/>
      <c r="E1204" s="217"/>
      <c r="F1204" s="104"/>
      <c r="G1204" s="108"/>
      <c r="J1204" s="174"/>
      <c r="K1204" s="4"/>
    </row>
    <row r="1205" spans="3:11" x14ac:dyDescent="0.25">
      <c r="C1205" s="108"/>
      <c r="D1205" s="217"/>
      <c r="E1205" s="217"/>
      <c r="F1205" s="104"/>
      <c r="G1205" s="108"/>
      <c r="J1205" s="174"/>
      <c r="K1205" s="4"/>
    </row>
    <row r="1206" spans="3:11" x14ac:dyDescent="0.25">
      <c r="C1206" s="108"/>
      <c r="D1206" s="217"/>
      <c r="E1206" s="217"/>
      <c r="F1206" s="104"/>
      <c r="G1206" s="108"/>
      <c r="J1206" s="174"/>
      <c r="K1206" s="4"/>
    </row>
    <row r="1207" spans="3:11" x14ac:dyDescent="0.25">
      <c r="C1207" s="108"/>
      <c r="D1207" s="217"/>
      <c r="E1207" s="217"/>
      <c r="F1207" s="104"/>
      <c r="G1207" s="108"/>
      <c r="J1207" s="174"/>
      <c r="K1207" s="4"/>
    </row>
    <row r="1208" spans="3:11" x14ac:dyDescent="0.25">
      <c r="C1208" s="108"/>
      <c r="D1208" s="217"/>
      <c r="E1208" s="217"/>
      <c r="F1208" s="104"/>
      <c r="G1208" s="108"/>
      <c r="J1208" s="174"/>
      <c r="K1208" s="4"/>
    </row>
    <row r="1209" spans="3:11" x14ac:dyDescent="0.25">
      <c r="C1209" s="108"/>
      <c r="D1209" s="217"/>
      <c r="E1209" s="217"/>
      <c r="F1209" s="104"/>
      <c r="G1209" s="108"/>
      <c r="J1209" s="174"/>
      <c r="K1209" s="4"/>
    </row>
    <row r="1210" spans="3:11" x14ac:dyDescent="0.25">
      <c r="C1210" s="108"/>
      <c r="D1210" s="217"/>
      <c r="E1210" s="217"/>
      <c r="F1210" s="104"/>
      <c r="G1210" s="108"/>
      <c r="J1210" s="174"/>
      <c r="K1210" s="4"/>
    </row>
    <row r="1211" spans="3:11" x14ac:dyDescent="0.25">
      <c r="C1211" s="108"/>
      <c r="D1211" s="217"/>
      <c r="E1211" s="217"/>
      <c r="F1211" s="104"/>
      <c r="G1211" s="108"/>
      <c r="J1211" s="174"/>
      <c r="K1211" s="4"/>
    </row>
    <row r="1212" spans="3:11" x14ac:dyDescent="0.25">
      <c r="C1212" s="108"/>
      <c r="D1212" s="217"/>
      <c r="E1212" s="217"/>
      <c r="F1212" s="104"/>
      <c r="G1212" s="108"/>
      <c r="J1212" s="174"/>
      <c r="K1212" s="4"/>
    </row>
    <row r="1213" spans="3:11" x14ac:dyDescent="0.25">
      <c r="C1213" s="108"/>
      <c r="D1213" s="217"/>
      <c r="E1213" s="217"/>
      <c r="F1213" s="104"/>
      <c r="G1213" s="108"/>
      <c r="J1213" s="174"/>
      <c r="K1213" s="4"/>
    </row>
    <row r="1214" spans="3:11" x14ac:dyDescent="0.25">
      <c r="C1214" s="108"/>
      <c r="D1214" s="217"/>
      <c r="E1214" s="217"/>
      <c r="F1214" s="104"/>
      <c r="G1214" s="108"/>
      <c r="J1214" s="174"/>
      <c r="K1214" s="4"/>
    </row>
    <row r="1215" spans="3:11" x14ac:dyDescent="0.25">
      <c r="C1215" s="108"/>
      <c r="D1215" s="217"/>
      <c r="E1215" s="217"/>
      <c r="F1215" s="104"/>
      <c r="G1215" s="108"/>
      <c r="J1215" s="174"/>
      <c r="K1215" s="4"/>
    </row>
    <row r="1216" spans="3:11" x14ac:dyDescent="0.25">
      <c r="C1216" s="108"/>
      <c r="D1216" s="217"/>
      <c r="E1216" s="217"/>
      <c r="F1216" s="104"/>
      <c r="G1216" s="108"/>
      <c r="J1216" s="174"/>
      <c r="K1216" s="4"/>
    </row>
    <row r="1217" spans="3:11" x14ac:dyDescent="0.25">
      <c r="C1217" s="108"/>
      <c r="D1217" s="217"/>
      <c r="E1217" s="217"/>
      <c r="F1217" s="104"/>
      <c r="G1217" s="108"/>
      <c r="J1217" s="174"/>
      <c r="K1217" s="4"/>
    </row>
    <row r="1218" spans="3:11" x14ac:dyDescent="0.25">
      <c r="C1218" s="108"/>
      <c r="D1218" s="217"/>
      <c r="E1218" s="217"/>
      <c r="F1218" s="104"/>
      <c r="G1218" s="108"/>
      <c r="J1218" s="174"/>
      <c r="K1218" s="4"/>
    </row>
    <row r="1219" spans="3:11" x14ac:dyDescent="0.25">
      <c r="C1219" s="108"/>
      <c r="D1219" s="217"/>
      <c r="E1219" s="217"/>
      <c r="F1219" s="104"/>
      <c r="G1219" s="108"/>
      <c r="J1219" s="174"/>
      <c r="K1219" s="4"/>
    </row>
    <row r="1220" spans="3:11" x14ac:dyDescent="0.25">
      <c r="C1220" s="108"/>
      <c r="D1220" s="217"/>
      <c r="E1220" s="217"/>
      <c r="F1220" s="104"/>
      <c r="G1220" s="108"/>
      <c r="J1220" s="174"/>
      <c r="K1220" s="4"/>
    </row>
    <row r="1221" spans="3:11" x14ac:dyDescent="0.25">
      <c r="C1221" s="108"/>
      <c r="D1221" s="217"/>
      <c r="E1221" s="217"/>
      <c r="F1221" s="104"/>
      <c r="G1221" s="108"/>
      <c r="J1221" s="174"/>
      <c r="K1221" s="4"/>
    </row>
    <row r="1222" spans="3:11" x14ac:dyDescent="0.25">
      <c r="C1222" s="108"/>
      <c r="D1222" s="217"/>
      <c r="E1222" s="217"/>
      <c r="F1222" s="104"/>
      <c r="G1222" s="108"/>
      <c r="J1222" s="174"/>
      <c r="K1222" s="4"/>
    </row>
    <row r="1223" spans="3:11" x14ac:dyDescent="0.25">
      <c r="C1223" s="108"/>
      <c r="D1223" s="217"/>
      <c r="E1223" s="217"/>
      <c r="F1223" s="104"/>
      <c r="G1223" s="108"/>
      <c r="J1223" s="174"/>
      <c r="K1223" s="4"/>
    </row>
    <row r="1224" spans="3:11" x14ac:dyDescent="0.25">
      <c r="C1224" s="108"/>
      <c r="D1224" s="217"/>
      <c r="E1224" s="217"/>
      <c r="F1224" s="104"/>
      <c r="G1224" s="108"/>
      <c r="J1224" s="174"/>
      <c r="K1224" s="4"/>
    </row>
    <row r="1225" spans="3:11" x14ac:dyDescent="0.25">
      <c r="C1225" s="108"/>
      <c r="D1225" s="217"/>
      <c r="E1225" s="217"/>
      <c r="F1225" s="104"/>
      <c r="G1225" s="108"/>
      <c r="J1225" s="174"/>
      <c r="K1225" s="4"/>
    </row>
    <row r="1226" spans="3:11" x14ac:dyDescent="0.25">
      <c r="C1226" s="108"/>
      <c r="D1226" s="217"/>
      <c r="E1226" s="217"/>
      <c r="F1226" s="104"/>
      <c r="G1226" s="108"/>
      <c r="J1226" s="174"/>
      <c r="K1226" s="4"/>
    </row>
    <row r="1227" spans="3:11" x14ac:dyDescent="0.25">
      <c r="C1227" s="108"/>
      <c r="D1227" s="217"/>
      <c r="E1227" s="217"/>
      <c r="F1227" s="104"/>
      <c r="G1227" s="108"/>
      <c r="J1227" s="174"/>
      <c r="K1227" s="4"/>
    </row>
    <row r="1228" spans="3:11" x14ac:dyDescent="0.25">
      <c r="C1228" s="108"/>
      <c r="D1228" s="217"/>
      <c r="E1228" s="217"/>
      <c r="F1228" s="104"/>
      <c r="G1228" s="108"/>
      <c r="J1228" s="174"/>
      <c r="K1228" s="4"/>
    </row>
    <row r="1229" spans="3:11" x14ac:dyDescent="0.25">
      <c r="C1229" s="108"/>
      <c r="D1229" s="217"/>
      <c r="E1229" s="217"/>
      <c r="F1229" s="104"/>
      <c r="G1229" s="108"/>
      <c r="J1229" s="174"/>
      <c r="K1229" s="4"/>
    </row>
    <row r="1230" spans="3:11" x14ac:dyDescent="0.25">
      <c r="C1230" s="108"/>
      <c r="D1230" s="217"/>
      <c r="E1230" s="217"/>
      <c r="F1230" s="104"/>
      <c r="G1230" s="108"/>
      <c r="J1230" s="174"/>
      <c r="K1230" s="4"/>
    </row>
    <row r="1231" spans="3:11" x14ac:dyDescent="0.25">
      <c r="C1231" s="108"/>
      <c r="D1231" s="217"/>
      <c r="E1231" s="217"/>
      <c r="F1231" s="104"/>
      <c r="G1231" s="108"/>
      <c r="J1231" s="174"/>
      <c r="K1231" s="4"/>
    </row>
    <row r="1232" spans="3:11" x14ac:dyDescent="0.25">
      <c r="C1232" s="108"/>
      <c r="D1232" s="217"/>
      <c r="E1232" s="217"/>
      <c r="F1232" s="104"/>
      <c r="G1232" s="108"/>
      <c r="J1232" s="174"/>
      <c r="K1232" s="4"/>
    </row>
    <row r="1233" spans="3:11" x14ac:dyDescent="0.25">
      <c r="C1233" s="108"/>
      <c r="D1233" s="217"/>
      <c r="E1233" s="217"/>
      <c r="F1233" s="104"/>
      <c r="G1233" s="108"/>
      <c r="J1233" s="174"/>
      <c r="K1233" s="4"/>
    </row>
    <row r="1234" spans="3:11" x14ac:dyDescent="0.25">
      <c r="C1234" s="108"/>
      <c r="D1234" s="217"/>
      <c r="E1234" s="217"/>
      <c r="F1234" s="104"/>
      <c r="G1234" s="108"/>
      <c r="J1234" s="174"/>
      <c r="K1234" s="4"/>
    </row>
    <row r="1235" spans="3:11" x14ac:dyDescent="0.25">
      <c r="C1235" s="108"/>
      <c r="D1235" s="217"/>
      <c r="E1235" s="217"/>
      <c r="F1235" s="104"/>
      <c r="G1235" s="108"/>
      <c r="J1235" s="174"/>
      <c r="K1235" s="4"/>
    </row>
    <row r="1236" spans="3:11" x14ac:dyDescent="0.25">
      <c r="C1236" s="108"/>
      <c r="D1236" s="217"/>
      <c r="E1236" s="217"/>
      <c r="F1236" s="104"/>
      <c r="G1236" s="108"/>
      <c r="J1236" s="174"/>
      <c r="K1236" s="4"/>
    </row>
    <row r="1237" spans="3:11" x14ac:dyDescent="0.25">
      <c r="C1237" s="108"/>
      <c r="D1237" s="217"/>
      <c r="E1237" s="217"/>
      <c r="F1237" s="104"/>
      <c r="G1237" s="108"/>
      <c r="J1237" s="174"/>
      <c r="K1237" s="4"/>
    </row>
    <row r="1238" spans="3:11" x14ac:dyDescent="0.25">
      <c r="C1238" s="108"/>
      <c r="D1238" s="217"/>
      <c r="E1238" s="217"/>
      <c r="F1238" s="104"/>
      <c r="G1238" s="108"/>
      <c r="J1238" s="174"/>
      <c r="K1238" s="4"/>
    </row>
    <row r="1239" spans="3:11" x14ac:dyDescent="0.25">
      <c r="C1239" s="108"/>
      <c r="D1239" s="217"/>
      <c r="E1239" s="217"/>
      <c r="F1239" s="104"/>
      <c r="G1239" s="108"/>
      <c r="J1239" s="174"/>
      <c r="K1239" s="4"/>
    </row>
    <row r="1240" spans="3:11" x14ac:dyDescent="0.25">
      <c r="C1240" s="108"/>
      <c r="D1240" s="217"/>
      <c r="E1240" s="217"/>
      <c r="F1240" s="104"/>
      <c r="G1240" s="108"/>
      <c r="J1240" s="174"/>
      <c r="K1240" s="4"/>
    </row>
    <row r="1241" spans="3:11" x14ac:dyDescent="0.25">
      <c r="C1241" s="108"/>
      <c r="D1241" s="217"/>
      <c r="E1241" s="217"/>
      <c r="F1241" s="104"/>
      <c r="G1241" s="108"/>
      <c r="J1241" s="174"/>
      <c r="K1241" s="4"/>
    </row>
    <row r="1242" spans="3:11" x14ac:dyDescent="0.25">
      <c r="C1242" s="108"/>
      <c r="D1242" s="217"/>
      <c r="E1242" s="217"/>
      <c r="F1242" s="104"/>
      <c r="G1242" s="108"/>
      <c r="J1242" s="174"/>
      <c r="K1242" s="4"/>
    </row>
    <row r="1243" spans="3:11" x14ac:dyDescent="0.25">
      <c r="C1243" s="108"/>
      <c r="D1243" s="217"/>
      <c r="E1243" s="217"/>
      <c r="F1243" s="104"/>
      <c r="G1243" s="108"/>
      <c r="J1243" s="174"/>
      <c r="K1243" s="4"/>
    </row>
    <row r="1244" spans="3:11" x14ac:dyDescent="0.25">
      <c r="C1244" s="108"/>
      <c r="D1244" s="217"/>
      <c r="E1244" s="217"/>
      <c r="F1244" s="104"/>
      <c r="G1244" s="108"/>
      <c r="J1244" s="174"/>
      <c r="K1244" s="4"/>
    </row>
    <row r="1245" spans="3:11" x14ac:dyDescent="0.25">
      <c r="C1245" s="108"/>
      <c r="D1245" s="217"/>
      <c r="E1245" s="217"/>
      <c r="F1245" s="104"/>
      <c r="G1245" s="108"/>
      <c r="J1245" s="174"/>
      <c r="K1245" s="4"/>
    </row>
    <row r="1246" spans="3:11" x14ac:dyDescent="0.25">
      <c r="C1246" s="108"/>
      <c r="D1246" s="217"/>
      <c r="E1246" s="217"/>
      <c r="F1246" s="104"/>
      <c r="G1246" s="108"/>
      <c r="J1246" s="174"/>
      <c r="K1246" s="4"/>
    </row>
    <row r="1247" spans="3:11" x14ac:dyDescent="0.25">
      <c r="C1247" s="108"/>
      <c r="D1247" s="217"/>
      <c r="E1247" s="217"/>
      <c r="F1247" s="104"/>
      <c r="G1247" s="108"/>
      <c r="J1247" s="174"/>
      <c r="K1247" s="4"/>
    </row>
    <row r="1248" spans="3:11" x14ac:dyDescent="0.25">
      <c r="C1248" s="108"/>
      <c r="D1248" s="217"/>
      <c r="E1248" s="217"/>
      <c r="F1248" s="104"/>
      <c r="G1248" s="108"/>
      <c r="J1248" s="174"/>
      <c r="K1248" s="4"/>
    </row>
    <row r="1249" spans="3:11" x14ac:dyDescent="0.25">
      <c r="C1249" s="108"/>
      <c r="D1249" s="217"/>
      <c r="E1249" s="217"/>
      <c r="F1249" s="104"/>
      <c r="G1249" s="108"/>
      <c r="J1249" s="174"/>
      <c r="K1249" s="4"/>
    </row>
    <row r="1250" spans="3:11" x14ac:dyDescent="0.25">
      <c r="C1250" s="108"/>
      <c r="D1250" s="217"/>
      <c r="E1250" s="217"/>
      <c r="F1250" s="104"/>
      <c r="G1250" s="108"/>
      <c r="J1250" s="174"/>
      <c r="K1250" s="4"/>
    </row>
    <row r="1251" spans="3:11" x14ac:dyDescent="0.25">
      <c r="C1251" s="108"/>
      <c r="D1251" s="217"/>
      <c r="E1251" s="217"/>
      <c r="F1251" s="104"/>
      <c r="G1251" s="108"/>
      <c r="J1251" s="174"/>
      <c r="K1251" s="4"/>
    </row>
    <row r="1252" spans="3:11" x14ac:dyDescent="0.25">
      <c r="C1252" s="108"/>
      <c r="D1252" s="217"/>
      <c r="E1252" s="217"/>
      <c r="F1252" s="104"/>
      <c r="G1252" s="108"/>
      <c r="J1252" s="174"/>
      <c r="K1252" s="4"/>
    </row>
    <row r="1253" spans="3:11" x14ac:dyDescent="0.25">
      <c r="C1253" s="108"/>
      <c r="D1253" s="217"/>
      <c r="E1253" s="217"/>
      <c r="F1253" s="104"/>
      <c r="G1253" s="108"/>
      <c r="J1253" s="174"/>
      <c r="K1253" s="4"/>
    </row>
    <row r="1254" spans="3:11" x14ac:dyDescent="0.25">
      <c r="C1254" s="108"/>
      <c r="D1254" s="217"/>
      <c r="E1254" s="217"/>
      <c r="F1254" s="104"/>
      <c r="G1254" s="108"/>
      <c r="J1254" s="174"/>
      <c r="K1254" s="4"/>
    </row>
    <row r="1255" spans="3:11" x14ac:dyDescent="0.25">
      <c r="C1255" s="108"/>
      <c r="D1255" s="217"/>
      <c r="E1255" s="217"/>
      <c r="F1255" s="104"/>
      <c r="G1255" s="108"/>
      <c r="J1255" s="174"/>
      <c r="K1255" s="4"/>
    </row>
    <row r="1256" spans="3:11" x14ac:dyDescent="0.25">
      <c r="C1256" s="108"/>
      <c r="D1256" s="217"/>
      <c r="E1256" s="217"/>
      <c r="F1256" s="104"/>
      <c r="G1256" s="108"/>
      <c r="J1256" s="174"/>
      <c r="K1256" s="4"/>
    </row>
    <row r="1257" spans="3:11" x14ac:dyDescent="0.25">
      <c r="C1257" s="108"/>
      <c r="D1257" s="217"/>
      <c r="E1257" s="217"/>
      <c r="F1257" s="104"/>
      <c r="G1257" s="108"/>
      <c r="J1257" s="174"/>
      <c r="K1257" s="4"/>
    </row>
    <row r="1258" spans="3:11" x14ac:dyDescent="0.25">
      <c r="C1258" s="108"/>
      <c r="D1258" s="217"/>
      <c r="E1258" s="217"/>
      <c r="F1258" s="104"/>
      <c r="G1258" s="108"/>
      <c r="J1258" s="174"/>
      <c r="K1258" s="4"/>
    </row>
    <row r="1259" spans="3:11" x14ac:dyDescent="0.25">
      <c r="C1259" s="108"/>
      <c r="D1259" s="217"/>
      <c r="E1259" s="217"/>
      <c r="F1259" s="104"/>
      <c r="G1259" s="108"/>
      <c r="J1259" s="174"/>
      <c r="K1259" s="4"/>
    </row>
    <row r="1260" spans="3:11" x14ac:dyDescent="0.25">
      <c r="C1260" s="108"/>
      <c r="D1260" s="217"/>
      <c r="E1260" s="217"/>
      <c r="F1260" s="104"/>
      <c r="G1260" s="108"/>
      <c r="J1260" s="174"/>
      <c r="K1260" s="4"/>
    </row>
    <row r="1261" spans="3:11" x14ac:dyDescent="0.25">
      <c r="C1261" s="108"/>
      <c r="D1261" s="217"/>
      <c r="E1261" s="217"/>
      <c r="F1261" s="104"/>
      <c r="G1261" s="108"/>
      <c r="J1261" s="174"/>
      <c r="K1261" s="4"/>
    </row>
    <row r="1262" spans="3:11" x14ac:dyDescent="0.25">
      <c r="C1262" s="108"/>
      <c r="D1262" s="217"/>
      <c r="E1262" s="217"/>
      <c r="F1262" s="104"/>
      <c r="G1262" s="108"/>
      <c r="J1262" s="174"/>
      <c r="K1262" s="4"/>
    </row>
    <row r="1263" spans="3:11" x14ac:dyDescent="0.25">
      <c r="C1263" s="108"/>
      <c r="D1263" s="217"/>
      <c r="E1263" s="217"/>
      <c r="F1263" s="104"/>
      <c r="G1263" s="108"/>
      <c r="J1263" s="174"/>
      <c r="K1263" s="4"/>
    </row>
    <row r="1264" spans="3:11" x14ac:dyDescent="0.25">
      <c r="C1264" s="108"/>
      <c r="D1264" s="217"/>
      <c r="E1264" s="217"/>
      <c r="F1264" s="104"/>
      <c r="G1264" s="108"/>
      <c r="J1264" s="174"/>
      <c r="K1264" s="4"/>
    </row>
    <row r="1265" spans="3:11" x14ac:dyDescent="0.25">
      <c r="C1265" s="108"/>
      <c r="D1265" s="217"/>
      <c r="E1265" s="217"/>
      <c r="F1265" s="104"/>
      <c r="G1265" s="108"/>
      <c r="J1265" s="174"/>
      <c r="K1265" s="4"/>
    </row>
    <row r="1266" spans="3:11" x14ac:dyDescent="0.25">
      <c r="C1266" s="108"/>
      <c r="D1266" s="217"/>
      <c r="E1266" s="217"/>
      <c r="F1266" s="104"/>
      <c r="G1266" s="108"/>
      <c r="J1266" s="174"/>
      <c r="K1266" s="4"/>
    </row>
    <row r="1267" spans="3:11" x14ac:dyDescent="0.25">
      <c r="C1267" s="108"/>
      <c r="D1267" s="217"/>
      <c r="E1267" s="217"/>
      <c r="F1267" s="104"/>
      <c r="G1267" s="108"/>
      <c r="J1267" s="174"/>
      <c r="K1267" s="4"/>
    </row>
    <row r="1268" spans="3:11" x14ac:dyDescent="0.25">
      <c r="C1268" s="108"/>
      <c r="D1268" s="217"/>
      <c r="E1268" s="217"/>
      <c r="F1268" s="104"/>
      <c r="G1268" s="108"/>
      <c r="J1268" s="174"/>
      <c r="K1268" s="4"/>
    </row>
    <row r="1269" spans="3:11" x14ac:dyDescent="0.25">
      <c r="C1269" s="108"/>
      <c r="D1269" s="217"/>
      <c r="E1269" s="217"/>
      <c r="F1269" s="104"/>
      <c r="G1269" s="108"/>
      <c r="J1269" s="174"/>
      <c r="K1269" s="4"/>
    </row>
    <row r="1270" spans="3:11" x14ac:dyDescent="0.25">
      <c r="C1270" s="108"/>
      <c r="D1270" s="217"/>
      <c r="E1270" s="217"/>
      <c r="F1270" s="104"/>
      <c r="G1270" s="108"/>
      <c r="J1270" s="174"/>
      <c r="K1270" s="4"/>
    </row>
    <row r="1271" spans="3:11" x14ac:dyDescent="0.25">
      <c r="C1271" s="108"/>
      <c r="D1271" s="217"/>
      <c r="E1271" s="217"/>
      <c r="F1271" s="104"/>
      <c r="G1271" s="108"/>
      <c r="J1271" s="174"/>
      <c r="K1271" s="4"/>
    </row>
    <row r="1272" spans="3:11" x14ac:dyDescent="0.25">
      <c r="C1272" s="108"/>
      <c r="D1272" s="217"/>
      <c r="E1272" s="217"/>
      <c r="F1272" s="104"/>
      <c r="G1272" s="108"/>
      <c r="J1272" s="174"/>
      <c r="K1272" s="4"/>
    </row>
    <row r="1273" spans="3:11" x14ac:dyDescent="0.25">
      <c r="C1273" s="108"/>
      <c r="D1273" s="217"/>
      <c r="E1273" s="217"/>
      <c r="F1273" s="104"/>
      <c r="G1273" s="108"/>
      <c r="J1273" s="174"/>
      <c r="K1273" s="4"/>
    </row>
    <row r="1274" spans="3:11" x14ac:dyDescent="0.25">
      <c r="C1274" s="108"/>
      <c r="D1274" s="217"/>
      <c r="E1274" s="217"/>
      <c r="F1274" s="104"/>
      <c r="G1274" s="108"/>
      <c r="J1274" s="174"/>
      <c r="K1274" s="4"/>
    </row>
    <row r="1275" spans="3:11" x14ac:dyDescent="0.25">
      <c r="C1275" s="108"/>
      <c r="D1275" s="217"/>
      <c r="E1275" s="217"/>
      <c r="F1275" s="104"/>
      <c r="G1275" s="108"/>
      <c r="J1275" s="174"/>
      <c r="K1275" s="4"/>
    </row>
    <row r="1276" spans="3:11" x14ac:dyDescent="0.25">
      <c r="C1276" s="108"/>
      <c r="D1276" s="217"/>
      <c r="E1276" s="217"/>
      <c r="F1276" s="104"/>
      <c r="G1276" s="108"/>
      <c r="J1276" s="174"/>
      <c r="K1276" s="4"/>
    </row>
    <row r="1277" spans="3:11" x14ac:dyDescent="0.25">
      <c r="C1277" s="108"/>
      <c r="D1277" s="217"/>
      <c r="E1277" s="217"/>
      <c r="F1277" s="104"/>
      <c r="G1277" s="108"/>
      <c r="J1277" s="174"/>
      <c r="K1277" s="4"/>
    </row>
    <row r="1278" spans="3:11" x14ac:dyDescent="0.25">
      <c r="C1278" s="108"/>
      <c r="D1278" s="217"/>
      <c r="E1278" s="217"/>
      <c r="F1278" s="104"/>
      <c r="G1278" s="108"/>
      <c r="J1278" s="174"/>
      <c r="K1278" s="4"/>
    </row>
    <row r="1279" spans="3:11" x14ac:dyDescent="0.25">
      <c r="C1279" s="108"/>
      <c r="D1279" s="217"/>
      <c r="E1279" s="217"/>
      <c r="F1279" s="104"/>
      <c r="G1279" s="108"/>
      <c r="J1279" s="174"/>
      <c r="K1279" s="4"/>
    </row>
    <row r="1280" spans="3:11" x14ac:dyDescent="0.25">
      <c r="C1280" s="108"/>
      <c r="D1280" s="217"/>
      <c r="E1280" s="217"/>
      <c r="F1280" s="104"/>
      <c r="G1280" s="108"/>
      <c r="J1280" s="174"/>
      <c r="K1280" s="4"/>
    </row>
    <row r="1281" spans="3:11" x14ac:dyDescent="0.25">
      <c r="C1281" s="108"/>
      <c r="D1281" s="217"/>
      <c r="E1281" s="217"/>
      <c r="F1281" s="104"/>
      <c r="G1281" s="108"/>
      <c r="J1281" s="174"/>
      <c r="K1281" s="4"/>
    </row>
    <row r="1282" spans="3:11" x14ac:dyDescent="0.25">
      <c r="C1282" s="108"/>
      <c r="D1282" s="217"/>
      <c r="E1282" s="217"/>
      <c r="F1282" s="104"/>
      <c r="G1282" s="108"/>
      <c r="J1282" s="174"/>
      <c r="K1282" s="4"/>
    </row>
    <row r="1283" spans="3:11" x14ac:dyDescent="0.25">
      <c r="C1283" s="108"/>
      <c r="D1283" s="217"/>
      <c r="E1283" s="217"/>
      <c r="F1283" s="104"/>
      <c r="G1283" s="108"/>
      <c r="J1283" s="174"/>
      <c r="K1283" s="4"/>
    </row>
    <row r="1284" spans="3:11" x14ac:dyDescent="0.25">
      <c r="C1284" s="108"/>
      <c r="D1284" s="217"/>
      <c r="E1284" s="217"/>
      <c r="F1284" s="104"/>
      <c r="G1284" s="108"/>
      <c r="J1284" s="174"/>
      <c r="K1284" s="4"/>
    </row>
    <row r="1285" spans="3:11" x14ac:dyDescent="0.25">
      <c r="C1285" s="108"/>
      <c r="D1285" s="217"/>
      <c r="E1285" s="217"/>
      <c r="F1285" s="104"/>
      <c r="G1285" s="108"/>
      <c r="J1285" s="174"/>
      <c r="K1285" s="4"/>
    </row>
    <row r="1286" spans="3:11" x14ac:dyDescent="0.25">
      <c r="C1286" s="108"/>
      <c r="D1286" s="217"/>
      <c r="E1286" s="217"/>
      <c r="F1286" s="104"/>
      <c r="G1286" s="108"/>
      <c r="J1286" s="174"/>
      <c r="K1286" s="4"/>
    </row>
    <row r="1287" spans="3:11" x14ac:dyDescent="0.25">
      <c r="C1287" s="108"/>
      <c r="D1287" s="217"/>
      <c r="E1287" s="217"/>
      <c r="F1287" s="104"/>
      <c r="G1287" s="108"/>
      <c r="J1287" s="174"/>
      <c r="K1287" s="4"/>
    </row>
    <row r="1288" spans="3:11" x14ac:dyDescent="0.25">
      <c r="C1288" s="108"/>
      <c r="D1288" s="217"/>
      <c r="E1288" s="217"/>
      <c r="F1288" s="104"/>
      <c r="G1288" s="108"/>
      <c r="J1288" s="174"/>
      <c r="K1288" s="4"/>
    </row>
    <row r="1289" spans="3:11" x14ac:dyDescent="0.25">
      <c r="C1289" s="108"/>
      <c r="D1289" s="217"/>
      <c r="E1289" s="217"/>
      <c r="F1289" s="104"/>
      <c r="G1289" s="108"/>
      <c r="J1289" s="174"/>
      <c r="K1289" s="4"/>
    </row>
    <row r="1290" spans="3:11" x14ac:dyDescent="0.25">
      <c r="C1290" s="108"/>
      <c r="D1290" s="217"/>
      <c r="E1290" s="217"/>
      <c r="F1290" s="104"/>
      <c r="G1290" s="108"/>
      <c r="J1290" s="174"/>
      <c r="K1290" s="4"/>
    </row>
    <row r="1291" spans="3:11" x14ac:dyDescent="0.25">
      <c r="C1291" s="108"/>
      <c r="D1291" s="217"/>
      <c r="E1291" s="217"/>
      <c r="F1291" s="104"/>
      <c r="G1291" s="108"/>
      <c r="J1291" s="174"/>
      <c r="K1291" s="4"/>
    </row>
    <row r="1292" spans="3:11" x14ac:dyDescent="0.25">
      <c r="C1292" s="108"/>
      <c r="D1292" s="217"/>
      <c r="E1292" s="217"/>
      <c r="F1292" s="104"/>
      <c r="G1292" s="108"/>
      <c r="J1292" s="174"/>
      <c r="K1292" s="4"/>
    </row>
    <row r="1293" spans="3:11" x14ac:dyDescent="0.25">
      <c r="C1293" s="108"/>
      <c r="D1293" s="217"/>
      <c r="E1293" s="217"/>
      <c r="F1293" s="104"/>
      <c r="G1293" s="108"/>
      <c r="J1293" s="174"/>
      <c r="K1293" s="4"/>
    </row>
    <row r="1294" spans="3:11" x14ac:dyDescent="0.25">
      <c r="C1294" s="108"/>
      <c r="D1294" s="217"/>
      <c r="E1294" s="217"/>
      <c r="F1294" s="104"/>
      <c r="G1294" s="108"/>
      <c r="J1294" s="174"/>
      <c r="K1294" s="4"/>
    </row>
    <row r="1295" spans="3:11" x14ac:dyDescent="0.25">
      <c r="C1295" s="108"/>
      <c r="D1295" s="217"/>
      <c r="E1295" s="217"/>
      <c r="F1295" s="104"/>
      <c r="G1295" s="108"/>
      <c r="J1295" s="174"/>
      <c r="K1295" s="4"/>
    </row>
    <row r="1296" spans="3:11" x14ac:dyDescent="0.25">
      <c r="C1296" s="108"/>
      <c r="D1296" s="217"/>
      <c r="E1296" s="217"/>
      <c r="F1296" s="104"/>
      <c r="G1296" s="108"/>
      <c r="J1296" s="174"/>
      <c r="K1296" s="4"/>
    </row>
    <row r="1297" spans="3:11" x14ac:dyDescent="0.25">
      <c r="C1297" s="108"/>
      <c r="D1297" s="217"/>
      <c r="E1297" s="217"/>
      <c r="F1297" s="104"/>
      <c r="G1297" s="108"/>
      <c r="J1297" s="174"/>
      <c r="K1297" s="4"/>
    </row>
    <row r="1298" spans="3:11" x14ac:dyDescent="0.25">
      <c r="C1298" s="108"/>
      <c r="D1298" s="217"/>
      <c r="E1298" s="217"/>
      <c r="F1298" s="104"/>
      <c r="G1298" s="108"/>
      <c r="J1298" s="174"/>
      <c r="K1298" s="4"/>
    </row>
    <row r="1299" spans="3:11" x14ac:dyDescent="0.25">
      <c r="C1299" s="108"/>
      <c r="D1299" s="217"/>
      <c r="E1299" s="217"/>
      <c r="F1299" s="104"/>
      <c r="G1299" s="108"/>
      <c r="J1299" s="174"/>
      <c r="K1299" s="4"/>
    </row>
    <row r="1300" spans="3:11" x14ac:dyDescent="0.25">
      <c r="C1300" s="108"/>
      <c r="D1300" s="217"/>
      <c r="E1300" s="217"/>
      <c r="F1300" s="104"/>
      <c r="G1300" s="108"/>
      <c r="J1300" s="174"/>
      <c r="K1300" s="4"/>
    </row>
    <row r="1301" spans="3:11" x14ac:dyDescent="0.25">
      <c r="C1301" s="108"/>
      <c r="D1301" s="217"/>
      <c r="E1301" s="217"/>
      <c r="F1301" s="104"/>
      <c r="G1301" s="108"/>
      <c r="J1301" s="174"/>
      <c r="K1301" s="4"/>
    </row>
    <row r="1302" spans="3:11" x14ac:dyDescent="0.25">
      <c r="C1302" s="108"/>
      <c r="D1302" s="217"/>
      <c r="E1302" s="217"/>
      <c r="F1302" s="104"/>
      <c r="G1302" s="108"/>
      <c r="J1302" s="174"/>
      <c r="K1302" s="4"/>
    </row>
    <row r="1303" spans="3:11" x14ac:dyDescent="0.25">
      <c r="C1303" s="108"/>
      <c r="D1303" s="217"/>
      <c r="E1303" s="217"/>
      <c r="F1303" s="104"/>
      <c r="G1303" s="108"/>
      <c r="J1303" s="174"/>
      <c r="K1303" s="4"/>
    </row>
    <row r="1304" spans="3:11" x14ac:dyDescent="0.25">
      <c r="C1304" s="108"/>
      <c r="D1304" s="217"/>
      <c r="E1304" s="217"/>
      <c r="F1304" s="104"/>
      <c r="G1304" s="108"/>
      <c r="J1304" s="174"/>
      <c r="K1304" s="4"/>
    </row>
    <row r="1305" spans="3:11" x14ac:dyDescent="0.25">
      <c r="C1305" s="108"/>
      <c r="D1305" s="217"/>
      <c r="E1305" s="217"/>
      <c r="F1305" s="104"/>
      <c r="G1305" s="108"/>
      <c r="J1305" s="174"/>
      <c r="K1305" s="4"/>
    </row>
    <row r="1306" spans="3:11" x14ac:dyDescent="0.25">
      <c r="C1306" s="108"/>
      <c r="D1306" s="217"/>
      <c r="E1306" s="217"/>
      <c r="F1306" s="104"/>
      <c r="G1306" s="108"/>
      <c r="J1306" s="174"/>
      <c r="K1306" s="4"/>
    </row>
    <row r="1307" spans="3:11" x14ac:dyDescent="0.25">
      <c r="C1307" s="108"/>
      <c r="D1307" s="217"/>
      <c r="E1307" s="217"/>
      <c r="F1307" s="104"/>
      <c r="G1307" s="108"/>
      <c r="J1307" s="174"/>
      <c r="K1307" s="4"/>
    </row>
    <row r="1308" spans="3:11" x14ac:dyDescent="0.25">
      <c r="C1308" s="108"/>
      <c r="D1308" s="217"/>
      <c r="E1308" s="217"/>
      <c r="F1308" s="104"/>
      <c r="G1308" s="108"/>
      <c r="J1308" s="174"/>
      <c r="K1308" s="4"/>
    </row>
    <row r="1309" spans="3:11" x14ac:dyDescent="0.25">
      <c r="C1309" s="108"/>
      <c r="D1309" s="217"/>
      <c r="E1309" s="217"/>
      <c r="F1309" s="104"/>
      <c r="G1309" s="108"/>
      <c r="J1309" s="174"/>
      <c r="K1309" s="4"/>
    </row>
    <row r="1310" spans="3:11" x14ac:dyDescent="0.25">
      <c r="C1310" s="108"/>
      <c r="D1310" s="217"/>
      <c r="E1310" s="217"/>
      <c r="F1310" s="104"/>
      <c r="G1310" s="108"/>
      <c r="J1310" s="174"/>
      <c r="K1310" s="4"/>
    </row>
    <row r="1311" spans="3:11" x14ac:dyDescent="0.25">
      <c r="C1311" s="108"/>
      <c r="D1311" s="217"/>
      <c r="E1311" s="217"/>
      <c r="F1311" s="104"/>
      <c r="G1311" s="108"/>
      <c r="J1311" s="174"/>
      <c r="K1311" s="4"/>
    </row>
    <row r="1312" spans="3:11" x14ac:dyDescent="0.25">
      <c r="C1312" s="108"/>
      <c r="D1312" s="217"/>
      <c r="E1312" s="217"/>
      <c r="F1312" s="104"/>
      <c r="G1312" s="108"/>
      <c r="J1312" s="174"/>
      <c r="K1312" s="4"/>
    </row>
    <row r="1313" spans="3:11" x14ac:dyDescent="0.25">
      <c r="C1313" s="108"/>
      <c r="D1313" s="217"/>
      <c r="E1313" s="217"/>
      <c r="F1313" s="104"/>
      <c r="G1313" s="108"/>
      <c r="J1313" s="174"/>
      <c r="K1313" s="4"/>
    </row>
    <row r="1314" spans="3:11" x14ac:dyDescent="0.25">
      <c r="C1314" s="108"/>
      <c r="D1314" s="217"/>
      <c r="E1314" s="217"/>
      <c r="F1314" s="104"/>
      <c r="G1314" s="108"/>
      <c r="J1314" s="174"/>
      <c r="K1314" s="4"/>
    </row>
    <row r="1315" spans="3:11" x14ac:dyDescent="0.25">
      <c r="C1315" s="108"/>
      <c r="D1315" s="217"/>
      <c r="E1315" s="217"/>
      <c r="F1315" s="104"/>
      <c r="G1315" s="108"/>
      <c r="J1315" s="174"/>
      <c r="K1315" s="4"/>
    </row>
    <row r="1316" spans="3:11" x14ac:dyDescent="0.25">
      <c r="C1316" s="108"/>
      <c r="D1316" s="217"/>
      <c r="E1316" s="217"/>
      <c r="F1316" s="104"/>
      <c r="G1316" s="108"/>
      <c r="J1316" s="174"/>
      <c r="K1316" s="4"/>
    </row>
    <row r="1317" spans="3:11" x14ac:dyDescent="0.25">
      <c r="C1317" s="108"/>
      <c r="D1317" s="217"/>
      <c r="E1317" s="217"/>
      <c r="F1317" s="104"/>
      <c r="G1317" s="108"/>
      <c r="J1317" s="174"/>
      <c r="K1317" s="4"/>
    </row>
    <row r="1318" spans="3:11" x14ac:dyDescent="0.25">
      <c r="C1318" s="108"/>
      <c r="D1318" s="217"/>
      <c r="E1318" s="217"/>
      <c r="F1318" s="104"/>
      <c r="G1318" s="108"/>
      <c r="J1318" s="174"/>
      <c r="K1318" s="4"/>
    </row>
    <row r="1319" spans="3:11" x14ac:dyDescent="0.25">
      <c r="C1319" s="108"/>
      <c r="D1319" s="217"/>
      <c r="E1319" s="217"/>
      <c r="F1319" s="104"/>
      <c r="G1319" s="108"/>
      <c r="J1319" s="174"/>
      <c r="K1319" s="4"/>
    </row>
    <row r="1320" spans="3:11" x14ac:dyDescent="0.25">
      <c r="C1320" s="108"/>
      <c r="D1320" s="217"/>
      <c r="E1320" s="217"/>
      <c r="F1320" s="104"/>
      <c r="G1320" s="108"/>
      <c r="J1320" s="174"/>
      <c r="K1320" s="4"/>
    </row>
    <row r="1321" spans="3:11" x14ac:dyDescent="0.25">
      <c r="C1321" s="108"/>
      <c r="D1321" s="217"/>
      <c r="E1321" s="217"/>
      <c r="F1321" s="104"/>
      <c r="G1321" s="108"/>
      <c r="J1321" s="174"/>
      <c r="K1321" s="4"/>
    </row>
    <row r="1322" spans="3:11" x14ac:dyDescent="0.25">
      <c r="C1322" s="108"/>
      <c r="D1322" s="217"/>
      <c r="E1322" s="217"/>
      <c r="F1322" s="104"/>
      <c r="G1322" s="108"/>
      <c r="J1322" s="174"/>
      <c r="K1322" s="4"/>
    </row>
    <row r="1323" spans="3:11" x14ac:dyDescent="0.25">
      <c r="C1323" s="108"/>
      <c r="D1323" s="217"/>
      <c r="E1323" s="217"/>
      <c r="F1323" s="104"/>
      <c r="G1323" s="108"/>
      <c r="J1323" s="174"/>
      <c r="K1323" s="4"/>
    </row>
    <row r="1324" spans="3:11" x14ac:dyDescent="0.25">
      <c r="C1324" s="108"/>
      <c r="D1324" s="217"/>
      <c r="E1324" s="217"/>
      <c r="F1324" s="104"/>
      <c r="G1324" s="108"/>
      <c r="J1324" s="174"/>
      <c r="K1324" s="4"/>
    </row>
    <row r="1325" spans="3:11" x14ac:dyDescent="0.25">
      <c r="C1325" s="108"/>
      <c r="D1325" s="217"/>
      <c r="E1325" s="217"/>
      <c r="F1325" s="104"/>
      <c r="G1325" s="108"/>
      <c r="J1325" s="174"/>
      <c r="K1325" s="4"/>
    </row>
    <row r="1326" spans="3:11" x14ac:dyDescent="0.25">
      <c r="C1326" s="108"/>
      <c r="D1326" s="217"/>
      <c r="E1326" s="217"/>
      <c r="F1326" s="104"/>
      <c r="G1326" s="108"/>
      <c r="J1326" s="174"/>
      <c r="K1326" s="4"/>
    </row>
    <row r="1327" spans="3:11" x14ac:dyDescent="0.25">
      <c r="C1327" s="108"/>
      <c r="D1327" s="217"/>
      <c r="E1327" s="217"/>
      <c r="F1327" s="104"/>
      <c r="G1327" s="108"/>
      <c r="J1327" s="174"/>
      <c r="K1327" s="4"/>
    </row>
    <row r="1328" spans="3:11" x14ac:dyDescent="0.25">
      <c r="C1328" s="108"/>
      <c r="D1328" s="217"/>
      <c r="E1328" s="217"/>
      <c r="F1328" s="104"/>
      <c r="G1328" s="108"/>
      <c r="J1328" s="174"/>
      <c r="K1328" s="4"/>
    </row>
    <row r="1329" spans="3:11" x14ac:dyDescent="0.25">
      <c r="C1329" s="108"/>
      <c r="D1329" s="217"/>
      <c r="E1329" s="217"/>
      <c r="F1329" s="104"/>
      <c r="G1329" s="108"/>
      <c r="J1329" s="174"/>
      <c r="K1329" s="4"/>
    </row>
    <row r="1330" spans="3:11" x14ac:dyDescent="0.25">
      <c r="C1330" s="108"/>
      <c r="D1330" s="217"/>
      <c r="E1330" s="217"/>
      <c r="F1330" s="104"/>
      <c r="G1330" s="108"/>
      <c r="J1330" s="174"/>
      <c r="K1330" s="4"/>
    </row>
    <row r="1331" spans="3:11" x14ac:dyDescent="0.25">
      <c r="C1331" s="108"/>
      <c r="D1331" s="217"/>
      <c r="E1331" s="217"/>
      <c r="F1331" s="104"/>
      <c r="G1331" s="108"/>
      <c r="J1331" s="174"/>
      <c r="K1331" s="4"/>
    </row>
    <row r="1332" spans="3:11" x14ac:dyDescent="0.25">
      <c r="C1332" s="108"/>
      <c r="D1332" s="217"/>
      <c r="E1332" s="217"/>
      <c r="F1332" s="104"/>
      <c r="G1332" s="108"/>
      <c r="J1332" s="174"/>
      <c r="K1332" s="4"/>
    </row>
    <row r="1333" spans="3:11" x14ac:dyDescent="0.25">
      <c r="C1333" s="108"/>
      <c r="D1333" s="217"/>
      <c r="E1333" s="217"/>
      <c r="F1333" s="104"/>
      <c r="G1333" s="108"/>
      <c r="J1333" s="174"/>
      <c r="K1333" s="4"/>
    </row>
    <row r="1334" spans="3:11" x14ac:dyDescent="0.25">
      <c r="C1334" s="108"/>
      <c r="D1334" s="217"/>
      <c r="E1334" s="217"/>
      <c r="F1334" s="104"/>
      <c r="G1334" s="108"/>
      <c r="J1334" s="174"/>
      <c r="K1334" s="4"/>
    </row>
    <row r="1335" spans="3:11" x14ac:dyDescent="0.25">
      <c r="C1335" s="108"/>
      <c r="D1335" s="217"/>
      <c r="E1335" s="217"/>
      <c r="F1335" s="104"/>
      <c r="G1335" s="108"/>
      <c r="J1335" s="174"/>
      <c r="K1335" s="4"/>
    </row>
    <row r="1336" spans="3:11" x14ac:dyDescent="0.25">
      <c r="C1336" s="108"/>
      <c r="D1336" s="217"/>
      <c r="E1336" s="217"/>
      <c r="F1336" s="104"/>
      <c r="G1336" s="108"/>
      <c r="J1336" s="174"/>
      <c r="K1336" s="4"/>
    </row>
    <row r="1337" spans="3:11" x14ac:dyDescent="0.25">
      <c r="C1337" s="108"/>
      <c r="D1337" s="217"/>
      <c r="E1337" s="217"/>
      <c r="F1337" s="104"/>
      <c r="G1337" s="108"/>
      <c r="J1337" s="174"/>
      <c r="K1337" s="4"/>
    </row>
    <row r="1338" spans="3:11" x14ac:dyDescent="0.25">
      <c r="C1338" s="108"/>
      <c r="D1338" s="217"/>
      <c r="E1338" s="217"/>
      <c r="F1338" s="104"/>
      <c r="G1338" s="108"/>
      <c r="J1338" s="174"/>
      <c r="K1338" s="4"/>
    </row>
    <row r="1339" spans="3:11" x14ac:dyDescent="0.25">
      <c r="C1339" s="108"/>
      <c r="D1339" s="217"/>
      <c r="E1339" s="217"/>
      <c r="F1339" s="104"/>
      <c r="G1339" s="108"/>
      <c r="J1339" s="174"/>
      <c r="K1339" s="4"/>
    </row>
    <row r="1340" spans="3:11" x14ac:dyDescent="0.25">
      <c r="C1340" s="108"/>
      <c r="D1340" s="217"/>
      <c r="E1340" s="217"/>
      <c r="F1340" s="104"/>
      <c r="G1340" s="108"/>
      <c r="J1340" s="174"/>
      <c r="K1340" s="4"/>
    </row>
    <row r="1341" spans="3:11" x14ac:dyDescent="0.25">
      <c r="C1341" s="108"/>
      <c r="D1341" s="217"/>
      <c r="E1341" s="217"/>
      <c r="F1341" s="104"/>
      <c r="G1341" s="108"/>
      <c r="J1341" s="174"/>
      <c r="K1341" s="4"/>
    </row>
    <row r="1342" spans="3:11" x14ac:dyDescent="0.25">
      <c r="C1342" s="108"/>
      <c r="D1342" s="217"/>
      <c r="E1342" s="217"/>
      <c r="F1342" s="104"/>
      <c r="G1342" s="108"/>
      <c r="J1342" s="174"/>
      <c r="K1342" s="4"/>
    </row>
    <row r="1343" spans="3:11" x14ac:dyDescent="0.25">
      <c r="C1343" s="108"/>
      <c r="D1343" s="217"/>
      <c r="E1343" s="217"/>
      <c r="F1343" s="104"/>
      <c r="G1343" s="108"/>
      <c r="J1343" s="174"/>
      <c r="K1343" s="4"/>
    </row>
    <row r="1344" spans="3:11" x14ac:dyDescent="0.25">
      <c r="C1344" s="108"/>
      <c r="D1344" s="217"/>
      <c r="E1344" s="217"/>
      <c r="F1344" s="104"/>
      <c r="G1344" s="108"/>
      <c r="J1344" s="174"/>
      <c r="K1344" s="4"/>
    </row>
    <row r="1345" spans="3:11" x14ac:dyDescent="0.25">
      <c r="C1345" s="108"/>
      <c r="D1345" s="217"/>
      <c r="E1345" s="217"/>
      <c r="F1345" s="104"/>
      <c r="G1345" s="108"/>
      <c r="J1345" s="174"/>
      <c r="K1345" s="4"/>
    </row>
    <row r="1346" spans="3:11" x14ac:dyDescent="0.25">
      <c r="C1346" s="108"/>
      <c r="D1346" s="217"/>
      <c r="E1346" s="217"/>
      <c r="F1346" s="104"/>
      <c r="G1346" s="108"/>
      <c r="J1346" s="174"/>
      <c r="K1346" s="4"/>
    </row>
    <row r="1347" spans="3:11" x14ac:dyDescent="0.25">
      <c r="C1347" s="108"/>
      <c r="D1347" s="217"/>
      <c r="E1347" s="217"/>
      <c r="F1347" s="104"/>
      <c r="G1347" s="108"/>
      <c r="J1347" s="174"/>
      <c r="K1347" s="4"/>
    </row>
    <row r="1348" spans="3:11" x14ac:dyDescent="0.25">
      <c r="C1348" s="108"/>
      <c r="D1348" s="217"/>
      <c r="E1348" s="217"/>
      <c r="F1348" s="104"/>
      <c r="G1348" s="108"/>
      <c r="J1348" s="174"/>
      <c r="K1348" s="4"/>
    </row>
    <row r="1349" spans="3:11" x14ac:dyDescent="0.25">
      <c r="C1349" s="108"/>
      <c r="D1349" s="217"/>
      <c r="E1349" s="217"/>
      <c r="F1349" s="104"/>
      <c r="G1349" s="108"/>
      <c r="J1349" s="174"/>
      <c r="K1349" s="4"/>
    </row>
    <row r="1350" spans="3:11" x14ac:dyDescent="0.25">
      <c r="C1350" s="108"/>
      <c r="D1350" s="217"/>
      <c r="E1350" s="217"/>
      <c r="F1350" s="104"/>
      <c r="G1350" s="108"/>
      <c r="J1350" s="174"/>
      <c r="K1350" s="4"/>
    </row>
    <row r="1351" spans="3:11" x14ac:dyDescent="0.25">
      <c r="C1351" s="108"/>
      <c r="D1351" s="217"/>
      <c r="E1351" s="217"/>
      <c r="F1351" s="104"/>
      <c r="G1351" s="108"/>
      <c r="J1351" s="174"/>
      <c r="K1351" s="4"/>
    </row>
    <row r="1352" spans="3:11" x14ac:dyDescent="0.25">
      <c r="C1352" s="108"/>
      <c r="D1352" s="217"/>
      <c r="E1352" s="217"/>
      <c r="F1352" s="104"/>
      <c r="G1352" s="108"/>
      <c r="J1352" s="174"/>
      <c r="K1352" s="4"/>
    </row>
    <row r="1353" spans="3:11" x14ac:dyDescent="0.25">
      <c r="C1353" s="108"/>
      <c r="D1353" s="217"/>
      <c r="E1353" s="217"/>
      <c r="F1353" s="104"/>
      <c r="G1353" s="108"/>
      <c r="J1353" s="174"/>
      <c r="K1353" s="4"/>
    </row>
    <row r="1354" spans="3:11" x14ac:dyDescent="0.25">
      <c r="C1354" s="108"/>
      <c r="D1354" s="217"/>
      <c r="E1354" s="217"/>
      <c r="F1354" s="104"/>
      <c r="G1354" s="108"/>
      <c r="J1354" s="174"/>
      <c r="K1354" s="4"/>
    </row>
    <row r="1355" spans="3:11" x14ac:dyDescent="0.25">
      <c r="C1355" s="108"/>
      <c r="D1355" s="217"/>
      <c r="E1355" s="217"/>
      <c r="F1355" s="104"/>
      <c r="G1355" s="108"/>
      <c r="J1355" s="174"/>
      <c r="K1355" s="4"/>
    </row>
    <row r="1356" spans="3:11" x14ac:dyDescent="0.25">
      <c r="C1356" s="108"/>
      <c r="D1356" s="217"/>
      <c r="E1356" s="217"/>
      <c r="F1356" s="104"/>
      <c r="G1356" s="108"/>
      <c r="J1356" s="174"/>
      <c r="K1356" s="4"/>
    </row>
    <row r="1357" spans="3:11" x14ac:dyDescent="0.25">
      <c r="C1357" s="108"/>
      <c r="D1357" s="217"/>
      <c r="E1357" s="217"/>
      <c r="F1357" s="104"/>
      <c r="G1357" s="108"/>
      <c r="J1357" s="174"/>
      <c r="K1357" s="4"/>
    </row>
    <row r="1358" spans="3:11" x14ac:dyDescent="0.25">
      <c r="C1358" s="108"/>
      <c r="D1358" s="217"/>
      <c r="E1358" s="217"/>
      <c r="F1358" s="104"/>
      <c r="G1358" s="108"/>
      <c r="J1358" s="174"/>
      <c r="K1358" s="4"/>
    </row>
    <row r="1359" spans="3:11" x14ac:dyDescent="0.25">
      <c r="C1359" s="108"/>
      <c r="D1359" s="217"/>
      <c r="E1359" s="217"/>
      <c r="F1359" s="104"/>
      <c r="G1359" s="108"/>
      <c r="J1359" s="174"/>
      <c r="K1359" s="4"/>
    </row>
    <row r="1360" spans="3:11" x14ac:dyDescent="0.25">
      <c r="C1360" s="108"/>
      <c r="D1360" s="217"/>
      <c r="E1360" s="217"/>
      <c r="F1360" s="104"/>
      <c r="G1360" s="108"/>
      <c r="J1360" s="174"/>
      <c r="K1360" s="4"/>
    </row>
    <row r="1361" spans="3:11" x14ac:dyDescent="0.25">
      <c r="C1361" s="108"/>
      <c r="D1361" s="217"/>
      <c r="E1361" s="217"/>
      <c r="F1361" s="104"/>
      <c r="G1361" s="108"/>
      <c r="J1361" s="174"/>
      <c r="K1361" s="4"/>
    </row>
    <row r="1362" spans="3:11" x14ac:dyDescent="0.25">
      <c r="C1362" s="108"/>
      <c r="D1362" s="217"/>
      <c r="E1362" s="217"/>
      <c r="F1362" s="104"/>
      <c r="G1362" s="108"/>
      <c r="J1362" s="174"/>
      <c r="K1362" s="4"/>
    </row>
    <row r="1363" spans="3:11" x14ac:dyDescent="0.25">
      <c r="C1363" s="108"/>
      <c r="D1363" s="217"/>
      <c r="E1363" s="217"/>
      <c r="F1363" s="104"/>
      <c r="G1363" s="108"/>
      <c r="J1363" s="174"/>
      <c r="K1363" s="4"/>
    </row>
    <row r="1364" spans="3:11" x14ac:dyDescent="0.25">
      <c r="C1364" s="108"/>
      <c r="D1364" s="217"/>
      <c r="E1364" s="217"/>
      <c r="F1364" s="104"/>
      <c r="G1364" s="108"/>
      <c r="J1364" s="174"/>
      <c r="K1364" s="4"/>
    </row>
    <row r="1365" spans="3:11" x14ac:dyDescent="0.25">
      <c r="C1365" s="108"/>
      <c r="D1365" s="217"/>
      <c r="E1365" s="217"/>
      <c r="F1365" s="104"/>
      <c r="G1365" s="108"/>
      <c r="J1365" s="174"/>
      <c r="K1365" s="4"/>
    </row>
    <row r="1366" spans="3:11" x14ac:dyDescent="0.25">
      <c r="C1366" s="108"/>
      <c r="D1366" s="217"/>
      <c r="E1366" s="217"/>
      <c r="F1366" s="104"/>
      <c r="G1366" s="108"/>
      <c r="J1366" s="174"/>
      <c r="K1366" s="4"/>
    </row>
    <row r="1367" spans="3:11" x14ac:dyDescent="0.25">
      <c r="C1367" s="108"/>
      <c r="D1367" s="217"/>
      <c r="E1367" s="217"/>
      <c r="F1367" s="104"/>
      <c r="G1367" s="108"/>
      <c r="J1367" s="174"/>
      <c r="K1367" s="4"/>
    </row>
    <row r="1368" spans="3:11" x14ac:dyDescent="0.25">
      <c r="C1368" s="108"/>
      <c r="D1368" s="217"/>
      <c r="E1368" s="217"/>
      <c r="F1368" s="104"/>
      <c r="G1368" s="108"/>
      <c r="J1368" s="174"/>
      <c r="K1368" s="4"/>
    </row>
    <row r="1369" spans="3:11" x14ac:dyDescent="0.25">
      <c r="C1369" s="108"/>
      <c r="D1369" s="217"/>
      <c r="E1369" s="217"/>
      <c r="F1369" s="104"/>
      <c r="G1369" s="108"/>
      <c r="J1369" s="174"/>
      <c r="K1369" s="4"/>
    </row>
    <row r="1370" spans="3:11" x14ac:dyDescent="0.25">
      <c r="C1370" s="108"/>
      <c r="D1370" s="217"/>
      <c r="E1370" s="217"/>
      <c r="F1370" s="104"/>
      <c r="G1370" s="108"/>
      <c r="J1370" s="174"/>
      <c r="K1370" s="4"/>
    </row>
    <row r="1371" spans="3:11" x14ac:dyDescent="0.25">
      <c r="C1371" s="108"/>
      <c r="D1371" s="217"/>
      <c r="E1371" s="217"/>
      <c r="F1371" s="104"/>
      <c r="G1371" s="108"/>
      <c r="J1371" s="174"/>
      <c r="K1371" s="4"/>
    </row>
    <row r="1372" spans="3:11" x14ac:dyDescent="0.25">
      <c r="C1372" s="108"/>
      <c r="D1372" s="217"/>
      <c r="E1372" s="217"/>
      <c r="F1372" s="104"/>
      <c r="G1372" s="108"/>
      <c r="J1372" s="174"/>
      <c r="K1372" s="4"/>
    </row>
    <row r="1373" spans="3:11" x14ac:dyDescent="0.25">
      <c r="C1373" s="108"/>
      <c r="D1373" s="217"/>
      <c r="E1373" s="217"/>
      <c r="F1373" s="104"/>
      <c r="G1373" s="108"/>
      <c r="J1373" s="174"/>
      <c r="K1373" s="4"/>
    </row>
    <row r="1374" spans="3:11" x14ac:dyDescent="0.25">
      <c r="C1374" s="108"/>
      <c r="D1374" s="217"/>
      <c r="E1374" s="217"/>
      <c r="F1374" s="104"/>
      <c r="G1374" s="108"/>
      <c r="J1374" s="174"/>
      <c r="K1374" s="4"/>
    </row>
    <row r="1375" spans="3:11" x14ac:dyDescent="0.25">
      <c r="C1375" s="108"/>
      <c r="D1375" s="217"/>
      <c r="E1375" s="217"/>
      <c r="F1375" s="104"/>
      <c r="G1375" s="108"/>
      <c r="J1375" s="174"/>
      <c r="K1375" s="4"/>
    </row>
    <row r="1376" spans="3:11" x14ac:dyDescent="0.25">
      <c r="C1376" s="108"/>
      <c r="D1376" s="217"/>
      <c r="E1376" s="217"/>
      <c r="F1376" s="104"/>
      <c r="G1376" s="108"/>
      <c r="J1376" s="174"/>
      <c r="K1376" s="4"/>
    </row>
    <row r="1377" spans="3:11" x14ac:dyDescent="0.25">
      <c r="C1377" s="108"/>
      <c r="D1377" s="217"/>
      <c r="E1377" s="217"/>
      <c r="F1377" s="104"/>
      <c r="G1377" s="108"/>
      <c r="J1377" s="174"/>
      <c r="K1377" s="4"/>
    </row>
    <row r="1378" spans="3:11" x14ac:dyDescent="0.25">
      <c r="C1378" s="108"/>
      <c r="D1378" s="217"/>
      <c r="E1378" s="217"/>
      <c r="F1378" s="104"/>
      <c r="G1378" s="108"/>
      <c r="J1378" s="174"/>
      <c r="K1378" s="4"/>
    </row>
    <row r="1379" spans="3:11" x14ac:dyDescent="0.25">
      <c r="C1379" s="108"/>
      <c r="D1379" s="217"/>
      <c r="E1379" s="217"/>
      <c r="F1379" s="104"/>
      <c r="G1379" s="108"/>
      <c r="J1379" s="174"/>
      <c r="K1379" s="4"/>
    </row>
    <row r="1380" spans="3:11" x14ac:dyDescent="0.25">
      <c r="C1380" s="108"/>
      <c r="D1380" s="217"/>
      <c r="E1380" s="217"/>
      <c r="F1380" s="104"/>
      <c r="G1380" s="108"/>
      <c r="J1380" s="174"/>
      <c r="K1380" s="4"/>
    </row>
    <row r="1381" spans="3:11" x14ac:dyDescent="0.25">
      <c r="C1381" s="108"/>
      <c r="D1381" s="217"/>
      <c r="E1381" s="217"/>
      <c r="F1381" s="104"/>
      <c r="G1381" s="108"/>
      <c r="J1381" s="174"/>
      <c r="K1381" s="4"/>
    </row>
    <row r="1382" spans="3:11" x14ac:dyDescent="0.25">
      <c r="C1382" s="108"/>
      <c r="D1382" s="217"/>
      <c r="E1382" s="217"/>
      <c r="F1382" s="104"/>
      <c r="G1382" s="108"/>
      <c r="J1382" s="174"/>
      <c r="K1382" s="4"/>
    </row>
    <row r="1383" spans="3:11" x14ac:dyDescent="0.25">
      <c r="C1383" s="108"/>
      <c r="D1383" s="217"/>
      <c r="E1383" s="217"/>
      <c r="F1383" s="104"/>
      <c r="G1383" s="108"/>
      <c r="J1383" s="174"/>
      <c r="K1383" s="4"/>
    </row>
    <row r="1384" spans="3:11" x14ac:dyDescent="0.25">
      <c r="C1384" s="108"/>
      <c r="D1384" s="217"/>
      <c r="E1384" s="217"/>
      <c r="F1384" s="104"/>
      <c r="G1384" s="108"/>
      <c r="J1384" s="174"/>
      <c r="K1384" s="4"/>
    </row>
    <row r="1385" spans="3:11" x14ac:dyDescent="0.25">
      <c r="C1385" s="108"/>
      <c r="D1385" s="217"/>
      <c r="E1385" s="217"/>
      <c r="F1385" s="104"/>
      <c r="G1385" s="108"/>
      <c r="J1385" s="174"/>
      <c r="K1385" s="4"/>
    </row>
    <row r="1386" spans="3:11" x14ac:dyDescent="0.25">
      <c r="C1386" s="108"/>
      <c r="D1386" s="217"/>
      <c r="E1386" s="217"/>
      <c r="F1386" s="104"/>
      <c r="G1386" s="108"/>
      <c r="J1386" s="174"/>
      <c r="K1386" s="4"/>
    </row>
    <row r="1387" spans="3:11" x14ac:dyDescent="0.25">
      <c r="C1387" s="108"/>
      <c r="D1387" s="217"/>
      <c r="E1387" s="217"/>
      <c r="F1387" s="104"/>
      <c r="G1387" s="108"/>
      <c r="J1387" s="174"/>
      <c r="K1387" s="4"/>
    </row>
    <row r="1388" spans="3:11" x14ac:dyDescent="0.25">
      <c r="C1388" s="108"/>
      <c r="D1388" s="217"/>
      <c r="E1388" s="217"/>
      <c r="F1388" s="104"/>
      <c r="G1388" s="108"/>
      <c r="J1388" s="174"/>
      <c r="K1388" s="4"/>
    </row>
    <row r="1389" spans="3:11" x14ac:dyDescent="0.25">
      <c r="C1389" s="108"/>
      <c r="D1389" s="217"/>
      <c r="E1389" s="217"/>
      <c r="F1389" s="104"/>
      <c r="G1389" s="108"/>
      <c r="J1389" s="174"/>
      <c r="K1389" s="4"/>
    </row>
    <row r="1390" spans="3:11" x14ac:dyDescent="0.25">
      <c r="C1390" s="108"/>
      <c r="D1390" s="217"/>
      <c r="E1390" s="217"/>
      <c r="F1390" s="104"/>
      <c r="G1390" s="108"/>
      <c r="J1390" s="174"/>
      <c r="K1390" s="4"/>
    </row>
    <row r="1391" spans="3:11" x14ac:dyDescent="0.25">
      <c r="C1391" s="108"/>
      <c r="D1391" s="217"/>
      <c r="E1391" s="217"/>
      <c r="F1391" s="104"/>
      <c r="G1391" s="108"/>
      <c r="J1391" s="174"/>
      <c r="K1391" s="4"/>
    </row>
    <row r="1392" spans="3:11" x14ac:dyDescent="0.25">
      <c r="C1392" s="108"/>
      <c r="D1392" s="217"/>
      <c r="E1392" s="217"/>
      <c r="F1392" s="104"/>
      <c r="G1392" s="108"/>
      <c r="J1392" s="174"/>
      <c r="K1392" s="4"/>
    </row>
    <row r="1393" spans="3:11" x14ac:dyDescent="0.25">
      <c r="C1393" s="108"/>
      <c r="D1393" s="217"/>
      <c r="E1393" s="217"/>
      <c r="F1393" s="104"/>
      <c r="G1393" s="108"/>
      <c r="J1393" s="174"/>
      <c r="K1393" s="4"/>
    </row>
    <row r="1394" spans="3:11" x14ac:dyDescent="0.25">
      <c r="C1394" s="108"/>
      <c r="D1394" s="217"/>
      <c r="E1394" s="217"/>
      <c r="F1394" s="104"/>
      <c r="G1394" s="108"/>
      <c r="J1394" s="174"/>
      <c r="K1394" s="4"/>
    </row>
    <row r="1395" spans="3:11" x14ac:dyDescent="0.25">
      <c r="C1395" s="108"/>
      <c r="D1395" s="217"/>
      <c r="E1395" s="217"/>
      <c r="F1395" s="104"/>
      <c r="G1395" s="108"/>
      <c r="J1395" s="174"/>
      <c r="K1395" s="4"/>
    </row>
    <row r="1396" spans="3:11" x14ac:dyDescent="0.25">
      <c r="C1396" s="108"/>
      <c r="D1396" s="217"/>
      <c r="E1396" s="217"/>
      <c r="F1396" s="104"/>
      <c r="G1396" s="108"/>
      <c r="J1396" s="174"/>
      <c r="K1396" s="4"/>
    </row>
    <row r="1397" spans="3:11" x14ac:dyDescent="0.25">
      <c r="C1397" s="108"/>
      <c r="D1397" s="217"/>
      <c r="E1397" s="217"/>
      <c r="F1397" s="104"/>
      <c r="G1397" s="108"/>
      <c r="J1397" s="174"/>
      <c r="K1397" s="4"/>
    </row>
    <row r="1398" spans="3:11" x14ac:dyDescent="0.25">
      <c r="C1398" s="108"/>
      <c r="D1398" s="217"/>
      <c r="E1398" s="217"/>
      <c r="F1398" s="104"/>
      <c r="G1398" s="108"/>
      <c r="J1398" s="174"/>
      <c r="K1398" s="4"/>
    </row>
    <row r="1399" spans="3:11" x14ac:dyDescent="0.25">
      <c r="C1399" s="108"/>
      <c r="D1399" s="217"/>
      <c r="E1399" s="217"/>
      <c r="F1399" s="104"/>
      <c r="G1399" s="108"/>
      <c r="J1399" s="174"/>
      <c r="K1399" s="4"/>
    </row>
    <row r="1400" spans="3:11" x14ac:dyDescent="0.25">
      <c r="C1400" s="108"/>
      <c r="D1400" s="217"/>
      <c r="E1400" s="217"/>
      <c r="F1400" s="104"/>
      <c r="G1400" s="108"/>
      <c r="J1400" s="174"/>
      <c r="K1400" s="4"/>
    </row>
    <row r="1401" spans="3:11" x14ac:dyDescent="0.25">
      <c r="C1401" s="108"/>
      <c r="D1401" s="217"/>
      <c r="E1401" s="217"/>
      <c r="F1401" s="104"/>
      <c r="G1401" s="108"/>
      <c r="J1401" s="174"/>
      <c r="K1401" s="4"/>
    </row>
    <row r="1402" spans="3:11" x14ac:dyDescent="0.25">
      <c r="C1402" s="108"/>
      <c r="D1402" s="217"/>
      <c r="E1402" s="217"/>
      <c r="F1402" s="104"/>
      <c r="G1402" s="108"/>
      <c r="J1402" s="174"/>
      <c r="K1402" s="4"/>
    </row>
    <row r="1403" spans="3:11" x14ac:dyDescent="0.25">
      <c r="C1403" s="108"/>
      <c r="D1403" s="217"/>
      <c r="E1403" s="217"/>
      <c r="F1403" s="104"/>
      <c r="G1403" s="108"/>
      <c r="J1403" s="174"/>
      <c r="K1403" s="4"/>
    </row>
    <row r="1404" spans="3:11" x14ac:dyDescent="0.25">
      <c r="C1404" s="108"/>
      <c r="D1404" s="217"/>
      <c r="E1404" s="217"/>
      <c r="F1404" s="104"/>
      <c r="G1404" s="108"/>
      <c r="J1404" s="174"/>
      <c r="K1404" s="4"/>
    </row>
    <row r="1405" spans="3:11" x14ac:dyDescent="0.25">
      <c r="C1405" s="108"/>
      <c r="D1405" s="217"/>
      <c r="E1405" s="217"/>
      <c r="F1405" s="104"/>
      <c r="G1405" s="108"/>
      <c r="J1405" s="174"/>
      <c r="K1405" s="4"/>
    </row>
    <row r="1406" spans="3:11" x14ac:dyDescent="0.25">
      <c r="C1406" s="108"/>
      <c r="D1406" s="217"/>
      <c r="E1406" s="217"/>
      <c r="F1406" s="104"/>
      <c r="G1406" s="108"/>
      <c r="J1406" s="174"/>
      <c r="K1406" s="4"/>
    </row>
    <row r="1407" spans="3:11" x14ac:dyDescent="0.25">
      <c r="C1407" s="108"/>
      <c r="D1407" s="217"/>
      <c r="E1407" s="217"/>
      <c r="F1407" s="104"/>
      <c r="G1407" s="108"/>
      <c r="J1407" s="174"/>
      <c r="K1407" s="4"/>
    </row>
    <row r="1408" spans="3:11" x14ac:dyDescent="0.25">
      <c r="C1408" s="108"/>
      <c r="D1408" s="217"/>
      <c r="E1408" s="217"/>
      <c r="F1408" s="104"/>
      <c r="G1408" s="108"/>
      <c r="J1408" s="174"/>
      <c r="K1408" s="4"/>
    </row>
    <row r="1409" spans="3:11" x14ac:dyDescent="0.25">
      <c r="C1409" s="108"/>
      <c r="D1409" s="217"/>
      <c r="E1409" s="217"/>
      <c r="F1409" s="104"/>
      <c r="G1409" s="108"/>
      <c r="J1409" s="174"/>
      <c r="K1409" s="4"/>
    </row>
    <row r="1410" spans="3:11" x14ac:dyDescent="0.25">
      <c r="C1410" s="108"/>
      <c r="D1410" s="217"/>
      <c r="E1410" s="217"/>
      <c r="F1410" s="104"/>
      <c r="G1410" s="108"/>
      <c r="J1410" s="174"/>
      <c r="K1410" s="4"/>
    </row>
    <row r="1411" spans="3:11" x14ac:dyDescent="0.25">
      <c r="C1411" s="108"/>
      <c r="D1411" s="217"/>
      <c r="E1411" s="217"/>
      <c r="F1411" s="104"/>
      <c r="G1411" s="108"/>
      <c r="J1411" s="174"/>
      <c r="K1411" s="4"/>
    </row>
    <row r="1412" spans="3:11" x14ac:dyDescent="0.25">
      <c r="C1412" s="108"/>
      <c r="D1412" s="217"/>
      <c r="E1412" s="217"/>
      <c r="F1412" s="104"/>
      <c r="G1412" s="108"/>
      <c r="J1412" s="174"/>
      <c r="K1412" s="4"/>
    </row>
    <row r="1413" spans="3:11" x14ac:dyDescent="0.25">
      <c r="C1413" s="108"/>
      <c r="D1413" s="217"/>
      <c r="E1413" s="217"/>
      <c r="F1413" s="104"/>
      <c r="G1413" s="108"/>
      <c r="J1413" s="174"/>
      <c r="K1413" s="4"/>
    </row>
    <row r="1414" spans="3:11" x14ac:dyDescent="0.25">
      <c r="C1414" s="108"/>
      <c r="D1414" s="217"/>
      <c r="E1414" s="217"/>
      <c r="F1414" s="104"/>
      <c r="G1414" s="108"/>
      <c r="J1414" s="174"/>
      <c r="K1414" s="4"/>
    </row>
    <row r="1415" spans="3:11" x14ac:dyDescent="0.25">
      <c r="C1415" s="108"/>
      <c r="D1415" s="217"/>
      <c r="E1415" s="217"/>
      <c r="F1415" s="104"/>
      <c r="G1415" s="108"/>
      <c r="J1415" s="174"/>
      <c r="K1415" s="4"/>
    </row>
    <row r="1416" spans="3:11" x14ac:dyDescent="0.25">
      <c r="C1416" s="108"/>
      <c r="D1416" s="217"/>
      <c r="E1416" s="217"/>
      <c r="F1416" s="104"/>
      <c r="G1416" s="108"/>
      <c r="J1416" s="174"/>
      <c r="K1416" s="4"/>
    </row>
    <row r="1417" spans="3:11" x14ac:dyDescent="0.25">
      <c r="C1417" s="108"/>
      <c r="D1417" s="217"/>
      <c r="E1417" s="217"/>
      <c r="F1417" s="104"/>
      <c r="G1417" s="108"/>
      <c r="J1417" s="174"/>
      <c r="K1417" s="4"/>
    </row>
    <row r="1418" spans="3:11" x14ac:dyDescent="0.25">
      <c r="C1418" s="108"/>
      <c r="D1418" s="217"/>
      <c r="E1418" s="217"/>
      <c r="F1418" s="104"/>
      <c r="G1418" s="108"/>
      <c r="J1418" s="174"/>
      <c r="K1418" s="4"/>
    </row>
    <row r="1419" spans="3:11" x14ac:dyDescent="0.25">
      <c r="C1419" s="108"/>
      <c r="D1419" s="217"/>
      <c r="E1419" s="217"/>
      <c r="F1419" s="104"/>
      <c r="G1419" s="108"/>
      <c r="J1419" s="174"/>
      <c r="K1419" s="4"/>
    </row>
    <row r="1420" spans="3:11" x14ac:dyDescent="0.25">
      <c r="C1420" s="108"/>
      <c r="D1420" s="217"/>
      <c r="E1420" s="217"/>
      <c r="F1420" s="104"/>
      <c r="G1420" s="108"/>
      <c r="J1420" s="174"/>
      <c r="K1420" s="4"/>
    </row>
    <row r="1421" spans="3:11" x14ac:dyDescent="0.25">
      <c r="C1421" s="108"/>
      <c r="D1421" s="217"/>
      <c r="E1421" s="217"/>
      <c r="F1421" s="104"/>
      <c r="G1421" s="108"/>
      <c r="J1421" s="174"/>
      <c r="K1421" s="4"/>
    </row>
    <row r="1422" spans="3:11" x14ac:dyDescent="0.25">
      <c r="C1422" s="108"/>
      <c r="D1422" s="217"/>
      <c r="E1422" s="217"/>
      <c r="F1422" s="104"/>
      <c r="G1422" s="108"/>
      <c r="J1422" s="174"/>
      <c r="K1422" s="4"/>
    </row>
    <row r="1423" spans="3:11" x14ac:dyDescent="0.25">
      <c r="C1423" s="108"/>
      <c r="D1423" s="217"/>
      <c r="E1423" s="217"/>
      <c r="F1423" s="104"/>
      <c r="G1423" s="108"/>
      <c r="J1423" s="174"/>
      <c r="K1423" s="4"/>
    </row>
    <row r="1424" spans="3:11" x14ac:dyDescent="0.25">
      <c r="C1424" s="108"/>
      <c r="D1424" s="217"/>
      <c r="E1424" s="217"/>
      <c r="F1424" s="104"/>
      <c r="G1424" s="108"/>
      <c r="J1424" s="174"/>
      <c r="K1424" s="4"/>
    </row>
    <row r="1425" spans="3:11" x14ac:dyDescent="0.25">
      <c r="C1425" s="108"/>
      <c r="D1425" s="217"/>
      <c r="E1425" s="217"/>
      <c r="F1425" s="104"/>
      <c r="G1425" s="108"/>
      <c r="J1425" s="174"/>
      <c r="K1425" s="4"/>
    </row>
    <row r="1426" spans="3:11" x14ac:dyDescent="0.25">
      <c r="C1426" s="108"/>
      <c r="D1426" s="217"/>
      <c r="E1426" s="217"/>
      <c r="F1426" s="104"/>
      <c r="G1426" s="108"/>
      <c r="J1426" s="174"/>
      <c r="K1426" s="4"/>
    </row>
    <row r="1427" spans="3:11" x14ac:dyDescent="0.25">
      <c r="C1427" s="108"/>
      <c r="D1427" s="217"/>
      <c r="E1427" s="217"/>
      <c r="F1427" s="104"/>
      <c r="G1427" s="108"/>
      <c r="J1427" s="174"/>
      <c r="K1427" s="4"/>
    </row>
    <row r="1428" spans="3:11" x14ac:dyDescent="0.25">
      <c r="C1428" s="108"/>
      <c r="D1428" s="217"/>
      <c r="E1428" s="217"/>
      <c r="F1428" s="104"/>
      <c r="G1428" s="108"/>
      <c r="J1428" s="174"/>
      <c r="K1428" s="4"/>
    </row>
    <row r="1429" spans="3:11" x14ac:dyDescent="0.25">
      <c r="C1429" s="108"/>
      <c r="D1429" s="217"/>
      <c r="E1429" s="217"/>
      <c r="F1429" s="104"/>
      <c r="G1429" s="108"/>
      <c r="J1429" s="174"/>
      <c r="K1429" s="4"/>
    </row>
    <row r="1430" spans="3:11" x14ac:dyDescent="0.25">
      <c r="C1430" s="108"/>
      <c r="D1430" s="217"/>
      <c r="E1430" s="217"/>
      <c r="F1430" s="104"/>
      <c r="G1430" s="108"/>
      <c r="J1430" s="174"/>
      <c r="K1430" s="4"/>
    </row>
    <row r="1431" spans="3:11" x14ac:dyDescent="0.25">
      <c r="C1431" s="108"/>
      <c r="D1431" s="217"/>
      <c r="E1431" s="217"/>
      <c r="F1431" s="104"/>
      <c r="G1431" s="108"/>
      <c r="J1431" s="174"/>
      <c r="K1431" s="4"/>
    </row>
    <row r="1432" spans="3:11" x14ac:dyDescent="0.25">
      <c r="C1432" s="108"/>
      <c r="D1432" s="217"/>
      <c r="E1432" s="217"/>
      <c r="F1432" s="104"/>
      <c r="G1432" s="108"/>
      <c r="J1432" s="174"/>
      <c r="K1432" s="4"/>
    </row>
    <row r="1433" spans="3:11" x14ac:dyDescent="0.25">
      <c r="C1433" s="108"/>
      <c r="D1433" s="217"/>
      <c r="E1433" s="217"/>
      <c r="F1433" s="104"/>
      <c r="G1433" s="108"/>
      <c r="J1433" s="174"/>
      <c r="K1433" s="4"/>
    </row>
    <row r="1434" spans="3:11" x14ac:dyDescent="0.25">
      <c r="C1434" s="108"/>
      <c r="D1434" s="217"/>
      <c r="E1434" s="217"/>
      <c r="F1434" s="104"/>
      <c r="G1434" s="108"/>
      <c r="J1434" s="174"/>
      <c r="K1434" s="4"/>
    </row>
    <row r="1435" spans="3:11" x14ac:dyDescent="0.25">
      <c r="C1435" s="108"/>
      <c r="D1435" s="217"/>
      <c r="E1435" s="217"/>
      <c r="F1435" s="104"/>
      <c r="G1435" s="108"/>
      <c r="J1435" s="174"/>
      <c r="K1435" s="4"/>
    </row>
    <row r="1436" spans="3:11" x14ac:dyDescent="0.25">
      <c r="C1436" s="108"/>
      <c r="D1436" s="217"/>
      <c r="E1436" s="217"/>
      <c r="F1436" s="104"/>
      <c r="G1436" s="108"/>
      <c r="J1436" s="174"/>
      <c r="K1436" s="4"/>
    </row>
    <row r="1437" spans="3:11" x14ac:dyDescent="0.25">
      <c r="C1437" s="108"/>
      <c r="D1437" s="217"/>
      <c r="E1437" s="217"/>
      <c r="F1437" s="104"/>
      <c r="G1437" s="108"/>
      <c r="J1437" s="174"/>
      <c r="K1437" s="4"/>
    </row>
    <row r="1438" spans="3:11" x14ac:dyDescent="0.25">
      <c r="C1438" s="108"/>
      <c r="D1438" s="217"/>
      <c r="E1438" s="217"/>
      <c r="F1438" s="104"/>
      <c r="G1438" s="108"/>
      <c r="J1438" s="174"/>
      <c r="K1438" s="4"/>
    </row>
    <row r="1439" spans="3:11" x14ac:dyDescent="0.25">
      <c r="C1439" s="108"/>
      <c r="D1439" s="217"/>
      <c r="E1439" s="217"/>
      <c r="F1439" s="104"/>
      <c r="G1439" s="108"/>
      <c r="J1439" s="174"/>
      <c r="K1439" s="4"/>
    </row>
    <row r="1440" spans="3:11" x14ac:dyDescent="0.25">
      <c r="C1440" s="108"/>
      <c r="D1440" s="217"/>
      <c r="E1440" s="217"/>
      <c r="F1440" s="104"/>
      <c r="G1440" s="108"/>
      <c r="J1440" s="174"/>
      <c r="K1440" s="4"/>
    </row>
    <row r="1441" spans="3:11" x14ac:dyDescent="0.25">
      <c r="C1441" s="108"/>
      <c r="D1441" s="217"/>
      <c r="E1441" s="217"/>
      <c r="F1441" s="104"/>
      <c r="G1441" s="108"/>
      <c r="J1441" s="174"/>
      <c r="K1441" s="4"/>
    </row>
    <row r="1442" spans="3:11" x14ac:dyDescent="0.25">
      <c r="C1442" s="108"/>
      <c r="D1442" s="217"/>
      <c r="E1442" s="217"/>
      <c r="F1442" s="104"/>
      <c r="G1442" s="108"/>
      <c r="J1442" s="174"/>
      <c r="K1442" s="4"/>
    </row>
    <row r="1443" spans="3:11" x14ac:dyDescent="0.25">
      <c r="C1443" s="108"/>
      <c r="D1443" s="217"/>
      <c r="E1443" s="217"/>
      <c r="F1443" s="104"/>
      <c r="G1443" s="108"/>
      <c r="J1443" s="174"/>
      <c r="K1443" s="4"/>
    </row>
    <row r="1444" spans="3:11" x14ac:dyDescent="0.25">
      <c r="C1444" s="108"/>
      <c r="D1444" s="217"/>
      <c r="E1444" s="217"/>
      <c r="F1444" s="104"/>
      <c r="G1444" s="108"/>
      <c r="J1444" s="174"/>
      <c r="K1444" s="4"/>
    </row>
    <row r="1445" spans="3:11" x14ac:dyDescent="0.25">
      <c r="C1445" s="108"/>
      <c r="D1445" s="217"/>
      <c r="E1445" s="217"/>
      <c r="F1445" s="104"/>
      <c r="G1445" s="108"/>
      <c r="J1445" s="174"/>
      <c r="K1445" s="4"/>
    </row>
    <row r="1446" spans="3:11" x14ac:dyDescent="0.25">
      <c r="C1446" s="108"/>
      <c r="D1446" s="217"/>
      <c r="E1446" s="217"/>
      <c r="F1446" s="104"/>
      <c r="G1446" s="108"/>
      <c r="J1446" s="174"/>
      <c r="K1446" s="4"/>
    </row>
    <row r="1447" spans="3:11" x14ac:dyDescent="0.25">
      <c r="C1447" s="108"/>
      <c r="D1447" s="217"/>
      <c r="E1447" s="217"/>
      <c r="F1447" s="104"/>
      <c r="G1447" s="108"/>
      <c r="J1447" s="174"/>
      <c r="K1447" s="4"/>
    </row>
    <row r="1448" spans="3:11" x14ac:dyDescent="0.25">
      <c r="C1448" s="108"/>
      <c r="D1448" s="217"/>
      <c r="E1448" s="217"/>
      <c r="F1448" s="104"/>
      <c r="G1448" s="108"/>
      <c r="J1448" s="174"/>
      <c r="K1448" s="4"/>
    </row>
    <row r="1449" spans="3:11" x14ac:dyDescent="0.25">
      <c r="C1449" s="108"/>
      <c r="D1449" s="217"/>
      <c r="E1449" s="217"/>
      <c r="F1449" s="104"/>
      <c r="G1449" s="108"/>
      <c r="J1449" s="174"/>
      <c r="K1449" s="4"/>
    </row>
    <row r="1450" spans="3:11" x14ac:dyDescent="0.25">
      <c r="C1450" s="108"/>
      <c r="D1450" s="217"/>
      <c r="E1450" s="217"/>
      <c r="F1450" s="104"/>
      <c r="G1450" s="108"/>
      <c r="J1450" s="174"/>
      <c r="K1450" s="4"/>
    </row>
    <row r="1451" spans="3:11" x14ac:dyDescent="0.25">
      <c r="C1451" s="108"/>
      <c r="D1451" s="217"/>
      <c r="E1451" s="217"/>
      <c r="F1451" s="104"/>
      <c r="G1451" s="108"/>
      <c r="J1451" s="174"/>
      <c r="K1451" s="4"/>
    </row>
    <row r="1452" spans="3:11" x14ac:dyDescent="0.25">
      <c r="C1452" s="108"/>
      <c r="D1452" s="217"/>
      <c r="E1452" s="217"/>
      <c r="F1452" s="104"/>
      <c r="G1452" s="108"/>
      <c r="J1452" s="174"/>
      <c r="K1452" s="4"/>
    </row>
    <row r="1453" spans="3:11" x14ac:dyDescent="0.25">
      <c r="C1453" s="108"/>
      <c r="D1453" s="217"/>
      <c r="E1453" s="217"/>
      <c r="F1453" s="104"/>
      <c r="G1453" s="108"/>
      <c r="J1453" s="174"/>
      <c r="K1453" s="4"/>
    </row>
    <row r="1454" spans="3:11" x14ac:dyDescent="0.25">
      <c r="C1454" s="108"/>
      <c r="D1454" s="217"/>
      <c r="E1454" s="217"/>
      <c r="F1454" s="104"/>
      <c r="G1454" s="108"/>
      <c r="J1454" s="174"/>
      <c r="K1454" s="4"/>
    </row>
    <row r="1455" spans="3:11" x14ac:dyDescent="0.25">
      <c r="C1455" s="108"/>
      <c r="D1455" s="217"/>
      <c r="E1455" s="217"/>
      <c r="F1455" s="104"/>
      <c r="G1455" s="108"/>
      <c r="J1455" s="174"/>
      <c r="K1455" s="4"/>
    </row>
    <row r="1456" spans="3:11" x14ac:dyDescent="0.25">
      <c r="C1456" s="108"/>
      <c r="D1456" s="217"/>
      <c r="E1456" s="217"/>
      <c r="F1456" s="104"/>
      <c r="G1456" s="108"/>
      <c r="J1456" s="174"/>
      <c r="K1456" s="4"/>
    </row>
    <row r="1457" spans="3:11" x14ac:dyDescent="0.25">
      <c r="C1457" s="108"/>
      <c r="D1457" s="217"/>
      <c r="E1457" s="217"/>
      <c r="F1457" s="104"/>
      <c r="G1457" s="108"/>
      <c r="J1457" s="174"/>
      <c r="K1457" s="4"/>
    </row>
    <row r="1458" spans="3:11" x14ac:dyDescent="0.25">
      <c r="C1458" s="108"/>
      <c r="D1458" s="217"/>
      <c r="E1458" s="217"/>
      <c r="F1458" s="104"/>
      <c r="G1458" s="108"/>
      <c r="J1458" s="174"/>
      <c r="K1458" s="4"/>
    </row>
    <row r="1459" spans="3:11" x14ac:dyDescent="0.25">
      <c r="C1459" s="108"/>
      <c r="D1459" s="217"/>
      <c r="E1459" s="217"/>
      <c r="F1459" s="104"/>
      <c r="G1459" s="108"/>
      <c r="J1459" s="174"/>
      <c r="K1459" s="4"/>
    </row>
    <row r="1460" spans="3:11" x14ac:dyDescent="0.25">
      <c r="C1460" s="108"/>
      <c r="D1460" s="217"/>
      <c r="E1460" s="217"/>
      <c r="F1460" s="104"/>
      <c r="G1460" s="108"/>
      <c r="J1460" s="174"/>
      <c r="K1460" s="4"/>
    </row>
    <row r="1461" spans="3:11" x14ac:dyDescent="0.25">
      <c r="C1461" s="108"/>
      <c r="D1461" s="217"/>
      <c r="E1461" s="217"/>
      <c r="F1461" s="104"/>
      <c r="G1461" s="108"/>
      <c r="J1461" s="174"/>
      <c r="K1461" s="4"/>
    </row>
    <row r="1462" spans="3:11" x14ac:dyDescent="0.25">
      <c r="C1462" s="108"/>
      <c r="D1462" s="217"/>
      <c r="E1462" s="217"/>
      <c r="F1462" s="104"/>
      <c r="G1462" s="108"/>
      <c r="J1462" s="174"/>
      <c r="K1462" s="4"/>
    </row>
    <row r="1463" spans="3:11" x14ac:dyDescent="0.25">
      <c r="C1463" s="108"/>
      <c r="D1463" s="217"/>
      <c r="E1463" s="217"/>
      <c r="F1463" s="104"/>
      <c r="G1463" s="108"/>
      <c r="J1463" s="174"/>
      <c r="K1463" s="4"/>
    </row>
    <row r="1464" spans="3:11" x14ac:dyDescent="0.25">
      <c r="C1464" s="108"/>
      <c r="D1464" s="217"/>
      <c r="E1464" s="217"/>
      <c r="F1464" s="104"/>
      <c r="G1464" s="108"/>
      <c r="J1464" s="174"/>
      <c r="K1464" s="4"/>
    </row>
    <row r="1465" spans="3:11" x14ac:dyDescent="0.25">
      <c r="C1465" s="108"/>
      <c r="D1465" s="217"/>
      <c r="E1465" s="217"/>
      <c r="F1465" s="104"/>
      <c r="G1465" s="108"/>
      <c r="J1465" s="174"/>
      <c r="K1465" s="4"/>
    </row>
    <row r="1466" spans="3:11" x14ac:dyDescent="0.25">
      <c r="C1466" s="108"/>
      <c r="D1466" s="217"/>
      <c r="E1466" s="217"/>
      <c r="F1466" s="104"/>
      <c r="G1466" s="108"/>
      <c r="J1466" s="174"/>
      <c r="K1466" s="4"/>
    </row>
    <row r="1467" spans="3:11" x14ac:dyDescent="0.25">
      <c r="C1467" s="108"/>
      <c r="D1467" s="217"/>
      <c r="E1467" s="217"/>
      <c r="F1467" s="104"/>
      <c r="G1467" s="108"/>
      <c r="J1467" s="174"/>
      <c r="K1467" s="4"/>
    </row>
    <row r="1468" spans="3:11" x14ac:dyDescent="0.25">
      <c r="C1468" s="108"/>
      <c r="D1468" s="217"/>
      <c r="E1468" s="217"/>
      <c r="F1468" s="104"/>
      <c r="G1468" s="108"/>
      <c r="J1468" s="174"/>
      <c r="K1468" s="4"/>
    </row>
    <row r="1469" spans="3:11" x14ac:dyDescent="0.25">
      <c r="C1469" s="108"/>
      <c r="D1469" s="217"/>
      <c r="E1469" s="217"/>
      <c r="F1469" s="104"/>
      <c r="G1469" s="108"/>
      <c r="J1469" s="174"/>
      <c r="K1469" s="4"/>
    </row>
    <row r="1470" spans="3:11" x14ac:dyDescent="0.25">
      <c r="C1470" s="108"/>
      <c r="D1470" s="217"/>
      <c r="E1470" s="217"/>
      <c r="F1470" s="104"/>
      <c r="G1470" s="108"/>
      <c r="J1470" s="174"/>
      <c r="K1470" s="4"/>
    </row>
    <row r="1471" spans="3:11" x14ac:dyDescent="0.25">
      <c r="C1471" s="108"/>
      <c r="D1471" s="217"/>
      <c r="E1471" s="217"/>
      <c r="F1471" s="104"/>
      <c r="G1471" s="108"/>
      <c r="J1471" s="174"/>
      <c r="K1471" s="4"/>
    </row>
    <row r="1472" spans="3:11" x14ac:dyDescent="0.25">
      <c r="C1472" s="108"/>
      <c r="D1472" s="217"/>
      <c r="E1472" s="217"/>
      <c r="F1472" s="104"/>
      <c r="G1472" s="108"/>
      <c r="J1472" s="174"/>
      <c r="K1472" s="4"/>
    </row>
    <row r="1473" spans="3:11" x14ac:dyDescent="0.25">
      <c r="C1473" s="108"/>
      <c r="D1473" s="217"/>
      <c r="E1473" s="217"/>
      <c r="F1473" s="104"/>
      <c r="G1473" s="108"/>
      <c r="J1473" s="174"/>
      <c r="K1473" s="4"/>
    </row>
    <row r="1474" spans="3:11" x14ac:dyDescent="0.25">
      <c r="C1474" s="108"/>
      <c r="D1474" s="217"/>
      <c r="E1474" s="217"/>
      <c r="F1474" s="104"/>
      <c r="G1474" s="108"/>
      <c r="J1474" s="174"/>
      <c r="K1474" s="4"/>
    </row>
    <row r="1475" spans="3:11" x14ac:dyDescent="0.25">
      <c r="C1475" s="108"/>
      <c r="D1475" s="217"/>
      <c r="E1475" s="217"/>
      <c r="F1475" s="104"/>
      <c r="G1475" s="108"/>
      <c r="J1475" s="174"/>
      <c r="K1475" s="4"/>
    </row>
    <row r="1476" spans="3:11" x14ac:dyDescent="0.25">
      <c r="C1476" s="108"/>
      <c r="D1476" s="217"/>
      <c r="E1476" s="217"/>
      <c r="F1476" s="104"/>
      <c r="G1476" s="108"/>
      <c r="J1476" s="174"/>
      <c r="K1476" s="4"/>
    </row>
    <row r="1477" spans="3:11" x14ac:dyDescent="0.25">
      <c r="C1477" s="108"/>
      <c r="D1477" s="217"/>
      <c r="E1477" s="217"/>
      <c r="F1477" s="104"/>
      <c r="G1477" s="108"/>
      <c r="J1477" s="174"/>
      <c r="K1477" s="4"/>
    </row>
    <row r="1478" spans="3:11" x14ac:dyDescent="0.25">
      <c r="C1478" s="108"/>
      <c r="D1478" s="217"/>
      <c r="E1478" s="217"/>
      <c r="F1478" s="104"/>
      <c r="G1478" s="108"/>
      <c r="J1478" s="174"/>
      <c r="K1478" s="4"/>
    </row>
    <row r="1479" spans="3:11" x14ac:dyDescent="0.25">
      <c r="C1479" s="108"/>
      <c r="D1479" s="217"/>
      <c r="E1479" s="217"/>
      <c r="F1479" s="104"/>
      <c r="G1479" s="108"/>
      <c r="J1479" s="174"/>
      <c r="K1479" s="4"/>
    </row>
    <row r="1480" spans="3:11" x14ac:dyDescent="0.25">
      <c r="C1480" s="108"/>
      <c r="D1480" s="217"/>
      <c r="E1480" s="217"/>
      <c r="F1480" s="104"/>
      <c r="G1480" s="108"/>
      <c r="J1480" s="174"/>
      <c r="K1480" s="4"/>
    </row>
    <row r="1481" spans="3:11" x14ac:dyDescent="0.25">
      <c r="C1481" s="108"/>
      <c r="D1481" s="217"/>
      <c r="E1481" s="217"/>
      <c r="F1481" s="104"/>
      <c r="G1481" s="108"/>
      <c r="J1481" s="174"/>
      <c r="K1481" s="4"/>
    </row>
    <row r="1482" spans="3:11" x14ac:dyDescent="0.25">
      <c r="C1482" s="108"/>
      <c r="D1482" s="217"/>
      <c r="E1482" s="217"/>
      <c r="F1482" s="104"/>
      <c r="G1482" s="108"/>
      <c r="J1482" s="174"/>
      <c r="K1482" s="4"/>
    </row>
    <row r="1483" spans="3:11" x14ac:dyDescent="0.25">
      <c r="C1483" s="108"/>
      <c r="D1483" s="217"/>
      <c r="E1483" s="217"/>
      <c r="F1483" s="104"/>
      <c r="G1483" s="108"/>
      <c r="J1483" s="174"/>
      <c r="K1483" s="4"/>
    </row>
    <row r="1484" spans="3:11" x14ac:dyDescent="0.25">
      <c r="C1484" s="108"/>
      <c r="D1484" s="217"/>
      <c r="E1484" s="217"/>
      <c r="F1484" s="104"/>
      <c r="G1484" s="108"/>
      <c r="J1484" s="174"/>
      <c r="K1484" s="4"/>
    </row>
    <row r="1485" spans="3:11" x14ac:dyDescent="0.25">
      <c r="C1485" s="108"/>
      <c r="D1485" s="217"/>
      <c r="E1485" s="217"/>
      <c r="F1485" s="104"/>
      <c r="G1485" s="108"/>
      <c r="J1485" s="174"/>
      <c r="K1485" s="4"/>
    </row>
    <row r="1486" spans="3:11" x14ac:dyDescent="0.25">
      <c r="C1486" s="108"/>
      <c r="D1486" s="217"/>
      <c r="E1486" s="217"/>
      <c r="F1486" s="104"/>
      <c r="G1486" s="108"/>
      <c r="J1486" s="174"/>
      <c r="K1486" s="4"/>
    </row>
    <row r="1487" spans="3:11" x14ac:dyDescent="0.25">
      <c r="C1487" s="108"/>
      <c r="D1487" s="217"/>
      <c r="E1487" s="217"/>
      <c r="F1487" s="104"/>
      <c r="G1487" s="108"/>
      <c r="J1487" s="174"/>
      <c r="K1487" s="4"/>
    </row>
    <row r="1488" spans="3:11" x14ac:dyDescent="0.25">
      <c r="C1488" s="108"/>
      <c r="D1488" s="217"/>
      <c r="E1488" s="217"/>
      <c r="F1488" s="104"/>
      <c r="G1488" s="108"/>
      <c r="J1488" s="174"/>
      <c r="K1488" s="4"/>
    </row>
    <row r="1489" spans="3:11" x14ac:dyDescent="0.25">
      <c r="C1489" s="108"/>
      <c r="D1489" s="217"/>
      <c r="E1489" s="217"/>
      <c r="F1489" s="104"/>
      <c r="G1489" s="108"/>
      <c r="J1489" s="174"/>
      <c r="K1489" s="4"/>
    </row>
    <row r="1490" spans="3:11" x14ac:dyDescent="0.25">
      <c r="C1490" s="108"/>
      <c r="D1490" s="217"/>
      <c r="E1490" s="217"/>
      <c r="F1490" s="104"/>
      <c r="G1490" s="108"/>
      <c r="J1490" s="174"/>
      <c r="K1490" s="4"/>
    </row>
    <row r="1491" spans="3:11" x14ac:dyDescent="0.25">
      <c r="C1491" s="108"/>
      <c r="D1491" s="217"/>
      <c r="E1491" s="217"/>
      <c r="F1491" s="104"/>
      <c r="G1491" s="108"/>
      <c r="J1491" s="174"/>
      <c r="K1491" s="4"/>
    </row>
    <row r="1492" spans="3:11" x14ac:dyDescent="0.25">
      <c r="C1492" s="108"/>
      <c r="D1492" s="217"/>
      <c r="E1492" s="217"/>
      <c r="F1492" s="104"/>
      <c r="G1492" s="108"/>
      <c r="J1492" s="174"/>
      <c r="K1492" s="4"/>
    </row>
    <row r="1493" spans="3:11" x14ac:dyDescent="0.25">
      <c r="C1493" s="108"/>
      <c r="D1493" s="217"/>
      <c r="E1493" s="217"/>
      <c r="F1493" s="104"/>
      <c r="G1493" s="108"/>
      <c r="J1493" s="174"/>
      <c r="K1493" s="4"/>
    </row>
    <row r="1494" spans="3:11" x14ac:dyDescent="0.25">
      <c r="C1494" s="108"/>
      <c r="D1494" s="217"/>
      <c r="E1494" s="217"/>
      <c r="F1494" s="104"/>
      <c r="G1494" s="108"/>
      <c r="J1494" s="174"/>
      <c r="K1494" s="4"/>
    </row>
    <row r="1495" spans="3:11" x14ac:dyDescent="0.25">
      <c r="C1495" s="108"/>
      <c r="D1495" s="217"/>
      <c r="E1495" s="217"/>
      <c r="F1495" s="104"/>
      <c r="G1495" s="108"/>
      <c r="J1495" s="174"/>
      <c r="K1495" s="4"/>
    </row>
    <row r="1496" spans="3:11" x14ac:dyDescent="0.25">
      <c r="C1496" s="108"/>
      <c r="D1496" s="217"/>
      <c r="E1496" s="217"/>
      <c r="F1496" s="104"/>
      <c r="G1496" s="108"/>
      <c r="J1496" s="174"/>
      <c r="K1496" s="4"/>
    </row>
    <row r="1497" spans="3:11" x14ac:dyDescent="0.25">
      <c r="C1497" s="108"/>
      <c r="D1497" s="217"/>
      <c r="E1497" s="217"/>
      <c r="F1497" s="104"/>
      <c r="G1497" s="108"/>
      <c r="J1497" s="174"/>
      <c r="K1497" s="4"/>
    </row>
    <row r="1498" spans="3:11" x14ac:dyDescent="0.25">
      <c r="C1498" s="108"/>
      <c r="D1498" s="217"/>
      <c r="E1498" s="217"/>
      <c r="F1498" s="104"/>
      <c r="G1498" s="108"/>
      <c r="J1498" s="174"/>
      <c r="K1498" s="4"/>
    </row>
    <row r="1499" spans="3:11" x14ac:dyDescent="0.25">
      <c r="C1499" s="108"/>
      <c r="D1499" s="217"/>
      <c r="E1499" s="217"/>
      <c r="F1499" s="104"/>
      <c r="G1499" s="108"/>
      <c r="J1499" s="174"/>
      <c r="K1499" s="4"/>
    </row>
    <row r="1500" spans="3:11" x14ac:dyDescent="0.25">
      <c r="C1500" s="108"/>
      <c r="D1500" s="217"/>
      <c r="E1500" s="217"/>
      <c r="F1500" s="104"/>
      <c r="G1500" s="108"/>
      <c r="J1500" s="174"/>
      <c r="K1500" s="4"/>
    </row>
    <row r="1501" spans="3:11" x14ac:dyDescent="0.25">
      <c r="C1501" s="108"/>
      <c r="D1501" s="217"/>
      <c r="E1501" s="217"/>
      <c r="F1501" s="104"/>
      <c r="G1501" s="108"/>
      <c r="J1501" s="174"/>
      <c r="K1501" s="4"/>
    </row>
    <row r="1502" spans="3:11" x14ac:dyDescent="0.25">
      <c r="C1502" s="108"/>
      <c r="D1502" s="217"/>
      <c r="E1502" s="217"/>
      <c r="F1502" s="104"/>
      <c r="G1502" s="108"/>
      <c r="J1502" s="174"/>
      <c r="K1502" s="4"/>
    </row>
    <row r="1503" spans="3:11" x14ac:dyDescent="0.25">
      <c r="C1503" s="108"/>
      <c r="D1503" s="217"/>
      <c r="E1503" s="217"/>
      <c r="F1503" s="104"/>
      <c r="G1503" s="108"/>
      <c r="J1503" s="174"/>
      <c r="K1503" s="4"/>
    </row>
    <row r="1504" spans="3:11" x14ac:dyDescent="0.25">
      <c r="C1504" s="108"/>
      <c r="D1504" s="217"/>
      <c r="E1504" s="217"/>
      <c r="F1504" s="104"/>
      <c r="G1504" s="108"/>
      <c r="J1504" s="174"/>
      <c r="K1504" s="4"/>
    </row>
    <row r="1505" spans="3:11" x14ac:dyDescent="0.25">
      <c r="C1505" s="108"/>
      <c r="D1505" s="217"/>
      <c r="E1505" s="217"/>
      <c r="F1505" s="104"/>
      <c r="G1505" s="108"/>
      <c r="J1505" s="174"/>
      <c r="K1505" s="4"/>
    </row>
    <row r="1506" spans="3:11" x14ac:dyDescent="0.25">
      <c r="C1506" s="108"/>
      <c r="D1506" s="217"/>
      <c r="E1506" s="217"/>
      <c r="F1506" s="104"/>
      <c r="G1506" s="108"/>
      <c r="J1506" s="174"/>
      <c r="K1506" s="4"/>
    </row>
    <row r="1507" spans="3:11" x14ac:dyDescent="0.25">
      <c r="C1507" s="108"/>
      <c r="D1507" s="217"/>
      <c r="E1507" s="217"/>
      <c r="F1507" s="104"/>
      <c r="G1507" s="108"/>
      <c r="J1507" s="174"/>
      <c r="K1507" s="4"/>
    </row>
    <row r="1508" spans="3:11" x14ac:dyDescent="0.25">
      <c r="C1508" s="108"/>
      <c r="D1508" s="217"/>
      <c r="E1508" s="217"/>
      <c r="F1508" s="104"/>
      <c r="G1508" s="108"/>
      <c r="J1508" s="174"/>
      <c r="K1508" s="4"/>
    </row>
    <row r="1509" spans="3:11" x14ac:dyDescent="0.25">
      <c r="C1509" s="108"/>
      <c r="D1509" s="217"/>
      <c r="E1509" s="217"/>
      <c r="F1509" s="104"/>
      <c r="G1509" s="108"/>
      <c r="J1509" s="174"/>
      <c r="K1509" s="4"/>
    </row>
    <row r="1510" spans="3:11" x14ac:dyDescent="0.25">
      <c r="C1510" s="108"/>
      <c r="D1510" s="217"/>
      <c r="E1510" s="217"/>
      <c r="F1510" s="104"/>
      <c r="G1510" s="108"/>
      <c r="J1510" s="174"/>
      <c r="K1510" s="4"/>
    </row>
    <row r="1511" spans="3:11" x14ac:dyDescent="0.25">
      <c r="C1511" s="108"/>
      <c r="D1511" s="217"/>
      <c r="E1511" s="217"/>
      <c r="F1511" s="104"/>
      <c r="G1511" s="108"/>
      <c r="J1511" s="174"/>
      <c r="K1511" s="4"/>
    </row>
    <row r="1512" spans="3:11" x14ac:dyDescent="0.25">
      <c r="C1512" s="108"/>
      <c r="D1512" s="217"/>
      <c r="E1512" s="217"/>
      <c r="F1512" s="104"/>
      <c r="G1512" s="108"/>
      <c r="J1512" s="174"/>
      <c r="K1512" s="4"/>
    </row>
    <row r="1513" spans="3:11" x14ac:dyDescent="0.25">
      <c r="C1513" s="108"/>
      <c r="D1513" s="217"/>
      <c r="E1513" s="217"/>
      <c r="F1513" s="104"/>
      <c r="G1513" s="108"/>
      <c r="J1513" s="174"/>
      <c r="K1513" s="4"/>
    </row>
    <row r="1514" spans="3:11" x14ac:dyDescent="0.25">
      <c r="C1514" s="108"/>
      <c r="D1514" s="217"/>
      <c r="E1514" s="217"/>
      <c r="F1514" s="104"/>
      <c r="G1514" s="108"/>
      <c r="J1514" s="174"/>
      <c r="K1514" s="4"/>
    </row>
    <row r="1515" spans="3:11" x14ac:dyDescent="0.25">
      <c r="C1515" s="108"/>
      <c r="D1515" s="217"/>
      <c r="E1515" s="217"/>
      <c r="F1515" s="104"/>
      <c r="G1515" s="108"/>
      <c r="J1515" s="174"/>
      <c r="K1515" s="4"/>
    </row>
    <row r="1516" spans="3:11" x14ac:dyDescent="0.25">
      <c r="C1516" s="108"/>
      <c r="D1516" s="217"/>
      <c r="E1516" s="217"/>
      <c r="F1516" s="104"/>
      <c r="G1516" s="108"/>
      <c r="J1516" s="174"/>
      <c r="K1516" s="4"/>
    </row>
    <row r="1517" spans="3:11" x14ac:dyDescent="0.25">
      <c r="C1517" s="108"/>
      <c r="D1517" s="217"/>
      <c r="E1517" s="217"/>
      <c r="F1517" s="104"/>
      <c r="G1517" s="108"/>
      <c r="J1517" s="174"/>
      <c r="K1517" s="4"/>
    </row>
    <row r="1518" spans="3:11" x14ac:dyDescent="0.25">
      <c r="C1518" s="108"/>
      <c r="D1518" s="217"/>
      <c r="E1518" s="217"/>
      <c r="F1518" s="104"/>
      <c r="G1518" s="108"/>
      <c r="J1518" s="174"/>
      <c r="K1518" s="4"/>
    </row>
    <row r="1519" spans="3:11" x14ac:dyDescent="0.25">
      <c r="C1519" s="108"/>
      <c r="D1519" s="217"/>
      <c r="E1519" s="217"/>
      <c r="F1519" s="104"/>
      <c r="G1519" s="108"/>
      <c r="J1519" s="174"/>
      <c r="K1519" s="4"/>
    </row>
    <row r="1520" spans="3:11" x14ac:dyDescent="0.25">
      <c r="C1520" s="108"/>
      <c r="D1520" s="217"/>
      <c r="E1520" s="217"/>
      <c r="F1520" s="104"/>
      <c r="G1520" s="108"/>
      <c r="J1520" s="174"/>
      <c r="K1520" s="4"/>
    </row>
    <row r="1521" spans="3:11" x14ac:dyDescent="0.25">
      <c r="C1521" s="108"/>
      <c r="D1521" s="217"/>
      <c r="E1521" s="217"/>
      <c r="F1521" s="104"/>
      <c r="G1521" s="108"/>
      <c r="J1521" s="174"/>
      <c r="K1521" s="4"/>
    </row>
    <row r="1522" spans="3:11" x14ac:dyDescent="0.25">
      <c r="C1522" s="108"/>
      <c r="D1522" s="217"/>
      <c r="E1522" s="217"/>
      <c r="F1522" s="104"/>
      <c r="G1522" s="108"/>
      <c r="J1522" s="174"/>
      <c r="K1522" s="4"/>
    </row>
    <row r="1523" spans="3:11" x14ac:dyDescent="0.25">
      <c r="C1523" s="108"/>
      <c r="D1523" s="217"/>
      <c r="E1523" s="217"/>
      <c r="F1523" s="104"/>
      <c r="G1523" s="108"/>
      <c r="J1523" s="174"/>
      <c r="K1523" s="4"/>
    </row>
    <row r="1524" spans="3:11" x14ac:dyDescent="0.25">
      <c r="C1524" s="108"/>
      <c r="D1524" s="217"/>
      <c r="E1524" s="217"/>
      <c r="F1524" s="104"/>
      <c r="G1524" s="108"/>
      <c r="J1524" s="174"/>
      <c r="K1524" s="4"/>
    </row>
    <row r="1525" spans="3:11" x14ac:dyDescent="0.25">
      <c r="C1525" s="108"/>
      <c r="D1525" s="217"/>
      <c r="E1525" s="217"/>
      <c r="F1525" s="104"/>
      <c r="G1525" s="108"/>
      <c r="J1525" s="174"/>
      <c r="K1525" s="4"/>
    </row>
    <row r="1526" spans="3:11" x14ac:dyDescent="0.25">
      <c r="C1526" s="108"/>
      <c r="D1526" s="217"/>
      <c r="E1526" s="217"/>
      <c r="F1526" s="104"/>
      <c r="G1526" s="108"/>
      <c r="J1526" s="174"/>
      <c r="K1526" s="4"/>
    </row>
    <row r="1527" spans="3:11" x14ac:dyDescent="0.25">
      <c r="C1527" s="108"/>
      <c r="D1527" s="217"/>
      <c r="E1527" s="217"/>
      <c r="F1527" s="104"/>
      <c r="G1527" s="108"/>
      <c r="J1527" s="174"/>
      <c r="K1527" s="4"/>
    </row>
    <row r="1528" spans="3:11" x14ac:dyDescent="0.25">
      <c r="C1528" s="108"/>
      <c r="D1528" s="217"/>
      <c r="E1528" s="217"/>
      <c r="F1528" s="104"/>
      <c r="G1528" s="108"/>
      <c r="J1528" s="174"/>
      <c r="K1528" s="4"/>
    </row>
    <row r="1529" spans="3:11" x14ac:dyDescent="0.25">
      <c r="C1529" s="108"/>
      <c r="D1529" s="217"/>
      <c r="E1529" s="217"/>
      <c r="F1529" s="104"/>
      <c r="G1529" s="108"/>
      <c r="J1529" s="174"/>
      <c r="K1529" s="4"/>
    </row>
    <row r="1530" spans="3:11" x14ac:dyDescent="0.25">
      <c r="C1530" s="108"/>
      <c r="D1530" s="217"/>
      <c r="E1530" s="217"/>
      <c r="F1530" s="104"/>
      <c r="G1530" s="108"/>
      <c r="J1530" s="174"/>
      <c r="K1530" s="4"/>
    </row>
    <row r="1531" spans="3:11" x14ac:dyDescent="0.25">
      <c r="C1531" s="108"/>
      <c r="D1531" s="217"/>
      <c r="E1531" s="217"/>
      <c r="F1531" s="104"/>
      <c r="G1531" s="108"/>
      <c r="J1531" s="174"/>
      <c r="K1531" s="4"/>
    </row>
    <row r="1532" spans="3:11" x14ac:dyDescent="0.25">
      <c r="C1532" s="108"/>
      <c r="D1532" s="217"/>
      <c r="E1532" s="217"/>
      <c r="F1532" s="104"/>
      <c r="G1532" s="108"/>
      <c r="J1532" s="174"/>
      <c r="K1532" s="4"/>
    </row>
    <row r="1533" spans="3:11" x14ac:dyDescent="0.25">
      <c r="C1533" s="108"/>
      <c r="D1533" s="217"/>
      <c r="E1533" s="217"/>
      <c r="F1533" s="104"/>
      <c r="G1533" s="108"/>
      <c r="J1533" s="174"/>
      <c r="K1533" s="4"/>
    </row>
    <row r="1534" spans="3:11" x14ac:dyDescent="0.25">
      <c r="C1534" s="108"/>
      <c r="D1534" s="217"/>
      <c r="E1534" s="217"/>
      <c r="F1534" s="104"/>
      <c r="G1534" s="108"/>
      <c r="J1534" s="174"/>
      <c r="K1534" s="4"/>
    </row>
    <row r="1535" spans="3:11" x14ac:dyDescent="0.25">
      <c r="C1535" s="108"/>
      <c r="D1535" s="217"/>
      <c r="E1535" s="217"/>
      <c r="F1535" s="104"/>
      <c r="G1535" s="108"/>
      <c r="J1535" s="174"/>
      <c r="K1535" s="4"/>
    </row>
    <row r="1536" spans="3:11" x14ac:dyDescent="0.25">
      <c r="C1536" s="108"/>
      <c r="D1536" s="217"/>
      <c r="E1536" s="217"/>
      <c r="F1536" s="104"/>
      <c r="G1536" s="108"/>
      <c r="J1536" s="174"/>
      <c r="K1536" s="4"/>
    </row>
    <row r="1537" spans="3:11" x14ac:dyDescent="0.25">
      <c r="C1537" s="108"/>
      <c r="D1537" s="217"/>
      <c r="E1537" s="217"/>
      <c r="F1537" s="104"/>
      <c r="G1537" s="108"/>
      <c r="J1537" s="174"/>
      <c r="K1537" s="4"/>
    </row>
    <row r="1538" spans="3:11" x14ac:dyDescent="0.25">
      <c r="C1538" s="108"/>
      <c r="D1538" s="217"/>
      <c r="E1538" s="217"/>
      <c r="F1538" s="104"/>
      <c r="G1538" s="108"/>
      <c r="J1538" s="174"/>
      <c r="K1538" s="4"/>
    </row>
    <row r="1539" spans="3:11" x14ac:dyDescent="0.25">
      <c r="C1539" s="108"/>
      <c r="D1539" s="217"/>
      <c r="E1539" s="217"/>
      <c r="F1539" s="104"/>
      <c r="G1539" s="108"/>
      <c r="J1539" s="174"/>
      <c r="K1539" s="4"/>
    </row>
    <row r="1540" spans="3:11" x14ac:dyDescent="0.25">
      <c r="C1540" s="108"/>
      <c r="D1540" s="217"/>
      <c r="E1540" s="217"/>
      <c r="F1540" s="104"/>
      <c r="G1540" s="108"/>
      <c r="J1540" s="174"/>
      <c r="K1540" s="4"/>
    </row>
    <row r="1541" spans="3:11" x14ac:dyDescent="0.25">
      <c r="C1541" s="108"/>
      <c r="D1541" s="217"/>
      <c r="E1541" s="217"/>
      <c r="F1541" s="104"/>
      <c r="G1541" s="108"/>
      <c r="J1541" s="174"/>
      <c r="K1541" s="4"/>
    </row>
    <row r="1542" spans="3:11" x14ac:dyDescent="0.25">
      <c r="C1542" s="108"/>
      <c r="D1542" s="217"/>
      <c r="E1542" s="217"/>
      <c r="F1542" s="104"/>
      <c r="G1542" s="108"/>
      <c r="J1542" s="174"/>
      <c r="K1542" s="4"/>
    </row>
    <row r="1543" spans="3:11" x14ac:dyDescent="0.25">
      <c r="C1543" s="108"/>
      <c r="D1543" s="217"/>
      <c r="E1543" s="217"/>
      <c r="F1543" s="104"/>
      <c r="G1543" s="108"/>
      <c r="J1543" s="174"/>
      <c r="K1543" s="4"/>
    </row>
    <row r="1544" spans="3:11" x14ac:dyDescent="0.25">
      <c r="C1544" s="108"/>
      <c r="D1544" s="217"/>
      <c r="E1544" s="217"/>
      <c r="F1544" s="104"/>
      <c r="G1544" s="108"/>
      <c r="J1544" s="174"/>
      <c r="K1544" s="4"/>
    </row>
    <row r="1545" spans="3:11" x14ac:dyDescent="0.25">
      <c r="C1545" s="108"/>
      <c r="D1545" s="217"/>
      <c r="E1545" s="217"/>
      <c r="F1545" s="104"/>
      <c r="G1545" s="108"/>
      <c r="J1545" s="174"/>
      <c r="K1545" s="4"/>
    </row>
    <row r="1546" spans="3:11" x14ac:dyDescent="0.25">
      <c r="C1546" s="108"/>
      <c r="D1546" s="217"/>
      <c r="E1546" s="217"/>
      <c r="F1546" s="104"/>
      <c r="G1546" s="108"/>
      <c r="J1546" s="174"/>
      <c r="K1546" s="4"/>
    </row>
    <row r="1547" spans="3:11" x14ac:dyDescent="0.25">
      <c r="C1547" s="108"/>
      <c r="D1547" s="217"/>
      <c r="E1547" s="217"/>
      <c r="F1547" s="104"/>
      <c r="G1547" s="108"/>
      <c r="J1547" s="174"/>
      <c r="K1547" s="4"/>
    </row>
    <row r="1548" spans="3:11" x14ac:dyDescent="0.25">
      <c r="C1548" s="108"/>
      <c r="D1548" s="217"/>
      <c r="E1548" s="217"/>
      <c r="F1548" s="104"/>
      <c r="G1548" s="108"/>
      <c r="J1548" s="174"/>
      <c r="K1548" s="4"/>
    </row>
    <row r="1549" spans="3:11" x14ac:dyDescent="0.25">
      <c r="C1549" s="108"/>
      <c r="D1549" s="217"/>
      <c r="E1549" s="217"/>
      <c r="F1549" s="104"/>
      <c r="G1549" s="108"/>
      <c r="J1549" s="174"/>
      <c r="K1549" s="4"/>
    </row>
    <row r="1550" spans="3:11" x14ac:dyDescent="0.25">
      <c r="C1550" s="108"/>
      <c r="D1550" s="217"/>
      <c r="E1550" s="217"/>
      <c r="F1550" s="104"/>
      <c r="G1550" s="108"/>
      <c r="J1550" s="174"/>
      <c r="K1550" s="4"/>
    </row>
    <row r="1551" spans="3:11" x14ac:dyDescent="0.25">
      <c r="C1551" s="108"/>
      <c r="D1551" s="217"/>
      <c r="E1551" s="217"/>
      <c r="F1551" s="104"/>
      <c r="G1551" s="108"/>
      <c r="J1551" s="174"/>
      <c r="K1551" s="4"/>
    </row>
    <row r="1552" spans="3:11" x14ac:dyDescent="0.25">
      <c r="C1552" s="108"/>
      <c r="D1552" s="217"/>
      <c r="E1552" s="217"/>
      <c r="F1552" s="104"/>
      <c r="G1552" s="108"/>
      <c r="J1552" s="174"/>
      <c r="K1552" s="4"/>
    </row>
    <row r="1553" spans="3:11" x14ac:dyDescent="0.25">
      <c r="C1553" s="108"/>
      <c r="D1553" s="217"/>
      <c r="E1553" s="217"/>
      <c r="F1553" s="104"/>
      <c r="G1553" s="108"/>
      <c r="J1553" s="174"/>
      <c r="K1553" s="4"/>
    </row>
    <row r="1554" spans="3:11" x14ac:dyDescent="0.25">
      <c r="C1554" s="108"/>
      <c r="D1554" s="217"/>
      <c r="E1554" s="217"/>
      <c r="F1554" s="104"/>
      <c r="G1554" s="108"/>
      <c r="J1554" s="174"/>
      <c r="K1554" s="4"/>
    </row>
    <row r="1555" spans="3:11" x14ac:dyDescent="0.25">
      <c r="C1555" s="108"/>
      <c r="D1555" s="217"/>
      <c r="E1555" s="217"/>
      <c r="F1555" s="104"/>
      <c r="G1555" s="108"/>
      <c r="J1555" s="174"/>
      <c r="K1555" s="4"/>
    </row>
    <row r="1556" spans="3:11" x14ac:dyDescent="0.25">
      <c r="C1556" s="108"/>
      <c r="D1556" s="217"/>
      <c r="E1556" s="217"/>
      <c r="F1556" s="104"/>
      <c r="G1556" s="108"/>
      <c r="J1556" s="174"/>
      <c r="K1556" s="4"/>
    </row>
    <row r="1557" spans="3:11" x14ac:dyDescent="0.25">
      <c r="C1557" s="108"/>
      <c r="D1557" s="217"/>
      <c r="E1557" s="217"/>
      <c r="F1557" s="104"/>
      <c r="G1557" s="108"/>
      <c r="J1557" s="174"/>
      <c r="K1557" s="4"/>
    </row>
    <row r="1558" spans="3:11" x14ac:dyDescent="0.25">
      <c r="C1558" s="108"/>
      <c r="D1558" s="217"/>
      <c r="E1558" s="217"/>
      <c r="F1558" s="104"/>
      <c r="G1558" s="108"/>
      <c r="J1558" s="174"/>
      <c r="K1558" s="4"/>
    </row>
    <row r="1559" spans="3:11" x14ac:dyDescent="0.25">
      <c r="C1559" s="108"/>
      <c r="D1559" s="217"/>
      <c r="E1559" s="217"/>
      <c r="F1559" s="104"/>
      <c r="G1559" s="108"/>
      <c r="J1559" s="174"/>
      <c r="K1559" s="4"/>
    </row>
    <row r="1560" spans="3:11" x14ac:dyDescent="0.25">
      <c r="C1560" s="108"/>
      <c r="D1560" s="217"/>
      <c r="E1560" s="217"/>
      <c r="F1560" s="104"/>
      <c r="G1560" s="108"/>
      <c r="J1560" s="174"/>
      <c r="K1560" s="4"/>
    </row>
    <row r="1561" spans="3:11" x14ac:dyDescent="0.25">
      <c r="C1561" s="108"/>
      <c r="D1561" s="217"/>
      <c r="E1561" s="217"/>
      <c r="F1561" s="104"/>
      <c r="G1561" s="108"/>
      <c r="J1561" s="174"/>
      <c r="K1561" s="4"/>
    </row>
    <row r="1562" spans="3:11" x14ac:dyDescent="0.25">
      <c r="C1562" s="108"/>
      <c r="D1562" s="217"/>
      <c r="E1562" s="217"/>
      <c r="F1562" s="104"/>
      <c r="G1562" s="108"/>
      <c r="J1562" s="174"/>
      <c r="K1562" s="4"/>
    </row>
    <row r="1563" spans="3:11" x14ac:dyDescent="0.25">
      <c r="C1563" s="108"/>
      <c r="D1563" s="217"/>
      <c r="E1563" s="217"/>
      <c r="F1563" s="104"/>
      <c r="G1563" s="108"/>
      <c r="J1563" s="174"/>
      <c r="K1563" s="4"/>
    </row>
    <row r="1564" spans="3:11" x14ac:dyDescent="0.25">
      <c r="C1564" s="108"/>
      <c r="D1564" s="217"/>
      <c r="E1564" s="217"/>
      <c r="F1564" s="104"/>
      <c r="G1564" s="108"/>
      <c r="J1564" s="174"/>
      <c r="K1564" s="4"/>
    </row>
    <row r="1565" spans="3:11" x14ac:dyDescent="0.25">
      <c r="C1565" s="108"/>
      <c r="D1565" s="217"/>
      <c r="E1565" s="217"/>
      <c r="F1565" s="104"/>
      <c r="G1565" s="108"/>
      <c r="J1565" s="174"/>
      <c r="K1565" s="4"/>
    </row>
    <row r="1566" spans="3:11" x14ac:dyDescent="0.25">
      <c r="C1566" s="108"/>
      <c r="D1566" s="217"/>
      <c r="E1566" s="217"/>
      <c r="F1566" s="104"/>
      <c r="G1566" s="108"/>
      <c r="J1566" s="174"/>
      <c r="K1566" s="4"/>
    </row>
    <row r="1567" spans="3:11" x14ac:dyDescent="0.25">
      <c r="C1567" s="108"/>
      <c r="D1567" s="217"/>
      <c r="E1567" s="217"/>
      <c r="F1567" s="104"/>
      <c r="G1567" s="108"/>
      <c r="J1567" s="174"/>
      <c r="K1567" s="4"/>
    </row>
    <row r="1568" spans="3:11" x14ac:dyDescent="0.25">
      <c r="C1568" s="108"/>
      <c r="D1568" s="217"/>
      <c r="E1568" s="217"/>
      <c r="F1568" s="104"/>
      <c r="G1568" s="108"/>
      <c r="J1568" s="174"/>
      <c r="K1568" s="4"/>
    </row>
    <row r="1569" spans="3:11" x14ac:dyDescent="0.25">
      <c r="C1569" s="108"/>
      <c r="D1569" s="217"/>
      <c r="E1569" s="217"/>
      <c r="F1569" s="104"/>
      <c r="G1569" s="108"/>
      <c r="J1569" s="174"/>
      <c r="K1569" s="4"/>
    </row>
    <row r="1570" spans="3:11" x14ac:dyDescent="0.25">
      <c r="C1570" s="108"/>
      <c r="D1570" s="217"/>
      <c r="E1570" s="217"/>
      <c r="F1570" s="104"/>
      <c r="G1570" s="108"/>
      <c r="J1570" s="174"/>
      <c r="K1570" s="4"/>
    </row>
    <row r="1571" spans="3:11" x14ac:dyDescent="0.25">
      <c r="C1571" s="108"/>
      <c r="D1571" s="217"/>
      <c r="E1571" s="217"/>
      <c r="F1571" s="104"/>
      <c r="G1571" s="108"/>
      <c r="J1571" s="174"/>
      <c r="K1571" s="4"/>
    </row>
    <row r="1572" spans="3:11" x14ac:dyDescent="0.25">
      <c r="C1572" s="108"/>
      <c r="D1572" s="217"/>
      <c r="E1572" s="217"/>
      <c r="F1572" s="104"/>
      <c r="G1572" s="108"/>
      <c r="J1572" s="174"/>
      <c r="K1572" s="4"/>
    </row>
    <row r="1573" spans="3:11" x14ac:dyDescent="0.25">
      <c r="C1573" s="108"/>
      <c r="D1573" s="217"/>
      <c r="E1573" s="217"/>
      <c r="F1573" s="104"/>
      <c r="G1573" s="108"/>
      <c r="J1573" s="174"/>
      <c r="K1573" s="4"/>
    </row>
    <row r="1574" spans="3:11" x14ac:dyDescent="0.25">
      <c r="C1574" s="108"/>
      <c r="D1574" s="217"/>
      <c r="E1574" s="217"/>
      <c r="F1574" s="104"/>
      <c r="G1574" s="108"/>
      <c r="J1574" s="174"/>
      <c r="K1574" s="4"/>
    </row>
    <row r="1575" spans="3:11" x14ac:dyDescent="0.25">
      <c r="C1575" s="108"/>
      <c r="D1575" s="217"/>
      <c r="E1575" s="217"/>
      <c r="F1575" s="104"/>
      <c r="G1575" s="108"/>
      <c r="J1575" s="174"/>
      <c r="K1575" s="4"/>
    </row>
    <row r="1576" spans="3:11" x14ac:dyDescent="0.25">
      <c r="C1576" s="108"/>
      <c r="D1576" s="217"/>
      <c r="E1576" s="217"/>
      <c r="F1576" s="104"/>
      <c r="G1576" s="108"/>
      <c r="J1576" s="174"/>
      <c r="K1576" s="4"/>
    </row>
    <row r="1577" spans="3:11" x14ac:dyDescent="0.25">
      <c r="C1577" s="108"/>
      <c r="D1577" s="217"/>
      <c r="E1577" s="217"/>
      <c r="F1577" s="104"/>
      <c r="G1577" s="108"/>
      <c r="J1577" s="174"/>
      <c r="K1577" s="4"/>
    </row>
    <row r="1578" spans="3:11" x14ac:dyDescent="0.25">
      <c r="C1578" s="108"/>
      <c r="D1578" s="217"/>
      <c r="E1578" s="217"/>
      <c r="F1578" s="104"/>
      <c r="G1578" s="108"/>
      <c r="J1578" s="174"/>
      <c r="K1578" s="4"/>
    </row>
    <row r="1579" spans="3:11" x14ac:dyDescent="0.25">
      <c r="C1579" s="108"/>
      <c r="D1579" s="217"/>
      <c r="E1579" s="217"/>
      <c r="F1579" s="104"/>
      <c r="G1579" s="108"/>
      <c r="J1579" s="174"/>
      <c r="K1579" s="4"/>
    </row>
    <row r="1580" spans="3:11" x14ac:dyDescent="0.25">
      <c r="C1580" s="108"/>
      <c r="D1580" s="217"/>
      <c r="E1580" s="217"/>
      <c r="F1580" s="104"/>
      <c r="G1580" s="108"/>
      <c r="J1580" s="174"/>
      <c r="K1580" s="4"/>
    </row>
    <row r="1581" spans="3:11" x14ac:dyDescent="0.25">
      <c r="C1581" s="108"/>
      <c r="D1581" s="217"/>
      <c r="E1581" s="217"/>
      <c r="F1581" s="104"/>
      <c r="G1581" s="108"/>
      <c r="J1581" s="174"/>
      <c r="K1581" s="4"/>
    </row>
    <row r="1582" spans="3:11" x14ac:dyDescent="0.25">
      <c r="C1582" s="108"/>
      <c r="D1582" s="217"/>
      <c r="E1582" s="217"/>
      <c r="F1582" s="104"/>
      <c r="G1582" s="108"/>
      <c r="J1582" s="174"/>
      <c r="K1582" s="4"/>
    </row>
    <row r="1583" spans="3:11" x14ac:dyDescent="0.25">
      <c r="C1583" s="108"/>
      <c r="D1583" s="217"/>
      <c r="E1583" s="217"/>
      <c r="F1583" s="104"/>
      <c r="G1583" s="108"/>
      <c r="J1583" s="174"/>
      <c r="K1583" s="4"/>
    </row>
    <row r="1584" spans="3:11" x14ac:dyDescent="0.25">
      <c r="C1584" s="108"/>
      <c r="D1584" s="217"/>
      <c r="E1584" s="217"/>
      <c r="F1584" s="104"/>
      <c r="G1584" s="108"/>
      <c r="J1584" s="174"/>
      <c r="K1584" s="4"/>
    </row>
    <row r="1585" spans="3:11" x14ac:dyDescent="0.25">
      <c r="C1585" s="108"/>
      <c r="D1585" s="217"/>
      <c r="E1585" s="217"/>
      <c r="F1585" s="104"/>
      <c r="G1585" s="108"/>
      <c r="J1585" s="174"/>
      <c r="K1585" s="4"/>
    </row>
    <row r="1586" spans="3:11" x14ac:dyDescent="0.25">
      <c r="C1586" s="108"/>
      <c r="D1586" s="217"/>
      <c r="E1586" s="217"/>
      <c r="F1586" s="104"/>
      <c r="G1586" s="108"/>
      <c r="J1586" s="174"/>
      <c r="K1586" s="4"/>
    </row>
    <row r="1587" spans="3:11" x14ac:dyDescent="0.25">
      <c r="C1587" s="108"/>
      <c r="D1587" s="217"/>
      <c r="E1587" s="217"/>
      <c r="F1587" s="104"/>
      <c r="G1587" s="108"/>
      <c r="J1587" s="174"/>
      <c r="K1587" s="4"/>
    </row>
    <row r="1588" spans="3:11" x14ac:dyDescent="0.25">
      <c r="C1588" s="108"/>
      <c r="D1588" s="217"/>
      <c r="E1588" s="217"/>
      <c r="F1588" s="104"/>
      <c r="G1588" s="108"/>
      <c r="J1588" s="174"/>
      <c r="K1588" s="4"/>
    </row>
    <row r="1589" spans="3:11" x14ac:dyDescent="0.25">
      <c r="C1589" s="108"/>
      <c r="D1589" s="217"/>
      <c r="E1589" s="217"/>
      <c r="F1589" s="104"/>
      <c r="G1589" s="108"/>
      <c r="J1589" s="174"/>
      <c r="K1589" s="4"/>
    </row>
    <row r="1590" spans="3:11" x14ac:dyDescent="0.25">
      <c r="C1590" s="108"/>
      <c r="D1590" s="217"/>
      <c r="E1590" s="217"/>
      <c r="F1590" s="104"/>
      <c r="G1590" s="108"/>
      <c r="J1590" s="174"/>
      <c r="K1590" s="4"/>
    </row>
    <row r="1591" spans="3:11" x14ac:dyDescent="0.25">
      <c r="C1591" s="108"/>
      <c r="D1591" s="217"/>
      <c r="E1591" s="217"/>
      <c r="F1591" s="104"/>
      <c r="G1591" s="108"/>
      <c r="J1591" s="174"/>
      <c r="K1591" s="4"/>
    </row>
    <row r="1592" spans="3:11" x14ac:dyDescent="0.25">
      <c r="C1592" s="108"/>
      <c r="D1592" s="217"/>
      <c r="E1592" s="217"/>
      <c r="F1592" s="104"/>
      <c r="G1592" s="108"/>
      <c r="J1592" s="174"/>
      <c r="K1592" s="4"/>
    </row>
    <row r="1593" spans="3:11" x14ac:dyDescent="0.25">
      <c r="C1593" s="108"/>
      <c r="D1593" s="217"/>
      <c r="E1593" s="217"/>
      <c r="F1593" s="104"/>
      <c r="G1593" s="108"/>
      <c r="J1593" s="174"/>
      <c r="K1593" s="4"/>
    </row>
    <row r="1594" spans="3:11" x14ac:dyDescent="0.25">
      <c r="C1594" s="108"/>
      <c r="D1594" s="217"/>
      <c r="E1594" s="217"/>
      <c r="F1594" s="104"/>
      <c r="G1594" s="108"/>
      <c r="J1594" s="174"/>
      <c r="K1594" s="4"/>
    </row>
    <row r="1595" spans="3:11" x14ac:dyDescent="0.25">
      <c r="C1595" s="108"/>
      <c r="D1595" s="217"/>
      <c r="E1595" s="217"/>
      <c r="F1595" s="104"/>
      <c r="G1595" s="108"/>
      <c r="J1595" s="174"/>
      <c r="K1595" s="4"/>
    </row>
    <row r="1596" spans="3:11" x14ac:dyDescent="0.25">
      <c r="C1596" s="108"/>
      <c r="D1596" s="217"/>
      <c r="E1596" s="217"/>
      <c r="F1596" s="104"/>
      <c r="G1596" s="108"/>
      <c r="J1596" s="174"/>
      <c r="K1596" s="4"/>
    </row>
    <row r="1597" spans="3:11" x14ac:dyDescent="0.25">
      <c r="C1597" s="108"/>
      <c r="D1597" s="217"/>
      <c r="E1597" s="217"/>
      <c r="F1597" s="104"/>
      <c r="G1597" s="108"/>
      <c r="J1597" s="174"/>
      <c r="K1597" s="4"/>
    </row>
    <row r="1598" spans="3:11" x14ac:dyDescent="0.25">
      <c r="C1598" s="108"/>
      <c r="D1598" s="217"/>
      <c r="E1598" s="217"/>
      <c r="F1598" s="104"/>
      <c r="G1598" s="108"/>
      <c r="J1598" s="174"/>
      <c r="K1598" s="4"/>
    </row>
    <row r="1599" spans="3:11" x14ac:dyDescent="0.25">
      <c r="C1599" s="108"/>
      <c r="D1599" s="217"/>
      <c r="E1599" s="217"/>
      <c r="F1599" s="104"/>
      <c r="G1599" s="108"/>
      <c r="J1599" s="174"/>
      <c r="K1599" s="4"/>
    </row>
    <row r="1600" spans="3:11" x14ac:dyDescent="0.25">
      <c r="C1600" s="108"/>
      <c r="D1600" s="217"/>
      <c r="E1600" s="217"/>
      <c r="F1600" s="104"/>
      <c r="G1600" s="108"/>
      <c r="J1600" s="174"/>
      <c r="K1600" s="4"/>
    </row>
    <row r="1601" spans="3:11" x14ac:dyDescent="0.25">
      <c r="C1601" s="108"/>
      <c r="D1601" s="217"/>
      <c r="E1601" s="217"/>
      <c r="F1601" s="104"/>
      <c r="G1601" s="108"/>
      <c r="J1601" s="174"/>
      <c r="K1601" s="4"/>
    </row>
    <row r="1602" spans="3:11" x14ac:dyDescent="0.25">
      <c r="C1602" s="108"/>
      <c r="D1602" s="217"/>
      <c r="E1602" s="217"/>
      <c r="F1602" s="104"/>
      <c r="G1602" s="108"/>
      <c r="J1602" s="174"/>
      <c r="K1602" s="4"/>
    </row>
    <row r="1603" spans="3:11" x14ac:dyDescent="0.25">
      <c r="C1603" s="108"/>
      <c r="D1603" s="217"/>
      <c r="E1603" s="217"/>
      <c r="F1603" s="104"/>
      <c r="G1603" s="108"/>
      <c r="J1603" s="174"/>
      <c r="K1603" s="4"/>
    </row>
    <row r="1604" spans="3:11" x14ac:dyDescent="0.25">
      <c r="C1604" s="108"/>
      <c r="D1604" s="217"/>
      <c r="E1604" s="217"/>
      <c r="F1604" s="104"/>
      <c r="G1604" s="108"/>
      <c r="J1604" s="174"/>
      <c r="K1604" s="4"/>
    </row>
    <row r="1605" spans="3:11" x14ac:dyDescent="0.25">
      <c r="C1605" s="108"/>
      <c r="D1605" s="217"/>
      <c r="E1605" s="217"/>
      <c r="F1605" s="104"/>
      <c r="G1605" s="108"/>
      <c r="J1605" s="174"/>
      <c r="K1605" s="4"/>
    </row>
    <row r="1606" spans="3:11" x14ac:dyDescent="0.25">
      <c r="C1606" s="108"/>
      <c r="D1606" s="217"/>
      <c r="E1606" s="217"/>
      <c r="F1606" s="104"/>
      <c r="G1606" s="108"/>
      <c r="J1606" s="174"/>
      <c r="K1606" s="4"/>
    </row>
    <row r="1607" spans="3:11" x14ac:dyDescent="0.25">
      <c r="C1607" s="108"/>
      <c r="D1607" s="217"/>
      <c r="E1607" s="217"/>
      <c r="F1607" s="104"/>
      <c r="G1607" s="108"/>
      <c r="J1607" s="174"/>
      <c r="K1607" s="4"/>
    </row>
    <row r="1608" spans="3:11" x14ac:dyDescent="0.25">
      <c r="C1608" s="108"/>
      <c r="D1608" s="217"/>
      <c r="E1608" s="217"/>
      <c r="F1608" s="104"/>
      <c r="G1608" s="108"/>
      <c r="J1608" s="174"/>
      <c r="K1608" s="4"/>
    </row>
    <row r="1609" spans="3:11" x14ac:dyDescent="0.25">
      <c r="C1609" s="108"/>
      <c r="D1609" s="217"/>
      <c r="E1609" s="217"/>
      <c r="F1609" s="104"/>
      <c r="G1609" s="108"/>
      <c r="J1609" s="174"/>
      <c r="K1609" s="4"/>
    </row>
    <row r="1610" spans="3:11" x14ac:dyDescent="0.25">
      <c r="C1610" s="108"/>
      <c r="D1610" s="217"/>
      <c r="E1610" s="217"/>
      <c r="F1610" s="104"/>
      <c r="G1610" s="108"/>
      <c r="J1610" s="174"/>
      <c r="K1610" s="4"/>
    </row>
    <row r="1611" spans="3:11" x14ac:dyDescent="0.25">
      <c r="C1611" s="108"/>
      <c r="D1611" s="217"/>
      <c r="E1611" s="217"/>
      <c r="F1611" s="104"/>
      <c r="G1611" s="108"/>
      <c r="J1611" s="174"/>
      <c r="K1611" s="4"/>
    </row>
    <row r="1612" spans="3:11" x14ac:dyDescent="0.25">
      <c r="C1612" s="108"/>
      <c r="D1612" s="217"/>
      <c r="E1612" s="217"/>
      <c r="F1612" s="104"/>
      <c r="G1612" s="108"/>
      <c r="J1612" s="174"/>
      <c r="K1612" s="4"/>
    </row>
    <row r="1613" spans="3:11" x14ac:dyDescent="0.25">
      <c r="C1613" s="108"/>
      <c r="D1613" s="217"/>
      <c r="E1613" s="217"/>
      <c r="F1613" s="104"/>
      <c r="G1613" s="108"/>
      <c r="J1613" s="174"/>
      <c r="K1613" s="4"/>
    </row>
    <row r="1614" spans="3:11" x14ac:dyDescent="0.25">
      <c r="C1614" s="108"/>
      <c r="D1614" s="217"/>
      <c r="E1614" s="217"/>
      <c r="F1614" s="104"/>
      <c r="G1614" s="108"/>
      <c r="J1614" s="174"/>
      <c r="K1614" s="4"/>
    </row>
    <row r="1615" spans="3:11" x14ac:dyDescent="0.25">
      <c r="C1615" s="108"/>
      <c r="D1615" s="217"/>
      <c r="E1615" s="217"/>
      <c r="F1615" s="104"/>
      <c r="G1615" s="108"/>
      <c r="J1615" s="174"/>
      <c r="K1615" s="4"/>
    </row>
    <row r="1616" spans="3:11" x14ac:dyDescent="0.25">
      <c r="C1616" s="108"/>
      <c r="D1616" s="217"/>
      <c r="E1616" s="217"/>
      <c r="F1616" s="104"/>
      <c r="G1616" s="108"/>
      <c r="J1616" s="174"/>
      <c r="K1616" s="4"/>
    </row>
    <row r="1617" spans="3:11" x14ac:dyDescent="0.25">
      <c r="C1617" s="108"/>
      <c r="D1617" s="217"/>
      <c r="E1617" s="217"/>
      <c r="F1617" s="104"/>
      <c r="G1617" s="108"/>
      <c r="J1617" s="174"/>
      <c r="K1617" s="4"/>
    </row>
    <row r="1618" spans="3:11" x14ac:dyDescent="0.25">
      <c r="C1618" s="108"/>
      <c r="D1618" s="217"/>
      <c r="E1618" s="217"/>
      <c r="F1618" s="104"/>
      <c r="G1618" s="108"/>
      <c r="J1618" s="174"/>
      <c r="K1618" s="4"/>
    </row>
    <row r="1619" spans="3:11" x14ac:dyDescent="0.25">
      <c r="C1619" s="108"/>
      <c r="D1619" s="217"/>
      <c r="E1619" s="217"/>
      <c r="F1619" s="104"/>
      <c r="G1619" s="108"/>
      <c r="J1619" s="174"/>
      <c r="K1619" s="4"/>
    </row>
    <row r="1620" spans="3:11" x14ac:dyDescent="0.25">
      <c r="C1620" s="108"/>
      <c r="D1620" s="217"/>
      <c r="E1620" s="217"/>
      <c r="F1620" s="104"/>
      <c r="G1620" s="108"/>
      <c r="J1620" s="174"/>
      <c r="K1620" s="4"/>
    </row>
    <row r="1621" spans="3:11" x14ac:dyDescent="0.25">
      <c r="C1621" s="108"/>
      <c r="D1621" s="217"/>
      <c r="E1621" s="217"/>
      <c r="F1621" s="104"/>
      <c r="G1621" s="108"/>
      <c r="J1621" s="174"/>
      <c r="K1621" s="4"/>
    </row>
    <row r="1622" spans="3:11" x14ac:dyDescent="0.25">
      <c r="C1622" s="108"/>
      <c r="D1622" s="217"/>
      <c r="E1622" s="217"/>
      <c r="F1622" s="104"/>
      <c r="G1622" s="108"/>
      <c r="J1622" s="174"/>
      <c r="K1622" s="4"/>
    </row>
    <row r="1623" spans="3:11" x14ac:dyDescent="0.25">
      <c r="C1623" s="108"/>
      <c r="D1623" s="217"/>
      <c r="E1623" s="217"/>
      <c r="F1623" s="104"/>
      <c r="G1623" s="108"/>
      <c r="J1623" s="174"/>
      <c r="K1623" s="4"/>
    </row>
    <row r="1624" spans="3:11" x14ac:dyDescent="0.25">
      <c r="C1624" s="108"/>
      <c r="D1624" s="217"/>
      <c r="E1624" s="217"/>
      <c r="F1624" s="104"/>
      <c r="G1624" s="108"/>
      <c r="J1624" s="174"/>
      <c r="K1624" s="4"/>
    </row>
    <row r="1625" spans="3:11" x14ac:dyDescent="0.25">
      <c r="C1625" s="108"/>
      <c r="D1625" s="217"/>
      <c r="E1625" s="217"/>
      <c r="F1625" s="104"/>
      <c r="G1625" s="108"/>
      <c r="J1625" s="174"/>
      <c r="K1625" s="4"/>
    </row>
    <row r="1626" spans="3:11" x14ac:dyDescent="0.25">
      <c r="C1626" s="108"/>
      <c r="D1626" s="217"/>
      <c r="E1626" s="217"/>
      <c r="F1626" s="104"/>
      <c r="G1626" s="108"/>
      <c r="J1626" s="174"/>
      <c r="K1626" s="4"/>
    </row>
    <row r="1627" spans="3:11" x14ac:dyDescent="0.25">
      <c r="C1627" s="108"/>
      <c r="D1627" s="217"/>
      <c r="E1627" s="217"/>
      <c r="F1627" s="104"/>
      <c r="G1627" s="108"/>
      <c r="J1627" s="174"/>
      <c r="K1627" s="4"/>
    </row>
    <row r="1628" spans="3:11" x14ac:dyDescent="0.25">
      <c r="C1628" s="108"/>
      <c r="D1628" s="217"/>
      <c r="E1628" s="217"/>
      <c r="F1628" s="104"/>
      <c r="G1628" s="108"/>
      <c r="J1628" s="174"/>
      <c r="K1628" s="4"/>
    </row>
    <row r="1629" spans="3:11" x14ac:dyDescent="0.25">
      <c r="C1629" s="108"/>
      <c r="D1629" s="217"/>
      <c r="E1629" s="217"/>
      <c r="F1629" s="104"/>
      <c r="G1629" s="108"/>
      <c r="J1629" s="174"/>
      <c r="K1629" s="4"/>
    </row>
    <row r="1630" spans="3:11" x14ac:dyDescent="0.25">
      <c r="C1630" s="108"/>
      <c r="D1630" s="217"/>
      <c r="E1630" s="217"/>
      <c r="F1630" s="104"/>
      <c r="G1630" s="108"/>
      <c r="J1630" s="174"/>
      <c r="K1630" s="4"/>
    </row>
    <row r="1631" spans="3:11" x14ac:dyDescent="0.25">
      <c r="C1631" s="108"/>
      <c r="D1631" s="217"/>
      <c r="E1631" s="217"/>
      <c r="F1631" s="104"/>
      <c r="G1631" s="108"/>
      <c r="J1631" s="174"/>
      <c r="K1631" s="4"/>
    </row>
    <row r="1632" spans="3:11" x14ac:dyDescent="0.25">
      <c r="C1632" s="108"/>
      <c r="D1632" s="217"/>
      <c r="E1632" s="217"/>
      <c r="F1632" s="104"/>
      <c r="G1632" s="108"/>
      <c r="J1632" s="174"/>
      <c r="K1632" s="4"/>
    </row>
    <row r="1633" spans="3:11" x14ac:dyDescent="0.25">
      <c r="C1633" s="108"/>
      <c r="D1633" s="217"/>
      <c r="E1633" s="217"/>
      <c r="F1633" s="104"/>
      <c r="G1633" s="108"/>
      <c r="J1633" s="174"/>
      <c r="K1633" s="4"/>
    </row>
    <row r="1634" spans="3:11" x14ac:dyDescent="0.25">
      <c r="C1634" s="108"/>
      <c r="D1634" s="217"/>
      <c r="E1634" s="217"/>
      <c r="F1634" s="104"/>
      <c r="G1634" s="108"/>
      <c r="J1634" s="174"/>
      <c r="K1634" s="4"/>
    </row>
    <row r="1635" spans="3:11" x14ac:dyDescent="0.25">
      <c r="C1635" s="108"/>
      <c r="D1635" s="217"/>
      <c r="E1635" s="217"/>
      <c r="F1635" s="104"/>
      <c r="G1635" s="108"/>
      <c r="J1635" s="174"/>
      <c r="K1635" s="4"/>
    </row>
    <row r="1636" spans="3:11" x14ac:dyDescent="0.25">
      <c r="C1636" s="108"/>
      <c r="D1636" s="217"/>
      <c r="E1636" s="217"/>
      <c r="F1636" s="104"/>
      <c r="G1636" s="108"/>
      <c r="J1636" s="174"/>
      <c r="K1636" s="4"/>
    </row>
    <row r="1637" spans="3:11" x14ac:dyDescent="0.25">
      <c r="C1637" s="108"/>
      <c r="D1637" s="217"/>
      <c r="E1637" s="217"/>
      <c r="F1637" s="104"/>
      <c r="G1637" s="108"/>
      <c r="J1637" s="174"/>
      <c r="K1637" s="4"/>
    </row>
    <row r="1638" spans="3:11" x14ac:dyDescent="0.25">
      <c r="C1638" s="108"/>
      <c r="D1638" s="217"/>
      <c r="E1638" s="217"/>
      <c r="F1638" s="104"/>
      <c r="G1638" s="108"/>
      <c r="J1638" s="174"/>
      <c r="K1638" s="4"/>
    </row>
    <row r="1639" spans="3:11" x14ac:dyDescent="0.25">
      <c r="C1639" s="108"/>
      <c r="D1639" s="217"/>
      <c r="E1639" s="217"/>
      <c r="F1639" s="104"/>
      <c r="G1639" s="108"/>
      <c r="J1639" s="174"/>
      <c r="K1639" s="4"/>
    </row>
    <row r="1640" spans="3:11" x14ac:dyDescent="0.25">
      <c r="C1640" s="108"/>
      <c r="D1640" s="217"/>
      <c r="E1640" s="217"/>
      <c r="F1640" s="104"/>
      <c r="G1640" s="108"/>
      <c r="J1640" s="174"/>
      <c r="K1640" s="4"/>
    </row>
    <row r="1641" spans="3:11" x14ac:dyDescent="0.25">
      <c r="C1641" s="108"/>
      <c r="D1641" s="217"/>
      <c r="E1641" s="217"/>
      <c r="F1641" s="104"/>
      <c r="G1641" s="108"/>
      <c r="J1641" s="174"/>
      <c r="K1641" s="4"/>
    </row>
    <row r="1642" spans="3:11" x14ac:dyDescent="0.25">
      <c r="C1642" s="108"/>
      <c r="D1642" s="217"/>
      <c r="E1642" s="217"/>
      <c r="F1642" s="104"/>
      <c r="G1642" s="108"/>
      <c r="J1642" s="174"/>
      <c r="K1642" s="4"/>
    </row>
    <row r="1643" spans="3:11" x14ac:dyDescent="0.25">
      <c r="C1643" s="108"/>
      <c r="D1643" s="217"/>
      <c r="E1643" s="217"/>
      <c r="F1643" s="104"/>
      <c r="G1643" s="108"/>
      <c r="J1643" s="174"/>
      <c r="K1643" s="4"/>
    </row>
    <row r="1644" spans="3:11" x14ac:dyDescent="0.25">
      <c r="C1644" s="108"/>
      <c r="D1644" s="217"/>
      <c r="E1644" s="217"/>
      <c r="F1644" s="104"/>
      <c r="G1644" s="108"/>
      <c r="J1644" s="174"/>
      <c r="K1644" s="4"/>
    </row>
    <row r="1645" spans="3:11" x14ac:dyDescent="0.25">
      <c r="C1645" s="108"/>
      <c r="D1645" s="217"/>
      <c r="E1645" s="217"/>
      <c r="F1645" s="104"/>
      <c r="G1645" s="108"/>
      <c r="J1645" s="174"/>
      <c r="K1645" s="4"/>
    </row>
    <row r="1646" spans="3:11" x14ac:dyDescent="0.25">
      <c r="C1646" s="108"/>
      <c r="D1646" s="217"/>
      <c r="E1646" s="217"/>
      <c r="F1646" s="104"/>
      <c r="G1646" s="108"/>
      <c r="J1646" s="174"/>
      <c r="K1646" s="4"/>
    </row>
    <row r="1647" spans="3:11" x14ac:dyDescent="0.25">
      <c r="C1647" s="108"/>
      <c r="D1647" s="217"/>
      <c r="E1647" s="217"/>
      <c r="F1647" s="104"/>
      <c r="G1647" s="108"/>
      <c r="J1647" s="174"/>
      <c r="K1647" s="4"/>
    </row>
    <row r="1648" spans="3:11" x14ac:dyDescent="0.25">
      <c r="C1648" s="108"/>
      <c r="D1648" s="217"/>
      <c r="E1648" s="217"/>
      <c r="F1648" s="104"/>
      <c r="G1648" s="108"/>
      <c r="J1648" s="174"/>
      <c r="K1648" s="4"/>
    </row>
    <row r="1649" spans="3:11" x14ac:dyDescent="0.25">
      <c r="C1649" s="108"/>
      <c r="D1649" s="217"/>
      <c r="E1649" s="217"/>
      <c r="F1649" s="104"/>
      <c r="G1649" s="108"/>
      <c r="J1649" s="174"/>
      <c r="K1649" s="4"/>
    </row>
    <row r="1650" spans="3:11" x14ac:dyDescent="0.25">
      <c r="C1650" s="108"/>
      <c r="D1650" s="217"/>
      <c r="E1650" s="217"/>
      <c r="F1650" s="104"/>
      <c r="G1650" s="108"/>
      <c r="J1650" s="174"/>
      <c r="K1650" s="4"/>
    </row>
    <row r="1651" spans="3:11" x14ac:dyDescent="0.25">
      <c r="C1651" s="108"/>
      <c r="D1651" s="217"/>
      <c r="E1651" s="217"/>
      <c r="F1651" s="104"/>
      <c r="G1651" s="108"/>
      <c r="J1651" s="174"/>
      <c r="K1651" s="4"/>
    </row>
    <row r="1652" spans="3:11" x14ac:dyDescent="0.25">
      <c r="C1652" s="108"/>
      <c r="D1652" s="217"/>
      <c r="E1652" s="217"/>
      <c r="F1652" s="104"/>
      <c r="G1652" s="108"/>
      <c r="J1652" s="174"/>
      <c r="K1652" s="4"/>
    </row>
    <row r="1653" spans="3:11" x14ac:dyDescent="0.25">
      <c r="C1653" s="108"/>
      <c r="D1653" s="217"/>
      <c r="E1653" s="217"/>
      <c r="F1653" s="104"/>
      <c r="G1653" s="108"/>
      <c r="J1653" s="174"/>
      <c r="K1653" s="4"/>
    </row>
    <row r="1654" spans="3:11" x14ac:dyDescent="0.25">
      <c r="C1654" s="108"/>
      <c r="D1654" s="217"/>
      <c r="E1654" s="217"/>
      <c r="F1654" s="104"/>
      <c r="G1654" s="108"/>
      <c r="J1654" s="174"/>
      <c r="K1654" s="4"/>
    </row>
    <row r="1655" spans="3:11" x14ac:dyDescent="0.25">
      <c r="C1655" s="108"/>
      <c r="D1655" s="217"/>
      <c r="E1655" s="217"/>
      <c r="F1655" s="104"/>
      <c r="G1655" s="108"/>
      <c r="J1655" s="174"/>
      <c r="K1655" s="4"/>
    </row>
    <row r="1656" spans="3:11" x14ac:dyDescent="0.25">
      <c r="C1656" s="108"/>
      <c r="D1656" s="217"/>
      <c r="E1656" s="217"/>
      <c r="F1656" s="104"/>
      <c r="G1656" s="108"/>
      <c r="J1656" s="174"/>
      <c r="K1656" s="4"/>
    </row>
    <row r="1657" spans="3:11" x14ac:dyDescent="0.25">
      <c r="C1657" s="108"/>
      <c r="D1657" s="217"/>
      <c r="E1657" s="217"/>
      <c r="F1657" s="104"/>
      <c r="G1657" s="108"/>
      <c r="J1657" s="174"/>
      <c r="K1657" s="4"/>
    </row>
    <row r="1658" spans="3:11" x14ac:dyDescent="0.25">
      <c r="C1658" s="108"/>
      <c r="D1658" s="217"/>
      <c r="E1658" s="217"/>
      <c r="F1658" s="104"/>
      <c r="G1658" s="108"/>
      <c r="J1658" s="174"/>
      <c r="K1658" s="4"/>
    </row>
    <row r="1659" spans="3:11" x14ac:dyDescent="0.25">
      <c r="C1659" s="108"/>
      <c r="D1659" s="217"/>
      <c r="E1659" s="217"/>
      <c r="F1659" s="104"/>
      <c r="G1659" s="108"/>
      <c r="J1659" s="174"/>
      <c r="K1659" s="4"/>
    </row>
    <row r="1660" spans="3:11" x14ac:dyDescent="0.25">
      <c r="C1660" s="108"/>
      <c r="D1660" s="217"/>
      <c r="E1660" s="217"/>
      <c r="F1660" s="104"/>
      <c r="G1660" s="108"/>
      <c r="J1660" s="174"/>
      <c r="K1660" s="4"/>
    </row>
    <row r="1661" spans="3:11" x14ac:dyDescent="0.25">
      <c r="C1661" s="108"/>
      <c r="D1661" s="217"/>
      <c r="E1661" s="217"/>
      <c r="F1661" s="104"/>
      <c r="G1661" s="108"/>
      <c r="J1661" s="174"/>
      <c r="K1661" s="4"/>
    </row>
    <row r="1662" spans="3:11" x14ac:dyDescent="0.25">
      <c r="C1662" s="108"/>
      <c r="D1662" s="217"/>
      <c r="E1662" s="217"/>
      <c r="F1662" s="104"/>
      <c r="G1662" s="108"/>
      <c r="J1662" s="174"/>
      <c r="K1662" s="4"/>
    </row>
    <row r="1663" spans="3:11" x14ac:dyDescent="0.25">
      <c r="C1663" s="108"/>
      <c r="D1663" s="217"/>
      <c r="E1663" s="217"/>
      <c r="F1663" s="104"/>
      <c r="G1663" s="108"/>
      <c r="J1663" s="174"/>
      <c r="K1663" s="4"/>
    </row>
    <row r="1664" spans="3:11" x14ac:dyDescent="0.25">
      <c r="C1664" s="108"/>
      <c r="D1664" s="217"/>
      <c r="E1664" s="217"/>
      <c r="F1664" s="104"/>
      <c r="G1664" s="108"/>
      <c r="J1664" s="174"/>
      <c r="K1664" s="4"/>
    </row>
    <row r="1665" spans="3:11" x14ac:dyDescent="0.25">
      <c r="C1665" s="108"/>
      <c r="D1665" s="217"/>
      <c r="E1665" s="217"/>
      <c r="F1665" s="104"/>
      <c r="G1665" s="108"/>
      <c r="J1665" s="174"/>
      <c r="K1665" s="4"/>
    </row>
    <row r="1666" spans="3:11" x14ac:dyDescent="0.25">
      <c r="C1666" s="108"/>
      <c r="D1666" s="217"/>
      <c r="E1666" s="217"/>
      <c r="F1666" s="104"/>
      <c r="G1666" s="108"/>
      <c r="J1666" s="174"/>
      <c r="K1666" s="4"/>
    </row>
    <row r="1667" spans="3:11" x14ac:dyDescent="0.25">
      <c r="C1667" s="108"/>
      <c r="D1667" s="217"/>
      <c r="E1667" s="217"/>
      <c r="F1667" s="104"/>
      <c r="G1667" s="108"/>
      <c r="J1667" s="174"/>
      <c r="K1667" s="4"/>
    </row>
    <row r="1668" spans="3:11" x14ac:dyDescent="0.25">
      <c r="C1668" s="108"/>
      <c r="D1668" s="217"/>
      <c r="E1668" s="217"/>
      <c r="F1668" s="104"/>
      <c r="G1668" s="108"/>
      <c r="J1668" s="174"/>
      <c r="K1668" s="4"/>
    </row>
    <row r="1669" spans="3:11" x14ac:dyDescent="0.25">
      <c r="C1669" s="108"/>
      <c r="D1669" s="217"/>
      <c r="E1669" s="217"/>
      <c r="F1669" s="104"/>
      <c r="G1669" s="108"/>
      <c r="J1669" s="174"/>
      <c r="K1669" s="4"/>
    </row>
    <row r="1670" spans="3:11" x14ac:dyDescent="0.25">
      <c r="C1670" s="108"/>
      <c r="D1670" s="217"/>
      <c r="E1670" s="217"/>
      <c r="F1670" s="104"/>
      <c r="G1670" s="108"/>
      <c r="J1670" s="174"/>
      <c r="K1670" s="4"/>
    </row>
    <row r="1671" spans="3:11" x14ac:dyDescent="0.25">
      <c r="C1671" s="108"/>
      <c r="D1671" s="217"/>
      <c r="E1671" s="217"/>
      <c r="F1671" s="104"/>
      <c r="G1671" s="108"/>
      <c r="J1671" s="174"/>
      <c r="K1671" s="4"/>
    </row>
    <row r="1672" spans="3:11" x14ac:dyDescent="0.25">
      <c r="C1672" s="108"/>
      <c r="D1672" s="217"/>
      <c r="E1672" s="217"/>
      <c r="F1672" s="104"/>
      <c r="G1672" s="108"/>
      <c r="J1672" s="174"/>
      <c r="K1672" s="4"/>
    </row>
    <row r="1673" spans="3:11" x14ac:dyDescent="0.25">
      <c r="C1673" s="108"/>
      <c r="D1673" s="217"/>
      <c r="E1673" s="217"/>
      <c r="F1673" s="104"/>
      <c r="G1673" s="108"/>
      <c r="J1673" s="174"/>
      <c r="K1673" s="4"/>
    </row>
    <row r="1674" spans="3:11" x14ac:dyDescent="0.25">
      <c r="C1674" s="108"/>
      <c r="D1674" s="217"/>
      <c r="E1674" s="217"/>
      <c r="F1674" s="104"/>
      <c r="G1674" s="108"/>
      <c r="J1674" s="174"/>
      <c r="K1674" s="4"/>
    </row>
    <row r="1675" spans="3:11" x14ac:dyDescent="0.25">
      <c r="C1675" s="108"/>
      <c r="D1675" s="217"/>
      <c r="E1675" s="217"/>
      <c r="F1675" s="104"/>
      <c r="G1675" s="108"/>
      <c r="J1675" s="174"/>
      <c r="K1675" s="4"/>
    </row>
    <row r="1676" spans="3:11" x14ac:dyDescent="0.25">
      <c r="C1676" s="108"/>
      <c r="D1676" s="217"/>
      <c r="E1676" s="217"/>
      <c r="F1676" s="104"/>
      <c r="G1676" s="108"/>
      <c r="J1676" s="174"/>
      <c r="K1676" s="4"/>
    </row>
    <row r="1677" spans="3:11" x14ac:dyDescent="0.25">
      <c r="C1677" s="108"/>
      <c r="D1677" s="217"/>
      <c r="E1677" s="217"/>
      <c r="F1677" s="104"/>
      <c r="G1677" s="108"/>
      <c r="J1677" s="174"/>
      <c r="K1677" s="4"/>
    </row>
    <row r="1678" spans="3:11" x14ac:dyDescent="0.25">
      <c r="C1678" s="108"/>
      <c r="D1678" s="217"/>
      <c r="E1678" s="217"/>
      <c r="F1678" s="104"/>
      <c r="G1678" s="108"/>
      <c r="J1678" s="174"/>
      <c r="K1678" s="4"/>
    </row>
    <row r="1679" spans="3:11" x14ac:dyDescent="0.25">
      <c r="C1679" s="108"/>
      <c r="D1679" s="217"/>
      <c r="E1679" s="217"/>
      <c r="F1679" s="104"/>
      <c r="G1679" s="108"/>
      <c r="J1679" s="174"/>
      <c r="K1679" s="4"/>
    </row>
    <row r="1680" spans="3:11" x14ac:dyDescent="0.25">
      <c r="C1680" s="108"/>
      <c r="D1680" s="217"/>
      <c r="E1680" s="217"/>
      <c r="F1680" s="104"/>
      <c r="G1680" s="108"/>
      <c r="J1680" s="174"/>
      <c r="K1680" s="4"/>
    </row>
    <row r="1681" spans="3:11" x14ac:dyDescent="0.25">
      <c r="C1681" s="108"/>
      <c r="D1681" s="217"/>
      <c r="E1681" s="217"/>
      <c r="F1681" s="104"/>
      <c r="G1681" s="108"/>
      <c r="J1681" s="174"/>
      <c r="K1681" s="4"/>
    </row>
    <row r="1682" spans="3:11" x14ac:dyDescent="0.25">
      <c r="C1682" s="108"/>
      <c r="D1682" s="217"/>
      <c r="E1682" s="217"/>
      <c r="F1682" s="104"/>
      <c r="G1682" s="108"/>
      <c r="J1682" s="174"/>
      <c r="K1682" s="4"/>
    </row>
    <row r="1683" spans="3:11" x14ac:dyDescent="0.25">
      <c r="C1683" s="108"/>
      <c r="D1683" s="217"/>
      <c r="E1683" s="217"/>
      <c r="F1683" s="104"/>
      <c r="G1683" s="108"/>
      <c r="J1683" s="174"/>
      <c r="K1683" s="4"/>
    </row>
    <row r="1684" spans="3:11" x14ac:dyDescent="0.25">
      <c r="C1684" s="108"/>
      <c r="D1684" s="217"/>
      <c r="E1684" s="217"/>
      <c r="F1684" s="104"/>
      <c r="G1684" s="108"/>
      <c r="J1684" s="174"/>
      <c r="K1684" s="4"/>
    </row>
    <row r="1685" spans="3:11" x14ac:dyDescent="0.25">
      <c r="C1685" s="108"/>
      <c r="D1685" s="217"/>
      <c r="E1685" s="217"/>
      <c r="F1685" s="104"/>
      <c r="G1685" s="108"/>
      <c r="J1685" s="174"/>
      <c r="K1685" s="4"/>
    </row>
    <row r="1686" spans="3:11" x14ac:dyDescent="0.25">
      <c r="C1686" s="108"/>
      <c r="D1686" s="217"/>
      <c r="E1686" s="217"/>
      <c r="F1686" s="104"/>
      <c r="G1686" s="108"/>
      <c r="J1686" s="174"/>
      <c r="K1686" s="4"/>
    </row>
    <row r="1687" spans="3:11" x14ac:dyDescent="0.25">
      <c r="C1687" s="108"/>
      <c r="D1687" s="217"/>
      <c r="E1687" s="217"/>
      <c r="F1687" s="104"/>
      <c r="G1687" s="108"/>
      <c r="J1687" s="174"/>
      <c r="K1687" s="4"/>
    </row>
    <row r="1688" spans="3:11" x14ac:dyDescent="0.25">
      <c r="C1688" s="108"/>
      <c r="D1688" s="217"/>
      <c r="E1688" s="217"/>
      <c r="F1688" s="104"/>
      <c r="G1688" s="108"/>
      <c r="J1688" s="174"/>
      <c r="K1688" s="4"/>
    </row>
    <row r="1689" spans="3:11" x14ac:dyDescent="0.25">
      <c r="C1689" s="108"/>
      <c r="D1689" s="217"/>
      <c r="E1689" s="217"/>
      <c r="F1689" s="104"/>
      <c r="G1689" s="108"/>
      <c r="J1689" s="174"/>
      <c r="K1689" s="4"/>
    </row>
    <row r="1690" spans="3:11" x14ac:dyDescent="0.25">
      <c r="C1690" s="108"/>
      <c r="D1690" s="217"/>
      <c r="E1690" s="217"/>
      <c r="F1690" s="104"/>
      <c r="G1690" s="108"/>
      <c r="J1690" s="174"/>
      <c r="K1690" s="4"/>
    </row>
    <row r="1691" spans="3:11" x14ac:dyDescent="0.25">
      <c r="C1691" s="108"/>
      <c r="D1691" s="217"/>
      <c r="E1691" s="217"/>
      <c r="F1691" s="104"/>
      <c r="G1691" s="108"/>
      <c r="J1691" s="174"/>
      <c r="K1691" s="4"/>
    </row>
    <row r="1692" spans="3:11" x14ac:dyDescent="0.25">
      <c r="C1692" s="108"/>
      <c r="D1692" s="217"/>
      <c r="E1692" s="217"/>
      <c r="F1692" s="104"/>
      <c r="G1692" s="108"/>
      <c r="J1692" s="174"/>
      <c r="K1692" s="4"/>
    </row>
    <row r="1693" spans="3:11" x14ac:dyDescent="0.25">
      <c r="C1693" s="108"/>
      <c r="D1693" s="217"/>
      <c r="E1693" s="217"/>
      <c r="F1693" s="104"/>
      <c r="G1693" s="108"/>
      <c r="J1693" s="174"/>
      <c r="K1693" s="4"/>
    </row>
    <row r="1694" spans="3:11" x14ac:dyDescent="0.25">
      <c r="C1694" s="108"/>
      <c r="D1694" s="217"/>
      <c r="E1694" s="217"/>
      <c r="F1694" s="104"/>
      <c r="G1694" s="108"/>
      <c r="J1694" s="174"/>
      <c r="K1694" s="4"/>
    </row>
    <row r="1695" spans="3:11" x14ac:dyDescent="0.25">
      <c r="C1695" s="108"/>
      <c r="D1695" s="217"/>
      <c r="E1695" s="217"/>
      <c r="F1695" s="104"/>
      <c r="G1695" s="108"/>
      <c r="J1695" s="174"/>
      <c r="K1695" s="4"/>
    </row>
    <row r="1696" spans="3:11" x14ac:dyDescent="0.25">
      <c r="C1696" s="108"/>
      <c r="D1696" s="217"/>
      <c r="E1696" s="217"/>
      <c r="F1696" s="104"/>
      <c r="G1696" s="108"/>
      <c r="J1696" s="174"/>
      <c r="K1696" s="4"/>
    </row>
    <row r="1697" spans="3:11" x14ac:dyDescent="0.25">
      <c r="C1697" s="108"/>
      <c r="D1697" s="217"/>
      <c r="E1697" s="217"/>
      <c r="F1697" s="104"/>
      <c r="G1697" s="108"/>
      <c r="J1697" s="174"/>
      <c r="K1697" s="4"/>
    </row>
    <row r="1698" spans="3:11" x14ac:dyDescent="0.25">
      <c r="C1698" s="108"/>
      <c r="D1698" s="217"/>
      <c r="E1698" s="217"/>
      <c r="F1698" s="104"/>
      <c r="G1698" s="108"/>
      <c r="J1698" s="174"/>
      <c r="K1698" s="4"/>
    </row>
    <row r="1699" spans="3:11" x14ac:dyDescent="0.25">
      <c r="C1699" s="108"/>
      <c r="D1699" s="217"/>
      <c r="E1699" s="217"/>
      <c r="F1699" s="104"/>
      <c r="G1699" s="108"/>
      <c r="J1699" s="174"/>
      <c r="K1699" s="4"/>
    </row>
    <row r="1700" spans="3:11" x14ac:dyDescent="0.25">
      <c r="C1700" s="108"/>
      <c r="D1700" s="217"/>
      <c r="E1700" s="217"/>
      <c r="F1700" s="104"/>
      <c r="G1700" s="108"/>
      <c r="J1700" s="174"/>
      <c r="K1700" s="4"/>
    </row>
    <row r="1701" spans="3:11" x14ac:dyDescent="0.25">
      <c r="C1701" s="108"/>
      <c r="D1701" s="217"/>
      <c r="E1701" s="217"/>
      <c r="F1701" s="104"/>
      <c r="G1701" s="108"/>
      <c r="J1701" s="174"/>
      <c r="K1701" s="4"/>
    </row>
    <row r="1702" spans="3:11" x14ac:dyDescent="0.25">
      <c r="C1702" s="108"/>
      <c r="D1702" s="217"/>
      <c r="E1702" s="217"/>
      <c r="F1702" s="104"/>
      <c r="G1702" s="108"/>
      <c r="J1702" s="174"/>
      <c r="K1702" s="4"/>
    </row>
    <row r="1703" spans="3:11" x14ac:dyDescent="0.25">
      <c r="C1703" s="108"/>
      <c r="D1703" s="217"/>
      <c r="E1703" s="217"/>
      <c r="F1703" s="104"/>
      <c r="G1703" s="108"/>
      <c r="J1703" s="174"/>
      <c r="K1703" s="4"/>
    </row>
    <row r="1704" spans="3:11" x14ac:dyDescent="0.25">
      <c r="C1704" s="108"/>
      <c r="D1704" s="217"/>
      <c r="E1704" s="217"/>
      <c r="F1704" s="104"/>
      <c r="G1704" s="108"/>
      <c r="J1704" s="174"/>
      <c r="K1704" s="4"/>
    </row>
    <row r="1705" spans="3:11" x14ac:dyDescent="0.25">
      <c r="C1705" s="108"/>
      <c r="D1705" s="217"/>
      <c r="E1705" s="217"/>
      <c r="F1705" s="104"/>
      <c r="G1705" s="108"/>
      <c r="J1705" s="174"/>
      <c r="K1705" s="4"/>
    </row>
    <row r="1706" spans="3:11" x14ac:dyDescent="0.25">
      <c r="C1706" s="108"/>
      <c r="D1706" s="217"/>
      <c r="E1706" s="217"/>
      <c r="F1706" s="104"/>
      <c r="G1706" s="108"/>
      <c r="J1706" s="174"/>
      <c r="K1706" s="4"/>
    </row>
    <row r="1707" spans="3:11" x14ac:dyDescent="0.25">
      <c r="C1707" s="108"/>
      <c r="D1707" s="217"/>
      <c r="E1707" s="217"/>
      <c r="F1707" s="104"/>
      <c r="G1707" s="108"/>
      <c r="J1707" s="174"/>
      <c r="K1707" s="4"/>
    </row>
    <row r="1708" spans="3:11" x14ac:dyDescent="0.25">
      <c r="C1708" s="108"/>
      <c r="D1708" s="217"/>
      <c r="E1708" s="217"/>
      <c r="F1708" s="104"/>
      <c r="G1708" s="108"/>
      <c r="J1708" s="174"/>
      <c r="K1708" s="4"/>
    </row>
    <row r="1709" spans="3:11" x14ac:dyDescent="0.25">
      <c r="C1709" s="108"/>
      <c r="D1709" s="217"/>
      <c r="E1709" s="217"/>
      <c r="F1709" s="104"/>
      <c r="G1709" s="108"/>
      <c r="J1709" s="174"/>
      <c r="K1709" s="4"/>
    </row>
    <row r="1710" spans="3:11" x14ac:dyDescent="0.25">
      <c r="C1710" s="108"/>
      <c r="D1710" s="217"/>
      <c r="E1710" s="217"/>
      <c r="F1710" s="104"/>
      <c r="G1710" s="108"/>
      <c r="J1710" s="174"/>
      <c r="K1710" s="4"/>
    </row>
    <row r="1711" spans="3:11" x14ac:dyDescent="0.25">
      <c r="C1711" s="108"/>
      <c r="D1711" s="217"/>
      <c r="E1711" s="217"/>
      <c r="F1711" s="104"/>
      <c r="G1711" s="108"/>
      <c r="J1711" s="174"/>
      <c r="K1711" s="4"/>
    </row>
    <row r="1712" spans="3:11" x14ac:dyDescent="0.25">
      <c r="C1712" s="108"/>
      <c r="D1712" s="217"/>
      <c r="E1712" s="217"/>
      <c r="F1712" s="104"/>
      <c r="G1712" s="108"/>
      <c r="J1712" s="174"/>
      <c r="K1712" s="4"/>
    </row>
    <row r="1713" spans="3:11" x14ac:dyDescent="0.25">
      <c r="C1713" s="108"/>
      <c r="D1713" s="217"/>
      <c r="E1713" s="217"/>
      <c r="F1713" s="104"/>
      <c r="G1713" s="108"/>
      <c r="J1713" s="174"/>
      <c r="K1713" s="4"/>
    </row>
    <row r="1714" spans="3:11" x14ac:dyDescent="0.25">
      <c r="C1714" s="108"/>
      <c r="D1714" s="217"/>
      <c r="E1714" s="217"/>
      <c r="F1714" s="104"/>
      <c r="G1714" s="108"/>
      <c r="J1714" s="174"/>
      <c r="K1714" s="4"/>
    </row>
    <row r="1715" spans="3:11" x14ac:dyDescent="0.25">
      <c r="C1715" s="108"/>
      <c r="D1715" s="217"/>
      <c r="E1715" s="217"/>
      <c r="F1715" s="104"/>
      <c r="G1715" s="108"/>
      <c r="J1715" s="174"/>
      <c r="K1715" s="4"/>
    </row>
    <row r="1716" spans="3:11" x14ac:dyDescent="0.25">
      <c r="C1716" s="108"/>
      <c r="D1716" s="217"/>
      <c r="E1716" s="217"/>
      <c r="F1716" s="104"/>
      <c r="G1716" s="108"/>
      <c r="J1716" s="174"/>
      <c r="K1716" s="4"/>
    </row>
    <row r="1717" spans="3:11" x14ac:dyDescent="0.25">
      <c r="C1717" s="108"/>
      <c r="D1717" s="217"/>
      <c r="E1717" s="217"/>
      <c r="F1717" s="104"/>
      <c r="G1717" s="108"/>
      <c r="J1717" s="174"/>
      <c r="K1717" s="4"/>
    </row>
    <row r="1718" spans="3:11" x14ac:dyDescent="0.25">
      <c r="C1718" s="108"/>
      <c r="D1718" s="217"/>
      <c r="E1718" s="217"/>
      <c r="F1718" s="104"/>
      <c r="G1718" s="108"/>
      <c r="J1718" s="174"/>
      <c r="K1718" s="4"/>
    </row>
    <row r="1719" spans="3:11" x14ac:dyDescent="0.25">
      <c r="C1719" s="108"/>
      <c r="D1719" s="217"/>
      <c r="E1719" s="217"/>
      <c r="F1719" s="104"/>
      <c r="G1719" s="108"/>
      <c r="J1719" s="174"/>
      <c r="K1719" s="4"/>
    </row>
    <row r="1720" spans="3:11" x14ac:dyDescent="0.25">
      <c r="C1720" s="108"/>
      <c r="D1720" s="217"/>
      <c r="E1720" s="217"/>
      <c r="F1720" s="104"/>
      <c r="G1720" s="108"/>
      <c r="J1720" s="174"/>
      <c r="K1720" s="4"/>
    </row>
    <row r="1721" spans="3:11" x14ac:dyDescent="0.25">
      <c r="C1721" s="108"/>
      <c r="D1721" s="217"/>
      <c r="E1721" s="217"/>
      <c r="F1721" s="104"/>
      <c r="G1721" s="108"/>
      <c r="J1721" s="174"/>
      <c r="K1721" s="4"/>
    </row>
    <row r="1722" spans="3:11" x14ac:dyDescent="0.25">
      <c r="C1722" s="108"/>
      <c r="D1722" s="217"/>
      <c r="E1722" s="217"/>
      <c r="F1722" s="104"/>
      <c r="G1722" s="108"/>
      <c r="J1722" s="174"/>
      <c r="K1722" s="4"/>
    </row>
    <row r="1723" spans="3:11" x14ac:dyDescent="0.25">
      <c r="C1723" s="108"/>
      <c r="D1723" s="217"/>
      <c r="E1723" s="217"/>
      <c r="F1723" s="104"/>
      <c r="G1723" s="108"/>
      <c r="J1723" s="174"/>
      <c r="K1723" s="4"/>
    </row>
    <row r="1724" spans="3:11" x14ac:dyDescent="0.25">
      <c r="C1724" s="108"/>
      <c r="D1724" s="217"/>
      <c r="E1724" s="217"/>
      <c r="F1724" s="104"/>
      <c r="G1724" s="108"/>
      <c r="J1724" s="174"/>
      <c r="K1724" s="4"/>
    </row>
    <row r="1725" spans="3:11" x14ac:dyDescent="0.25">
      <c r="C1725" s="108"/>
      <c r="D1725" s="217"/>
      <c r="E1725" s="217"/>
      <c r="F1725" s="104"/>
      <c r="G1725" s="108"/>
      <c r="J1725" s="174"/>
      <c r="K1725" s="4"/>
    </row>
    <row r="1726" spans="3:11" x14ac:dyDescent="0.25">
      <c r="C1726" s="108"/>
      <c r="D1726" s="217"/>
      <c r="E1726" s="217"/>
      <c r="F1726" s="104"/>
      <c r="G1726" s="108"/>
      <c r="J1726" s="174"/>
      <c r="K1726" s="4"/>
    </row>
    <row r="1727" spans="3:11" x14ac:dyDescent="0.25">
      <c r="C1727" s="108"/>
      <c r="D1727" s="217"/>
      <c r="E1727" s="217"/>
      <c r="F1727" s="104"/>
      <c r="G1727" s="108"/>
      <c r="J1727" s="174"/>
      <c r="K1727" s="4"/>
    </row>
    <row r="1728" spans="3:11" x14ac:dyDescent="0.25">
      <c r="C1728" s="108"/>
      <c r="D1728" s="217"/>
      <c r="E1728" s="217"/>
      <c r="F1728" s="104"/>
      <c r="G1728" s="108"/>
      <c r="J1728" s="174"/>
      <c r="K1728" s="4"/>
    </row>
    <row r="1729" spans="3:11" x14ac:dyDescent="0.25">
      <c r="C1729" s="108"/>
      <c r="D1729" s="217"/>
      <c r="E1729" s="217"/>
      <c r="F1729" s="104"/>
      <c r="G1729" s="108"/>
      <c r="J1729" s="174"/>
      <c r="K1729" s="4"/>
    </row>
    <row r="1730" spans="3:11" x14ac:dyDescent="0.25">
      <c r="C1730" s="108"/>
      <c r="D1730" s="217"/>
      <c r="E1730" s="217"/>
      <c r="F1730" s="104"/>
      <c r="G1730" s="108"/>
      <c r="J1730" s="174"/>
      <c r="K1730" s="4"/>
    </row>
    <row r="1731" spans="3:11" x14ac:dyDescent="0.25">
      <c r="C1731" s="108"/>
      <c r="D1731" s="217"/>
      <c r="E1731" s="217"/>
      <c r="F1731" s="104"/>
      <c r="G1731" s="108"/>
      <c r="J1731" s="174"/>
      <c r="K1731" s="4"/>
    </row>
    <row r="1732" spans="3:11" x14ac:dyDescent="0.25">
      <c r="C1732" s="108"/>
      <c r="D1732" s="217"/>
      <c r="E1732" s="217"/>
      <c r="F1732" s="104"/>
      <c r="G1732" s="108"/>
      <c r="J1732" s="174"/>
      <c r="K1732" s="4"/>
    </row>
    <row r="1733" spans="3:11" x14ac:dyDescent="0.25">
      <c r="C1733" s="108"/>
      <c r="D1733" s="217"/>
      <c r="E1733" s="217"/>
      <c r="F1733" s="104"/>
      <c r="G1733" s="108"/>
      <c r="J1733" s="174"/>
      <c r="K1733" s="4"/>
    </row>
    <row r="1734" spans="3:11" x14ac:dyDescent="0.25">
      <c r="C1734" s="108"/>
      <c r="D1734" s="217"/>
      <c r="E1734" s="217"/>
      <c r="F1734" s="104"/>
      <c r="G1734" s="108"/>
      <c r="J1734" s="174"/>
      <c r="K1734" s="4"/>
    </row>
    <row r="1735" spans="3:11" x14ac:dyDescent="0.25">
      <c r="C1735" s="108"/>
      <c r="D1735" s="217"/>
      <c r="E1735" s="217"/>
      <c r="F1735" s="104"/>
      <c r="G1735" s="108"/>
      <c r="J1735" s="174"/>
      <c r="K1735" s="4"/>
    </row>
    <row r="1736" spans="3:11" x14ac:dyDescent="0.25">
      <c r="C1736" s="108"/>
      <c r="D1736" s="217"/>
      <c r="E1736" s="217"/>
      <c r="F1736" s="104"/>
      <c r="G1736" s="108"/>
      <c r="J1736" s="174"/>
      <c r="K1736" s="4"/>
    </row>
    <row r="1737" spans="3:11" x14ac:dyDescent="0.25">
      <c r="C1737" s="108"/>
      <c r="D1737" s="217"/>
      <c r="E1737" s="217"/>
      <c r="F1737" s="104"/>
      <c r="G1737" s="108"/>
      <c r="J1737" s="174"/>
      <c r="K1737" s="4"/>
    </row>
    <row r="1738" spans="3:11" x14ac:dyDescent="0.25">
      <c r="C1738" s="108"/>
      <c r="D1738" s="217"/>
      <c r="E1738" s="217"/>
      <c r="F1738" s="104"/>
      <c r="G1738" s="108"/>
      <c r="J1738" s="174"/>
      <c r="K1738" s="4"/>
    </row>
    <row r="1739" spans="3:11" x14ac:dyDescent="0.25">
      <c r="C1739" s="108"/>
      <c r="D1739" s="217"/>
      <c r="E1739" s="217"/>
      <c r="F1739" s="104"/>
      <c r="G1739" s="108"/>
      <c r="J1739" s="174"/>
      <c r="K1739" s="4"/>
    </row>
    <row r="1740" spans="3:11" x14ac:dyDescent="0.25">
      <c r="C1740" s="108"/>
      <c r="D1740" s="217"/>
      <c r="E1740" s="217"/>
      <c r="F1740" s="104"/>
      <c r="G1740" s="108"/>
      <c r="J1740" s="174"/>
      <c r="K1740" s="4"/>
    </row>
    <row r="1741" spans="3:11" x14ac:dyDescent="0.25">
      <c r="C1741" s="108"/>
      <c r="D1741" s="217"/>
      <c r="E1741" s="217"/>
      <c r="F1741" s="104"/>
      <c r="G1741" s="108"/>
      <c r="J1741" s="174"/>
      <c r="K1741" s="4"/>
    </row>
    <row r="1742" spans="3:11" x14ac:dyDescent="0.25">
      <c r="C1742" s="108"/>
      <c r="D1742" s="217"/>
      <c r="E1742" s="217"/>
      <c r="F1742" s="104"/>
      <c r="G1742" s="108"/>
      <c r="J1742" s="174"/>
      <c r="K1742" s="4"/>
    </row>
    <row r="1743" spans="3:11" x14ac:dyDescent="0.25">
      <c r="C1743" s="108"/>
      <c r="D1743" s="217"/>
      <c r="E1743" s="217"/>
      <c r="F1743" s="104"/>
      <c r="G1743" s="108"/>
      <c r="J1743" s="174"/>
      <c r="K1743" s="4"/>
    </row>
    <row r="1744" spans="3:11" x14ac:dyDescent="0.25">
      <c r="C1744" s="108"/>
      <c r="D1744" s="217"/>
      <c r="E1744" s="217"/>
      <c r="F1744" s="104"/>
      <c r="G1744" s="108"/>
      <c r="J1744" s="174"/>
      <c r="K1744" s="4"/>
    </row>
    <row r="1745" spans="3:11" x14ac:dyDescent="0.25">
      <c r="C1745" s="108"/>
      <c r="D1745" s="217"/>
      <c r="E1745" s="217"/>
      <c r="F1745" s="104"/>
      <c r="G1745" s="108"/>
      <c r="J1745" s="174"/>
      <c r="K1745" s="4"/>
    </row>
    <row r="1746" spans="3:11" x14ac:dyDescent="0.25">
      <c r="C1746" s="108"/>
      <c r="D1746" s="217"/>
      <c r="E1746" s="217"/>
      <c r="F1746" s="104"/>
      <c r="G1746" s="108"/>
      <c r="J1746" s="174"/>
      <c r="K1746" s="4"/>
    </row>
    <row r="1747" spans="3:11" x14ac:dyDescent="0.25">
      <c r="C1747" s="108"/>
      <c r="D1747" s="217"/>
      <c r="E1747" s="217"/>
      <c r="F1747" s="104"/>
      <c r="G1747" s="108"/>
      <c r="J1747" s="174"/>
      <c r="K1747" s="4"/>
    </row>
    <row r="1748" spans="3:11" x14ac:dyDescent="0.25">
      <c r="C1748" s="108"/>
      <c r="D1748" s="217"/>
      <c r="E1748" s="217"/>
      <c r="F1748" s="104"/>
      <c r="G1748" s="108"/>
      <c r="J1748" s="174"/>
      <c r="K1748" s="4"/>
    </row>
    <row r="1749" spans="3:11" x14ac:dyDescent="0.25">
      <c r="C1749" s="108"/>
      <c r="D1749" s="217"/>
      <c r="E1749" s="217"/>
      <c r="F1749" s="104"/>
      <c r="G1749" s="108"/>
      <c r="J1749" s="174"/>
      <c r="K1749" s="4"/>
    </row>
    <row r="1750" spans="3:11" x14ac:dyDescent="0.25">
      <c r="C1750" s="108"/>
      <c r="D1750" s="217"/>
      <c r="E1750" s="217"/>
      <c r="F1750" s="104"/>
      <c r="G1750" s="108"/>
      <c r="J1750" s="174"/>
      <c r="K1750" s="4"/>
    </row>
    <row r="1751" spans="3:11" x14ac:dyDescent="0.25">
      <c r="C1751" s="108"/>
      <c r="D1751" s="217"/>
      <c r="E1751" s="217"/>
      <c r="F1751" s="104"/>
      <c r="G1751" s="108"/>
      <c r="J1751" s="174"/>
      <c r="K1751" s="4"/>
    </row>
    <row r="1752" spans="3:11" x14ac:dyDescent="0.25">
      <c r="C1752" s="108"/>
      <c r="D1752" s="217"/>
      <c r="E1752" s="217"/>
      <c r="F1752" s="104"/>
      <c r="G1752" s="108"/>
      <c r="J1752" s="174"/>
      <c r="K1752" s="4"/>
    </row>
    <row r="1753" spans="3:11" x14ac:dyDescent="0.25">
      <c r="C1753" s="108"/>
      <c r="D1753" s="217"/>
      <c r="E1753" s="217"/>
      <c r="F1753" s="104"/>
      <c r="G1753" s="108"/>
      <c r="J1753" s="174"/>
      <c r="K1753" s="4"/>
    </row>
    <row r="1754" spans="3:11" x14ac:dyDescent="0.25">
      <c r="C1754" s="108"/>
      <c r="D1754" s="217"/>
      <c r="E1754" s="217"/>
      <c r="F1754" s="104"/>
      <c r="G1754" s="108"/>
      <c r="J1754" s="174"/>
      <c r="K1754" s="4"/>
    </row>
    <row r="1755" spans="3:11" x14ac:dyDescent="0.25">
      <c r="C1755" s="108"/>
      <c r="D1755" s="217"/>
      <c r="E1755" s="217"/>
      <c r="F1755" s="104"/>
      <c r="G1755" s="108"/>
      <c r="J1755" s="174"/>
      <c r="K1755" s="4"/>
    </row>
    <row r="1756" spans="3:11" x14ac:dyDescent="0.25">
      <c r="C1756" s="108"/>
      <c r="D1756" s="217"/>
      <c r="E1756" s="217"/>
      <c r="F1756" s="104"/>
      <c r="G1756" s="108"/>
      <c r="J1756" s="174"/>
      <c r="K1756" s="4"/>
    </row>
    <row r="1757" spans="3:11" x14ac:dyDescent="0.25">
      <c r="C1757" s="108"/>
      <c r="D1757" s="217"/>
      <c r="E1757" s="217"/>
      <c r="F1757" s="104"/>
      <c r="G1757" s="108"/>
      <c r="J1757" s="174"/>
      <c r="K1757" s="4"/>
    </row>
    <row r="1758" spans="3:11" x14ac:dyDescent="0.25">
      <c r="C1758" s="108"/>
      <c r="D1758" s="217"/>
      <c r="E1758" s="217"/>
      <c r="F1758" s="104"/>
      <c r="G1758" s="108"/>
      <c r="J1758" s="174"/>
      <c r="K1758" s="4"/>
    </row>
    <row r="1759" spans="3:11" x14ac:dyDescent="0.25">
      <c r="C1759" s="108"/>
      <c r="D1759" s="217"/>
      <c r="E1759" s="217"/>
      <c r="F1759" s="104"/>
      <c r="G1759" s="108"/>
      <c r="J1759" s="174"/>
      <c r="K1759" s="4"/>
    </row>
    <row r="1760" spans="3:11" x14ac:dyDescent="0.25">
      <c r="C1760" s="108"/>
      <c r="D1760" s="217"/>
      <c r="E1760" s="217"/>
      <c r="F1760" s="104"/>
      <c r="G1760" s="108"/>
      <c r="J1760" s="174"/>
      <c r="K1760" s="4"/>
    </row>
    <row r="1761" spans="3:11" x14ac:dyDescent="0.25">
      <c r="C1761" s="108"/>
      <c r="D1761" s="217"/>
      <c r="E1761" s="217"/>
      <c r="F1761" s="104"/>
      <c r="G1761" s="108"/>
      <c r="J1761" s="174"/>
      <c r="K1761" s="4"/>
    </row>
    <row r="1762" spans="3:11" x14ac:dyDescent="0.25">
      <c r="C1762" s="108"/>
      <c r="D1762" s="217"/>
      <c r="E1762" s="217"/>
      <c r="F1762" s="104"/>
      <c r="G1762" s="108"/>
      <c r="J1762" s="174"/>
      <c r="K1762" s="4"/>
    </row>
    <row r="1763" spans="3:11" x14ac:dyDescent="0.25">
      <c r="C1763" s="108"/>
      <c r="D1763" s="217"/>
      <c r="E1763" s="217"/>
      <c r="F1763" s="104"/>
      <c r="G1763" s="108"/>
      <c r="J1763" s="174"/>
      <c r="K1763" s="4"/>
    </row>
    <row r="1764" spans="3:11" x14ac:dyDescent="0.25">
      <c r="C1764" s="108"/>
      <c r="D1764" s="217"/>
      <c r="E1764" s="217"/>
      <c r="F1764" s="104"/>
      <c r="G1764" s="108"/>
      <c r="J1764" s="174"/>
      <c r="K1764" s="4"/>
    </row>
    <row r="1765" spans="3:11" x14ac:dyDescent="0.25">
      <c r="C1765" s="108"/>
      <c r="D1765" s="217"/>
      <c r="E1765" s="217"/>
      <c r="F1765" s="104"/>
      <c r="G1765" s="108"/>
      <c r="J1765" s="174"/>
      <c r="K1765" s="4"/>
    </row>
    <row r="1766" spans="3:11" x14ac:dyDescent="0.25">
      <c r="C1766" s="108"/>
      <c r="D1766" s="217"/>
      <c r="E1766" s="217"/>
      <c r="F1766" s="104"/>
      <c r="G1766" s="108"/>
      <c r="J1766" s="174"/>
      <c r="K1766" s="4"/>
    </row>
    <row r="1767" spans="3:11" x14ac:dyDescent="0.25">
      <c r="C1767" s="108"/>
      <c r="D1767" s="217"/>
      <c r="E1767" s="217"/>
      <c r="F1767" s="104"/>
      <c r="G1767" s="108"/>
      <c r="J1767" s="174"/>
      <c r="K1767" s="4"/>
    </row>
    <row r="1768" spans="3:11" x14ac:dyDescent="0.25">
      <c r="C1768" s="108"/>
      <c r="D1768" s="217"/>
      <c r="E1768" s="217"/>
      <c r="F1768" s="104"/>
      <c r="G1768" s="108"/>
      <c r="J1768" s="174"/>
      <c r="K1768" s="4"/>
    </row>
    <row r="1769" spans="3:11" x14ac:dyDescent="0.25">
      <c r="C1769" s="108"/>
      <c r="D1769" s="217"/>
      <c r="E1769" s="217"/>
      <c r="F1769" s="104"/>
      <c r="G1769" s="108"/>
      <c r="J1769" s="174"/>
      <c r="K1769" s="4"/>
    </row>
    <row r="1770" spans="3:11" x14ac:dyDescent="0.25">
      <c r="C1770" s="108"/>
      <c r="D1770" s="217"/>
      <c r="E1770" s="217"/>
      <c r="F1770" s="104"/>
      <c r="G1770" s="108"/>
      <c r="J1770" s="174"/>
      <c r="K1770" s="4"/>
    </row>
    <row r="1771" spans="3:11" x14ac:dyDescent="0.25">
      <c r="C1771" s="108"/>
      <c r="D1771" s="217"/>
      <c r="E1771" s="217"/>
      <c r="F1771" s="104"/>
      <c r="G1771" s="108"/>
      <c r="J1771" s="174"/>
      <c r="K1771" s="4"/>
    </row>
    <row r="1772" spans="3:11" x14ac:dyDescent="0.25">
      <c r="C1772" s="108"/>
      <c r="D1772" s="217"/>
      <c r="E1772" s="217"/>
      <c r="F1772" s="104"/>
      <c r="G1772" s="108"/>
      <c r="J1772" s="174"/>
      <c r="K1772" s="4"/>
    </row>
    <row r="1773" spans="3:11" x14ac:dyDescent="0.25">
      <c r="C1773" s="108"/>
      <c r="D1773" s="217"/>
      <c r="E1773" s="217"/>
      <c r="F1773" s="104"/>
      <c r="G1773" s="108"/>
      <c r="J1773" s="174"/>
      <c r="K1773" s="4"/>
    </row>
    <row r="1774" spans="3:11" x14ac:dyDescent="0.25">
      <c r="C1774" s="108"/>
      <c r="D1774" s="217"/>
      <c r="E1774" s="217"/>
      <c r="F1774" s="104"/>
      <c r="G1774" s="108"/>
      <c r="J1774" s="174"/>
      <c r="K1774" s="4"/>
    </row>
    <row r="1775" spans="3:11" x14ac:dyDescent="0.25">
      <c r="C1775" s="108"/>
      <c r="D1775" s="217"/>
      <c r="E1775" s="217"/>
      <c r="F1775" s="104"/>
      <c r="G1775" s="108"/>
      <c r="J1775" s="174"/>
      <c r="K1775" s="4"/>
    </row>
    <row r="1776" spans="3:11" x14ac:dyDescent="0.25">
      <c r="C1776" s="108"/>
      <c r="D1776" s="217"/>
      <c r="E1776" s="217"/>
      <c r="F1776" s="104"/>
      <c r="G1776" s="108"/>
      <c r="J1776" s="174"/>
      <c r="K1776" s="4"/>
    </row>
    <row r="1777" spans="3:11" x14ac:dyDescent="0.25">
      <c r="C1777" s="108"/>
      <c r="D1777" s="217"/>
      <c r="E1777" s="217"/>
      <c r="F1777" s="104"/>
      <c r="G1777" s="108"/>
      <c r="J1777" s="174"/>
      <c r="K1777" s="4"/>
    </row>
    <row r="1778" spans="3:11" x14ac:dyDescent="0.25">
      <c r="C1778" s="108"/>
      <c r="D1778" s="217"/>
      <c r="E1778" s="217"/>
      <c r="F1778" s="104"/>
      <c r="G1778" s="108"/>
      <c r="J1778" s="174"/>
      <c r="K1778" s="4"/>
    </row>
    <row r="1779" spans="3:11" x14ac:dyDescent="0.25">
      <c r="C1779" s="108"/>
      <c r="D1779" s="217"/>
      <c r="E1779" s="217"/>
      <c r="F1779" s="104"/>
      <c r="G1779" s="108"/>
      <c r="J1779" s="174"/>
      <c r="K1779" s="4"/>
    </row>
    <row r="1780" spans="3:11" x14ac:dyDescent="0.25">
      <c r="C1780" s="108"/>
      <c r="D1780" s="217"/>
      <c r="E1780" s="217"/>
      <c r="F1780" s="104"/>
      <c r="G1780" s="108"/>
      <c r="J1780" s="174"/>
      <c r="K1780" s="4"/>
    </row>
    <row r="1781" spans="3:11" x14ac:dyDescent="0.25">
      <c r="C1781" s="108"/>
      <c r="D1781" s="217"/>
      <c r="E1781" s="217"/>
      <c r="F1781" s="104"/>
      <c r="G1781" s="108"/>
      <c r="J1781" s="174"/>
      <c r="K1781" s="4"/>
    </row>
    <row r="1782" spans="3:11" x14ac:dyDescent="0.25">
      <c r="C1782" s="108"/>
      <c r="D1782" s="217"/>
      <c r="E1782" s="217"/>
      <c r="F1782" s="104"/>
      <c r="G1782" s="108"/>
      <c r="J1782" s="174"/>
      <c r="K1782" s="4"/>
    </row>
    <row r="1783" spans="3:11" x14ac:dyDescent="0.25">
      <c r="C1783" s="108"/>
      <c r="D1783" s="217"/>
      <c r="E1783" s="217"/>
      <c r="F1783" s="104"/>
      <c r="G1783" s="108"/>
      <c r="J1783" s="174"/>
      <c r="K1783" s="4"/>
    </row>
    <row r="1784" spans="3:11" x14ac:dyDescent="0.25">
      <c r="C1784" s="108"/>
      <c r="D1784" s="217"/>
      <c r="E1784" s="217"/>
      <c r="F1784" s="104"/>
      <c r="G1784" s="108"/>
      <c r="J1784" s="174"/>
      <c r="K1784" s="4"/>
    </row>
    <row r="1785" spans="3:11" x14ac:dyDescent="0.25">
      <c r="C1785" s="108"/>
      <c r="D1785" s="217"/>
      <c r="E1785" s="217"/>
      <c r="F1785" s="104"/>
      <c r="G1785" s="108"/>
      <c r="J1785" s="174"/>
      <c r="K1785" s="4"/>
    </row>
    <row r="1786" spans="3:11" x14ac:dyDescent="0.25">
      <c r="C1786" s="108"/>
      <c r="D1786" s="217"/>
      <c r="E1786" s="217"/>
      <c r="F1786" s="104"/>
      <c r="G1786" s="108"/>
      <c r="J1786" s="174"/>
      <c r="K1786" s="4"/>
    </row>
    <row r="1787" spans="3:11" x14ac:dyDescent="0.25">
      <c r="C1787" s="108"/>
      <c r="D1787" s="217"/>
      <c r="E1787" s="217"/>
      <c r="F1787" s="104"/>
      <c r="G1787" s="108"/>
      <c r="J1787" s="174"/>
      <c r="K1787" s="4"/>
    </row>
    <row r="1788" spans="3:11" x14ac:dyDescent="0.25">
      <c r="C1788" s="108"/>
      <c r="D1788" s="217"/>
      <c r="E1788" s="217"/>
      <c r="F1788" s="104"/>
      <c r="G1788" s="108"/>
      <c r="J1788" s="174"/>
      <c r="K1788" s="4"/>
    </row>
    <row r="1789" spans="3:11" x14ac:dyDescent="0.25">
      <c r="C1789" s="108"/>
      <c r="D1789" s="217"/>
      <c r="E1789" s="217"/>
      <c r="F1789" s="104"/>
      <c r="G1789" s="108"/>
      <c r="J1789" s="174"/>
      <c r="K1789" s="4"/>
    </row>
    <row r="1790" spans="3:11" x14ac:dyDescent="0.25">
      <c r="C1790" s="108"/>
      <c r="D1790" s="217"/>
      <c r="E1790" s="217"/>
      <c r="F1790" s="104"/>
      <c r="G1790" s="108"/>
      <c r="J1790" s="174"/>
      <c r="K1790" s="4"/>
    </row>
    <row r="1791" spans="3:11" x14ac:dyDescent="0.25">
      <c r="C1791" s="108"/>
      <c r="D1791" s="217"/>
      <c r="E1791" s="217"/>
      <c r="F1791" s="104"/>
      <c r="G1791" s="108"/>
      <c r="J1791" s="174"/>
      <c r="K1791" s="4"/>
    </row>
    <row r="1792" spans="3:11" x14ac:dyDescent="0.25">
      <c r="C1792" s="108"/>
      <c r="D1792" s="217"/>
      <c r="E1792" s="217"/>
      <c r="F1792" s="104"/>
      <c r="G1792" s="108"/>
      <c r="J1792" s="174"/>
      <c r="K1792" s="4"/>
    </row>
    <row r="1793" spans="3:11" x14ac:dyDescent="0.25">
      <c r="C1793" s="108"/>
      <c r="D1793" s="217"/>
      <c r="E1793" s="217"/>
      <c r="F1793" s="104"/>
      <c r="G1793" s="108"/>
      <c r="J1793" s="174"/>
      <c r="K1793" s="4"/>
    </row>
    <row r="1794" spans="3:11" x14ac:dyDescent="0.25">
      <c r="C1794" s="108"/>
      <c r="D1794" s="217"/>
      <c r="E1794" s="217"/>
      <c r="F1794" s="104"/>
      <c r="G1794" s="108"/>
      <c r="J1794" s="174"/>
      <c r="K1794" s="4"/>
    </row>
    <row r="1795" spans="3:11" x14ac:dyDescent="0.25">
      <c r="C1795" s="108"/>
      <c r="D1795" s="217"/>
      <c r="E1795" s="217"/>
      <c r="F1795" s="104"/>
      <c r="G1795" s="108"/>
      <c r="J1795" s="174"/>
      <c r="K1795" s="4"/>
    </row>
    <row r="1796" spans="3:11" x14ac:dyDescent="0.25">
      <c r="C1796" s="108"/>
      <c r="D1796" s="217"/>
      <c r="E1796" s="217"/>
      <c r="F1796" s="104"/>
      <c r="G1796" s="108"/>
      <c r="J1796" s="174"/>
      <c r="K1796" s="4"/>
    </row>
    <row r="1797" spans="3:11" x14ac:dyDescent="0.25">
      <c r="C1797" s="108"/>
      <c r="D1797" s="217"/>
      <c r="E1797" s="217"/>
      <c r="F1797" s="104"/>
      <c r="G1797" s="108"/>
      <c r="J1797" s="174"/>
      <c r="K1797" s="4"/>
    </row>
    <row r="1798" spans="3:11" x14ac:dyDescent="0.25">
      <c r="C1798" s="108"/>
      <c r="D1798" s="217"/>
      <c r="E1798" s="217"/>
      <c r="F1798" s="104"/>
      <c r="G1798" s="108"/>
      <c r="J1798" s="174"/>
      <c r="K1798" s="4"/>
    </row>
    <row r="1799" spans="3:11" x14ac:dyDescent="0.25">
      <c r="C1799" s="108"/>
      <c r="D1799" s="217"/>
      <c r="E1799" s="217"/>
      <c r="F1799" s="104"/>
      <c r="G1799" s="108"/>
      <c r="J1799" s="174"/>
      <c r="K1799" s="4"/>
    </row>
    <row r="1800" spans="3:11" x14ac:dyDescent="0.25">
      <c r="C1800" s="108"/>
      <c r="D1800" s="217"/>
      <c r="E1800" s="217"/>
      <c r="F1800" s="104"/>
      <c r="G1800" s="108"/>
      <c r="J1800" s="174"/>
      <c r="K1800" s="4"/>
    </row>
    <row r="1801" spans="3:11" x14ac:dyDescent="0.25">
      <c r="C1801" s="108"/>
      <c r="D1801" s="217"/>
      <c r="E1801" s="217"/>
      <c r="F1801" s="104"/>
      <c r="G1801" s="108"/>
      <c r="J1801" s="174"/>
      <c r="K1801" s="4"/>
    </row>
    <row r="1802" spans="3:11" x14ac:dyDescent="0.25">
      <c r="C1802" s="108"/>
      <c r="D1802" s="217"/>
      <c r="E1802" s="217"/>
      <c r="F1802" s="104"/>
      <c r="G1802" s="108"/>
      <c r="J1802" s="174"/>
      <c r="K1802" s="4"/>
    </row>
    <row r="1803" spans="3:11" x14ac:dyDescent="0.25">
      <c r="C1803" s="108"/>
      <c r="D1803" s="217"/>
      <c r="E1803" s="217"/>
      <c r="F1803" s="104"/>
      <c r="G1803" s="108"/>
      <c r="J1803" s="174"/>
      <c r="K1803" s="4"/>
    </row>
    <row r="1804" spans="3:11" x14ac:dyDescent="0.25">
      <c r="C1804" s="108"/>
      <c r="D1804" s="217"/>
      <c r="E1804" s="217"/>
      <c r="F1804" s="104"/>
      <c r="G1804" s="108"/>
      <c r="J1804" s="174"/>
      <c r="K1804" s="4"/>
    </row>
    <row r="1805" spans="3:11" x14ac:dyDescent="0.25">
      <c r="C1805" s="108"/>
      <c r="D1805" s="217"/>
      <c r="E1805" s="217"/>
      <c r="F1805" s="104"/>
      <c r="G1805" s="108"/>
      <c r="J1805" s="174"/>
      <c r="K1805" s="4"/>
    </row>
    <row r="1806" spans="3:11" x14ac:dyDescent="0.25">
      <c r="C1806" s="108"/>
      <c r="D1806" s="217"/>
      <c r="E1806" s="217"/>
      <c r="F1806" s="104"/>
      <c r="G1806" s="108"/>
      <c r="J1806" s="174"/>
      <c r="K1806" s="4"/>
    </row>
    <row r="1807" spans="3:11" x14ac:dyDescent="0.25">
      <c r="C1807" s="108"/>
      <c r="D1807" s="217"/>
      <c r="E1807" s="217"/>
      <c r="F1807" s="104"/>
      <c r="G1807" s="108"/>
      <c r="J1807" s="174"/>
      <c r="K1807" s="4"/>
    </row>
    <row r="1808" spans="3:11" x14ac:dyDescent="0.25">
      <c r="C1808" s="108"/>
      <c r="D1808" s="217"/>
      <c r="E1808" s="217"/>
      <c r="F1808" s="104"/>
      <c r="G1808" s="108"/>
      <c r="J1808" s="174"/>
      <c r="K1808" s="4"/>
    </row>
    <row r="1809" spans="3:11" x14ac:dyDescent="0.25">
      <c r="C1809" s="108"/>
      <c r="D1809" s="217"/>
      <c r="E1809" s="217"/>
      <c r="F1809" s="104"/>
      <c r="G1809" s="108"/>
      <c r="J1809" s="174"/>
      <c r="K1809" s="4"/>
    </row>
    <row r="1810" spans="3:11" x14ac:dyDescent="0.25">
      <c r="C1810" s="108"/>
      <c r="D1810" s="217"/>
      <c r="E1810" s="217"/>
      <c r="F1810" s="104"/>
      <c r="G1810" s="108"/>
      <c r="J1810" s="174"/>
      <c r="K1810" s="4"/>
    </row>
    <row r="1811" spans="3:11" x14ac:dyDescent="0.25">
      <c r="C1811" s="108"/>
      <c r="D1811" s="217"/>
      <c r="E1811" s="217"/>
      <c r="F1811" s="104"/>
      <c r="G1811" s="108"/>
      <c r="J1811" s="174"/>
      <c r="K1811" s="4"/>
    </row>
    <row r="1812" spans="3:11" x14ac:dyDescent="0.25">
      <c r="C1812" s="108"/>
      <c r="D1812" s="217"/>
      <c r="E1812" s="217"/>
      <c r="F1812" s="104"/>
      <c r="G1812" s="108"/>
      <c r="J1812" s="174"/>
      <c r="K1812" s="4"/>
    </row>
    <row r="1813" spans="3:11" x14ac:dyDescent="0.25">
      <c r="C1813" s="108"/>
      <c r="D1813" s="217"/>
      <c r="E1813" s="217"/>
      <c r="F1813" s="104"/>
      <c r="G1813" s="108"/>
      <c r="J1813" s="174"/>
      <c r="K1813" s="4"/>
    </row>
    <row r="1814" spans="3:11" x14ac:dyDescent="0.25">
      <c r="C1814" s="108"/>
      <c r="D1814" s="217"/>
      <c r="E1814" s="217"/>
      <c r="F1814" s="104"/>
      <c r="G1814" s="108"/>
      <c r="J1814" s="174"/>
      <c r="K1814" s="4"/>
    </row>
    <row r="1815" spans="3:11" x14ac:dyDescent="0.25">
      <c r="C1815" s="108"/>
      <c r="D1815" s="217"/>
      <c r="E1815" s="217"/>
      <c r="F1815" s="104"/>
      <c r="G1815" s="108"/>
      <c r="J1815" s="174"/>
      <c r="K1815" s="4"/>
    </row>
    <row r="1816" spans="3:11" x14ac:dyDescent="0.25">
      <c r="C1816" s="108"/>
      <c r="D1816" s="217"/>
      <c r="E1816" s="217"/>
      <c r="F1816" s="104"/>
      <c r="G1816" s="108"/>
      <c r="J1816" s="174"/>
      <c r="K1816" s="4"/>
    </row>
    <row r="1817" spans="3:11" x14ac:dyDescent="0.25">
      <c r="C1817" s="108"/>
      <c r="D1817" s="217"/>
      <c r="E1817" s="217"/>
      <c r="F1817" s="104"/>
      <c r="G1817" s="108"/>
      <c r="J1817" s="174"/>
      <c r="K1817" s="4"/>
    </row>
    <row r="1818" spans="3:11" x14ac:dyDescent="0.25">
      <c r="C1818" s="108"/>
      <c r="D1818" s="217"/>
      <c r="E1818" s="217"/>
      <c r="F1818" s="104"/>
      <c r="G1818" s="108"/>
      <c r="J1818" s="174"/>
      <c r="K1818" s="4"/>
    </row>
    <row r="1819" spans="3:11" x14ac:dyDescent="0.25">
      <c r="C1819" s="108"/>
      <c r="D1819" s="217"/>
      <c r="E1819" s="217"/>
      <c r="F1819" s="104"/>
      <c r="G1819" s="108"/>
      <c r="J1819" s="174"/>
      <c r="K1819" s="4"/>
    </row>
    <row r="1820" spans="3:11" x14ac:dyDescent="0.25">
      <c r="C1820" s="108"/>
      <c r="D1820" s="217"/>
      <c r="E1820" s="217"/>
      <c r="F1820" s="104"/>
      <c r="G1820" s="108"/>
      <c r="J1820" s="174"/>
      <c r="K1820" s="4"/>
    </row>
    <row r="1821" spans="3:11" x14ac:dyDescent="0.25">
      <c r="C1821" s="108"/>
      <c r="D1821" s="217"/>
      <c r="E1821" s="217"/>
      <c r="F1821" s="104"/>
      <c r="G1821" s="108"/>
      <c r="J1821" s="174"/>
      <c r="K1821" s="4"/>
    </row>
    <row r="1822" spans="3:11" x14ac:dyDescent="0.25">
      <c r="C1822" s="108"/>
      <c r="D1822" s="217"/>
      <c r="E1822" s="217"/>
      <c r="F1822" s="104"/>
      <c r="G1822" s="108"/>
      <c r="J1822" s="174"/>
      <c r="K1822" s="4"/>
    </row>
    <row r="1823" spans="3:11" x14ac:dyDescent="0.25">
      <c r="C1823" s="108"/>
      <c r="D1823" s="217"/>
      <c r="E1823" s="217"/>
      <c r="F1823" s="104"/>
      <c r="G1823" s="108"/>
      <c r="J1823" s="174"/>
      <c r="K1823" s="4"/>
    </row>
    <row r="1824" spans="3:11" x14ac:dyDescent="0.25">
      <c r="C1824" s="108"/>
      <c r="D1824" s="217"/>
      <c r="E1824" s="217"/>
      <c r="F1824" s="104"/>
      <c r="G1824" s="108"/>
      <c r="J1824" s="174"/>
      <c r="K1824" s="4"/>
    </row>
    <row r="1825" spans="3:11" x14ac:dyDescent="0.25">
      <c r="C1825" s="108"/>
      <c r="D1825" s="217"/>
      <c r="E1825" s="217"/>
      <c r="F1825" s="104"/>
      <c r="G1825" s="108"/>
      <c r="J1825" s="174"/>
      <c r="K1825" s="4"/>
    </row>
    <row r="1826" spans="3:11" x14ac:dyDescent="0.25">
      <c r="C1826" s="108"/>
      <c r="D1826" s="217"/>
      <c r="E1826" s="217"/>
      <c r="F1826" s="104"/>
      <c r="G1826" s="108"/>
      <c r="J1826" s="174"/>
      <c r="K1826" s="4"/>
    </row>
    <row r="1827" spans="3:11" x14ac:dyDescent="0.25">
      <c r="C1827" s="108"/>
      <c r="D1827" s="217"/>
      <c r="E1827" s="217"/>
      <c r="F1827" s="104"/>
      <c r="G1827" s="108"/>
      <c r="J1827" s="174"/>
      <c r="K1827" s="4"/>
    </row>
    <row r="1828" spans="3:11" x14ac:dyDescent="0.25">
      <c r="C1828" s="108"/>
      <c r="D1828" s="217"/>
      <c r="E1828" s="217"/>
      <c r="F1828" s="104"/>
      <c r="G1828" s="108"/>
      <c r="J1828" s="174"/>
      <c r="K1828" s="4"/>
    </row>
    <row r="1829" spans="3:11" x14ac:dyDescent="0.25">
      <c r="C1829" s="108"/>
      <c r="D1829" s="217"/>
      <c r="E1829" s="217"/>
      <c r="F1829" s="104"/>
      <c r="G1829" s="108"/>
      <c r="J1829" s="174"/>
      <c r="K1829" s="4"/>
    </row>
    <row r="1830" spans="3:11" x14ac:dyDescent="0.25">
      <c r="C1830" s="108"/>
      <c r="D1830" s="217"/>
      <c r="E1830" s="217"/>
      <c r="F1830" s="104"/>
      <c r="G1830" s="108"/>
      <c r="J1830" s="174"/>
      <c r="K1830" s="4"/>
    </row>
    <row r="1831" spans="3:11" x14ac:dyDescent="0.25">
      <c r="C1831" s="108"/>
      <c r="D1831" s="217"/>
      <c r="E1831" s="217"/>
      <c r="F1831" s="104"/>
      <c r="G1831" s="108"/>
      <c r="J1831" s="174"/>
      <c r="K1831" s="4"/>
    </row>
    <row r="1832" spans="3:11" x14ac:dyDescent="0.25">
      <c r="C1832" s="108"/>
      <c r="D1832" s="217"/>
      <c r="E1832" s="217"/>
      <c r="F1832" s="104"/>
      <c r="G1832" s="108"/>
      <c r="J1832" s="174"/>
      <c r="K1832" s="4"/>
    </row>
    <row r="1833" spans="3:11" x14ac:dyDescent="0.25">
      <c r="C1833" s="108"/>
      <c r="D1833" s="217"/>
      <c r="E1833" s="217"/>
      <c r="F1833" s="104"/>
      <c r="G1833" s="108"/>
      <c r="J1833" s="174"/>
      <c r="K1833" s="4"/>
    </row>
    <row r="1834" spans="3:11" x14ac:dyDescent="0.25">
      <c r="C1834" s="108"/>
      <c r="D1834" s="217"/>
      <c r="E1834" s="217"/>
      <c r="F1834" s="104"/>
      <c r="G1834" s="108"/>
      <c r="J1834" s="174"/>
      <c r="K1834" s="4"/>
    </row>
    <row r="1835" spans="3:11" x14ac:dyDescent="0.25">
      <c r="C1835" s="108"/>
      <c r="D1835" s="217"/>
      <c r="E1835" s="217"/>
      <c r="F1835" s="104"/>
      <c r="G1835" s="108"/>
      <c r="J1835" s="174"/>
      <c r="K1835" s="4"/>
    </row>
    <row r="1836" spans="3:11" x14ac:dyDescent="0.25">
      <c r="C1836" s="108"/>
      <c r="D1836" s="217"/>
      <c r="E1836" s="217"/>
      <c r="F1836" s="104"/>
      <c r="G1836" s="108"/>
      <c r="J1836" s="174"/>
      <c r="K1836" s="4"/>
    </row>
    <row r="1837" spans="3:11" x14ac:dyDescent="0.25">
      <c r="C1837" s="108"/>
      <c r="D1837" s="217"/>
      <c r="E1837" s="217"/>
      <c r="F1837" s="104"/>
      <c r="G1837" s="108"/>
      <c r="J1837" s="174"/>
      <c r="K1837" s="4"/>
    </row>
    <row r="1838" spans="3:11" x14ac:dyDescent="0.25">
      <c r="C1838" s="108"/>
      <c r="D1838" s="217"/>
      <c r="E1838" s="217"/>
      <c r="F1838" s="104"/>
      <c r="G1838" s="108"/>
      <c r="J1838" s="174"/>
      <c r="K1838" s="4"/>
    </row>
    <row r="1839" spans="3:11" x14ac:dyDescent="0.25">
      <c r="C1839" s="108"/>
      <c r="D1839" s="217"/>
      <c r="E1839" s="217"/>
      <c r="F1839" s="104"/>
      <c r="G1839" s="108"/>
      <c r="J1839" s="174"/>
      <c r="K1839" s="4"/>
    </row>
    <row r="1840" spans="3:11" x14ac:dyDescent="0.25">
      <c r="C1840" s="108"/>
      <c r="D1840" s="217"/>
      <c r="E1840" s="217"/>
      <c r="F1840" s="104"/>
      <c r="G1840" s="108"/>
      <c r="J1840" s="174"/>
      <c r="K1840" s="4"/>
    </row>
    <row r="1841" spans="3:11" x14ac:dyDescent="0.25">
      <c r="C1841" s="108"/>
      <c r="D1841" s="217"/>
      <c r="E1841" s="217"/>
      <c r="F1841" s="104"/>
      <c r="G1841" s="108"/>
      <c r="J1841" s="174"/>
      <c r="K1841" s="4"/>
    </row>
    <row r="1842" spans="3:11" x14ac:dyDescent="0.25">
      <c r="C1842" s="108"/>
      <c r="D1842" s="217"/>
      <c r="E1842" s="217"/>
      <c r="F1842" s="104"/>
      <c r="G1842" s="108"/>
      <c r="J1842" s="174"/>
      <c r="K1842" s="4"/>
    </row>
    <row r="1843" spans="3:11" x14ac:dyDescent="0.25">
      <c r="C1843" s="108"/>
      <c r="D1843" s="217"/>
      <c r="E1843" s="217"/>
      <c r="F1843" s="104"/>
      <c r="G1843" s="108"/>
      <c r="J1843" s="174"/>
      <c r="K1843" s="4"/>
    </row>
    <row r="1844" spans="3:11" x14ac:dyDescent="0.25">
      <c r="C1844" s="108"/>
      <c r="D1844" s="217"/>
      <c r="E1844" s="217"/>
      <c r="F1844" s="104"/>
      <c r="G1844" s="108"/>
      <c r="J1844" s="174"/>
      <c r="K1844" s="4"/>
    </row>
    <row r="1845" spans="3:11" x14ac:dyDescent="0.25">
      <c r="C1845" s="108"/>
      <c r="D1845" s="217"/>
      <c r="E1845" s="217"/>
      <c r="F1845" s="104"/>
      <c r="G1845" s="108"/>
      <c r="J1845" s="174"/>
      <c r="K1845" s="4"/>
    </row>
    <row r="1846" spans="3:11" x14ac:dyDescent="0.25">
      <c r="C1846" s="108"/>
      <c r="D1846" s="217"/>
      <c r="E1846" s="217"/>
      <c r="F1846" s="104"/>
      <c r="G1846" s="108"/>
      <c r="J1846" s="174"/>
      <c r="K1846" s="4"/>
    </row>
    <row r="1847" spans="3:11" x14ac:dyDescent="0.25">
      <c r="C1847" s="108"/>
      <c r="D1847" s="217"/>
      <c r="E1847" s="217"/>
      <c r="F1847" s="104"/>
      <c r="G1847" s="108"/>
      <c r="J1847" s="174"/>
      <c r="K1847" s="4"/>
    </row>
    <row r="1848" spans="3:11" x14ac:dyDescent="0.25">
      <c r="C1848" s="108"/>
      <c r="D1848" s="217"/>
      <c r="E1848" s="217"/>
      <c r="F1848" s="104"/>
      <c r="G1848" s="108"/>
      <c r="J1848" s="174"/>
      <c r="K1848" s="4"/>
    </row>
    <row r="1849" spans="3:11" x14ac:dyDescent="0.25">
      <c r="C1849" s="108"/>
      <c r="D1849" s="217"/>
      <c r="E1849" s="217"/>
      <c r="F1849" s="104"/>
      <c r="G1849" s="108"/>
      <c r="J1849" s="174"/>
      <c r="K1849" s="4"/>
    </row>
    <row r="1850" spans="3:11" x14ac:dyDescent="0.25">
      <c r="C1850" s="108"/>
      <c r="D1850" s="217"/>
      <c r="E1850" s="217"/>
      <c r="F1850" s="104"/>
      <c r="G1850" s="108"/>
      <c r="J1850" s="174"/>
      <c r="K1850" s="4"/>
    </row>
    <row r="1851" spans="3:11" x14ac:dyDescent="0.25">
      <c r="C1851" s="108"/>
      <c r="D1851" s="217"/>
      <c r="E1851" s="217"/>
      <c r="F1851" s="104"/>
      <c r="G1851" s="108"/>
      <c r="J1851" s="174"/>
      <c r="K1851" s="4"/>
    </row>
    <row r="1852" spans="3:11" x14ac:dyDescent="0.25">
      <c r="C1852" s="108"/>
      <c r="D1852" s="217"/>
      <c r="E1852" s="217"/>
      <c r="F1852" s="104"/>
      <c r="G1852" s="108"/>
      <c r="J1852" s="174"/>
      <c r="K1852" s="4"/>
    </row>
    <row r="1853" spans="3:11" x14ac:dyDescent="0.25">
      <c r="C1853" s="108"/>
      <c r="D1853" s="217"/>
      <c r="E1853" s="217"/>
      <c r="F1853" s="104"/>
      <c r="G1853" s="108"/>
      <c r="J1853" s="174"/>
      <c r="K1853" s="4"/>
    </row>
    <row r="1854" spans="3:11" x14ac:dyDescent="0.25">
      <c r="C1854" s="108"/>
      <c r="D1854" s="217"/>
      <c r="E1854" s="217"/>
      <c r="F1854" s="104"/>
      <c r="G1854" s="108"/>
      <c r="J1854" s="174"/>
      <c r="K1854" s="4"/>
    </row>
    <row r="1855" spans="3:11" x14ac:dyDescent="0.25">
      <c r="C1855" s="108"/>
      <c r="D1855" s="217"/>
      <c r="E1855" s="217"/>
      <c r="F1855" s="104"/>
      <c r="G1855" s="108"/>
      <c r="J1855" s="174"/>
      <c r="K1855" s="4"/>
    </row>
    <row r="1856" spans="3:11" x14ac:dyDescent="0.25">
      <c r="C1856" s="108"/>
      <c r="D1856" s="217"/>
      <c r="E1856" s="217"/>
      <c r="F1856" s="104"/>
      <c r="G1856" s="108"/>
      <c r="J1856" s="174"/>
      <c r="K1856" s="4"/>
    </row>
    <row r="1857" spans="3:11" x14ac:dyDescent="0.25">
      <c r="C1857" s="108"/>
      <c r="D1857" s="217"/>
      <c r="E1857" s="217"/>
      <c r="F1857" s="104"/>
      <c r="G1857" s="108"/>
      <c r="J1857" s="174"/>
      <c r="K1857" s="4"/>
    </row>
    <row r="1858" spans="3:11" x14ac:dyDescent="0.25">
      <c r="C1858" s="108"/>
      <c r="D1858" s="217"/>
      <c r="E1858" s="217"/>
      <c r="F1858" s="104"/>
      <c r="G1858" s="108"/>
      <c r="J1858" s="174"/>
      <c r="K1858" s="4"/>
    </row>
    <row r="1859" spans="3:11" x14ac:dyDescent="0.25">
      <c r="C1859" s="108"/>
      <c r="D1859" s="217"/>
      <c r="E1859" s="217"/>
      <c r="F1859" s="104"/>
      <c r="G1859" s="108"/>
      <c r="J1859" s="174"/>
      <c r="K1859" s="4"/>
    </row>
    <row r="1860" spans="3:11" x14ac:dyDescent="0.25">
      <c r="C1860" s="108"/>
      <c r="D1860" s="217"/>
      <c r="E1860" s="217"/>
      <c r="F1860" s="104"/>
      <c r="G1860" s="108"/>
      <c r="J1860" s="174"/>
      <c r="K1860" s="4"/>
    </row>
    <row r="1861" spans="3:11" x14ac:dyDescent="0.25">
      <c r="C1861" s="108"/>
      <c r="D1861" s="217"/>
      <c r="E1861" s="217"/>
      <c r="F1861" s="104"/>
      <c r="G1861" s="108"/>
      <c r="J1861" s="174"/>
      <c r="K1861" s="4"/>
    </row>
    <row r="1862" spans="3:11" x14ac:dyDescent="0.25">
      <c r="C1862" s="108"/>
      <c r="D1862" s="217"/>
      <c r="E1862" s="217"/>
      <c r="F1862" s="104"/>
      <c r="G1862" s="108"/>
      <c r="J1862" s="174"/>
      <c r="K1862" s="4"/>
    </row>
    <row r="1863" spans="3:11" x14ac:dyDescent="0.25">
      <c r="C1863" s="108"/>
      <c r="D1863" s="217"/>
      <c r="E1863" s="217"/>
      <c r="F1863" s="104"/>
      <c r="G1863" s="108"/>
      <c r="J1863" s="174"/>
      <c r="K1863" s="4"/>
    </row>
    <row r="1864" spans="3:11" x14ac:dyDescent="0.25">
      <c r="C1864" s="108"/>
      <c r="D1864" s="217"/>
      <c r="E1864" s="217"/>
      <c r="F1864" s="104"/>
      <c r="G1864" s="108"/>
      <c r="J1864" s="174"/>
      <c r="K1864" s="4"/>
    </row>
    <row r="1865" spans="3:11" x14ac:dyDescent="0.25">
      <c r="C1865" s="108"/>
      <c r="D1865" s="217"/>
      <c r="E1865" s="217"/>
      <c r="F1865" s="104"/>
      <c r="G1865" s="108"/>
      <c r="J1865" s="174"/>
      <c r="K1865" s="4"/>
    </row>
    <row r="1866" spans="3:11" x14ac:dyDescent="0.25">
      <c r="C1866" s="108"/>
      <c r="D1866" s="217"/>
      <c r="E1866" s="217"/>
      <c r="F1866" s="104"/>
      <c r="G1866" s="108"/>
      <c r="J1866" s="174"/>
      <c r="K1866" s="4"/>
    </row>
    <row r="1867" spans="3:11" x14ac:dyDescent="0.25">
      <c r="C1867" s="108"/>
      <c r="D1867" s="217"/>
      <c r="E1867" s="217"/>
      <c r="F1867" s="104"/>
      <c r="G1867" s="108"/>
      <c r="J1867" s="174"/>
      <c r="K1867" s="4"/>
    </row>
    <row r="1868" spans="3:11" x14ac:dyDescent="0.25">
      <c r="C1868" s="108"/>
      <c r="D1868" s="217"/>
      <c r="E1868" s="217"/>
      <c r="F1868" s="104"/>
      <c r="G1868" s="108"/>
      <c r="J1868" s="174"/>
      <c r="K1868" s="4"/>
    </row>
    <row r="1869" spans="3:11" x14ac:dyDescent="0.25">
      <c r="C1869" s="108"/>
      <c r="D1869" s="217"/>
      <c r="E1869" s="217"/>
      <c r="F1869" s="104"/>
      <c r="G1869" s="108"/>
      <c r="J1869" s="174"/>
      <c r="K1869" s="4"/>
    </row>
    <row r="1870" spans="3:11" x14ac:dyDescent="0.25">
      <c r="C1870" s="108"/>
      <c r="D1870" s="217"/>
      <c r="E1870" s="217"/>
      <c r="F1870" s="104"/>
      <c r="G1870" s="108"/>
      <c r="J1870" s="174"/>
      <c r="K1870" s="4"/>
    </row>
    <row r="1871" spans="3:11" x14ac:dyDescent="0.25">
      <c r="C1871" s="108"/>
      <c r="D1871" s="217"/>
      <c r="E1871" s="217"/>
      <c r="F1871" s="104"/>
      <c r="G1871" s="108"/>
      <c r="J1871" s="174"/>
      <c r="K1871" s="4"/>
    </row>
    <row r="1872" spans="3:11" x14ac:dyDescent="0.25">
      <c r="C1872" s="108"/>
      <c r="D1872" s="217"/>
      <c r="E1872" s="217"/>
      <c r="F1872" s="104"/>
      <c r="G1872" s="108"/>
      <c r="J1872" s="174"/>
      <c r="K1872" s="4"/>
    </row>
    <row r="1873" spans="3:11" x14ac:dyDescent="0.25">
      <c r="C1873" s="108"/>
      <c r="D1873" s="217"/>
      <c r="E1873" s="217"/>
      <c r="F1873" s="104"/>
      <c r="G1873" s="108"/>
      <c r="J1873" s="174"/>
      <c r="K1873" s="4"/>
    </row>
    <row r="1874" spans="3:11" x14ac:dyDescent="0.25">
      <c r="C1874" s="108"/>
      <c r="D1874" s="217"/>
      <c r="E1874" s="217"/>
      <c r="F1874" s="104"/>
      <c r="G1874" s="108"/>
      <c r="J1874" s="174"/>
      <c r="K1874" s="4"/>
    </row>
    <row r="1875" spans="3:11" x14ac:dyDescent="0.25">
      <c r="C1875" s="108"/>
      <c r="D1875" s="217"/>
      <c r="E1875" s="217"/>
      <c r="F1875" s="104"/>
      <c r="G1875" s="108"/>
      <c r="J1875" s="174"/>
      <c r="K1875" s="4"/>
    </row>
    <row r="1876" spans="3:11" x14ac:dyDescent="0.25">
      <c r="C1876" s="108"/>
      <c r="D1876" s="217"/>
      <c r="E1876" s="217"/>
      <c r="F1876" s="104"/>
      <c r="G1876" s="108"/>
      <c r="J1876" s="174"/>
      <c r="K1876" s="4"/>
    </row>
    <row r="1877" spans="3:11" x14ac:dyDescent="0.25">
      <c r="C1877" s="108"/>
      <c r="D1877" s="217"/>
      <c r="E1877" s="217"/>
      <c r="F1877" s="104"/>
      <c r="G1877" s="108"/>
      <c r="J1877" s="174"/>
      <c r="K1877" s="4"/>
    </row>
    <row r="1878" spans="3:11" x14ac:dyDescent="0.25">
      <c r="C1878" s="108"/>
      <c r="D1878" s="217"/>
      <c r="E1878" s="217"/>
      <c r="F1878" s="104"/>
      <c r="G1878" s="108"/>
      <c r="J1878" s="174"/>
      <c r="K1878" s="4"/>
    </row>
    <row r="1879" spans="3:11" x14ac:dyDescent="0.25">
      <c r="C1879" s="108"/>
      <c r="D1879" s="217"/>
      <c r="E1879" s="217"/>
      <c r="F1879" s="104"/>
      <c r="G1879" s="108"/>
      <c r="J1879" s="174"/>
      <c r="K1879" s="4"/>
    </row>
    <row r="1880" spans="3:11" x14ac:dyDescent="0.25">
      <c r="C1880" s="108"/>
      <c r="D1880" s="217"/>
      <c r="E1880" s="217"/>
      <c r="F1880" s="104"/>
      <c r="G1880" s="108"/>
      <c r="J1880" s="174"/>
      <c r="K1880" s="4"/>
    </row>
    <row r="1881" spans="3:11" x14ac:dyDescent="0.25">
      <c r="C1881" s="108"/>
      <c r="D1881" s="217"/>
      <c r="E1881" s="217"/>
      <c r="F1881" s="104"/>
      <c r="G1881" s="108"/>
      <c r="J1881" s="174"/>
      <c r="K1881" s="4"/>
    </row>
    <row r="1882" spans="3:11" x14ac:dyDescent="0.25">
      <c r="C1882" s="108"/>
      <c r="D1882" s="217"/>
      <c r="E1882" s="217"/>
      <c r="F1882" s="104"/>
      <c r="G1882" s="108"/>
      <c r="J1882" s="174"/>
      <c r="K1882" s="4"/>
    </row>
    <row r="1883" spans="3:11" x14ac:dyDescent="0.25">
      <c r="C1883" s="108"/>
      <c r="D1883" s="217"/>
      <c r="E1883" s="217"/>
      <c r="F1883" s="104"/>
      <c r="G1883" s="108"/>
      <c r="J1883" s="174"/>
      <c r="K1883" s="4"/>
    </row>
    <row r="1884" spans="3:11" x14ac:dyDescent="0.25">
      <c r="C1884" s="108"/>
      <c r="D1884" s="217"/>
      <c r="E1884" s="217"/>
      <c r="F1884" s="104"/>
      <c r="G1884" s="108"/>
      <c r="J1884" s="174"/>
      <c r="K1884" s="4"/>
    </row>
    <row r="1885" spans="3:11" x14ac:dyDescent="0.25">
      <c r="C1885" s="108"/>
      <c r="D1885" s="217"/>
      <c r="E1885" s="217"/>
      <c r="F1885" s="104"/>
      <c r="G1885" s="108"/>
      <c r="J1885" s="174"/>
      <c r="K1885" s="4"/>
    </row>
    <row r="1886" spans="3:11" x14ac:dyDescent="0.25">
      <c r="C1886" s="108"/>
      <c r="D1886" s="217"/>
      <c r="E1886" s="217"/>
      <c r="F1886" s="104"/>
      <c r="G1886" s="108"/>
      <c r="J1886" s="174"/>
      <c r="K1886" s="4"/>
    </row>
    <row r="1887" spans="3:11" x14ac:dyDescent="0.25">
      <c r="C1887" s="108"/>
      <c r="D1887" s="217"/>
      <c r="E1887" s="217"/>
      <c r="F1887" s="104"/>
      <c r="G1887" s="108"/>
      <c r="J1887" s="174"/>
      <c r="K1887" s="4"/>
    </row>
    <row r="1888" spans="3:11" x14ac:dyDescent="0.25">
      <c r="C1888" s="108"/>
      <c r="D1888" s="217"/>
      <c r="E1888" s="217"/>
      <c r="F1888" s="104"/>
      <c r="G1888" s="108"/>
      <c r="J1888" s="174"/>
      <c r="K1888" s="4"/>
    </row>
    <row r="1889" spans="3:11" x14ac:dyDescent="0.25">
      <c r="C1889" s="108"/>
      <c r="D1889" s="217"/>
      <c r="E1889" s="217"/>
      <c r="F1889" s="104"/>
      <c r="G1889" s="108"/>
      <c r="J1889" s="174"/>
      <c r="K1889" s="4"/>
    </row>
    <row r="1890" spans="3:11" x14ac:dyDescent="0.25">
      <c r="C1890" s="108"/>
      <c r="D1890" s="217"/>
      <c r="E1890" s="217"/>
      <c r="F1890" s="104"/>
      <c r="G1890" s="108"/>
      <c r="J1890" s="174"/>
      <c r="K1890" s="4"/>
    </row>
    <row r="1891" spans="3:11" x14ac:dyDescent="0.25">
      <c r="C1891" s="108"/>
      <c r="D1891" s="217"/>
      <c r="E1891" s="217"/>
      <c r="F1891" s="104"/>
      <c r="G1891" s="108"/>
      <c r="J1891" s="174"/>
      <c r="K1891" s="4"/>
    </row>
    <row r="1892" spans="3:11" x14ac:dyDescent="0.25">
      <c r="C1892" s="108"/>
      <c r="D1892" s="217"/>
      <c r="E1892" s="217"/>
      <c r="F1892" s="104"/>
      <c r="G1892" s="108"/>
      <c r="J1892" s="174"/>
      <c r="K1892" s="4"/>
    </row>
    <row r="1893" spans="3:11" x14ac:dyDescent="0.25">
      <c r="C1893" s="108"/>
      <c r="D1893" s="217"/>
      <c r="E1893" s="217"/>
      <c r="F1893" s="104"/>
      <c r="G1893" s="108"/>
      <c r="J1893" s="174"/>
      <c r="K1893" s="4"/>
    </row>
    <row r="1894" spans="3:11" x14ac:dyDescent="0.25">
      <c r="C1894" s="108"/>
      <c r="D1894" s="217"/>
      <c r="E1894" s="217"/>
      <c r="F1894" s="104"/>
      <c r="G1894" s="108"/>
      <c r="J1894" s="174"/>
      <c r="K1894" s="4"/>
    </row>
    <row r="1895" spans="3:11" x14ac:dyDescent="0.25">
      <c r="C1895" s="108"/>
      <c r="D1895" s="217"/>
      <c r="E1895" s="217"/>
      <c r="F1895" s="104"/>
      <c r="G1895" s="108"/>
      <c r="J1895" s="174"/>
      <c r="K1895" s="4"/>
    </row>
    <row r="1896" spans="3:11" x14ac:dyDescent="0.25">
      <c r="C1896" s="108"/>
      <c r="D1896" s="217"/>
      <c r="E1896" s="217"/>
      <c r="F1896" s="104"/>
      <c r="G1896" s="108"/>
      <c r="J1896" s="174"/>
      <c r="K1896" s="4"/>
    </row>
    <row r="1897" spans="3:11" x14ac:dyDescent="0.25">
      <c r="C1897" s="108"/>
      <c r="D1897" s="217"/>
      <c r="E1897" s="217"/>
      <c r="F1897" s="104"/>
      <c r="G1897" s="108"/>
      <c r="J1897" s="174"/>
      <c r="K1897" s="4"/>
    </row>
    <row r="1898" spans="3:11" x14ac:dyDescent="0.25">
      <c r="C1898" s="108"/>
      <c r="D1898" s="217"/>
      <c r="E1898" s="217"/>
      <c r="F1898" s="104"/>
      <c r="G1898" s="108"/>
      <c r="J1898" s="174"/>
      <c r="K1898" s="4"/>
    </row>
    <row r="1899" spans="3:11" x14ac:dyDescent="0.25">
      <c r="C1899" s="108"/>
      <c r="D1899" s="217"/>
      <c r="E1899" s="217"/>
      <c r="F1899" s="104"/>
      <c r="G1899" s="108"/>
      <c r="J1899" s="174"/>
      <c r="K1899" s="4"/>
    </row>
    <row r="1900" spans="3:11" x14ac:dyDescent="0.25">
      <c r="C1900" s="108"/>
      <c r="D1900" s="217"/>
      <c r="E1900" s="217"/>
      <c r="F1900" s="104"/>
      <c r="G1900" s="108"/>
      <c r="J1900" s="174"/>
      <c r="K1900" s="4"/>
    </row>
    <row r="1901" spans="3:11" x14ac:dyDescent="0.25">
      <c r="C1901" s="108"/>
      <c r="D1901" s="217"/>
      <c r="E1901" s="217"/>
      <c r="F1901" s="104"/>
      <c r="G1901" s="108"/>
      <c r="J1901" s="174"/>
      <c r="K1901" s="4"/>
    </row>
    <row r="1902" spans="3:11" x14ac:dyDescent="0.25">
      <c r="C1902" s="108"/>
      <c r="D1902" s="217"/>
      <c r="E1902" s="217"/>
      <c r="F1902" s="104"/>
      <c r="G1902" s="108"/>
      <c r="J1902" s="174"/>
      <c r="K1902" s="4"/>
    </row>
    <row r="1903" spans="3:11" x14ac:dyDescent="0.25">
      <c r="C1903" s="108"/>
      <c r="D1903" s="217"/>
      <c r="E1903" s="217"/>
      <c r="F1903" s="104"/>
      <c r="G1903" s="108"/>
      <c r="J1903" s="174"/>
      <c r="K1903" s="4"/>
    </row>
    <row r="1904" spans="3:11" x14ac:dyDescent="0.25">
      <c r="C1904" s="108"/>
      <c r="D1904" s="217"/>
      <c r="E1904" s="217"/>
      <c r="F1904" s="104"/>
      <c r="G1904" s="108"/>
      <c r="J1904" s="174"/>
      <c r="K1904" s="4"/>
    </row>
    <row r="1905" spans="3:11" x14ac:dyDescent="0.25">
      <c r="C1905" s="108"/>
      <c r="D1905" s="217"/>
      <c r="E1905" s="217"/>
      <c r="F1905" s="104"/>
      <c r="G1905" s="108"/>
      <c r="J1905" s="174"/>
      <c r="K1905" s="4"/>
    </row>
    <row r="1906" spans="3:11" x14ac:dyDescent="0.25">
      <c r="C1906" s="108"/>
      <c r="D1906" s="217"/>
      <c r="E1906" s="217"/>
      <c r="F1906" s="104"/>
      <c r="G1906" s="108"/>
      <c r="J1906" s="174"/>
      <c r="K1906" s="4"/>
    </row>
    <row r="1907" spans="3:11" x14ac:dyDescent="0.25">
      <c r="C1907" s="108"/>
      <c r="D1907" s="217"/>
      <c r="E1907" s="217"/>
      <c r="F1907" s="104"/>
      <c r="G1907" s="108"/>
      <c r="J1907" s="174"/>
      <c r="K1907" s="4"/>
    </row>
    <row r="1908" spans="3:11" x14ac:dyDescent="0.25">
      <c r="C1908" s="108"/>
      <c r="D1908" s="217"/>
      <c r="E1908" s="217"/>
      <c r="F1908" s="104"/>
      <c r="G1908" s="108"/>
      <c r="J1908" s="174"/>
      <c r="K1908" s="4"/>
    </row>
    <row r="1909" spans="3:11" x14ac:dyDescent="0.25">
      <c r="C1909" s="108"/>
      <c r="D1909" s="217"/>
      <c r="E1909" s="217"/>
      <c r="F1909" s="104"/>
      <c r="G1909" s="108"/>
      <c r="J1909" s="174"/>
      <c r="K1909" s="4"/>
    </row>
    <row r="1910" spans="3:11" x14ac:dyDescent="0.25">
      <c r="C1910" s="108"/>
      <c r="D1910" s="217"/>
      <c r="E1910" s="217"/>
      <c r="F1910" s="104"/>
      <c r="G1910" s="108"/>
      <c r="J1910" s="174"/>
      <c r="K1910" s="4"/>
    </row>
    <row r="1911" spans="3:11" x14ac:dyDescent="0.25">
      <c r="C1911" s="108"/>
      <c r="D1911" s="217"/>
      <c r="E1911" s="217"/>
      <c r="F1911" s="104"/>
      <c r="G1911" s="108"/>
      <c r="J1911" s="174"/>
      <c r="K1911" s="4"/>
    </row>
    <row r="1912" spans="3:11" x14ac:dyDescent="0.25">
      <c r="C1912" s="108"/>
      <c r="D1912" s="217"/>
      <c r="E1912" s="217"/>
      <c r="F1912" s="104"/>
      <c r="G1912" s="108"/>
      <c r="J1912" s="174"/>
      <c r="K1912" s="4"/>
    </row>
    <row r="1913" spans="3:11" x14ac:dyDescent="0.25">
      <c r="C1913" s="108"/>
      <c r="D1913" s="217"/>
      <c r="E1913" s="217"/>
      <c r="F1913" s="104"/>
      <c r="G1913" s="108"/>
      <c r="J1913" s="174"/>
      <c r="K1913" s="4"/>
    </row>
    <row r="1914" spans="3:11" x14ac:dyDescent="0.25">
      <c r="C1914" s="108"/>
      <c r="D1914" s="217"/>
      <c r="E1914" s="217"/>
      <c r="F1914" s="104"/>
      <c r="G1914" s="108"/>
      <c r="J1914" s="174"/>
      <c r="K1914" s="4"/>
    </row>
    <row r="1915" spans="3:11" x14ac:dyDescent="0.25">
      <c r="C1915" s="108"/>
      <c r="D1915" s="217"/>
      <c r="E1915" s="217"/>
      <c r="F1915" s="104"/>
      <c r="G1915" s="108"/>
      <c r="J1915" s="174"/>
      <c r="K1915" s="4"/>
    </row>
    <row r="1916" spans="3:11" x14ac:dyDescent="0.25">
      <c r="C1916" s="108"/>
      <c r="D1916" s="217"/>
      <c r="E1916" s="217"/>
      <c r="F1916" s="104"/>
      <c r="G1916" s="108"/>
      <c r="J1916" s="174"/>
      <c r="K1916" s="4"/>
    </row>
    <row r="1917" spans="3:11" x14ac:dyDescent="0.25">
      <c r="C1917" s="108"/>
      <c r="D1917" s="217"/>
      <c r="E1917" s="217"/>
      <c r="F1917" s="104"/>
      <c r="G1917" s="108"/>
      <c r="J1917" s="174"/>
      <c r="K1917" s="4"/>
    </row>
    <row r="1918" spans="3:11" x14ac:dyDescent="0.25">
      <c r="C1918" s="108"/>
      <c r="D1918" s="217"/>
      <c r="E1918" s="217"/>
      <c r="F1918" s="104"/>
      <c r="G1918" s="108"/>
      <c r="J1918" s="174"/>
      <c r="K1918" s="4"/>
    </row>
    <row r="1919" spans="3:11" x14ac:dyDescent="0.25">
      <c r="C1919" s="108"/>
      <c r="D1919" s="217"/>
      <c r="E1919" s="217"/>
      <c r="F1919" s="104"/>
      <c r="G1919" s="108"/>
      <c r="J1919" s="174"/>
      <c r="K1919" s="4"/>
    </row>
    <row r="1920" spans="3:11" x14ac:dyDescent="0.25">
      <c r="C1920" s="108"/>
      <c r="D1920" s="217"/>
      <c r="E1920" s="217"/>
      <c r="F1920" s="104"/>
      <c r="G1920" s="108"/>
      <c r="J1920" s="174"/>
      <c r="K1920" s="4"/>
    </row>
    <row r="1921" spans="3:11" x14ac:dyDescent="0.25">
      <c r="C1921" s="108"/>
      <c r="D1921" s="217"/>
      <c r="E1921" s="217"/>
      <c r="F1921" s="104"/>
      <c r="G1921" s="108"/>
      <c r="J1921" s="174"/>
      <c r="K1921" s="4"/>
    </row>
    <row r="1922" spans="3:11" x14ac:dyDescent="0.25">
      <c r="C1922" s="108"/>
      <c r="D1922" s="217"/>
      <c r="E1922" s="217"/>
      <c r="F1922" s="104"/>
      <c r="G1922" s="108"/>
      <c r="J1922" s="174"/>
      <c r="K1922" s="4"/>
    </row>
    <row r="1923" spans="3:11" x14ac:dyDescent="0.25">
      <c r="C1923" s="108"/>
      <c r="D1923" s="217"/>
      <c r="E1923" s="217"/>
      <c r="F1923" s="104"/>
      <c r="G1923" s="108"/>
      <c r="J1923" s="174"/>
      <c r="K1923" s="4"/>
    </row>
    <row r="1924" spans="3:11" x14ac:dyDescent="0.25">
      <c r="C1924" s="108"/>
      <c r="D1924" s="217"/>
      <c r="E1924" s="217"/>
      <c r="F1924" s="104"/>
      <c r="G1924" s="108"/>
      <c r="J1924" s="174"/>
      <c r="K1924" s="4"/>
    </row>
    <row r="1925" spans="3:11" x14ac:dyDescent="0.25">
      <c r="C1925" s="108"/>
      <c r="D1925" s="217"/>
      <c r="E1925" s="217"/>
      <c r="F1925" s="104"/>
      <c r="G1925" s="108"/>
      <c r="J1925" s="174"/>
      <c r="K1925" s="4"/>
    </row>
    <row r="1926" spans="3:11" x14ac:dyDescent="0.25">
      <c r="C1926" s="108"/>
      <c r="D1926" s="217"/>
      <c r="E1926" s="217"/>
      <c r="F1926" s="104"/>
      <c r="G1926" s="108"/>
      <c r="J1926" s="174"/>
      <c r="K1926" s="4"/>
    </row>
    <row r="1927" spans="3:11" x14ac:dyDescent="0.25">
      <c r="C1927" s="108"/>
      <c r="D1927" s="217"/>
      <c r="E1927" s="217"/>
      <c r="F1927" s="104"/>
      <c r="G1927" s="108"/>
      <c r="J1927" s="174"/>
      <c r="K1927" s="4"/>
    </row>
    <row r="1928" spans="3:11" x14ac:dyDescent="0.25">
      <c r="C1928" s="108"/>
      <c r="D1928" s="217"/>
      <c r="E1928" s="217"/>
      <c r="F1928" s="104"/>
      <c r="G1928" s="108"/>
      <c r="J1928" s="174"/>
      <c r="K1928" s="4"/>
    </row>
    <row r="1929" spans="3:11" x14ac:dyDescent="0.25">
      <c r="C1929" s="108"/>
      <c r="D1929" s="217"/>
      <c r="E1929" s="217"/>
      <c r="F1929" s="104"/>
      <c r="G1929" s="108"/>
      <c r="J1929" s="174"/>
      <c r="K1929" s="4"/>
    </row>
    <row r="1930" spans="3:11" x14ac:dyDescent="0.25">
      <c r="C1930" s="108"/>
      <c r="D1930" s="217"/>
      <c r="E1930" s="217"/>
      <c r="F1930" s="104"/>
      <c r="G1930" s="108"/>
      <c r="J1930" s="174"/>
      <c r="K1930" s="4"/>
    </row>
    <row r="1931" spans="3:11" x14ac:dyDescent="0.25">
      <c r="C1931" s="108"/>
      <c r="D1931" s="217"/>
      <c r="E1931" s="217"/>
      <c r="F1931" s="104"/>
      <c r="G1931" s="108"/>
      <c r="J1931" s="174"/>
      <c r="K1931" s="4"/>
    </row>
    <row r="1932" spans="3:11" x14ac:dyDescent="0.25">
      <c r="C1932" s="108"/>
      <c r="D1932" s="217"/>
      <c r="E1932" s="217"/>
      <c r="F1932" s="104"/>
      <c r="G1932" s="108"/>
      <c r="J1932" s="174"/>
      <c r="K1932" s="4"/>
    </row>
    <row r="1933" spans="3:11" x14ac:dyDescent="0.25">
      <c r="C1933" s="108"/>
      <c r="D1933" s="217"/>
      <c r="E1933" s="217"/>
      <c r="F1933" s="104"/>
      <c r="G1933" s="108"/>
      <c r="J1933" s="174"/>
      <c r="K1933" s="4"/>
    </row>
    <row r="1934" spans="3:11" x14ac:dyDescent="0.25">
      <c r="C1934" s="108"/>
      <c r="D1934" s="217"/>
      <c r="E1934" s="217"/>
      <c r="F1934" s="104"/>
      <c r="G1934" s="108"/>
      <c r="J1934" s="174"/>
      <c r="K1934" s="4"/>
    </row>
    <row r="1935" spans="3:11" x14ac:dyDescent="0.25">
      <c r="C1935" s="108"/>
      <c r="D1935" s="217"/>
      <c r="E1935" s="217"/>
      <c r="F1935" s="104"/>
      <c r="G1935" s="108"/>
      <c r="J1935" s="174"/>
      <c r="K1935" s="4"/>
    </row>
    <row r="1936" spans="3:11" x14ac:dyDescent="0.25">
      <c r="C1936" s="108"/>
      <c r="D1936" s="217"/>
      <c r="E1936" s="217"/>
      <c r="F1936" s="104"/>
      <c r="G1936" s="108"/>
      <c r="J1936" s="174"/>
      <c r="K1936" s="4"/>
    </row>
    <row r="1937" spans="3:11" x14ac:dyDescent="0.25">
      <c r="C1937" s="108"/>
      <c r="D1937" s="217"/>
      <c r="E1937" s="217"/>
      <c r="F1937" s="104"/>
      <c r="G1937" s="108"/>
      <c r="J1937" s="174"/>
      <c r="K1937" s="4"/>
    </row>
    <row r="1938" spans="3:11" x14ac:dyDescent="0.25">
      <c r="C1938" s="108"/>
      <c r="D1938" s="217"/>
      <c r="E1938" s="217"/>
      <c r="F1938" s="104"/>
      <c r="G1938" s="108"/>
      <c r="J1938" s="174"/>
      <c r="K1938" s="4"/>
    </row>
    <row r="1939" spans="3:11" x14ac:dyDescent="0.25">
      <c r="C1939" s="108"/>
      <c r="D1939" s="217"/>
      <c r="E1939" s="217"/>
      <c r="F1939" s="104"/>
      <c r="G1939" s="108"/>
      <c r="J1939" s="174"/>
      <c r="K1939" s="4"/>
    </row>
    <row r="1940" spans="3:11" x14ac:dyDescent="0.25">
      <c r="C1940" s="108"/>
      <c r="D1940" s="217"/>
      <c r="E1940" s="217"/>
      <c r="F1940" s="104"/>
      <c r="G1940" s="108"/>
      <c r="J1940" s="174"/>
      <c r="K1940" s="4"/>
    </row>
    <row r="1941" spans="3:11" x14ac:dyDescent="0.25">
      <c r="C1941" s="108"/>
      <c r="D1941" s="217"/>
      <c r="E1941" s="217"/>
      <c r="F1941" s="104"/>
      <c r="G1941" s="108"/>
      <c r="J1941" s="174"/>
      <c r="K1941" s="4"/>
    </row>
    <row r="1942" spans="3:11" x14ac:dyDescent="0.25">
      <c r="C1942" s="108"/>
      <c r="D1942" s="217"/>
      <c r="E1942" s="217"/>
      <c r="F1942" s="104"/>
      <c r="G1942" s="108"/>
      <c r="J1942" s="174"/>
      <c r="K1942" s="4"/>
    </row>
    <row r="1943" spans="3:11" x14ac:dyDescent="0.25">
      <c r="C1943" s="108"/>
      <c r="D1943" s="217"/>
      <c r="E1943" s="217"/>
      <c r="F1943" s="104"/>
      <c r="G1943" s="108"/>
      <c r="J1943" s="174"/>
      <c r="K1943" s="4"/>
    </row>
    <row r="1944" spans="3:11" x14ac:dyDescent="0.25">
      <c r="C1944" s="108"/>
      <c r="D1944" s="217"/>
      <c r="E1944" s="217"/>
      <c r="F1944" s="104"/>
      <c r="G1944" s="108"/>
      <c r="J1944" s="174"/>
      <c r="K1944" s="4"/>
    </row>
    <row r="1945" spans="3:11" x14ac:dyDescent="0.25">
      <c r="C1945" s="108"/>
      <c r="D1945" s="217"/>
      <c r="E1945" s="217"/>
      <c r="F1945" s="104"/>
      <c r="G1945" s="108"/>
      <c r="J1945" s="174"/>
      <c r="K1945" s="4"/>
    </row>
    <row r="1946" spans="3:11" x14ac:dyDescent="0.25">
      <c r="C1946" s="108"/>
      <c r="D1946" s="217"/>
      <c r="E1946" s="217"/>
      <c r="F1946" s="104"/>
      <c r="G1946" s="108"/>
      <c r="J1946" s="174"/>
      <c r="K1946" s="4"/>
    </row>
    <row r="1947" spans="3:11" x14ac:dyDescent="0.25">
      <c r="C1947" s="108"/>
      <c r="D1947" s="217"/>
      <c r="E1947" s="217"/>
      <c r="F1947" s="104"/>
      <c r="G1947" s="108"/>
      <c r="J1947" s="174"/>
      <c r="K1947" s="4"/>
    </row>
    <row r="1948" spans="3:11" x14ac:dyDescent="0.25">
      <c r="C1948" s="108"/>
      <c r="D1948" s="217"/>
      <c r="E1948" s="217"/>
      <c r="F1948" s="104"/>
      <c r="G1948" s="108"/>
      <c r="J1948" s="174"/>
      <c r="K1948" s="4"/>
    </row>
    <row r="1949" spans="3:11" x14ac:dyDescent="0.25">
      <c r="C1949" s="108"/>
      <c r="D1949" s="217"/>
      <c r="E1949" s="217"/>
      <c r="F1949" s="104"/>
      <c r="G1949" s="108"/>
      <c r="J1949" s="174"/>
      <c r="K1949" s="4"/>
    </row>
    <row r="1950" spans="3:11" x14ac:dyDescent="0.25">
      <c r="C1950" s="108"/>
      <c r="D1950" s="217"/>
      <c r="E1950" s="217"/>
      <c r="F1950" s="104"/>
      <c r="G1950" s="108"/>
      <c r="J1950" s="174"/>
      <c r="K1950" s="4"/>
    </row>
    <row r="1951" spans="3:11" x14ac:dyDescent="0.25">
      <c r="C1951" s="108"/>
      <c r="D1951" s="217"/>
      <c r="E1951" s="217"/>
      <c r="F1951" s="104"/>
      <c r="G1951" s="108"/>
      <c r="J1951" s="174"/>
      <c r="K1951" s="4"/>
    </row>
    <row r="1952" spans="3:11" x14ac:dyDescent="0.25">
      <c r="C1952" s="108"/>
      <c r="D1952" s="217"/>
      <c r="E1952" s="217"/>
      <c r="F1952" s="104"/>
      <c r="G1952" s="108"/>
      <c r="J1952" s="174"/>
      <c r="K1952" s="4"/>
    </row>
    <row r="1953" spans="3:11" x14ac:dyDescent="0.25">
      <c r="C1953" s="108"/>
      <c r="D1953" s="217"/>
      <c r="E1953" s="217"/>
      <c r="F1953" s="104"/>
      <c r="G1953" s="108"/>
      <c r="J1953" s="174"/>
      <c r="K1953" s="4"/>
    </row>
    <row r="1954" spans="3:11" x14ac:dyDescent="0.25">
      <c r="C1954" s="108"/>
      <c r="D1954" s="217"/>
      <c r="E1954" s="217"/>
      <c r="F1954" s="104"/>
      <c r="G1954" s="108"/>
      <c r="J1954" s="174"/>
      <c r="K1954" s="4"/>
    </row>
    <row r="1955" spans="3:11" x14ac:dyDescent="0.25">
      <c r="C1955" s="108"/>
      <c r="D1955" s="217"/>
      <c r="E1955" s="217"/>
      <c r="F1955" s="104"/>
      <c r="G1955" s="108"/>
      <c r="J1955" s="174"/>
      <c r="K1955" s="4"/>
    </row>
    <row r="1956" spans="3:11" x14ac:dyDescent="0.25">
      <c r="C1956" s="108"/>
      <c r="D1956" s="217"/>
      <c r="E1956" s="217"/>
      <c r="F1956" s="104"/>
      <c r="G1956" s="108"/>
      <c r="J1956" s="174"/>
      <c r="K1956" s="4"/>
    </row>
    <row r="1957" spans="3:11" x14ac:dyDescent="0.25">
      <c r="C1957" s="108"/>
      <c r="D1957" s="217"/>
      <c r="E1957" s="217"/>
      <c r="F1957" s="104"/>
      <c r="G1957" s="108"/>
      <c r="J1957" s="174"/>
      <c r="K1957" s="4"/>
    </row>
    <row r="1958" spans="3:11" x14ac:dyDescent="0.25">
      <c r="C1958" s="108"/>
      <c r="D1958" s="217"/>
      <c r="E1958" s="217"/>
      <c r="F1958" s="104"/>
      <c r="G1958" s="108"/>
      <c r="J1958" s="174"/>
      <c r="K1958" s="4"/>
    </row>
    <row r="1959" spans="3:11" x14ac:dyDescent="0.25">
      <c r="C1959" s="108"/>
      <c r="D1959" s="217"/>
      <c r="E1959" s="217"/>
      <c r="F1959" s="104"/>
      <c r="G1959" s="108"/>
      <c r="J1959" s="174"/>
      <c r="K1959" s="4"/>
    </row>
    <row r="1960" spans="3:11" x14ac:dyDescent="0.25">
      <c r="C1960" s="108"/>
      <c r="D1960" s="217"/>
      <c r="E1960" s="217"/>
      <c r="F1960" s="104"/>
      <c r="G1960" s="108"/>
      <c r="J1960" s="174"/>
      <c r="K1960" s="4"/>
    </row>
    <row r="1961" spans="3:11" x14ac:dyDescent="0.25">
      <c r="C1961" s="108"/>
      <c r="D1961" s="217"/>
      <c r="E1961" s="217"/>
      <c r="F1961" s="104"/>
      <c r="G1961" s="108"/>
      <c r="J1961" s="174"/>
      <c r="K1961" s="4"/>
    </row>
    <row r="1962" spans="3:11" x14ac:dyDescent="0.25">
      <c r="C1962" s="108"/>
      <c r="D1962" s="217"/>
      <c r="E1962" s="217"/>
      <c r="F1962" s="104"/>
      <c r="G1962" s="108"/>
      <c r="J1962" s="174"/>
      <c r="K1962" s="4"/>
    </row>
    <row r="1963" spans="3:11" x14ac:dyDescent="0.25">
      <c r="C1963" s="108"/>
      <c r="D1963" s="217"/>
      <c r="E1963" s="217"/>
      <c r="F1963" s="104"/>
      <c r="G1963" s="108"/>
      <c r="J1963" s="174"/>
      <c r="K1963" s="4"/>
    </row>
    <row r="1964" spans="3:11" x14ac:dyDescent="0.25">
      <c r="C1964" s="108"/>
      <c r="D1964" s="217"/>
      <c r="E1964" s="217"/>
      <c r="F1964" s="104"/>
      <c r="G1964" s="108"/>
      <c r="J1964" s="174"/>
      <c r="K1964" s="4"/>
    </row>
    <row r="1965" spans="3:11" x14ac:dyDescent="0.25">
      <c r="C1965" s="108"/>
      <c r="D1965" s="217"/>
      <c r="E1965" s="217"/>
      <c r="F1965" s="104"/>
      <c r="G1965" s="108"/>
      <c r="J1965" s="174"/>
      <c r="K1965" s="4"/>
    </row>
    <row r="1966" spans="3:11" x14ac:dyDescent="0.25">
      <c r="C1966" s="108"/>
      <c r="D1966" s="217"/>
      <c r="E1966" s="217"/>
      <c r="F1966" s="104"/>
      <c r="G1966" s="108"/>
      <c r="J1966" s="174"/>
      <c r="K1966" s="4"/>
    </row>
    <row r="1967" spans="3:11" x14ac:dyDescent="0.25">
      <c r="C1967" s="108"/>
      <c r="D1967" s="217"/>
      <c r="E1967" s="217"/>
      <c r="F1967" s="104"/>
      <c r="G1967" s="108"/>
      <c r="J1967" s="174"/>
      <c r="K1967" s="4"/>
    </row>
    <row r="1968" spans="3:11" x14ac:dyDescent="0.25">
      <c r="C1968" s="108"/>
      <c r="D1968" s="217"/>
      <c r="E1968" s="217"/>
      <c r="F1968" s="104"/>
      <c r="G1968" s="108"/>
      <c r="J1968" s="174"/>
      <c r="K1968" s="4"/>
    </row>
    <row r="1969" spans="3:11" x14ac:dyDescent="0.25">
      <c r="C1969" s="108"/>
      <c r="D1969" s="217"/>
      <c r="E1969" s="217"/>
      <c r="F1969" s="104"/>
      <c r="G1969" s="108"/>
      <c r="J1969" s="174"/>
      <c r="K1969" s="4"/>
    </row>
    <row r="1970" spans="3:11" x14ac:dyDescent="0.25">
      <c r="C1970" s="108"/>
      <c r="D1970" s="217"/>
      <c r="E1970" s="217"/>
      <c r="F1970" s="104"/>
      <c r="G1970" s="108"/>
      <c r="J1970" s="174"/>
      <c r="K1970" s="4"/>
    </row>
    <row r="1971" spans="3:11" x14ac:dyDescent="0.25">
      <c r="C1971" s="108"/>
      <c r="D1971" s="217"/>
      <c r="E1971" s="217"/>
      <c r="F1971" s="104"/>
      <c r="G1971" s="108"/>
      <c r="J1971" s="174"/>
      <c r="K1971" s="4"/>
    </row>
    <row r="1972" spans="3:11" x14ac:dyDescent="0.25">
      <c r="C1972" s="108"/>
      <c r="D1972" s="217"/>
      <c r="E1972" s="217"/>
      <c r="F1972" s="104"/>
      <c r="G1972" s="108"/>
      <c r="J1972" s="174"/>
      <c r="K1972" s="4"/>
    </row>
    <row r="1973" spans="3:11" x14ac:dyDescent="0.25">
      <c r="C1973" s="108"/>
      <c r="D1973" s="217"/>
      <c r="E1973" s="217"/>
      <c r="F1973" s="104"/>
      <c r="G1973" s="108"/>
      <c r="J1973" s="174"/>
      <c r="K1973" s="4"/>
    </row>
    <row r="1974" spans="3:11" x14ac:dyDescent="0.25">
      <c r="C1974" s="108"/>
      <c r="D1974" s="217"/>
      <c r="E1974" s="217"/>
      <c r="F1974" s="104"/>
      <c r="G1974" s="108"/>
      <c r="J1974" s="174"/>
      <c r="K1974" s="4"/>
    </row>
    <row r="1975" spans="3:11" x14ac:dyDescent="0.25">
      <c r="C1975" s="108"/>
      <c r="D1975" s="217"/>
      <c r="E1975" s="217"/>
      <c r="F1975" s="104"/>
      <c r="G1975" s="108"/>
      <c r="J1975" s="174"/>
      <c r="K1975" s="4"/>
    </row>
    <row r="1976" spans="3:11" x14ac:dyDescent="0.25">
      <c r="C1976" s="108"/>
      <c r="D1976" s="217"/>
      <c r="E1976" s="217"/>
      <c r="F1976" s="104"/>
      <c r="G1976" s="108"/>
      <c r="J1976" s="174"/>
      <c r="K1976" s="4"/>
    </row>
    <row r="1977" spans="3:11" x14ac:dyDescent="0.25">
      <c r="C1977" s="108"/>
      <c r="D1977" s="217"/>
      <c r="E1977" s="217"/>
      <c r="F1977" s="104"/>
      <c r="G1977" s="108"/>
      <c r="J1977" s="174"/>
      <c r="K1977" s="4"/>
    </row>
    <row r="1978" spans="3:11" x14ac:dyDescent="0.25">
      <c r="C1978" s="108"/>
      <c r="D1978" s="217"/>
      <c r="E1978" s="217"/>
      <c r="F1978" s="104"/>
      <c r="G1978" s="108"/>
      <c r="J1978" s="174"/>
      <c r="K1978" s="4"/>
    </row>
    <row r="1979" spans="3:11" x14ac:dyDescent="0.25">
      <c r="C1979" s="108"/>
      <c r="D1979" s="217"/>
      <c r="E1979" s="217"/>
      <c r="F1979" s="104"/>
      <c r="G1979" s="108"/>
      <c r="J1979" s="174"/>
      <c r="K1979" s="4"/>
    </row>
    <row r="1980" spans="3:11" x14ac:dyDescent="0.25">
      <c r="C1980" s="108"/>
      <c r="D1980" s="217"/>
      <c r="E1980" s="217"/>
      <c r="F1980" s="104"/>
      <c r="G1980" s="108"/>
      <c r="J1980" s="174"/>
      <c r="K1980" s="4"/>
    </row>
    <row r="1981" spans="3:11" x14ac:dyDescent="0.25">
      <c r="C1981" s="108"/>
      <c r="D1981" s="217"/>
      <c r="E1981" s="217"/>
      <c r="F1981" s="104"/>
      <c r="G1981" s="108"/>
      <c r="J1981" s="174"/>
      <c r="K1981" s="4"/>
    </row>
    <row r="1982" spans="3:11" x14ac:dyDescent="0.25">
      <c r="C1982" s="108"/>
      <c r="D1982" s="217"/>
      <c r="E1982" s="217"/>
      <c r="F1982" s="104"/>
      <c r="G1982" s="108"/>
      <c r="J1982" s="174"/>
      <c r="K1982" s="4"/>
    </row>
    <row r="1983" spans="3:11" x14ac:dyDescent="0.25">
      <c r="C1983" s="108"/>
      <c r="D1983" s="217"/>
      <c r="E1983" s="217"/>
      <c r="F1983" s="104"/>
      <c r="G1983" s="108"/>
      <c r="J1983" s="174"/>
      <c r="K1983" s="4"/>
    </row>
    <row r="1984" spans="3:11" x14ac:dyDescent="0.25">
      <c r="C1984" s="108"/>
      <c r="D1984" s="217"/>
      <c r="E1984" s="217"/>
      <c r="F1984" s="104"/>
      <c r="G1984" s="108"/>
      <c r="J1984" s="174"/>
      <c r="K1984" s="4"/>
    </row>
    <row r="1985" spans="3:11" x14ac:dyDescent="0.25">
      <c r="C1985" s="108"/>
      <c r="D1985" s="217"/>
      <c r="E1985" s="217"/>
      <c r="F1985" s="104"/>
      <c r="G1985" s="108"/>
      <c r="J1985" s="174"/>
      <c r="K1985" s="4"/>
    </row>
    <row r="1986" spans="3:11" x14ac:dyDescent="0.25">
      <c r="C1986" s="108"/>
      <c r="D1986" s="217"/>
      <c r="E1986" s="217"/>
      <c r="F1986" s="104"/>
      <c r="G1986" s="108"/>
      <c r="J1986" s="174"/>
      <c r="K1986" s="4"/>
    </row>
    <row r="1987" spans="3:11" x14ac:dyDescent="0.25">
      <c r="C1987" s="108"/>
      <c r="D1987" s="217"/>
      <c r="E1987" s="217"/>
      <c r="F1987" s="104"/>
      <c r="G1987" s="108"/>
      <c r="J1987" s="174"/>
      <c r="K1987" s="4"/>
    </row>
    <row r="1988" spans="3:11" x14ac:dyDescent="0.25">
      <c r="C1988" s="108"/>
      <c r="D1988" s="217"/>
      <c r="E1988" s="217"/>
      <c r="F1988" s="104"/>
      <c r="G1988" s="108"/>
      <c r="J1988" s="174"/>
      <c r="K1988" s="4"/>
    </row>
    <row r="1989" spans="3:11" x14ac:dyDescent="0.25">
      <c r="C1989" s="108"/>
      <c r="D1989" s="217"/>
      <c r="E1989" s="217"/>
      <c r="F1989" s="104"/>
      <c r="G1989" s="108"/>
      <c r="J1989" s="174"/>
      <c r="K1989" s="4"/>
    </row>
    <row r="1990" spans="3:11" x14ac:dyDescent="0.25">
      <c r="C1990" s="108"/>
      <c r="D1990" s="217"/>
      <c r="E1990" s="217"/>
      <c r="F1990" s="104"/>
      <c r="G1990" s="108"/>
      <c r="J1990" s="174"/>
      <c r="K1990" s="4"/>
    </row>
    <row r="1991" spans="3:11" x14ac:dyDescent="0.25">
      <c r="C1991" s="108"/>
      <c r="D1991" s="217"/>
      <c r="E1991" s="217"/>
      <c r="F1991" s="104"/>
      <c r="G1991" s="108"/>
      <c r="J1991" s="174"/>
      <c r="K1991" s="4"/>
    </row>
    <row r="1992" spans="3:11" x14ac:dyDescent="0.25">
      <c r="C1992" s="108"/>
      <c r="D1992" s="217"/>
      <c r="E1992" s="217"/>
      <c r="F1992" s="104"/>
      <c r="G1992" s="108"/>
      <c r="J1992" s="174"/>
      <c r="K1992" s="4"/>
    </row>
    <row r="1993" spans="3:11" x14ac:dyDescent="0.25">
      <c r="C1993" s="108"/>
      <c r="D1993" s="217"/>
      <c r="E1993" s="217"/>
      <c r="F1993" s="104"/>
      <c r="G1993" s="108"/>
      <c r="J1993" s="174"/>
      <c r="K1993" s="4"/>
    </row>
    <row r="1994" spans="3:11" x14ac:dyDescent="0.25">
      <c r="C1994" s="108"/>
      <c r="D1994" s="217"/>
      <c r="E1994" s="217"/>
      <c r="F1994" s="104"/>
      <c r="G1994" s="108"/>
      <c r="J1994" s="174"/>
      <c r="K1994" s="4"/>
    </row>
    <row r="1995" spans="3:11" x14ac:dyDescent="0.25">
      <c r="C1995" s="108"/>
      <c r="D1995" s="217"/>
      <c r="E1995" s="217"/>
      <c r="F1995" s="104"/>
      <c r="G1995" s="108"/>
      <c r="J1995" s="174"/>
      <c r="K1995" s="4"/>
    </row>
    <row r="1996" spans="3:11" x14ac:dyDescent="0.25">
      <c r="C1996" s="108"/>
      <c r="D1996" s="217"/>
      <c r="E1996" s="217"/>
      <c r="F1996" s="104"/>
      <c r="G1996" s="108"/>
      <c r="J1996" s="174"/>
      <c r="K1996" s="4"/>
    </row>
    <row r="1997" spans="3:11" x14ac:dyDescent="0.25">
      <c r="C1997" s="108"/>
      <c r="D1997" s="217"/>
      <c r="E1997" s="217"/>
      <c r="F1997" s="104"/>
      <c r="G1997" s="108"/>
      <c r="J1997" s="174"/>
      <c r="K1997" s="4"/>
    </row>
    <row r="1998" spans="3:11" x14ac:dyDescent="0.25">
      <c r="C1998" s="108"/>
      <c r="D1998" s="217"/>
      <c r="E1998" s="217"/>
      <c r="F1998" s="104"/>
      <c r="G1998" s="108"/>
      <c r="J1998" s="174"/>
      <c r="K1998" s="4"/>
    </row>
    <row r="1999" spans="3:11" x14ac:dyDescent="0.25">
      <c r="C1999" s="108"/>
      <c r="D1999" s="217"/>
      <c r="E1999" s="217"/>
      <c r="F1999" s="104"/>
      <c r="G1999" s="108"/>
      <c r="J1999" s="174"/>
      <c r="K1999" s="4"/>
    </row>
    <row r="2000" spans="3:11" x14ac:dyDescent="0.25">
      <c r="C2000" s="108"/>
      <c r="D2000" s="217"/>
      <c r="E2000" s="217"/>
      <c r="F2000" s="104"/>
      <c r="G2000" s="108"/>
      <c r="J2000" s="174"/>
      <c r="K2000" s="4"/>
    </row>
    <row r="2001" spans="3:11" x14ac:dyDescent="0.25">
      <c r="C2001" s="108"/>
      <c r="D2001" s="217"/>
      <c r="E2001" s="217"/>
      <c r="F2001" s="104"/>
      <c r="G2001" s="108"/>
      <c r="J2001" s="174"/>
      <c r="K2001" s="4"/>
    </row>
    <row r="2002" spans="3:11" x14ac:dyDescent="0.25">
      <c r="C2002" s="108"/>
      <c r="D2002" s="217"/>
      <c r="E2002" s="217"/>
      <c r="F2002" s="104"/>
      <c r="G2002" s="108"/>
      <c r="J2002" s="174"/>
      <c r="K2002" s="4"/>
    </row>
    <row r="2003" spans="3:11" x14ac:dyDescent="0.25">
      <c r="C2003" s="108"/>
      <c r="D2003" s="217"/>
      <c r="E2003" s="217"/>
      <c r="F2003" s="104"/>
      <c r="G2003" s="108"/>
      <c r="J2003" s="174"/>
      <c r="K2003" s="4"/>
    </row>
    <row r="2004" spans="3:11" x14ac:dyDescent="0.25">
      <c r="C2004" s="108"/>
      <c r="D2004" s="217"/>
      <c r="E2004" s="217"/>
      <c r="F2004" s="104"/>
      <c r="G2004" s="108"/>
      <c r="J2004" s="174"/>
      <c r="K2004" s="4"/>
    </row>
    <row r="2005" spans="3:11" x14ac:dyDescent="0.25">
      <c r="C2005" s="108"/>
      <c r="D2005" s="217"/>
      <c r="E2005" s="217"/>
      <c r="F2005" s="104"/>
      <c r="G2005" s="108"/>
      <c r="J2005" s="174"/>
      <c r="K2005" s="4"/>
    </row>
    <row r="2006" spans="3:11" x14ac:dyDescent="0.25">
      <c r="C2006" s="108"/>
      <c r="D2006" s="217"/>
      <c r="E2006" s="217"/>
      <c r="F2006" s="104"/>
      <c r="G2006" s="108"/>
      <c r="J2006" s="174"/>
      <c r="K2006" s="4"/>
    </row>
    <row r="2007" spans="3:11" x14ac:dyDescent="0.25">
      <c r="C2007" s="108"/>
      <c r="D2007" s="217"/>
      <c r="E2007" s="217"/>
      <c r="F2007" s="104"/>
      <c r="G2007" s="108"/>
      <c r="J2007" s="174"/>
      <c r="K2007" s="4"/>
    </row>
    <row r="2008" spans="3:11" x14ac:dyDescent="0.25">
      <c r="C2008" s="108"/>
      <c r="D2008" s="217"/>
      <c r="E2008" s="217"/>
      <c r="F2008" s="104"/>
      <c r="G2008" s="108"/>
      <c r="J2008" s="174"/>
      <c r="K2008" s="4"/>
    </row>
    <row r="2009" spans="3:11" x14ac:dyDescent="0.25">
      <c r="C2009" s="108"/>
      <c r="D2009" s="217"/>
      <c r="E2009" s="217"/>
      <c r="F2009" s="104"/>
      <c r="G2009" s="108"/>
      <c r="J2009" s="174"/>
      <c r="K2009" s="4"/>
    </row>
    <row r="2010" spans="3:11" x14ac:dyDescent="0.25">
      <c r="C2010" s="108"/>
      <c r="D2010" s="217"/>
      <c r="E2010" s="217"/>
      <c r="F2010" s="104"/>
      <c r="G2010" s="108"/>
      <c r="J2010" s="174"/>
      <c r="K2010" s="4"/>
    </row>
    <row r="2011" spans="3:11" x14ac:dyDescent="0.25">
      <c r="C2011" s="108"/>
      <c r="D2011" s="217"/>
      <c r="E2011" s="217"/>
      <c r="F2011" s="104"/>
      <c r="G2011" s="108"/>
      <c r="J2011" s="174"/>
      <c r="K2011" s="4"/>
    </row>
    <row r="2012" spans="3:11" x14ac:dyDescent="0.25">
      <c r="C2012" s="108"/>
      <c r="D2012" s="217"/>
      <c r="E2012" s="217"/>
      <c r="F2012" s="104"/>
      <c r="G2012" s="108"/>
      <c r="J2012" s="174"/>
      <c r="K2012" s="4"/>
    </row>
    <row r="2013" spans="3:11" x14ac:dyDescent="0.25">
      <c r="C2013" s="108"/>
      <c r="D2013" s="217"/>
      <c r="E2013" s="217"/>
      <c r="F2013" s="104"/>
      <c r="G2013" s="108"/>
      <c r="J2013" s="174"/>
      <c r="K2013" s="4"/>
    </row>
    <row r="2014" spans="3:11" x14ac:dyDescent="0.25">
      <c r="C2014" s="108"/>
      <c r="D2014" s="217"/>
      <c r="E2014" s="217"/>
      <c r="F2014" s="104"/>
      <c r="G2014" s="108"/>
      <c r="J2014" s="174"/>
      <c r="K2014" s="4"/>
    </row>
    <row r="2015" spans="3:11" x14ac:dyDescent="0.25">
      <c r="C2015" s="108"/>
      <c r="D2015" s="217"/>
      <c r="E2015" s="217"/>
      <c r="F2015" s="104"/>
      <c r="G2015" s="108"/>
      <c r="J2015" s="174"/>
      <c r="K2015" s="4"/>
    </row>
    <row r="2016" spans="3:11" x14ac:dyDescent="0.25">
      <c r="C2016" s="108"/>
      <c r="D2016" s="217"/>
      <c r="E2016" s="217"/>
      <c r="F2016" s="104"/>
      <c r="G2016" s="108"/>
      <c r="J2016" s="174"/>
      <c r="K2016" s="4"/>
    </row>
    <row r="2017" spans="3:11" x14ac:dyDescent="0.25">
      <c r="C2017" s="108"/>
      <c r="D2017" s="217"/>
      <c r="E2017" s="217"/>
      <c r="F2017" s="104"/>
      <c r="G2017" s="108"/>
      <c r="J2017" s="174"/>
      <c r="K2017" s="4"/>
    </row>
    <row r="2018" spans="3:11" x14ac:dyDescent="0.25">
      <c r="C2018" s="108"/>
      <c r="D2018" s="217"/>
      <c r="E2018" s="217"/>
      <c r="F2018" s="104"/>
      <c r="G2018" s="108"/>
      <c r="J2018" s="174"/>
      <c r="K2018" s="4"/>
    </row>
    <row r="2019" spans="3:11" x14ac:dyDescent="0.25">
      <c r="C2019" s="108"/>
      <c r="D2019" s="217"/>
      <c r="E2019" s="217"/>
      <c r="F2019" s="104"/>
      <c r="G2019" s="108"/>
      <c r="J2019" s="174"/>
      <c r="K2019" s="4"/>
    </row>
    <row r="2020" spans="3:11" x14ac:dyDescent="0.25">
      <c r="C2020" s="108"/>
      <c r="D2020" s="217"/>
      <c r="E2020" s="217"/>
      <c r="F2020" s="104"/>
      <c r="G2020" s="108"/>
      <c r="J2020" s="174"/>
      <c r="K2020" s="4"/>
    </row>
    <row r="2021" spans="3:11" x14ac:dyDescent="0.25">
      <c r="C2021" s="108"/>
      <c r="D2021" s="217"/>
      <c r="E2021" s="217"/>
      <c r="F2021" s="104"/>
      <c r="G2021" s="108"/>
      <c r="J2021" s="174"/>
      <c r="K2021" s="4"/>
    </row>
    <row r="2022" spans="3:11" x14ac:dyDescent="0.25">
      <c r="C2022" s="108"/>
      <c r="D2022" s="217"/>
      <c r="E2022" s="217"/>
      <c r="F2022" s="104"/>
      <c r="G2022" s="108"/>
      <c r="J2022" s="174"/>
      <c r="K2022" s="4"/>
    </row>
    <row r="2023" spans="3:11" x14ac:dyDescent="0.25">
      <c r="C2023" s="108"/>
      <c r="D2023" s="217"/>
      <c r="E2023" s="217"/>
      <c r="F2023" s="104"/>
      <c r="G2023" s="108"/>
      <c r="J2023" s="174"/>
      <c r="K2023" s="4"/>
    </row>
    <row r="2024" spans="3:11" x14ac:dyDescent="0.25">
      <c r="C2024" s="108"/>
      <c r="D2024" s="217"/>
      <c r="E2024" s="217"/>
      <c r="F2024" s="104"/>
      <c r="G2024" s="108"/>
      <c r="J2024" s="174"/>
      <c r="K2024" s="4"/>
    </row>
    <row r="2025" spans="3:11" x14ac:dyDescent="0.25">
      <c r="C2025" s="108"/>
      <c r="D2025" s="217"/>
      <c r="E2025" s="217"/>
      <c r="F2025" s="104"/>
      <c r="G2025" s="108"/>
      <c r="J2025" s="174"/>
      <c r="K2025" s="4"/>
    </row>
    <row r="2026" spans="3:11" x14ac:dyDescent="0.25">
      <c r="C2026" s="108"/>
      <c r="D2026" s="217"/>
      <c r="E2026" s="217"/>
      <c r="F2026" s="104"/>
      <c r="G2026" s="108"/>
      <c r="J2026" s="174"/>
      <c r="K2026" s="4"/>
    </row>
    <row r="2027" spans="3:11" x14ac:dyDescent="0.25">
      <c r="C2027" s="108"/>
      <c r="D2027" s="217"/>
      <c r="E2027" s="217"/>
      <c r="F2027" s="104"/>
      <c r="G2027" s="108"/>
      <c r="J2027" s="174"/>
      <c r="K2027" s="4"/>
    </row>
    <row r="2028" spans="3:11" x14ac:dyDescent="0.25">
      <c r="C2028" s="108"/>
      <c r="D2028" s="217"/>
      <c r="E2028" s="217"/>
      <c r="F2028" s="104"/>
      <c r="G2028" s="108"/>
      <c r="J2028" s="174"/>
      <c r="K2028" s="4"/>
    </row>
    <row r="2029" spans="3:11" x14ac:dyDescent="0.25">
      <c r="C2029" s="108"/>
      <c r="D2029" s="217"/>
      <c r="E2029" s="217"/>
      <c r="F2029" s="104"/>
      <c r="G2029" s="108"/>
      <c r="J2029" s="174"/>
      <c r="K2029" s="4"/>
    </row>
    <row r="2030" spans="3:11" x14ac:dyDescent="0.25">
      <c r="C2030" s="108"/>
      <c r="D2030" s="217"/>
      <c r="E2030" s="217"/>
      <c r="F2030" s="104"/>
      <c r="G2030" s="108"/>
      <c r="J2030" s="174"/>
      <c r="K2030" s="4"/>
    </row>
    <row r="2031" spans="3:11" x14ac:dyDescent="0.25">
      <c r="C2031" s="108"/>
      <c r="D2031" s="217"/>
      <c r="E2031" s="217"/>
      <c r="F2031" s="104"/>
      <c r="G2031" s="108"/>
      <c r="J2031" s="174"/>
      <c r="K2031" s="4"/>
    </row>
    <row r="2032" spans="3:11" x14ac:dyDescent="0.25">
      <c r="C2032" s="108"/>
      <c r="D2032" s="217"/>
      <c r="E2032" s="217"/>
      <c r="F2032" s="104"/>
      <c r="G2032" s="108"/>
      <c r="J2032" s="174"/>
      <c r="K2032" s="4"/>
    </row>
    <row r="2033" spans="3:11" x14ac:dyDescent="0.25">
      <c r="C2033" s="108"/>
      <c r="D2033" s="217"/>
      <c r="E2033" s="217"/>
      <c r="F2033" s="104"/>
      <c r="G2033" s="108"/>
      <c r="J2033" s="174"/>
      <c r="K2033" s="4"/>
    </row>
    <row r="2034" spans="3:11" x14ac:dyDescent="0.25">
      <c r="C2034" s="108"/>
      <c r="D2034" s="217"/>
      <c r="E2034" s="217"/>
      <c r="F2034" s="104"/>
      <c r="G2034" s="108"/>
      <c r="J2034" s="174"/>
      <c r="K2034" s="4"/>
    </row>
    <row r="2035" spans="3:11" x14ac:dyDescent="0.25">
      <c r="C2035" s="108"/>
      <c r="D2035" s="217"/>
      <c r="E2035" s="217"/>
      <c r="F2035" s="104"/>
      <c r="G2035" s="108"/>
      <c r="J2035" s="174"/>
      <c r="K2035" s="4"/>
    </row>
    <row r="2036" spans="3:11" x14ac:dyDescent="0.25">
      <c r="C2036" s="108"/>
      <c r="D2036" s="217"/>
      <c r="E2036" s="217"/>
      <c r="F2036" s="104"/>
      <c r="G2036" s="108"/>
      <c r="J2036" s="174"/>
      <c r="K2036" s="4"/>
    </row>
    <row r="2037" spans="3:11" x14ac:dyDescent="0.25">
      <c r="C2037" s="108"/>
      <c r="D2037" s="217"/>
      <c r="E2037" s="217"/>
      <c r="F2037" s="104"/>
      <c r="G2037" s="108"/>
      <c r="J2037" s="174"/>
      <c r="K2037" s="4"/>
    </row>
    <row r="2038" spans="3:11" x14ac:dyDescent="0.25">
      <c r="C2038" s="108"/>
      <c r="D2038" s="217"/>
      <c r="E2038" s="217"/>
      <c r="F2038" s="104"/>
      <c r="G2038" s="108"/>
      <c r="J2038" s="174"/>
      <c r="K2038" s="4"/>
    </row>
    <row r="2039" spans="3:11" x14ac:dyDescent="0.25">
      <c r="C2039" s="108"/>
      <c r="D2039" s="217"/>
      <c r="E2039" s="217"/>
      <c r="F2039" s="104"/>
      <c r="G2039" s="108"/>
      <c r="J2039" s="174"/>
      <c r="K2039" s="4"/>
    </row>
    <row r="2040" spans="3:11" x14ac:dyDescent="0.25">
      <c r="C2040" s="108"/>
      <c r="D2040" s="217"/>
      <c r="E2040" s="217"/>
      <c r="F2040" s="104"/>
      <c r="G2040" s="108"/>
      <c r="J2040" s="174"/>
      <c r="K2040" s="4"/>
    </row>
    <row r="2041" spans="3:11" x14ac:dyDescent="0.25">
      <c r="C2041" s="108"/>
      <c r="D2041" s="217"/>
      <c r="E2041" s="217"/>
      <c r="F2041" s="104"/>
      <c r="G2041" s="108"/>
      <c r="J2041" s="174"/>
      <c r="K2041" s="4"/>
    </row>
    <row r="2042" spans="3:11" x14ac:dyDescent="0.25">
      <c r="C2042" s="108"/>
      <c r="D2042" s="217"/>
      <c r="E2042" s="217"/>
      <c r="F2042" s="104"/>
      <c r="G2042" s="108"/>
      <c r="J2042" s="174"/>
      <c r="K2042" s="4"/>
    </row>
    <row r="2043" spans="3:11" x14ac:dyDescent="0.25">
      <c r="C2043" s="108"/>
      <c r="D2043" s="217"/>
      <c r="E2043" s="217"/>
      <c r="F2043" s="104"/>
      <c r="G2043" s="108"/>
      <c r="J2043" s="174"/>
      <c r="K2043" s="4"/>
    </row>
    <row r="2044" spans="3:11" x14ac:dyDescent="0.25">
      <c r="C2044" s="108"/>
      <c r="D2044" s="217"/>
      <c r="E2044" s="217"/>
      <c r="F2044" s="104"/>
      <c r="G2044" s="108"/>
      <c r="J2044" s="174"/>
      <c r="K2044" s="4"/>
    </row>
    <row r="2045" spans="3:11" x14ac:dyDescent="0.25">
      <c r="C2045" s="108"/>
      <c r="D2045" s="217"/>
      <c r="E2045" s="217"/>
      <c r="F2045" s="104"/>
      <c r="G2045" s="108"/>
      <c r="J2045" s="174"/>
      <c r="K2045" s="4"/>
    </row>
    <row r="2046" spans="3:11" x14ac:dyDescent="0.25">
      <c r="C2046" s="108"/>
      <c r="D2046" s="217"/>
      <c r="E2046" s="217"/>
      <c r="F2046" s="104"/>
      <c r="G2046" s="108"/>
      <c r="J2046" s="174"/>
      <c r="K2046" s="4"/>
    </row>
    <row r="2047" spans="3:11" x14ac:dyDescent="0.25">
      <c r="C2047" s="108"/>
      <c r="D2047" s="217"/>
      <c r="E2047" s="217"/>
      <c r="F2047" s="104"/>
      <c r="G2047" s="108"/>
      <c r="J2047" s="174"/>
      <c r="K2047" s="4"/>
    </row>
    <row r="2048" spans="3:11" x14ac:dyDescent="0.25">
      <c r="C2048" s="108"/>
      <c r="D2048" s="217"/>
      <c r="E2048" s="217"/>
      <c r="F2048" s="104"/>
      <c r="G2048" s="108"/>
      <c r="J2048" s="174"/>
      <c r="K2048" s="4"/>
    </row>
    <row r="2049" spans="3:11" x14ac:dyDescent="0.25">
      <c r="C2049" s="108"/>
      <c r="D2049" s="217"/>
      <c r="E2049" s="217"/>
      <c r="F2049" s="104"/>
      <c r="G2049" s="108"/>
      <c r="J2049" s="174"/>
      <c r="K2049" s="4"/>
    </row>
    <row r="2050" spans="3:11" x14ac:dyDescent="0.25">
      <c r="C2050" s="108"/>
      <c r="D2050" s="217"/>
      <c r="E2050" s="217"/>
      <c r="F2050" s="104"/>
      <c r="G2050" s="108"/>
      <c r="J2050" s="174"/>
      <c r="K2050" s="4"/>
    </row>
    <row r="2051" spans="3:11" x14ac:dyDescent="0.25">
      <c r="C2051" s="108"/>
      <c r="D2051" s="217"/>
      <c r="E2051" s="217"/>
      <c r="F2051" s="104"/>
      <c r="G2051" s="108"/>
      <c r="J2051" s="174"/>
      <c r="K2051" s="4"/>
    </row>
    <row r="2052" spans="3:11" x14ac:dyDescent="0.25">
      <c r="C2052" s="108"/>
      <c r="D2052" s="217"/>
      <c r="E2052" s="217"/>
      <c r="F2052" s="104"/>
      <c r="G2052" s="108"/>
      <c r="J2052" s="174"/>
      <c r="K2052" s="4"/>
    </row>
    <row r="2053" spans="3:11" x14ac:dyDescent="0.25">
      <c r="C2053" s="108"/>
      <c r="D2053" s="217"/>
      <c r="E2053" s="217"/>
      <c r="F2053" s="104"/>
      <c r="G2053" s="108"/>
      <c r="J2053" s="174"/>
      <c r="K2053" s="4"/>
    </row>
    <row r="2054" spans="3:11" x14ac:dyDescent="0.25">
      <c r="C2054" s="108"/>
      <c r="D2054" s="217"/>
      <c r="E2054" s="217"/>
      <c r="F2054" s="104"/>
      <c r="G2054" s="108"/>
      <c r="J2054" s="174"/>
      <c r="K2054" s="4"/>
    </row>
    <row r="2055" spans="3:11" x14ac:dyDescent="0.25">
      <c r="C2055" s="108"/>
      <c r="D2055" s="217"/>
      <c r="E2055" s="217"/>
      <c r="F2055" s="104"/>
      <c r="G2055" s="108"/>
      <c r="J2055" s="174"/>
      <c r="K2055" s="4"/>
    </row>
    <row r="2056" spans="3:11" x14ac:dyDescent="0.25">
      <c r="C2056" s="108"/>
      <c r="D2056" s="217"/>
      <c r="E2056" s="217"/>
      <c r="F2056" s="104"/>
      <c r="G2056" s="108"/>
      <c r="J2056" s="174"/>
      <c r="K2056" s="4"/>
    </row>
    <row r="2057" spans="3:11" x14ac:dyDescent="0.25">
      <c r="C2057" s="108"/>
      <c r="D2057" s="217"/>
      <c r="E2057" s="217"/>
      <c r="F2057" s="104"/>
      <c r="G2057" s="108"/>
      <c r="J2057" s="174"/>
      <c r="K2057" s="4"/>
    </row>
    <row r="2058" spans="3:11" x14ac:dyDescent="0.25">
      <c r="C2058" s="108"/>
      <c r="D2058" s="217"/>
      <c r="E2058" s="217"/>
      <c r="F2058" s="104"/>
      <c r="G2058" s="108"/>
      <c r="J2058" s="174"/>
      <c r="K2058" s="4"/>
    </row>
    <row r="2059" spans="3:11" x14ac:dyDescent="0.25">
      <c r="C2059" s="108"/>
      <c r="D2059" s="217"/>
      <c r="E2059" s="217"/>
      <c r="F2059" s="104"/>
      <c r="G2059" s="108"/>
      <c r="J2059" s="174"/>
      <c r="K2059" s="4"/>
    </row>
    <row r="2060" spans="3:11" x14ac:dyDescent="0.25">
      <c r="C2060" s="108"/>
      <c r="D2060" s="217"/>
      <c r="E2060" s="217"/>
      <c r="F2060" s="104"/>
      <c r="G2060" s="108"/>
      <c r="J2060" s="174"/>
      <c r="K2060" s="4"/>
    </row>
    <row r="2061" spans="3:11" x14ac:dyDescent="0.25">
      <c r="C2061" s="108"/>
      <c r="D2061" s="217"/>
      <c r="E2061" s="217"/>
      <c r="F2061" s="104"/>
      <c r="G2061" s="108"/>
      <c r="J2061" s="174"/>
      <c r="K2061" s="4"/>
    </row>
    <row r="2062" spans="3:11" x14ac:dyDescent="0.25">
      <c r="C2062" s="108"/>
      <c r="D2062" s="217"/>
      <c r="E2062" s="217"/>
      <c r="F2062" s="104"/>
      <c r="G2062" s="108"/>
      <c r="J2062" s="174"/>
      <c r="K2062" s="4"/>
    </row>
    <row r="2063" spans="3:11" x14ac:dyDescent="0.25">
      <c r="C2063" s="108"/>
      <c r="D2063" s="217"/>
      <c r="E2063" s="217"/>
      <c r="F2063" s="104"/>
      <c r="G2063" s="108"/>
      <c r="J2063" s="174"/>
      <c r="K2063" s="4"/>
    </row>
    <row r="2064" spans="3:11" x14ac:dyDescent="0.25">
      <c r="C2064" s="108"/>
      <c r="D2064" s="217"/>
      <c r="E2064" s="217"/>
      <c r="F2064" s="104"/>
      <c r="G2064" s="108"/>
      <c r="J2064" s="174"/>
      <c r="K2064" s="4"/>
    </row>
    <row r="2065" spans="3:11" x14ac:dyDescent="0.25">
      <c r="C2065" s="108"/>
      <c r="D2065" s="217"/>
      <c r="E2065" s="217"/>
      <c r="F2065" s="104"/>
      <c r="G2065" s="108"/>
      <c r="J2065" s="174"/>
      <c r="K2065" s="4"/>
    </row>
    <row r="2066" spans="3:11" x14ac:dyDescent="0.25">
      <c r="C2066" s="108"/>
      <c r="D2066" s="217"/>
      <c r="E2066" s="217"/>
      <c r="F2066" s="104"/>
      <c r="G2066" s="108"/>
      <c r="J2066" s="174"/>
      <c r="K2066" s="4"/>
    </row>
    <row r="2067" spans="3:11" x14ac:dyDescent="0.25">
      <c r="C2067" s="108"/>
      <c r="D2067" s="217"/>
      <c r="E2067" s="217"/>
      <c r="F2067" s="104"/>
      <c r="G2067" s="108"/>
      <c r="J2067" s="174"/>
      <c r="K2067" s="4"/>
    </row>
    <row r="2068" spans="3:11" x14ac:dyDescent="0.25">
      <c r="C2068" s="108"/>
      <c r="D2068" s="217"/>
      <c r="E2068" s="217"/>
      <c r="F2068" s="104"/>
      <c r="G2068" s="108"/>
      <c r="J2068" s="174"/>
      <c r="K2068" s="4"/>
    </row>
    <row r="2069" spans="3:11" x14ac:dyDescent="0.25">
      <c r="C2069" s="108"/>
      <c r="D2069" s="217"/>
      <c r="E2069" s="217"/>
      <c r="F2069" s="104"/>
      <c r="G2069" s="108"/>
      <c r="J2069" s="174"/>
      <c r="K2069" s="4"/>
    </row>
    <row r="2070" spans="3:11" x14ac:dyDescent="0.25">
      <c r="C2070" s="108"/>
      <c r="D2070" s="217"/>
      <c r="E2070" s="217"/>
      <c r="F2070" s="104"/>
      <c r="G2070" s="108"/>
      <c r="J2070" s="174"/>
      <c r="K2070" s="4"/>
    </row>
    <row r="2071" spans="3:11" x14ac:dyDescent="0.25">
      <c r="C2071" s="108"/>
      <c r="D2071" s="217"/>
      <c r="E2071" s="217"/>
      <c r="F2071" s="104"/>
      <c r="G2071" s="108"/>
      <c r="J2071" s="174"/>
      <c r="K2071" s="4"/>
    </row>
    <row r="2072" spans="3:11" x14ac:dyDescent="0.25">
      <c r="C2072" s="108"/>
      <c r="D2072" s="217"/>
      <c r="E2072" s="217"/>
      <c r="F2072" s="104"/>
      <c r="G2072" s="108"/>
      <c r="J2072" s="174"/>
      <c r="K2072" s="4"/>
    </row>
    <row r="2073" spans="3:11" x14ac:dyDescent="0.25">
      <c r="C2073" s="108"/>
      <c r="D2073" s="217"/>
      <c r="E2073" s="217"/>
      <c r="F2073" s="104"/>
      <c r="G2073" s="108"/>
      <c r="J2073" s="174"/>
      <c r="K2073" s="4"/>
    </row>
    <row r="2074" spans="3:11" x14ac:dyDescent="0.25">
      <c r="C2074" s="108"/>
      <c r="D2074" s="217"/>
      <c r="E2074" s="217"/>
      <c r="F2074" s="104"/>
      <c r="G2074" s="108"/>
      <c r="J2074" s="174"/>
      <c r="K2074" s="4"/>
    </row>
    <row r="2075" spans="3:11" x14ac:dyDescent="0.25">
      <c r="C2075" s="108"/>
      <c r="D2075" s="217"/>
      <c r="E2075" s="217"/>
      <c r="F2075" s="104"/>
      <c r="G2075" s="108"/>
      <c r="J2075" s="174"/>
      <c r="K2075" s="4"/>
    </row>
    <row r="2076" spans="3:11" x14ac:dyDescent="0.25">
      <c r="C2076" s="108"/>
      <c r="D2076" s="217"/>
      <c r="E2076" s="217"/>
      <c r="F2076" s="104"/>
      <c r="G2076" s="108"/>
      <c r="J2076" s="174"/>
      <c r="K2076" s="4"/>
    </row>
    <row r="2077" spans="3:11" x14ac:dyDescent="0.25">
      <c r="C2077" s="108"/>
      <c r="D2077" s="217"/>
      <c r="E2077" s="217"/>
      <c r="F2077" s="104"/>
      <c r="G2077" s="108"/>
      <c r="J2077" s="174"/>
      <c r="K2077" s="4"/>
    </row>
    <row r="2078" spans="3:11" x14ac:dyDescent="0.25">
      <c r="C2078" s="108"/>
      <c r="D2078" s="217"/>
      <c r="E2078" s="217"/>
      <c r="F2078" s="104"/>
      <c r="G2078" s="108"/>
      <c r="J2078" s="174"/>
      <c r="K2078" s="4"/>
    </row>
    <row r="2079" spans="3:11" x14ac:dyDescent="0.25">
      <c r="C2079" s="108"/>
      <c r="D2079" s="217"/>
      <c r="E2079" s="217"/>
      <c r="F2079" s="104"/>
      <c r="G2079" s="108"/>
      <c r="J2079" s="174"/>
      <c r="K2079" s="4"/>
    </row>
    <row r="2080" spans="3:11" x14ac:dyDescent="0.25">
      <c r="C2080" s="108"/>
      <c r="D2080" s="217"/>
      <c r="E2080" s="217"/>
      <c r="F2080" s="104"/>
      <c r="G2080" s="108"/>
      <c r="J2080" s="174"/>
      <c r="K2080" s="4"/>
    </row>
    <row r="2081" spans="3:11" x14ac:dyDescent="0.25">
      <c r="C2081" s="108"/>
      <c r="D2081" s="217"/>
      <c r="E2081" s="217"/>
      <c r="F2081" s="104"/>
      <c r="G2081" s="108"/>
      <c r="J2081" s="174"/>
      <c r="K2081" s="4"/>
    </row>
    <row r="2082" spans="3:11" x14ac:dyDescent="0.25">
      <c r="C2082" s="108"/>
      <c r="D2082" s="217"/>
      <c r="E2082" s="217"/>
      <c r="F2082" s="104"/>
      <c r="G2082" s="108"/>
      <c r="J2082" s="174"/>
      <c r="K2082" s="4"/>
    </row>
    <row r="2083" spans="3:11" x14ac:dyDescent="0.25">
      <c r="C2083" s="108"/>
      <c r="D2083" s="217"/>
      <c r="E2083" s="217"/>
      <c r="F2083" s="104"/>
      <c r="G2083" s="108"/>
      <c r="J2083" s="174"/>
      <c r="K2083" s="4"/>
    </row>
    <row r="2084" spans="3:11" x14ac:dyDescent="0.25">
      <c r="C2084" s="108"/>
      <c r="D2084" s="217"/>
      <c r="E2084" s="217"/>
      <c r="F2084" s="104"/>
      <c r="G2084" s="108"/>
      <c r="J2084" s="174"/>
      <c r="K2084" s="4"/>
    </row>
    <row r="2085" spans="3:11" x14ac:dyDescent="0.25">
      <c r="C2085" s="108"/>
      <c r="D2085" s="217"/>
      <c r="E2085" s="217"/>
      <c r="F2085" s="104"/>
      <c r="G2085" s="108"/>
      <c r="J2085" s="174"/>
      <c r="K2085" s="4"/>
    </row>
    <row r="2086" spans="3:11" x14ac:dyDescent="0.25">
      <c r="C2086" s="108"/>
      <c r="D2086" s="217"/>
      <c r="E2086" s="217"/>
      <c r="F2086" s="104"/>
      <c r="G2086" s="108"/>
      <c r="J2086" s="174"/>
      <c r="K2086" s="4"/>
    </row>
    <row r="2087" spans="3:11" x14ac:dyDescent="0.25">
      <c r="C2087" s="108"/>
      <c r="D2087" s="217"/>
      <c r="E2087" s="217"/>
      <c r="F2087" s="104"/>
      <c r="G2087" s="108"/>
      <c r="J2087" s="174"/>
      <c r="K2087" s="4"/>
    </row>
    <row r="2088" spans="3:11" x14ac:dyDescent="0.25">
      <c r="C2088" s="108"/>
      <c r="D2088" s="217"/>
      <c r="E2088" s="217"/>
      <c r="F2088" s="104"/>
      <c r="G2088" s="108"/>
      <c r="J2088" s="174"/>
      <c r="K2088" s="4"/>
    </row>
    <row r="2089" spans="3:11" x14ac:dyDescent="0.25">
      <c r="C2089" s="108"/>
      <c r="D2089" s="217"/>
      <c r="E2089" s="217"/>
      <c r="F2089" s="104"/>
      <c r="G2089" s="108"/>
      <c r="J2089" s="174"/>
      <c r="K2089" s="4"/>
    </row>
    <row r="2090" spans="3:11" x14ac:dyDescent="0.25">
      <c r="C2090" s="108"/>
      <c r="D2090" s="217"/>
      <c r="E2090" s="217"/>
      <c r="F2090" s="104"/>
      <c r="G2090" s="108"/>
      <c r="J2090" s="174"/>
      <c r="K2090" s="4"/>
    </row>
    <row r="2091" spans="3:11" x14ac:dyDescent="0.25">
      <c r="C2091" s="108"/>
      <c r="D2091" s="217"/>
      <c r="E2091" s="217"/>
      <c r="F2091" s="104"/>
      <c r="G2091" s="108"/>
      <c r="J2091" s="174"/>
      <c r="K2091" s="4"/>
    </row>
    <row r="2092" spans="3:11" x14ac:dyDescent="0.25">
      <c r="C2092" s="108"/>
      <c r="D2092" s="217"/>
      <c r="E2092" s="217"/>
      <c r="F2092" s="104"/>
      <c r="G2092" s="108"/>
      <c r="J2092" s="174"/>
      <c r="K2092" s="4"/>
    </row>
    <row r="2093" spans="3:11" x14ac:dyDescent="0.25">
      <c r="C2093" s="108"/>
      <c r="D2093" s="217"/>
      <c r="E2093" s="217"/>
      <c r="F2093" s="104"/>
      <c r="G2093" s="108"/>
      <c r="J2093" s="174"/>
      <c r="K2093" s="4"/>
    </row>
    <row r="2094" spans="3:11" x14ac:dyDescent="0.25">
      <c r="C2094" s="108"/>
      <c r="D2094" s="217"/>
      <c r="E2094" s="217"/>
      <c r="F2094" s="104"/>
      <c r="G2094" s="108"/>
      <c r="J2094" s="174"/>
      <c r="K2094" s="4"/>
    </row>
    <row r="2095" spans="3:11" x14ac:dyDescent="0.25">
      <c r="C2095" s="108"/>
      <c r="D2095" s="217"/>
      <c r="E2095" s="217"/>
      <c r="F2095" s="104"/>
      <c r="G2095" s="108"/>
      <c r="J2095" s="174"/>
      <c r="K2095" s="4"/>
    </row>
    <row r="2096" spans="3:11" x14ac:dyDescent="0.25">
      <c r="C2096" s="108"/>
      <c r="D2096" s="217"/>
      <c r="E2096" s="217"/>
      <c r="F2096" s="104"/>
      <c r="G2096" s="108"/>
      <c r="J2096" s="174"/>
      <c r="K2096" s="4"/>
    </row>
    <row r="2097" spans="3:11" x14ac:dyDescent="0.25">
      <c r="C2097" s="108"/>
      <c r="D2097" s="217"/>
      <c r="E2097" s="217"/>
      <c r="F2097" s="104"/>
      <c r="G2097" s="108"/>
      <c r="J2097" s="174"/>
      <c r="K2097" s="4"/>
    </row>
    <row r="2098" spans="3:11" x14ac:dyDescent="0.25">
      <c r="C2098" s="108"/>
      <c r="D2098" s="217"/>
      <c r="E2098" s="217"/>
      <c r="F2098" s="104"/>
      <c r="G2098" s="108"/>
      <c r="J2098" s="174"/>
      <c r="K2098" s="4"/>
    </row>
    <row r="2099" spans="3:11" x14ac:dyDescent="0.25">
      <c r="C2099" s="108"/>
      <c r="D2099" s="217"/>
      <c r="E2099" s="217"/>
      <c r="F2099" s="104"/>
      <c r="G2099" s="108"/>
      <c r="J2099" s="174"/>
      <c r="K2099" s="4"/>
    </row>
    <row r="2100" spans="3:11" x14ac:dyDescent="0.25">
      <c r="C2100" s="108"/>
      <c r="D2100" s="217"/>
      <c r="E2100" s="217"/>
      <c r="F2100" s="104"/>
      <c r="G2100" s="108"/>
      <c r="J2100" s="174"/>
      <c r="K2100" s="4"/>
    </row>
    <row r="2101" spans="3:11" x14ac:dyDescent="0.25">
      <c r="C2101" s="108"/>
      <c r="D2101" s="217"/>
      <c r="E2101" s="217"/>
      <c r="F2101" s="104"/>
      <c r="G2101" s="108"/>
      <c r="J2101" s="174"/>
      <c r="K2101" s="4"/>
    </row>
    <row r="2102" spans="3:11" x14ac:dyDescent="0.25">
      <c r="C2102" s="108"/>
      <c r="D2102" s="217"/>
      <c r="E2102" s="217"/>
      <c r="F2102" s="104"/>
      <c r="G2102" s="108"/>
      <c r="J2102" s="174"/>
      <c r="K2102" s="4"/>
    </row>
    <row r="2103" spans="3:11" x14ac:dyDescent="0.25">
      <c r="C2103" s="108"/>
      <c r="D2103" s="217"/>
      <c r="E2103" s="217"/>
      <c r="F2103" s="104"/>
      <c r="G2103" s="108"/>
      <c r="J2103" s="174"/>
      <c r="K2103" s="4"/>
    </row>
    <row r="2104" spans="3:11" x14ac:dyDescent="0.25">
      <c r="C2104" s="108"/>
      <c r="D2104" s="217"/>
      <c r="E2104" s="217"/>
      <c r="F2104" s="104"/>
      <c r="G2104" s="108"/>
      <c r="J2104" s="174"/>
      <c r="K2104" s="4"/>
    </row>
    <row r="2105" spans="3:11" x14ac:dyDescent="0.25">
      <c r="C2105" s="108"/>
      <c r="D2105" s="217"/>
      <c r="E2105" s="217"/>
      <c r="F2105" s="104"/>
      <c r="G2105" s="108"/>
      <c r="J2105" s="174"/>
      <c r="K2105" s="4"/>
    </row>
    <row r="2106" spans="3:11" x14ac:dyDescent="0.25">
      <c r="C2106" s="108"/>
      <c r="D2106" s="217"/>
      <c r="E2106" s="217"/>
      <c r="F2106" s="104"/>
      <c r="G2106" s="108"/>
      <c r="J2106" s="174"/>
      <c r="K2106" s="4"/>
    </row>
    <row r="2107" spans="3:11" x14ac:dyDescent="0.25">
      <c r="C2107" s="108"/>
      <c r="D2107" s="217"/>
      <c r="E2107" s="217"/>
      <c r="F2107" s="104"/>
      <c r="G2107" s="108"/>
      <c r="J2107" s="174"/>
      <c r="K2107" s="4"/>
    </row>
    <row r="2108" spans="3:11" x14ac:dyDescent="0.25">
      <c r="C2108" s="108"/>
      <c r="D2108" s="217"/>
      <c r="E2108" s="217"/>
      <c r="F2108" s="104"/>
      <c r="G2108" s="108"/>
      <c r="J2108" s="174"/>
      <c r="K2108" s="4"/>
    </row>
    <row r="2109" spans="3:11" x14ac:dyDescent="0.25">
      <c r="C2109" s="108"/>
      <c r="D2109" s="217"/>
      <c r="E2109" s="217"/>
      <c r="F2109" s="104"/>
      <c r="G2109" s="108"/>
      <c r="J2109" s="174"/>
      <c r="K2109" s="4"/>
    </row>
    <row r="2110" spans="3:11" x14ac:dyDescent="0.25">
      <c r="C2110" s="108"/>
      <c r="D2110" s="217"/>
      <c r="E2110" s="217"/>
      <c r="F2110" s="104"/>
      <c r="G2110" s="108"/>
      <c r="J2110" s="174"/>
      <c r="K2110" s="4"/>
    </row>
    <row r="2111" spans="3:11" x14ac:dyDescent="0.25">
      <c r="C2111" s="108"/>
      <c r="D2111" s="217"/>
      <c r="E2111" s="217"/>
      <c r="F2111" s="104"/>
      <c r="G2111" s="108"/>
      <c r="J2111" s="174"/>
      <c r="K2111" s="4"/>
    </row>
    <row r="2112" spans="3:11" x14ac:dyDescent="0.25">
      <c r="C2112" s="108"/>
      <c r="D2112" s="217"/>
      <c r="E2112" s="217"/>
      <c r="F2112" s="104"/>
      <c r="G2112" s="108"/>
      <c r="J2112" s="174"/>
      <c r="K2112" s="4"/>
    </row>
    <row r="2113" spans="3:11" x14ac:dyDescent="0.25">
      <c r="C2113" s="108"/>
      <c r="D2113" s="217"/>
      <c r="E2113" s="217"/>
      <c r="F2113" s="104"/>
      <c r="G2113" s="108"/>
      <c r="J2113" s="174"/>
      <c r="K2113" s="4"/>
    </row>
    <row r="2114" spans="3:11" x14ac:dyDescent="0.25">
      <c r="C2114" s="108"/>
      <c r="D2114" s="217"/>
      <c r="E2114" s="217"/>
      <c r="F2114" s="104"/>
      <c r="G2114" s="108"/>
      <c r="J2114" s="174"/>
      <c r="K2114" s="4"/>
    </row>
    <row r="2115" spans="3:11" x14ac:dyDescent="0.25">
      <c r="C2115" s="108"/>
      <c r="D2115" s="217"/>
      <c r="E2115" s="217"/>
      <c r="F2115" s="104"/>
      <c r="G2115" s="108"/>
      <c r="J2115" s="174"/>
      <c r="K2115" s="4"/>
    </row>
    <row r="2116" spans="3:11" x14ac:dyDescent="0.25">
      <c r="C2116" s="108"/>
      <c r="D2116" s="217"/>
      <c r="E2116" s="217"/>
      <c r="F2116" s="104"/>
      <c r="G2116" s="108"/>
      <c r="J2116" s="174"/>
      <c r="K2116" s="4"/>
    </row>
    <row r="2117" spans="3:11" x14ac:dyDescent="0.25">
      <c r="C2117" s="108"/>
      <c r="D2117" s="217"/>
      <c r="E2117" s="217"/>
      <c r="F2117" s="104"/>
      <c r="G2117" s="108"/>
      <c r="J2117" s="174"/>
      <c r="K2117" s="4"/>
    </row>
    <row r="2118" spans="3:11" x14ac:dyDescent="0.25">
      <c r="C2118" s="108"/>
      <c r="D2118" s="217"/>
      <c r="E2118" s="217"/>
      <c r="F2118" s="104"/>
      <c r="G2118" s="108"/>
      <c r="J2118" s="174"/>
      <c r="K2118" s="4"/>
    </row>
    <row r="2119" spans="3:11" x14ac:dyDescent="0.25">
      <c r="C2119" s="108"/>
      <c r="D2119" s="217"/>
      <c r="E2119" s="217"/>
      <c r="F2119" s="104"/>
      <c r="G2119" s="108"/>
      <c r="J2119" s="174"/>
      <c r="K2119" s="4"/>
    </row>
    <row r="2120" spans="3:11" x14ac:dyDescent="0.25">
      <c r="C2120" s="108"/>
      <c r="D2120" s="217"/>
      <c r="E2120" s="217"/>
      <c r="F2120" s="104"/>
      <c r="G2120" s="108"/>
      <c r="J2120" s="174"/>
      <c r="K2120" s="4"/>
    </row>
    <row r="2121" spans="3:11" x14ac:dyDescent="0.25">
      <c r="C2121" s="108"/>
      <c r="D2121" s="217"/>
      <c r="E2121" s="217"/>
      <c r="F2121" s="104"/>
      <c r="G2121" s="108"/>
      <c r="J2121" s="174"/>
      <c r="K2121" s="4"/>
    </row>
    <row r="2122" spans="3:11" x14ac:dyDescent="0.25">
      <c r="C2122" s="108"/>
      <c r="D2122" s="217"/>
      <c r="E2122" s="217"/>
      <c r="F2122" s="104"/>
      <c r="G2122" s="108"/>
      <c r="J2122" s="174"/>
      <c r="K2122" s="4"/>
    </row>
    <row r="2123" spans="3:11" x14ac:dyDescent="0.25">
      <c r="C2123" s="108"/>
      <c r="D2123" s="217"/>
      <c r="E2123" s="217"/>
      <c r="F2123" s="104"/>
      <c r="G2123" s="108"/>
      <c r="J2123" s="174"/>
      <c r="K2123" s="4"/>
    </row>
    <row r="2124" spans="3:11" x14ac:dyDescent="0.25">
      <c r="C2124" s="108"/>
      <c r="D2124" s="217"/>
      <c r="E2124" s="217"/>
      <c r="F2124" s="104"/>
      <c r="G2124" s="108"/>
      <c r="J2124" s="174"/>
      <c r="K2124" s="4"/>
    </row>
    <row r="2125" spans="3:11" x14ac:dyDescent="0.25">
      <c r="C2125" s="108"/>
      <c r="D2125" s="217"/>
      <c r="E2125" s="217"/>
      <c r="F2125" s="104"/>
      <c r="G2125" s="108"/>
      <c r="J2125" s="174"/>
      <c r="K2125" s="4"/>
    </row>
    <row r="2126" spans="3:11" x14ac:dyDescent="0.25">
      <c r="C2126" s="108"/>
      <c r="D2126" s="217"/>
      <c r="E2126" s="217"/>
      <c r="F2126" s="104"/>
      <c r="G2126" s="108"/>
      <c r="J2126" s="174"/>
      <c r="K2126" s="4"/>
    </row>
    <row r="2127" spans="3:11" x14ac:dyDescent="0.25">
      <c r="C2127" s="108"/>
      <c r="D2127" s="217"/>
      <c r="E2127" s="217"/>
      <c r="F2127" s="104"/>
      <c r="G2127" s="108"/>
      <c r="J2127" s="174"/>
      <c r="K2127" s="4"/>
    </row>
    <row r="2128" spans="3:11" x14ac:dyDescent="0.25">
      <c r="C2128" s="108"/>
      <c r="D2128" s="217"/>
      <c r="E2128" s="217"/>
      <c r="F2128" s="104"/>
      <c r="G2128" s="108"/>
      <c r="J2128" s="174"/>
      <c r="K2128" s="4"/>
    </row>
    <row r="2129" spans="3:11" x14ac:dyDescent="0.25">
      <c r="C2129" s="108"/>
      <c r="D2129" s="217"/>
      <c r="E2129" s="217"/>
      <c r="F2129" s="104"/>
      <c r="G2129" s="108"/>
      <c r="J2129" s="174"/>
      <c r="K2129" s="4"/>
    </row>
    <row r="2130" spans="3:11" x14ac:dyDescent="0.25">
      <c r="C2130" s="108"/>
      <c r="D2130" s="217"/>
      <c r="E2130" s="217"/>
      <c r="F2130" s="104"/>
      <c r="G2130" s="108"/>
      <c r="J2130" s="174"/>
      <c r="K2130" s="4"/>
    </row>
    <row r="2131" spans="3:11" x14ac:dyDescent="0.25">
      <c r="C2131" s="108"/>
      <c r="D2131" s="217"/>
      <c r="E2131" s="217"/>
      <c r="F2131" s="104"/>
      <c r="G2131" s="108"/>
      <c r="J2131" s="174"/>
      <c r="K2131" s="4"/>
    </row>
    <row r="2132" spans="3:11" x14ac:dyDescent="0.25">
      <c r="C2132" s="108"/>
      <c r="D2132" s="217"/>
      <c r="E2132" s="217"/>
      <c r="F2132" s="104"/>
      <c r="G2132" s="108"/>
      <c r="J2132" s="174"/>
      <c r="K2132" s="4"/>
    </row>
    <row r="2133" spans="3:11" x14ac:dyDescent="0.25">
      <c r="C2133" s="108"/>
      <c r="D2133" s="217"/>
      <c r="E2133" s="217"/>
      <c r="F2133" s="104"/>
      <c r="G2133" s="108"/>
      <c r="J2133" s="174"/>
      <c r="K2133" s="4"/>
    </row>
    <row r="2134" spans="3:11" x14ac:dyDescent="0.25">
      <c r="C2134" s="108"/>
      <c r="D2134" s="217"/>
      <c r="E2134" s="217"/>
      <c r="F2134" s="104"/>
      <c r="G2134" s="108"/>
      <c r="J2134" s="174"/>
      <c r="K2134" s="4"/>
    </row>
    <row r="2135" spans="3:11" x14ac:dyDescent="0.25">
      <c r="C2135" s="108"/>
      <c r="D2135" s="217"/>
      <c r="E2135" s="217"/>
      <c r="F2135" s="104"/>
      <c r="G2135" s="108"/>
      <c r="J2135" s="174"/>
      <c r="K2135" s="4"/>
    </row>
    <row r="2136" spans="3:11" x14ac:dyDescent="0.25">
      <c r="C2136" s="108"/>
      <c r="D2136" s="217"/>
      <c r="E2136" s="217"/>
      <c r="F2136" s="104"/>
      <c r="G2136" s="108"/>
      <c r="J2136" s="174"/>
      <c r="K2136" s="4"/>
    </row>
    <row r="2137" spans="3:11" x14ac:dyDescent="0.25">
      <c r="C2137" s="108"/>
      <c r="D2137" s="217"/>
      <c r="E2137" s="217"/>
      <c r="F2137" s="104"/>
      <c r="G2137" s="108"/>
      <c r="J2137" s="174"/>
      <c r="K2137" s="4"/>
    </row>
    <row r="2138" spans="3:11" x14ac:dyDescent="0.25">
      <c r="C2138" s="108"/>
      <c r="D2138" s="217"/>
      <c r="E2138" s="217"/>
      <c r="F2138" s="104"/>
      <c r="G2138" s="108"/>
      <c r="J2138" s="174"/>
      <c r="K2138" s="4"/>
    </row>
    <row r="2139" spans="3:11" x14ac:dyDescent="0.25">
      <c r="C2139" s="108"/>
      <c r="D2139" s="217"/>
      <c r="E2139" s="217"/>
      <c r="F2139" s="104"/>
      <c r="G2139" s="108"/>
      <c r="J2139" s="174"/>
      <c r="K2139" s="4"/>
    </row>
    <row r="2140" spans="3:11" x14ac:dyDescent="0.25">
      <c r="C2140" s="108"/>
      <c r="D2140" s="217"/>
      <c r="E2140" s="217"/>
      <c r="F2140" s="104"/>
      <c r="G2140" s="108"/>
      <c r="J2140" s="174"/>
      <c r="K2140" s="4"/>
    </row>
    <row r="2141" spans="3:11" x14ac:dyDescent="0.25">
      <c r="C2141" s="108"/>
      <c r="D2141" s="217"/>
      <c r="E2141" s="217"/>
      <c r="F2141" s="104"/>
      <c r="G2141" s="108"/>
      <c r="J2141" s="174"/>
      <c r="K2141" s="4"/>
    </row>
    <row r="2142" spans="3:11" x14ac:dyDescent="0.25">
      <c r="C2142" s="108"/>
      <c r="D2142" s="217"/>
      <c r="E2142" s="217"/>
      <c r="F2142" s="104"/>
      <c r="G2142" s="108"/>
      <c r="J2142" s="174"/>
      <c r="K2142" s="4"/>
    </row>
    <row r="2143" spans="3:11" x14ac:dyDescent="0.25">
      <c r="C2143" s="108"/>
      <c r="D2143" s="217"/>
      <c r="E2143" s="217"/>
      <c r="F2143" s="104"/>
      <c r="G2143" s="108"/>
      <c r="J2143" s="174"/>
      <c r="K2143" s="4"/>
    </row>
    <row r="2144" spans="3:11" x14ac:dyDescent="0.25">
      <c r="C2144" s="108"/>
      <c r="D2144" s="217"/>
      <c r="E2144" s="217"/>
      <c r="F2144" s="104"/>
      <c r="G2144" s="108"/>
      <c r="J2144" s="174"/>
      <c r="K2144" s="4"/>
    </row>
    <row r="2145" spans="3:11" x14ac:dyDescent="0.25">
      <c r="C2145" s="108"/>
      <c r="D2145" s="217"/>
      <c r="E2145" s="217"/>
      <c r="F2145" s="104"/>
      <c r="G2145" s="108"/>
      <c r="J2145" s="174"/>
      <c r="K2145" s="4"/>
    </row>
    <row r="2146" spans="3:11" x14ac:dyDescent="0.25">
      <c r="C2146" s="108"/>
      <c r="D2146" s="217"/>
      <c r="E2146" s="217"/>
      <c r="F2146" s="104"/>
      <c r="G2146" s="108"/>
      <c r="J2146" s="174"/>
      <c r="K2146" s="4"/>
    </row>
    <row r="2147" spans="3:11" x14ac:dyDescent="0.25">
      <c r="C2147" s="108"/>
      <c r="D2147" s="217"/>
      <c r="E2147" s="217"/>
      <c r="F2147" s="104"/>
      <c r="G2147" s="108"/>
      <c r="J2147" s="174"/>
      <c r="K2147" s="4"/>
    </row>
    <row r="2148" spans="3:11" x14ac:dyDescent="0.25">
      <c r="C2148" s="108"/>
      <c r="D2148" s="217"/>
      <c r="E2148" s="217"/>
      <c r="F2148" s="104"/>
      <c r="G2148" s="108"/>
      <c r="J2148" s="174"/>
      <c r="K2148" s="4"/>
    </row>
    <row r="2149" spans="3:11" x14ac:dyDescent="0.25">
      <c r="C2149" s="108"/>
      <c r="D2149" s="217"/>
      <c r="E2149" s="217"/>
      <c r="F2149" s="104"/>
      <c r="G2149" s="108"/>
      <c r="J2149" s="174"/>
      <c r="K2149" s="4"/>
    </row>
    <row r="2150" spans="3:11" x14ac:dyDescent="0.25">
      <c r="C2150" s="108"/>
      <c r="D2150" s="217"/>
      <c r="E2150" s="217"/>
      <c r="F2150" s="104"/>
      <c r="G2150" s="108"/>
      <c r="J2150" s="174"/>
      <c r="K2150" s="4"/>
    </row>
    <row r="2151" spans="3:11" x14ac:dyDescent="0.25">
      <c r="C2151" s="108"/>
      <c r="D2151" s="217"/>
      <c r="E2151" s="217"/>
      <c r="F2151" s="104"/>
      <c r="G2151" s="108"/>
      <c r="J2151" s="174"/>
      <c r="K2151" s="4"/>
    </row>
    <row r="2152" spans="3:11" x14ac:dyDescent="0.25">
      <c r="C2152" s="108"/>
      <c r="D2152" s="217"/>
      <c r="E2152" s="217"/>
      <c r="F2152" s="104"/>
      <c r="G2152" s="108"/>
      <c r="J2152" s="174"/>
      <c r="K2152" s="4"/>
    </row>
    <row r="2153" spans="3:11" x14ac:dyDescent="0.25">
      <c r="C2153" s="108"/>
      <c r="D2153" s="217"/>
      <c r="E2153" s="217"/>
      <c r="F2153" s="104"/>
      <c r="G2153" s="108"/>
      <c r="J2153" s="174"/>
      <c r="K2153" s="4"/>
    </row>
    <row r="2154" spans="3:11" x14ac:dyDescent="0.25">
      <c r="C2154" s="108"/>
      <c r="D2154" s="217"/>
      <c r="E2154" s="217"/>
      <c r="F2154" s="104"/>
      <c r="G2154" s="108"/>
      <c r="J2154" s="174"/>
      <c r="K2154" s="4"/>
    </row>
    <row r="2155" spans="3:11" x14ac:dyDescent="0.25">
      <c r="C2155" s="108"/>
      <c r="D2155" s="217"/>
      <c r="E2155" s="217"/>
      <c r="F2155" s="104"/>
      <c r="G2155" s="108"/>
      <c r="J2155" s="174"/>
      <c r="K2155" s="4"/>
    </row>
    <row r="2156" spans="3:11" x14ac:dyDescent="0.25">
      <c r="C2156" s="108"/>
      <c r="D2156" s="217"/>
      <c r="E2156" s="217"/>
      <c r="F2156" s="104"/>
      <c r="G2156" s="108"/>
      <c r="J2156" s="174"/>
      <c r="K2156" s="4"/>
    </row>
    <row r="2157" spans="3:11" x14ac:dyDescent="0.25">
      <c r="C2157" s="108"/>
      <c r="D2157" s="217"/>
      <c r="E2157" s="217"/>
      <c r="F2157" s="104"/>
      <c r="G2157" s="108"/>
      <c r="J2157" s="174"/>
      <c r="K2157" s="4"/>
    </row>
    <row r="2158" spans="3:11" x14ac:dyDescent="0.25">
      <c r="C2158" s="108"/>
      <c r="D2158" s="217"/>
      <c r="E2158" s="217"/>
      <c r="F2158" s="104"/>
      <c r="G2158" s="108"/>
      <c r="J2158" s="174"/>
      <c r="K2158" s="4"/>
    </row>
    <row r="2159" spans="3:11" x14ac:dyDescent="0.25">
      <c r="C2159" s="108"/>
      <c r="D2159" s="217"/>
      <c r="E2159" s="217"/>
      <c r="F2159" s="104"/>
      <c r="G2159" s="108"/>
      <c r="J2159" s="174"/>
      <c r="K2159" s="4"/>
    </row>
    <row r="2160" spans="3:11" x14ac:dyDescent="0.25">
      <c r="C2160" s="108"/>
      <c r="D2160" s="217"/>
      <c r="E2160" s="217"/>
      <c r="F2160" s="104"/>
      <c r="G2160" s="108"/>
      <c r="J2160" s="174"/>
      <c r="K2160" s="4"/>
    </row>
    <row r="2161" spans="3:11" x14ac:dyDescent="0.25">
      <c r="C2161" s="108"/>
      <c r="D2161" s="217"/>
      <c r="E2161" s="217"/>
      <c r="F2161" s="104"/>
      <c r="G2161" s="108"/>
      <c r="J2161" s="174"/>
      <c r="K2161" s="4"/>
    </row>
    <row r="2162" spans="3:11" x14ac:dyDescent="0.25">
      <c r="C2162" s="108"/>
      <c r="D2162" s="217"/>
      <c r="E2162" s="217"/>
      <c r="F2162" s="104"/>
      <c r="G2162" s="108"/>
      <c r="J2162" s="174"/>
      <c r="K2162" s="4"/>
    </row>
    <row r="2163" spans="3:11" x14ac:dyDescent="0.25">
      <c r="C2163" s="108"/>
      <c r="D2163" s="217"/>
      <c r="E2163" s="217"/>
      <c r="F2163" s="104"/>
      <c r="G2163" s="108"/>
      <c r="J2163" s="174"/>
      <c r="K2163" s="4"/>
    </row>
    <row r="2164" spans="3:11" x14ac:dyDescent="0.25">
      <c r="C2164" s="108"/>
      <c r="D2164" s="217"/>
      <c r="E2164" s="217"/>
      <c r="F2164" s="104"/>
      <c r="G2164" s="108"/>
      <c r="J2164" s="174"/>
      <c r="K2164" s="4"/>
    </row>
    <row r="2165" spans="3:11" x14ac:dyDescent="0.25">
      <c r="C2165" s="108"/>
      <c r="D2165" s="217"/>
      <c r="E2165" s="217"/>
      <c r="F2165" s="104"/>
      <c r="G2165" s="108"/>
      <c r="J2165" s="174"/>
      <c r="K2165" s="4"/>
    </row>
    <row r="2166" spans="3:11" x14ac:dyDescent="0.25">
      <c r="C2166" s="108"/>
      <c r="D2166" s="217"/>
      <c r="E2166" s="217"/>
      <c r="F2166" s="104"/>
      <c r="G2166" s="108"/>
      <c r="J2166" s="174"/>
      <c r="K2166" s="4"/>
    </row>
    <row r="2167" spans="3:11" x14ac:dyDescent="0.25">
      <c r="C2167" s="108"/>
      <c r="D2167" s="217"/>
      <c r="E2167" s="217"/>
      <c r="F2167" s="104"/>
      <c r="G2167" s="108"/>
      <c r="J2167" s="174"/>
      <c r="K2167" s="4"/>
    </row>
    <row r="2168" spans="3:11" x14ac:dyDescent="0.25">
      <c r="C2168" s="108"/>
      <c r="D2168" s="217"/>
      <c r="E2168" s="217"/>
      <c r="F2168" s="104"/>
      <c r="G2168" s="108"/>
      <c r="J2168" s="174"/>
      <c r="K2168" s="4"/>
    </row>
    <row r="2169" spans="3:11" x14ac:dyDescent="0.25">
      <c r="C2169" s="108"/>
      <c r="D2169" s="217"/>
      <c r="E2169" s="217"/>
      <c r="F2169" s="104"/>
      <c r="G2169" s="108"/>
      <c r="J2169" s="174"/>
      <c r="K2169" s="4"/>
    </row>
    <row r="2170" spans="3:11" x14ac:dyDescent="0.25">
      <c r="C2170" s="108"/>
      <c r="D2170" s="217"/>
      <c r="E2170" s="217"/>
      <c r="F2170" s="104"/>
      <c r="G2170" s="108"/>
      <c r="J2170" s="174"/>
      <c r="K2170" s="4"/>
    </row>
    <row r="2171" spans="3:11" x14ac:dyDescent="0.25">
      <c r="C2171" s="108"/>
      <c r="D2171" s="217"/>
      <c r="E2171" s="217"/>
      <c r="F2171" s="104"/>
      <c r="G2171" s="108"/>
      <c r="J2171" s="174"/>
      <c r="K2171" s="4"/>
    </row>
    <row r="2172" spans="3:11" x14ac:dyDescent="0.25">
      <c r="C2172" s="108"/>
      <c r="D2172" s="217"/>
      <c r="E2172" s="217"/>
      <c r="F2172" s="104"/>
      <c r="G2172" s="108"/>
      <c r="J2172" s="174"/>
      <c r="K2172" s="4"/>
    </row>
    <row r="2173" spans="3:11" x14ac:dyDescent="0.25">
      <c r="C2173" s="108"/>
      <c r="D2173" s="217"/>
      <c r="E2173" s="217"/>
      <c r="F2173" s="104"/>
      <c r="G2173" s="108"/>
      <c r="J2173" s="174"/>
      <c r="K2173" s="4"/>
    </row>
    <row r="2174" spans="3:11" x14ac:dyDescent="0.25">
      <c r="C2174" s="108"/>
      <c r="D2174" s="217"/>
      <c r="E2174" s="217"/>
      <c r="F2174" s="104"/>
      <c r="G2174" s="108"/>
      <c r="J2174" s="174"/>
      <c r="K2174" s="4"/>
    </row>
    <row r="2175" spans="3:11" x14ac:dyDescent="0.25">
      <c r="C2175" s="108"/>
      <c r="D2175" s="217"/>
      <c r="E2175" s="217"/>
      <c r="F2175" s="104"/>
      <c r="G2175" s="108"/>
      <c r="J2175" s="174"/>
      <c r="K2175" s="4"/>
    </row>
    <row r="2176" spans="3:11" x14ac:dyDescent="0.25">
      <c r="C2176" s="108"/>
      <c r="D2176" s="217"/>
      <c r="E2176" s="217"/>
      <c r="F2176" s="104"/>
      <c r="G2176" s="108"/>
      <c r="J2176" s="174"/>
      <c r="K2176" s="4"/>
    </row>
    <row r="2177" spans="3:11" x14ac:dyDescent="0.25">
      <c r="C2177" s="108"/>
      <c r="D2177" s="217"/>
      <c r="E2177" s="217"/>
      <c r="F2177" s="104"/>
      <c r="G2177" s="108"/>
      <c r="J2177" s="174"/>
      <c r="K2177" s="4"/>
    </row>
    <row r="2178" spans="3:11" x14ac:dyDescent="0.25">
      <c r="C2178" s="108"/>
      <c r="D2178" s="217"/>
      <c r="E2178" s="217"/>
      <c r="F2178" s="104"/>
      <c r="G2178" s="108"/>
      <c r="J2178" s="174"/>
      <c r="K2178" s="4"/>
    </row>
    <row r="2179" spans="3:11" x14ac:dyDescent="0.25">
      <c r="C2179" s="108"/>
      <c r="D2179" s="217"/>
      <c r="E2179" s="217"/>
      <c r="F2179" s="104"/>
      <c r="G2179" s="108"/>
      <c r="J2179" s="174"/>
      <c r="K2179" s="4"/>
    </row>
    <row r="2180" spans="3:11" x14ac:dyDescent="0.25">
      <c r="C2180" s="108"/>
      <c r="D2180" s="217"/>
      <c r="E2180" s="217"/>
      <c r="F2180" s="104"/>
      <c r="G2180" s="108"/>
      <c r="J2180" s="174"/>
      <c r="K2180" s="4"/>
    </row>
    <row r="2181" spans="3:11" x14ac:dyDescent="0.25">
      <c r="C2181" s="108"/>
      <c r="D2181" s="217"/>
      <c r="E2181" s="217"/>
      <c r="F2181" s="104"/>
      <c r="G2181" s="108"/>
      <c r="J2181" s="174"/>
      <c r="K2181" s="4"/>
    </row>
    <row r="2182" spans="3:11" x14ac:dyDescent="0.25">
      <c r="C2182" s="108"/>
      <c r="D2182" s="217"/>
      <c r="E2182" s="217"/>
      <c r="F2182" s="104"/>
      <c r="G2182" s="108"/>
      <c r="J2182" s="174"/>
      <c r="K2182" s="4"/>
    </row>
    <row r="2183" spans="3:11" x14ac:dyDescent="0.25">
      <c r="C2183" s="108"/>
      <c r="D2183" s="217"/>
      <c r="E2183" s="217"/>
      <c r="F2183" s="104"/>
      <c r="G2183" s="108"/>
      <c r="J2183" s="174"/>
      <c r="K2183" s="4"/>
    </row>
    <row r="2184" spans="3:11" x14ac:dyDescent="0.25">
      <c r="C2184" s="108"/>
      <c r="D2184" s="217"/>
      <c r="E2184" s="217"/>
      <c r="F2184" s="104"/>
      <c r="G2184" s="108"/>
      <c r="J2184" s="174"/>
      <c r="K2184" s="4"/>
    </row>
    <row r="2185" spans="3:11" x14ac:dyDescent="0.25">
      <c r="C2185" s="108"/>
      <c r="D2185" s="217"/>
      <c r="E2185" s="217"/>
      <c r="F2185" s="104"/>
      <c r="G2185" s="108"/>
      <c r="J2185" s="174"/>
      <c r="K2185" s="4"/>
    </row>
    <row r="2186" spans="3:11" x14ac:dyDescent="0.25">
      <c r="C2186" s="108"/>
      <c r="D2186" s="217"/>
      <c r="E2186" s="217"/>
      <c r="F2186" s="104"/>
      <c r="G2186" s="108"/>
      <c r="J2186" s="174"/>
      <c r="K2186" s="4"/>
    </row>
    <row r="2187" spans="3:11" x14ac:dyDescent="0.25">
      <c r="C2187" s="108"/>
      <c r="D2187" s="217"/>
      <c r="E2187" s="217"/>
      <c r="F2187" s="104"/>
      <c r="G2187" s="108"/>
      <c r="J2187" s="174"/>
      <c r="K2187" s="4"/>
    </row>
    <row r="2188" spans="3:11" x14ac:dyDescent="0.25">
      <c r="C2188" s="108"/>
      <c r="D2188" s="217"/>
      <c r="E2188" s="217"/>
      <c r="F2188" s="104"/>
      <c r="G2188" s="108"/>
      <c r="J2188" s="174"/>
      <c r="K2188" s="4"/>
    </row>
    <row r="2189" spans="3:11" x14ac:dyDescent="0.25">
      <c r="C2189" s="108"/>
      <c r="D2189" s="217"/>
      <c r="E2189" s="217"/>
      <c r="F2189" s="104"/>
      <c r="G2189" s="108"/>
      <c r="J2189" s="174"/>
      <c r="K2189" s="4"/>
    </row>
    <row r="2190" spans="3:11" x14ac:dyDescent="0.25">
      <c r="C2190" s="108"/>
      <c r="D2190" s="217"/>
      <c r="E2190" s="217"/>
      <c r="F2190" s="104"/>
      <c r="G2190" s="108"/>
      <c r="J2190" s="174"/>
      <c r="K2190" s="4"/>
    </row>
    <row r="2191" spans="3:11" x14ac:dyDescent="0.25">
      <c r="C2191" s="108"/>
      <c r="D2191" s="217"/>
      <c r="E2191" s="217"/>
      <c r="F2191" s="104"/>
      <c r="G2191" s="108"/>
      <c r="J2191" s="174"/>
      <c r="K2191" s="4"/>
    </row>
    <row r="2192" spans="3:11" x14ac:dyDescent="0.25">
      <c r="C2192" s="108"/>
      <c r="D2192" s="217"/>
      <c r="E2192" s="217"/>
      <c r="F2192" s="104"/>
      <c r="G2192" s="108"/>
      <c r="J2192" s="174"/>
      <c r="K2192" s="4"/>
    </row>
    <row r="2193" spans="3:11" x14ac:dyDescent="0.25">
      <c r="C2193" s="108"/>
      <c r="D2193" s="217"/>
      <c r="E2193" s="217"/>
      <c r="F2193" s="104"/>
      <c r="G2193" s="108"/>
      <c r="J2193" s="174"/>
      <c r="K2193" s="4"/>
    </row>
    <row r="2194" spans="3:11" x14ac:dyDescent="0.25">
      <c r="C2194" s="108"/>
      <c r="D2194" s="217"/>
      <c r="E2194" s="217"/>
      <c r="F2194" s="104"/>
      <c r="G2194" s="108"/>
      <c r="J2194" s="174"/>
      <c r="K2194" s="4"/>
    </row>
    <row r="2195" spans="3:11" x14ac:dyDescent="0.25">
      <c r="C2195" s="108"/>
      <c r="D2195" s="217"/>
      <c r="E2195" s="217"/>
      <c r="F2195" s="104"/>
      <c r="G2195" s="108"/>
      <c r="J2195" s="174"/>
      <c r="K2195" s="4"/>
    </row>
    <row r="2196" spans="3:11" x14ac:dyDescent="0.25">
      <c r="C2196" s="108"/>
      <c r="D2196" s="217"/>
      <c r="E2196" s="217"/>
      <c r="F2196" s="104"/>
      <c r="G2196" s="108"/>
      <c r="J2196" s="174"/>
      <c r="K2196" s="4"/>
    </row>
    <row r="2197" spans="3:11" x14ac:dyDescent="0.25">
      <c r="C2197" s="108"/>
      <c r="D2197" s="217"/>
      <c r="E2197" s="217"/>
      <c r="F2197" s="104"/>
      <c r="G2197" s="108"/>
      <c r="J2197" s="174"/>
      <c r="K2197" s="4"/>
    </row>
    <row r="2198" spans="3:11" x14ac:dyDescent="0.25">
      <c r="C2198" s="108"/>
      <c r="D2198" s="217"/>
      <c r="E2198" s="217"/>
      <c r="F2198" s="104"/>
      <c r="G2198" s="108"/>
      <c r="J2198" s="174"/>
      <c r="K2198" s="4"/>
    </row>
    <row r="2199" spans="3:11" x14ac:dyDescent="0.25">
      <c r="C2199" s="108"/>
      <c r="D2199" s="217"/>
      <c r="E2199" s="217"/>
      <c r="F2199" s="104"/>
      <c r="G2199" s="108"/>
      <c r="J2199" s="174"/>
      <c r="K2199" s="4"/>
    </row>
    <row r="2200" spans="3:11" x14ac:dyDescent="0.25">
      <c r="C2200" s="108"/>
      <c r="D2200" s="217"/>
      <c r="E2200" s="217"/>
      <c r="F2200" s="104"/>
      <c r="G2200" s="108"/>
      <c r="J2200" s="174"/>
      <c r="K2200" s="4"/>
    </row>
    <row r="2201" spans="3:11" x14ac:dyDescent="0.25">
      <c r="C2201" s="108"/>
      <c r="D2201" s="217"/>
      <c r="E2201" s="217"/>
      <c r="F2201" s="104"/>
      <c r="G2201" s="108"/>
      <c r="J2201" s="174"/>
      <c r="K2201" s="4"/>
    </row>
    <row r="2202" spans="3:11" x14ac:dyDescent="0.25">
      <c r="C2202" s="108"/>
      <c r="D2202" s="217"/>
      <c r="E2202" s="217"/>
      <c r="F2202" s="104"/>
      <c r="G2202" s="108"/>
      <c r="J2202" s="174"/>
      <c r="K2202" s="4"/>
    </row>
    <row r="2203" spans="3:11" x14ac:dyDescent="0.25">
      <c r="C2203" s="108"/>
      <c r="D2203" s="217"/>
      <c r="E2203" s="217"/>
      <c r="F2203" s="104"/>
      <c r="G2203" s="108"/>
      <c r="J2203" s="174"/>
      <c r="K2203" s="4"/>
    </row>
    <row r="2204" spans="3:11" x14ac:dyDescent="0.25">
      <c r="C2204" s="108"/>
      <c r="D2204" s="217"/>
      <c r="E2204" s="217"/>
      <c r="F2204" s="104"/>
      <c r="G2204" s="108"/>
      <c r="J2204" s="174"/>
      <c r="K2204" s="4"/>
    </row>
    <row r="2205" spans="3:11" x14ac:dyDescent="0.25">
      <c r="C2205" s="108"/>
      <c r="D2205" s="217"/>
      <c r="E2205" s="217"/>
      <c r="F2205" s="104"/>
      <c r="G2205" s="108"/>
      <c r="J2205" s="174"/>
      <c r="K2205" s="4"/>
    </row>
    <row r="2206" spans="3:11" x14ac:dyDescent="0.25">
      <c r="C2206" s="108"/>
      <c r="D2206" s="217"/>
      <c r="E2206" s="217"/>
      <c r="F2206" s="104"/>
      <c r="G2206" s="108"/>
      <c r="J2206" s="174"/>
      <c r="K2206" s="4"/>
    </row>
    <row r="2207" spans="3:11" x14ac:dyDescent="0.25">
      <c r="C2207" s="108"/>
      <c r="D2207" s="217"/>
      <c r="E2207" s="217"/>
      <c r="F2207" s="104"/>
      <c r="G2207" s="108"/>
      <c r="J2207" s="174"/>
      <c r="K2207" s="4"/>
    </row>
    <row r="2208" spans="3:11" x14ac:dyDescent="0.25">
      <c r="C2208" s="108"/>
      <c r="D2208" s="217"/>
      <c r="E2208" s="217"/>
      <c r="F2208" s="104"/>
      <c r="G2208" s="108"/>
      <c r="J2208" s="174"/>
      <c r="K2208" s="4"/>
    </row>
    <row r="2209" spans="3:11" x14ac:dyDescent="0.25">
      <c r="C2209" s="108"/>
      <c r="D2209" s="217"/>
      <c r="E2209" s="217"/>
      <c r="F2209" s="104"/>
      <c r="G2209" s="108"/>
      <c r="J2209" s="174"/>
      <c r="K2209" s="4"/>
    </row>
    <row r="2210" spans="3:11" x14ac:dyDescent="0.25">
      <c r="C2210" s="108"/>
      <c r="D2210" s="217"/>
      <c r="E2210" s="217"/>
      <c r="F2210" s="104"/>
      <c r="G2210" s="108"/>
      <c r="J2210" s="174"/>
      <c r="K2210" s="4"/>
    </row>
    <row r="2211" spans="3:11" x14ac:dyDescent="0.25">
      <c r="C2211" s="108"/>
      <c r="D2211" s="217"/>
      <c r="E2211" s="217"/>
      <c r="F2211" s="104"/>
      <c r="G2211" s="108"/>
      <c r="J2211" s="174"/>
      <c r="K2211" s="4"/>
    </row>
    <row r="2212" spans="3:11" x14ac:dyDescent="0.25">
      <c r="C2212" s="108"/>
      <c r="D2212" s="217"/>
      <c r="E2212" s="217"/>
      <c r="F2212" s="104"/>
      <c r="G2212" s="108"/>
      <c r="J2212" s="174"/>
      <c r="K2212" s="4"/>
    </row>
    <row r="2213" spans="3:11" x14ac:dyDescent="0.25">
      <c r="C2213" s="108"/>
      <c r="D2213" s="217"/>
      <c r="E2213" s="217"/>
      <c r="F2213" s="104"/>
      <c r="G2213" s="108"/>
      <c r="J2213" s="174"/>
      <c r="K2213" s="4"/>
    </row>
    <row r="2214" spans="3:11" x14ac:dyDescent="0.25">
      <c r="C2214" s="108"/>
      <c r="D2214" s="217"/>
      <c r="E2214" s="217"/>
      <c r="F2214" s="104"/>
      <c r="G2214" s="108"/>
      <c r="J2214" s="174"/>
      <c r="K2214" s="4"/>
    </row>
    <row r="2215" spans="3:11" x14ac:dyDescent="0.25">
      <c r="C2215" s="108"/>
      <c r="D2215" s="217"/>
      <c r="E2215" s="217"/>
      <c r="F2215" s="104"/>
      <c r="G2215" s="108"/>
      <c r="J2215" s="174"/>
      <c r="K2215" s="4"/>
    </row>
    <row r="2216" spans="3:11" x14ac:dyDescent="0.25">
      <c r="C2216" s="108"/>
      <c r="D2216" s="217"/>
      <c r="E2216" s="217"/>
      <c r="F2216" s="104"/>
      <c r="G2216" s="108"/>
      <c r="J2216" s="174"/>
      <c r="K2216" s="4"/>
    </row>
    <row r="2217" spans="3:11" x14ac:dyDescent="0.25">
      <c r="C2217" s="108"/>
      <c r="D2217" s="217"/>
      <c r="E2217" s="217"/>
      <c r="F2217" s="104"/>
      <c r="G2217" s="108"/>
      <c r="J2217" s="174"/>
      <c r="K2217" s="4"/>
    </row>
    <row r="2218" spans="3:11" x14ac:dyDescent="0.25">
      <c r="C2218" s="108"/>
      <c r="D2218" s="217"/>
      <c r="E2218" s="217"/>
      <c r="F2218" s="104"/>
      <c r="G2218" s="108"/>
      <c r="J2218" s="174"/>
      <c r="K2218" s="4"/>
    </row>
    <row r="2219" spans="3:11" x14ac:dyDescent="0.25">
      <c r="C2219" s="108"/>
      <c r="D2219" s="217"/>
      <c r="E2219" s="217"/>
      <c r="F2219" s="104"/>
      <c r="G2219" s="108"/>
      <c r="J2219" s="174"/>
      <c r="K2219" s="4"/>
    </row>
    <row r="2220" spans="3:11" x14ac:dyDescent="0.25">
      <c r="C2220" s="108"/>
      <c r="D2220" s="217"/>
      <c r="E2220" s="217"/>
      <c r="F2220" s="104"/>
      <c r="G2220" s="108"/>
      <c r="J2220" s="174"/>
      <c r="K2220" s="4"/>
    </row>
    <row r="2221" spans="3:11" x14ac:dyDescent="0.25">
      <c r="C2221" s="108"/>
      <c r="D2221" s="217"/>
      <c r="E2221" s="217"/>
      <c r="F2221" s="104"/>
      <c r="G2221" s="108"/>
      <c r="J2221" s="174"/>
      <c r="K2221" s="4"/>
    </row>
    <row r="2222" spans="3:11" x14ac:dyDescent="0.25">
      <c r="C2222" s="108"/>
      <c r="D2222" s="217"/>
      <c r="E2222" s="217"/>
      <c r="F2222" s="104"/>
      <c r="G2222" s="108"/>
      <c r="J2222" s="174"/>
      <c r="K2222" s="4"/>
    </row>
    <row r="2223" spans="3:11" x14ac:dyDescent="0.25">
      <c r="C2223" s="108"/>
      <c r="D2223" s="217"/>
      <c r="E2223" s="217"/>
      <c r="F2223" s="104"/>
      <c r="G2223" s="108"/>
      <c r="J2223" s="174"/>
      <c r="K2223" s="4"/>
    </row>
    <row r="2224" spans="3:11" x14ac:dyDescent="0.25">
      <c r="C2224" s="108"/>
      <c r="D2224" s="217"/>
      <c r="E2224" s="217"/>
      <c r="F2224" s="104"/>
      <c r="G2224" s="108"/>
      <c r="J2224" s="174"/>
      <c r="K2224" s="4"/>
    </row>
    <row r="2225" spans="3:11" x14ac:dyDescent="0.25">
      <c r="C2225" s="108"/>
      <c r="D2225" s="217"/>
      <c r="E2225" s="217"/>
      <c r="F2225" s="104"/>
      <c r="G2225" s="108"/>
      <c r="J2225" s="174"/>
      <c r="K2225" s="4"/>
    </row>
    <row r="2226" spans="3:11" x14ac:dyDescent="0.25">
      <c r="C2226" s="108"/>
      <c r="D2226" s="217"/>
      <c r="E2226" s="217"/>
      <c r="F2226" s="104"/>
      <c r="G2226" s="108"/>
      <c r="J2226" s="174"/>
      <c r="K2226" s="4"/>
    </row>
    <row r="2227" spans="3:11" x14ac:dyDescent="0.25">
      <c r="C2227" s="108"/>
      <c r="D2227" s="217"/>
      <c r="E2227" s="217"/>
      <c r="F2227" s="104"/>
      <c r="G2227" s="108"/>
      <c r="J2227" s="174"/>
      <c r="K2227" s="4"/>
    </row>
    <row r="2228" spans="3:11" x14ac:dyDescent="0.25">
      <c r="C2228" s="108"/>
      <c r="D2228" s="217"/>
      <c r="E2228" s="217"/>
      <c r="F2228" s="104"/>
      <c r="G2228" s="108"/>
      <c r="J2228" s="174"/>
      <c r="K2228" s="4"/>
    </row>
    <row r="2229" spans="3:11" x14ac:dyDescent="0.25">
      <c r="C2229" s="108"/>
      <c r="D2229" s="217"/>
      <c r="E2229" s="217"/>
      <c r="F2229" s="104"/>
      <c r="G2229" s="108"/>
      <c r="J2229" s="174"/>
      <c r="K2229" s="4"/>
    </row>
    <row r="2230" spans="3:11" x14ac:dyDescent="0.25">
      <c r="C2230" s="108"/>
      <c r="D2230" s="217"/>
      <c r="E2230" s="217"/>
      <c r="F2230" s="104"/>
      <c r="G2230" s="108"/>
      <c r="J2230" s="174"/>
      <c r="K2230" s="4"/>
    </row>
    <row r="2231" spans="3:11" x14ac:dyDescent="0.25">
      <c r="C2231" s="108"/>
      <c r="D2231" s="217"/>
      <c r="E2231" s="217"/>
      <c r="F2231" s="104"/>
      <c r="G2231" s="108"/>
      <c r="J2231" s="174"/>
      <c r="K2231" s="4"/>
    </row>
    <row r="2232" spans="3:11" x14ac:dyDescent="0.25">
      <c r="C2232" s="108"/>
      <c r="D2232" s="217"/>
      <c r="E2232" s="217"/>
      <c r="F2232" s="104"/>
      <c r="G2232" s="108"/>
      <c r="J2232" s="174"/>
      <c r="K2232" s="4"/>
    </row>
    <row r="2233" spans="3:11" x14ac:dyDescent="0.25">
      <c r="C2233" s="108"/>
      <c r="D2233" s="217"/>
      <c r="E2233" s="217"/>
      <c r="F2233" s="104"/>
      <c r="G2233" s="108"/>
      <c r="J2233" s="174"/>
      <c r="K2233" s="4"/>
    </row>
    <row r="2234" spans="3:11" x14ac:dyDescent="0.25">
      <c r="C2234" s="108"/>
      <c r="D2234" s="217"/>
      <c r="E2234" s="217"/>
      <c r="F2234" s="104"/>
      <c r="G2234" s="108"/>
      <c r="J2234" s="174"/>
      <c r="K2234" s="4"/>
    </row>
    <row r="2235" spans="3:11" x14ac:dyDescent="0.25">
      <c r="C2235" s="108"/>
      <c r="D2235" s="217"/>
      <c r="E2235" s="217"/>
      <c r="F2235" s="104"/>
      <c r="G2235" s="108"/>
      <c r="J2235" s="174"/>
      <c r="K2235" s="4"/>
    </row>
    <row r="2236" spans="3:11" x14ac:dyDescent="0.25">
      <c r="C2236" s="108"/>
      <c r="D2236" s="217"/>
      <c r="E2236" s="217"/>
      <c r="F2236" s="104"/>
      <c r="G2236" s="108"/>
      <c r="J2236" s="174"/>
      <c r="K2236" s="4"/>
    </row>
    <row r="2237" spans="3:11" x14ac:dyDescent="0.25">
      <c r="C2237" s="108"/>
      <c r="D2237" s="217"/>
      <c r="E2237" s="217"/>
      <c r="F2237" s="104"/>
      <c r="G2237" s="108"/>
      <c r="J2237" s="174"/>
      <c r="K2237" s="4"/>
    </row>
    <row r="2238" spans="3:11" x14ac:dyDescent="0.25">
      <c r="C2238" s="108"/>
      <c r="D2238" s="217"/>
      <c r="E2238" s="217"/>
      <c r="F2238" s="104"/>
      <c r="G2238" s="108"/>
      <c r="J2238" s="174"/>
      <c r="K2238" s="4"/>
    </row>
    <row r="2239" spans="3:11" x14ac:dyDescent="0.25">
      <c r="C2239" s="108"/>
      <c r="D2239" s="217"/>
      <c r="E2239" s="217"/>
      <c r="F2239" s="104"/>
      <c r="G2239" s="108"/>
      <c r="J2239" s="174"/>
      <c r="K2239" s="4"/>
    </row>
    <row r="2240" spans="3:11" x14ac:dyDescent="0.25">
      <c r="C2240" s="108"/>
      <c r="D2240" s="217"/>
      <c r="E2240" s="217"/>
      <c r="F2240" s="104"/>
      <c r="G2240" s="108"/>
      <c r="J2240" s="174"/>
      <c r="K2240" s="4"/>
    </row>
    <row r="2241" spans="3:11" x14ac:dyDescent="0.25">
      <c r="C2241" s="108"/>
      <c r="D2241" s="217"/>
      <c r="E2241" s="217"/>
      <c r="F2241" s="104"/>
      <c r="G2241" s="108"/>
      <c r="J2241" s="174"/>
      <c r="K2241" s="4"/>
    </row>
    <row r="2242" spans="3:11" x14ac:dyDescent="0.25">
      <c r="C2242" s="108"/>
      <c r="D2242" s="217"/>
      <c r="E2242" s="217"/>
      <c r="F2242" s="104"/>
      <c r="G2242" s="108"/>
      <c r="J2242" s="174"/>
      <c r="K2242" s="4"/>
    </row>
    <row r="2243" spans="3:11" x14ac:dyDescent="0.25">
      <c r="C2243" s="108"/>
      <c r="D2243" s="217"/>
      <c r="E2243" s="217"/>
      <c r="F2243" s="104"/>
      <c r="G2243" s="108"/>
      <c r="J2243" s="174"/>
      <c r="K2243" s="4"/>
    </row>
    <row r="2244" spans="3:11" x14ac:dyDescent="0.25">
      <c r="C2244" s="108"/>
      <c r="D2244" s="217"/>
      <c r="E2244" s="217"/>
      <c r="F2244" s="104"/>
      <c r="G2244" s="108"/>
      <c r="J2244" s="174"/>
      <c r="K2244" s="4"/>
    </row>
    <row r="2245" spans="3:11" x14ac:dyDescent="0.25">
      <c r="C2245" s="108"/>
      <c r="D2245" s="217"/>
      <c r="E2245" s="217"/>
      <c r="F2245" s="104"/>
      <c r="G2245" s="108"/>
      <c r="J2245" s="174"/>
      <c r="K2245" s="4"/>
    </row>
    <row r="2246" spans="3:11" x14ac:dyDescent="0.25">
      <c r="C2246" s="108"/>
      <c r="D2246" s="217"/>
      <c r="E2246" s="217"/>
      <c r="F2246" s="104"/>
      <c r="G2246" s="108"/>
      <c r="J2246" s="174"/>
      <c r="K2246" s="4"/>
    </row>
    <row r="2247" spans="3:11" x14ac:dyDescent="0.25">
      <c r="C2247" s="108"/>
      <c r="D2247" s="217"/>
      <c r="E2247" s="217"/>
      <c r="F2247" s="104"/>
      <c r="G2247" s="108"/>
      <c r="J2247" s="174"/>
      <c r="K2247" s="4"/>
    </row>
    <row r="2248" spans="3:11" x14ac:dyDescent="0.25">
      <c r="C2248" s="108"/>
      <c r="D2248" s="217"/>
      <c r="E2248" s="217"/>
      <c r="F2248" s="104"/>
      <c r="G2248" s="108"/>
      <c r="J2248" s="174"/>
      <c r="K2248" s="4"/>
    </row>
    <row r="2249" spans="3:11" x14ac:dyDescent="0.25">
      <c r="C2249" s="108"/>
      <c r="D2249" s="217"/>
      <c r="E2249" s="217"/>
      <c r="F2249" s="104"/>
      <c r="G2249" s="108"/>
      <c r="J2249" s="174"/>
      <c r="K2249" s="4"/>
    </row>
    <row r="2250" spans="3:11" x14ac:dyDescent="0.25">
      <c r="C2250" s="108"/>
      <c r="D2250" s="217"/>
      <c r="E2250" s="217"/>
      <c r="F2250" s="104"/>
      <c r="G2250" s="108"/>
      <c r="J2250" s="174"/>
      <c r="K2250" s="4"/>
    </row>
    <row r="2251" spans="3:11" x14ac:dyDescent="0.25">
      <c r="C2251" s="108"/>
      <c r="D2251" s="217"/>
      <c r="E2251" s="217"/>
      <c r="F2251" s="104"/>
      <c r="G2251" s="108"/>
      <c r="J2251" s="174"/>
      <c r="K2251" s="4"/>
    </row>
    <row r="2252" spans="3:11" x14ac:dyDescent="0.25">
      <c r="C2252" s="108"/>
      <c r="D2252" s="217"/>
      <c r="E2252" s="217"/>
      <c r="F2252" s="104"/>
      <c r="G2252" s="108"/>
      <c r="J2252" s="174"/>
      <c r="K2252" s="4"/>
    </row>
    <row r="2253" spans="3:11" x14ac:dyDescent="0.25">
      <c r="C2253" s="108"/>
      <c r="D2253" s="217"/>
      <c r="E2253" s="217"/>
      <c r="F2253" s="104"/>
      <c r="G2253" s="108"/>
      <c r="J2253" s="174"/>
      <c r="K2253" s="4"/>
    </row>
    <row r="2254" spans="3:11" x14ac:dyDescent="0.25">
      <c r="C2254" s="108"/>
      <c r="D2254" s="217"/>
      <c r="E2254" s="217"/>
      <c r="F2254" s="104"/>
      <c r="G2254" s="108"/>
      <c r="J2254" s="174"/>
      <c r="K2254" s="4"/>
    </row>
    <row r="2255" spans="3:11" x14ac:dyDescent="0.25">
      <c r="C2255" s="108"/>
      <c r="D2255" s="217"/>
      <c r="E2255" s="217"/>
      <c r="F2255" s="104"/>
      <c r="G2255" s="108"/>
      <c r="J2255" s="174"/>
      <c r="K2255" s="4"/>
    </row>
    <row r="2256" spans="3:11" x14ac:dyDescent="0.25">
      <c r="C2256" s="108"/>
      <c r="D2256" s="217"/>
      <c r="E2256" s="217"/>
      <c r="F2256" s="104"/>
      <c r="G2256" s="108"/>
      <c r="J2256" s="174"/>
      <c r="K2256" s="4"/>
    </row>
    <row r="2257" spans="3:11" x14ac:dyDescent="0.25">
      <c r="C2257" s="108"/>
      <c r="D2257" s="217"/>
      <c r="E2257" s="217"/>
      <c r="F2257" s="104"/>
      <c r="G2257" s="108"/>
      <c r="J2257" s="174"/>
      <c r="K2257" s="4"/>
    </row>
    <row r="2258" spans="3:11" x14ac:dyDescent="0.25">
      <c r="C2258" s="108"/>
      <c r="D2258" s="217"/>
      <c r="E2258" s="217"/>
      <c r="F2258" s="104"/>
      <c r="G2258" s="108"/>
      <c r="J2258" s="174"/>
      <c r="K2258" s="4"/>
    </row>
    <row r="2259" spans="3:11" x14ac:dyDescent="0.25">
      <c r="C2259" s="108"/>
      <c r="D2259" s="217"/>
      <c r="E2259" s="217"/>
      <c r="F2259" s="104"/>
      <c r="G2259" s="108"/>
      <c r="J2259" s="174"/>
      <c r="K2259" s="4"/>
    </row>
    <row r="2260" spans="3:11" x14ac:dyDescent="0.25">
      <c r="C2260" s="108"/>
      <c r="D2260" s="217"/>
      <c r="E2260" s="217"/>
      <c r="F2260" s="104"/>
      <c r="G2260" s="108"/>
      <c r="J2260" s="174"/>
      <c r="K2260" s="4"/>
    </row>
    <row r="2261" spans="3:11" x14ac:dyDescent="0.25">
      <c r="C2261" s="108"/>
      <c r="D2261" s="217"/>
      <c r="E2261" s="217"/>
      <c r="F2261" s="104"/>
      <c r="G2261" s="108"/>
      <c r="J2261" s="174"/>
      <c r="K2261" s="4"/>
    </row>
    <row r="2262" spans="3:11" x14ac:dyDescent="0.25">
      <c r="C2262" s="108"/>
      <c r="D2262" s="217"/>
      <c r="E2262" s="217"/>
      <c r="F2262" s="104"/>
      <c r="G2262" s="108"/>
      <c r="J2262" s="174"/>
      <c r="K2262" s="4"/>
    </row>
    <row r="2263" spans="3:11" x14ac:dyDescent="0.25">
      <c r="C2263" s="108"/>
      <c r="D2263" s="217"/>
      <c r="E2263" s="217"/>
      <c r="F2263" s="104"/>
      <c r="G2263" s="108"/>
      <c r="J2263" s="174"/>
      <c r="K2263" s="4"/>
    </row>
    <row r="2264" spans="3:11" x14ac:dyDescent="0.25">
      <c r="C2264" s="108"/>
      <c r="D2264" s="217"/>
      <c r="E2264" s="217"/>
      <c r="F2264" s="104"/>
      <c r="G2264" s="108"/>
      <c r="J2264" s="174"/>
      <c r="K2264" s="4"/>
    </row>
    <row r="2265" spans="3:11" x14ac:dyDescent="0.25">
      <c r="C2265" s="108"/>
      <c r="D2265" s="217"/>
      <c r="E2265" s="217"/>
      <c r="F2265" s="104"/>
      <c r="G2265" s="108"/>
      <c r="J2265" s="174"/>
      <c r="K2265" s="4"/>
    </row>
    <row r="2266" spans="3:11" x14ac:dyDescent="0.25">
      <c r="C2266" s="108"/>
      <c r="D2266" s="217"/>
      <c r="E2266" s="217"/>
      <c r="F2266" s="104"/>
      <c r="G2266" s="108"/>
      <c r="J2266" s="174"/>
      <c r="K2266" s="4"/>
    </row>
    <row r="2267" spans="3:11" x14ac:dyDescent="0.25">
      <c r="C2267" s="108"/>
      <c r="D2267" s="217"/>
      <c r="E2267" s="217"/>
      <c r="F2267" s="104"/>
      <c r="G2267" s="108"/>
      <c r="J2267" s="174"/>
      <c r="K2267" s="4"/>
    </row>
    <row r="2268" spans="3:11" x14ac:dyDescent="0.25">
      <c r="C2268" s="108"/>
      <c r="D2268" s="217"/>
      <c r="E2268" s="217"/>
      <c r="F2268" s="104"/>
      <c r="G2268" s="108"/>
      <c r="J2268" s="174"/>
      <c r="K2268" s="4"/>
    </row>
    <row r="2269" spans="3:11" x14ac:dyDescent="0.25">
      <c r="C2269" s="108"/>
      <c r="D2269" s="217"/>
      <c r="E2269" s="217"/>
      <c r="F2269" s="104"/>
      <c r="G2269" s="108"/>
      <c r="J2269" s="174"/>
      <c r="K2269" s="4"/>
    </row>
    <row r="2270" spans="3:11" x14ac:dyDescent="0.25">
      <c r="C2270" s="108"/>
      <c r="D2270" s="217"/>
      <c r="E2270" s="217"/>
      <c r="F2270" s="104"/>
      <c r="G2270" s="108"/>
      <c r="J2270" s="174"/>
      <c r="K2270" s="4"/>
    </row>
    <row r="2271" spans="3:11" x14ac:dyDescent="0.25">
      <c r="C2271" s="108"/>
      <c r="D2271" s="217"/>
      <c r="E2271" s="217"/>
      <c r="F2271" s="104"/>
      <c r="G2271" s="108"/>
      <c r="J2271" s="174"/>
      <c r="K2271" s="4"/>
    </row>
    <row r="2272" spans="3:11" x14ac:dyDescent="0.25">
      <c r="C2272" s="108"/>
      <c r="D2272" s="217"/>
      <c r="E2272" s="217"/>
      <c r="F2272" s="104"/>
      <c r="G2272" s="108"/>
      <c r="J2272" s="174"/>
      <c r="K2272" s="4"/>
    </row>
    <row r="2273" spans="3:11" x14ac:dyDescent="0.25">
      <c r="C2273" s="108"/>
      <c r="D2273" s="217"/>
      <c r="E2273" s="217"/>
      <c r="F2273" s="104"/>
      <c r="G2273" s="108"/>
      <c r="J2273" s="174"/>
      <c r="K2273" s="4"/>
    </row>
    <row r="2274" spans="3:11" x14ac:dyDescent="0.25">
      <c r="C2274" s="108"/>
      <c r="D2274" s="217"/>
      <c r="E2274" s="217"/>
      <c r="F2274" s="104"/>
      <c r="G2274" s="108"/>
      <c r="J2274" s="174"/>
      <c r="K2274" s="4"/>
    </row>
    <row r="2275" spans="3:11" x14ac:dyDescent="0.25">
      <c r="C2275" s="108"/>
      <c r="D2275" s="217"/>
      <c r="E2275" s="217"/>
      <c r="F2275" s="104"/>
      <c r="G2275" s="108"/>
      <c r="J2275" s="174"/>
      <c r="K2275" s="4"/>
    </row>
    <row r="2276" spans="3:11" x14ac:dyDescent="0.25">
      <c r="C2276" s="108"/>
      <c r="D2276" s="217"/>
      <c r="E2276" s="217"/>
      <c r="F2276" s="104"/>
      <c r="G2276" s="108"/>
      <c r="J2276" s="174"/>
      <c r="K2276" s="4"/>
    </row>
    <row r="2277" spans="3:11" x14ac:dyDescent="0.25">
      <c r="C2277" s="108"/>
      <c r="D2277" s="217"/>
      <c r="E2277" s="217"/>
      <c r="F2277" s="104"/>
      <c r="G2277" s="108"/>
      <c r="J2277" s="174"/>
      <c r="K2277" s="4"/>
    </row>
    <row r="2278" spans="3:11" x14ac:dyDescent="0.25">
      <c r="C2278" s="108"/>
      <c r="D2278" s="217"/>
      <c r="E2278" s="217"/>
      <c r="F2278" s="104"/>
      <c r="G2278" s="108"/>
      <c r="J2278" s="174"/>
      <c r="K2278" s="4"/>
    </row>
    <row r="2279" spans="3:11" x14ac:dyDescent="0.25">
      <c r="C2279" s="108"/>
      <c r="D2279" s="217"/>
      <c r="E2279" s="217"/>
      <c r="F2279" s="104"/>
      <c r="G2279" s="108"/>
      <c r="J2279" s="174"/>
      <c r="K2279" s="4"/>
    </row>
    <row r="2280" spans="3:11" x14ac:dyDescent="0.25">
      <c r="C2280" s="108"/>
      <c r="D2280" s="217"/>
      <c r="E2280" s="217"/>
      <c r="F2280" s="104"/>
      <c r="G2280" s="108"/>
      <c r="J2280" s="174"/>
      <c r="K2280" s="4"/>
    </row>
    <row r="2281" spans="3:11" x14ac:dyDescent="0.25">
      <c r="C2281" s="108"/>
      <c r="D2281" s="217"/>
      <c r="E2281" s="217"/>
      <c r="F2281" s="104"/>
      <c r="G2281" s="108"/>
      <c r="J2281" s="174"/>
      <c r="K2281" s="4"/>
    </row>
    <row r="2282" spans="3:11" x14ac:dyDescent="0.25">
      <c r="C2282" s="108"/>
      <c r="D2282" s="217"/>
      <c r="E2282" s="217"/>
      <c r="F2282" s="104"/>
      <c r="G2282" s="108"/>
      <c r="J2282" s="174"/>
      <c r="K2282" s="4"/>
    </row>
    <row r="2283" spans="3:11" x14ac:dyDescent="0.25">
      <c r="C2283" s="108"/>
      <c r="D2283" s="217"/>
      <c r="E2283" s="217"/>
      <c r="F2283" s="104"/>
      <c r="G2283" s="108"/>
      <c r="J2283" s="174"/>
      <c r="K2283" s="4"/>
    </row>
    <row r="2284" spans="3:11" x14ac:dyDescent="0.25">
      <c r="C2284" s="108"/>
      <c r="D2284" s="217"/>
      <c r="E2284" s="217"/>
      <c r="F2284" s="104"/>
      <c r="G2284" s="108"/>
      <c r="J2284" s="174"/>
      <c r="K2284" s="4"/>
    </row>
    <row r="2285" spans="3:11" x14ac:dyDescent="0.25">
      <c r="C2285" s="108"/>
      <c r="D2285" s="217"/>
      <c r="E2285" s="217"/>
      <c r="F2285" s="104"/>
      <c r="G2285" s="108"/>
      <c r="J2285" s="174"/>
      <c r="K2285" s="4"/>
    </row>
    <row r="2286" spans="3:11" x14ac:dyDescent="0.25">
      <c r="C2286" s="108"/>
      <c r="D2286" s="217"/>
      <c r="E2286" s="217"/>
      <c r="F2286" s="104"/>
      <c r="G2286" s="108"/>
      <c r="J2286" s="174"/>
      <c r="K2286" s="4"/>
    </row>
    <row r="2287" spans="3:11" x14ac:dyDescent="0.25">
      <c r="C2287" s="108"/>
      <c r="D2287" s="217"/>
      <c r="E2287" s="217"/>
      <c r="F2287" s="104"/>
      <c r="G2287" s="108"/>
      <c r="J2287" s="174"/>
      <c r="K2287" s="4"/>
    </row>
    <row r="2288" spans="3:11" x14ac:dyDescent="0.25">
      <c r="C2288" s="108"/>
      <c r="D2288" s="217"/>
      <c r="E2288" s="217"/>
      <c r="F2288" s="104"/>
      <c r="G2288" s="108"/>
      <c r="J2288" s="174"/>
      <c r="K2288" s="4"/>
    </row>
    <row r="2289" spans="3:11" x14ac:dyDescent="0.25">
      <c r="C2289" s="108"/>
      <c r="D2289" s="217"/>
      <c r="E2289" s="217"/>
      <c r="F2289" s="104"/>
      <c r="G2289" s="108"/>
      <c r="J2289" s="174"/>
      <c r="K2289" s="4"/>
    </row>
    <row r="2290" spans="3:11" x14ac:dyDescent="0.25">
      <c r="C2290" s="108"/>
      <c r="D2290" s="217"/>
      <c r="E2290" s="217"/>
      <c r="F2290" s="104"/>
      <c r="G2290" s="108"/>
      <c r="J2290" s="174"/>
      <c r="K2290" s="4"/>
    </row>
    <row r="2291" spans="3:11" x14ac:dyDescent="0.25">
      <c r="C2291" s="108"/>
      <c r="D2291" s="217"/>
      <c r="E2291" s="217"/>
      <c r="F2291" s="104"/>
      <c r="G2291" s="108"/>
      <c r="J2291" s="174"/>
      <c r="K2291" s="4"/>
    </row>
    <row r="2292" spans="3:11" x14ac:dyDescent="0.25">
      <c r="C2292" s="108"/>
      <c r="D2292" s="217"/>
      <c r="E2292" s="217"/>
      <c r="F2292" s="104"/>
      <c r="G2292" s="108"/>
      <c r="J2292" s="174"/>
      <c r="K2292" s="4"/>
    </row>
    <row r="2293" spans="3:11" x14ac:dyDescent="0.25">
      <c r="C2293" s="108"/>
      <c r="D2293" s="217"/>
      <c r="E2293" s="217"/>
      <c r="F2293" s="104"/>
      <c r="G2293" s="108"/>
      <c r="J2293" s="174"/>
      <c r="K2293" s="4"/>
    </row>
    <row r="2294" spans="3:11" x14ac:dyDescent="0.25">
      <c r="C2294" s="108"/>
      <c r="D2294" s="217"/>
      <c r="E2294" s="217"/>
      <c r="F2294" s="104"/>
      <c r="G2294" s="108"/>
      <c r="J2294" s="174"/>
      <c r="K2294" s="4"/>
    </row>
    <row r="2295" spans="3:11" x14ac:dyDescent="0.25">
      <c r="C2295" s="108"/>
      <c r="D2295" s="217"/>
      <c r="E2295" s="217"/>
      <c r="F2295" s="104"/>
      <c r="G2295" s="108"/>
      <c r="J2295" s="174"/>
      <c r="K2295" s="4"/>
    </row>
    <row r="2296" spans="3:11" x14ac:dyDescent="0.25">
      <c r="C2296" s="108"/>
      <c r="D2296" s="217"/>
      <c r="E2296" s="217"/>
      <c r="F2296" s="104"/>
      <c r="G2296" s="108"/>
      <c r="J2296" s="174"/>
      <c r="K2296" s="4"/>
    </row>
    <row r="2297" spans="3:11" x14ac:dyDescent="0.25">
      <c r="C2297" s="108"/>
      <c r="D2297" s="217"/>
      <c r="E2297" s="217"/>
      <c r="F2297" s="104"/>
      <c r="G2297" s="108"/>
      <c r="J2297" s="174"/>
      <c r="K2297" s="4"/>
    </row>
    <row r="2298" spans="3:11" x14ac:dyDescent="0.25">
      <c r="C2298" s="108"/>
      <c r="D2298" s="217"/>
      <c r="E2298" s="217"/>
      <c r="F2298" s="104"/>
      <c r="G2298" s="108"/>
      <c r="J2298" s="174"/>
      <c r="K2298" s="4"/>
    </row>
    <row r="2299" spans="3:11" x14ac:dyDescent="0.25">
      <c r="C2299" s="108"/>
      <c r="D2299" s="217"/>
      <c r="E2299" s="217"/>
      <c r="F2299" s="104"/>
      <c r="G2299" s="108"/>
      <c r="J2299" s="174"/>
      <c r="K2299" s="4"/>
    </row>
    <row r="2300" spans="3:11" x14ac:dyDescent="0.25">
      <c r="C2300" s="108"/>
      <c r="D2300" s="217"/>
      <c r="E2300" s="217"/>
      <c r="F2300" s="104"/>
      <c r="G2300" s="108"/>
      <c r="J2300" s="174"/>
      <c r="K2300" s="4"/>
    </row>
    <row r="2301" spans="3:11" x14ac:dyDescent="0.25">
      <c r="C2301" s="108"/>
      <c r="D2301" s="217"/>
      <c r="E2301" s="217"/>
      <c r="F2301" s="104"/>
      <c r="G2301" s="108"/>
      <c r="J2301" s="174"/>
      <c r="K2301" s="4"/>
    </row>
    <row r="2302" spans="3:11" x14ac:dyDescent="0.25">
      <c r="C2302" s="108"/>
      <c r="D2302" s="217"/>
      <c r="E2302" s="217"/>
      <c r="F2302" s="104"/>
      <c r="G2302" s="108"/>
      <c r="J2302" s="174"/>
      <c r="K2302" s="4"/>
    </row>
    <row r="2303" spans="3:11" x14ac:dyDescent="0.25">
      <c r="C2303" s="108"/>
      <c r="D2303" s="217"/>
      <c r="E2303" s="217"/>
      <c r="F2303" s="104"/>
      <c r="G2303" s="108"/>
      <c r="J2303" s="174"/>
      <c r="K2303" s="4"/>
    </row>
    <row r="2304" spans="3:11" x14ac:dyDescent="0.25">
      <c r="C2304" s="108"/>
      <c r="D2304" s="217"/>
      <c r="E2304" s="217"/>
      <c r="F2304" s="104"/>
      <c r="G2304" s="108"/>
      <c r="J2304" s="174"/>
      <c r="K2304" s="4"/>
    </row>
    <row r="2305" spans="3:11" x14ac:dyDescent="0.25">
      <c r="C2305" s="108"/>
      <c r="D2305" s="217"/>
      <c r="E2305" s="217"/>
      <c r="F2305" s="104"/>
      <c r="G2305" s="108"/>
      <c r="J2305" s="174"/>
      <c r="K2305" s="4"/>
    </row>
    <row r="2306" spans="3:11" x14ac:dyDescent="0.25">
      <c r="C2306" s="108"/>
      <c r="D2306" s="217"/>
      <c r="E2306" s="217"/>
      <c r="F2306" s="104"/>
      <c r="G2306" s="108"/>
      <c r="J2306" s="174"/>
      <c r="K2306" s="4"/>
    </row>
    <row r="2307" spans="3:11" x14ac:dyDescent="0.25">
      <c r="C2307" s="108"/>
      <c r="D2307" s="217"/>
      <c r="E2307" s="217"/>
      <c r="F2307" s="104"/>
      <c r="G2307" s="108"/>
      <c r="J2307" s="174"/>
      <c r="K2307" s="4"/>
    </row>
    <row r="2308" spans="3:11" x14ac:dyDescent="0.25">
      <c r="C2308" s="108"/>
      <c r="D2308" s="217"/>
      <c r="E2308" s="217"/>
      <c r="F2308" s="104"/>
      <c r="G2308" s="108"/>
      <c r="J2308" s="174"/>
      <c r="K2308" s="4"/>
    </row>
    <row r="2309" spans="3:11" x14ac:dyDescent="0.25">
      <c r="C2309" s="108"/>
      <c r="D2309" s="217"/>
      <c r="E2309" s="217"/>
      <c r="F2309" s="104"/>
      <c r="G2309" s="108"/>
      <c r="J2309" s="174"/>
      <c r="K2309" s="4"/>
    </row>
    <row r="2310" spans="3:11" x14ac:dyDescent="0.25">
      <c r="C2310" s="108"/>
      <c r="D2310" s="217"/>
      <c r="E2310" s="217"/>
      <c r="F2310" s="104"/>
      <c r="G2310" s="108"/>
      <c r="J2310" s="174"/>
      <c r="K2310" s="4"/>
    </row>
    <row r="2311" spans="3:11" x14ac:dyDescent="0.25">
      <c r="C2311" s="108"/>
      <c r="D2311" s="217"/>
      <c r="E2311" s="217"/>
      <c r="F2311" s="104"/>
      <c r="G2311" s="108"/>
      <c r="J2311" s="174"/>
      <c r="K2311" s="4"/>
    </row>
    <row r="2312" spans="3:11" x14ac:dyDescent="0.25">
      <c r="C2312" s="108"/>
      <c r="D2312" s="217"/>
      <c r="E2312" s="217"/>
      <c r="F2312" s="104"/>
      <c r="G2312" s="108"/>
      <c r="J2312" s="174"/>
      <c r="K2312" s="4"/>
    </row>
    <row r="2313" spans="3:11" x14ac:dyDescent="0.25">
      <c r="C2313" s="108"/>
      <c r="D2313" s="217"/>
      <c r="E2313" s="217"/>
      <c r="F2313" s="104"/>
      <c r="G2313" s="108"/>
      <c r="J2313" s="174"/>
      <c r="K2313" s="4"/>
    </row>
    <row r="2314" spans="3:11" x14ac:dyDescent="0.25">
      <c r="C2314" s="108"/>
      <c r="D2314" s="217"/>
      <c r="E2314" s="217"/>
      <c r="F2314" s="104"/>
      <c r="G2314" s="108"/>
      <c r="J2314" s="174"/>
      <c r="K2314" s="4"/>
    </row>
    <row r="2315" spans="3:11" x14ac:dyDescent="0.25">
      <c r="C2315" s="108"/>
      <c r="D2315" s="217"/>
      <c r="E2315" s="217"/>
      <c r="F2315" s="104"/>
      <c r="G2315" s="108"/>
      <c r="J2315" s="174"/>
      <c r="K2315" s="4"/>
    </row>
    <row r="2316" spans="3:11" x14ac:dyDescent="0.25">
      <c r="C2316" s="108"/>
      <c r="D2316" s="217"/>
      <c r="E2316" s="217"/>
      <c r="F2316" s="104"/>
      <c r="G2316" s="108"/>
      <c r="J2316" s="174"/>
      <c r="K2316" s="4"/>
    </row>
    <row r="2317" spans="3:11" x14ac:dyDescent="0.25">
      <c r="C2317" s="108"/>
      <c r="D2317" s="217"/>
      <c r="E2317" s="217"/>
      <c r="F2317" s="104"/>
      <c r="G2317" s="108"/>
      <c r="J2317" s="174"/>
      <c r="K2317" s="4"/>
    </row>
    <row r="2318" spans="3:11" x14ac:dyDescent="0.25">
      <c r="C2318" s="108"/>
      <c r="D2318" s="217"/>
      <c r="E2318" s="217"/>
      <c r="F2318" s="104"/>
      <c r="G2318" s="108"/>
      <c r="J2318" s="174"/>
      <c r="K2318" s="4"/>
    </row>
    <row r="2319" spans="3:11" x14ac:dyDescent="0.25">
      <c r="C2319" s="108"/>
      <c r="D2319" s="217"/>
      <c r="E2319" s="217"/>
      <c r="F2319" s="104"/>
      <c r="G2319" s="108"/>
      <c r="J2319" s="174"/>
      <c r="K2319" s="4"/>
    </row>
    <row r="2320" spans="3:11" x14ac:dyDescent="0.25">
      <c r="C2320" s="108"/>
      <c r="D2320" s="217"/>
      <c r="E2320" s="217"/>
      <c r="F2320" s="104"/>
      <c r="G2320" s="108"/>
      <c r="J2320" s="174"/>
      <c r="K2320" s="4"/>
    </row>
    <row r="2321" spans="3:11" x14ac:dyDescent="0.25">
      <c r="C2321" s="108"/>
      <c r="D2321" s="217"/>
      <c r="E2321" s="217"/>
      <c r="F2321" s="104"/>
      <c r="G2321" s="108"/>
      <c r="J2321" s="174"/>
      <c r="K2321" s="4"/>
    </row>
    <row r="2322" spans="3:11" x14ac:dyDescent="0.25">
      <c r="C2322" s="108"/>
      <c r="D2322" s="217"/>
      <c r="E2322" s="217"/>
      <c r="F2322" s="104"/>
      <c r="G2322" s="108"/>
      <c r="J2322" s="174"/>
      <c r="K2322" s="4"/>
    </row>
    <row r="2323" spans="3:11" x14ac:dyDescent="0.25">
      <c r="C2323" s="108"/>
      <c r="D2323" s="217"/>
      <c r="E2323" s="217"/>
      <c r="F2323" s="104"/>
      <c r="G2323" s="108"/>
      <c r="J2323" s="174"/>
      <c r="K2323" s="4"/>
    </row>
    <row r="2324" spans="3:11" x14ac:dyDescent="0.25">
      <c r="C2324" s="108"/>
      <c r="D2324" s="217"/>
      <c r="E2324" s="217"/>
      <c r="F2324" s="104"/>
      <c r="G2324" s="108"/>
      <c r="J2324" s="174"/>
      <c r="K2324" s="4"/>
    </row>
    <row r="2325" spans="3:11" x14ac:dyDescent="0.25">
      <c r="C2325" s="108"/>
      <c r="D2325" s="217"/>
      <c r="E2325" s="217"/>
      <c r="F2325" s="104"/>
      <c r="G2325" s="108"/>
      <c r="J2325" s="174"/>
      <c r="K2325" s="4"/>
    </row>
    <row r="2326" spans="3:11" x14ac:dyDescent="0.25">
      <c r="C2326" s="108"/>
      <c r="D2326" s="217"/>
      <c r="E2326" s="217"/>
      <c r="F2326" s="104"/>
      <c r="G2326" s="108"/>
      <c r="J2326" s="174"/>
      <c r="K2326" s="4"/>
    </row>
    <row r="2327" spans="3:11" x14ac:dyDescent="0.25">
      <c r="C2327" s="108"/>
      <c r="D2327" s="217"/>
      <c r="E2327" s="217"/>
      <c r="F2327" s="104"/>
      <c r="G2327" s="108"/>
      <c r="J2327" s="174"/>
      <c r="K2327" s="4"/>
    </row>
    <row r="2328" spans="3:11" x14ac:dyDescent="0.25">
      <c r="C2328" s="108"/>
      <c r="D2328" s="217"/>
      <c r="E2328" s="217"/>
      <c r="F2328" s="104"/>
      <c r="G2328" s="108"/>
      <c r="J2328" s="174"/>
      <c r="K2328" s="4"/>
    </row>
    <row r="2329" spans="3:11" x14ac:dyDescent="0.25">
      <c r="C2329" s="108"/>
      <c r="D2329" s="217"/>
      <c r="E2329" s="217"/>
      <c r="F2329" s="104"/>
      <c r="G2329" s="108"/>
      <c r="J2329" s="174"/>
      <c r="K2329" s="4"/>
    </row>
    <row r="2330" spans="3:11" x14ac:dyDescent="0.25">
      <c r="C2330" s="108"/>
      <c r="D2330" s="217"/>
      <c r="E2330" s="217"/>
      <c r="F2330" s="104"/>
      <c r="G2330" s="108"/>
      <c r="J2330" s="174"/>
      <c r="K2330" s="4"/>
    </row>
    <row r="2331" spans="3:11" x14ac:dyDescent="0.25">
      <c r="C2331" s="108"/>
      <c r="D2331" s="217"/>
      <c r="E2331" s="217"/>
      <c r="F2331" s="104"/>
      <c r="G2331" s="108"/>
      <c r="J2331" s="174"/>
      <c r="K2331" s="4"/>
    </row>
    <row r="2332" spans="3:11" x14ac:dyDescent="0.25">
      <c r="C2332" s="108"/>
      <c r="D2332" s="217"/>
      <c r="E2332" s="217"/>
      <c r="F2332" s="104"/>
      <c r="G2332" s="108"/>
      <c r="J2332" s="174"/>
      <c r="K2332" s="4"/>
    </row>
    <row r="2333" spans="3:11" x14ac:dyDescent="0.25">
      <c r="C2333" s="108"/>
      <c r="D2333" s="217"/>
      <c r="E2333" s="217"/>
      <c r="F2333" s="104"/>
      <c r="G2333" s="108"/>
      <c r="J2333" s="174"/>
      <c r="K2333" s="4"/>
    </row>
    <row r="2334" spans="3:11" x14ac:dyDescent="0.25">
      <c r="C2334" s="108"/>
      <c r="D2334" s="217"/>
      <c r="E2334" s="217"/>
      <c r="F2334" s="104"/>
      <c r="G2334" s="108"/>
      <c r="J2334" s="174"/>
      <c r="K2334" s="4"/>
    </row>
    <row r="2335" spans="3:11" x14ac:dyDescent="0.25">
      <c r="C2335" s="108"/>
      <c r="D2335" s="217"/>
      <c r="E2335" s="217"/>
      <c r="F2335" s="104"/>
      <c r="G2335" s="108"/>
      <c r="J2335" s="174"/>
      <c r="K2335" s="4"/>
    </row>
    <row r="2336" spans="3:11" x14ac:dyDescent="0.25">
      <c r="C2336" s="108"/>
      <c r="D2336" s="217"/>
      <c r="E2336" s="217"/>
      <c r="F2336" s="104"/>
      <c r="G2336" s="108"/>
      <c r="J2336" s="174"/>
      <c r="K2336" s="4"/>
    </row>
    <row r="2337" spans="3:11" x14ac:dyDescent="0.25">
      <c r="C2337" s="108"/>
      <c r="D2337" s="217"/>
      <c r="E2337" s="217"/>
      <c r="F2337" s="104"/>
      <c r="G2337" s="108"/>
      <c r="J2337" s="174"/>
      <c r="K2337" s="4"/>
    </row>
    <row r="2338" spans="3:11" x14ac:dyDescent="0.25">
      <c r="C2338" s="108"/>
      <c r="D2338" s="217"/>
      <c r="E2338" s="217"/>
      <c r="F2338" s="104"/>
      <c r="G2338" s="108"/>
      <c r="J2338" s="174"/>
      <c r="K2338" s="4"/>
    </row>
    <row r="2339" spans="3:11" x14ac:dyDescent="0.25">
      <c r="C2339" s="108"/>
      <c r="D2339" s="217"/>
      <c r="E2339" s="217"/>
      <c r="F2339" s="104"/>
      <c r="G2339" s="108"/>
      <c r="J2339" s="174"/>
      <c r="K2339" s="4"/>
    </row>
    <row r="2340" spans="3:11" x14ac:dyDescent="0.25">
      <c r="C2340" s="108"/>
      <c r="D2340" s="217"/>
      <c r="E2340" s="217"/>
      <c r="F2340" s="104"/>
      <c r="G2340" s="108"/>
      <c r="J2340" s="174"/>
      <c r="K2340" s="4"/>
    </row>
    <row r="2341" spans="3:11" x14ac:dyDescent="0.25">
      <c r="C2341" s="108"/>
      <c r="D2341" s="217"/>
      <c r="E2341" s="217"/>
      <c r="F2341" s="104"/>
      <c r="G2341" s="108"/>
      <c r="J2341" s="174"/>
      <c r="K2341" s="4"/>
    </row>
    <row r="2342" spans="3:11" x14ac:dyDescent="0.25">
      <c r="C2342" s="108"/>
      <c r="D2342" s="217"/>
      <c r="E2342" s="217"/>
      <c r="F2342" s="104"/>
      <c r="G2342" s="108"/>
      <c r="J2342" s="174"/>
      <c r="K2342" s="4"/>
    </row>
    <row r="2343" spans="3:11" x14ac:dyDescent="0.25">
      <c r="C2343" s="108"/>
      <c r="D2343" s="217"/>
      <c r="E2343" s="217"/>
      <c r="F2343" s="104"/>
      <c r="G2343" s="108"/>
      <c r="J2343" s="174"/>
      <c r="K2343" s="4"/>
    </row>
    <row r="2344" spans="3:11" x14ac:dyDescent="0.25">
      <c r="C2344" s="108"/>
      <c r="D2344" s="217"/>
      <c r="E2344" s="217"/>
      <c r="F2344" s="104"/>
      <c r="G2344" s="108"/>
      <c r="J2344" s="174"/>
      <c r="K2344" s="4"/>
    </row>
    <row r="2345" spans="3:11" x14ac:dyDescent="0.25">
      <c r="C2345" s="108"/>
      <c r="D2345" s="217"/>
      <c r="E2345" s="217"/>
      <c r="F2345" s="104"/>
      <c r="G2345" s="108"/>
      <c r="J2345" s="174"/>
      <c r="K2345" s="4"/>
    </row>
    <row r="2346" spans="3:11" x14ac:dyDescent="0.25">
      <c r="C2346" s="108"/>
      <c r="D2346" s="217"/>
      <c r="E2346" s="217"/>
      <c r="F2346" s="104"/>
      <c r="G2346" s="108"/>
      <c r="J2346" s="174"/>
      <c r="K2346" s="4"/>
    </row>
    <row r="2347" spans="3:11" x14ac:dyDescent="0.25">
      <c r="C2347" s="108"/>
      <c r="D2347" s="217"/>
      <c r="E2347" s="217"/>
      <c r="F2347" s="104"/>
      <c r="G2347" s="108"/>
      <c r="J2347" s="174"/>
      <c r="K2347" s="4"/>
    </row>
    <row r="2348" spans="3:11" x14ac:dyDescent="0.25">
      <c r="C2348" s="108"/>
      <c r="D2348" s="217"/>
      <c r="E2348" s="217"/>
      <c r="F2348" s="104"/>
      <c r="G2348" s="108"/>
      <c r="J2348" s="174"/>
      <c r="K2348" s="4"/>
    </row>
    <row r="2349" spans="3:11" x14ac:dyDescent="0.25">
      <c r="C2349" s="108"/>
      <c r="D2349" s="217"/>
      <c r="E2349" s="217"/>
      <c r="F2349" s="104"/>
      <c r="G2349" s="108"/>
      <c r="J2349" s="174"/>
      <c r="K2349" s="4"/>
    </row>
    <row r="2350" spans="3:11" x14ac:dyDescent="0.25">
      <c r="C2350" s="108"/>
      <c r="D2350" s="217"/>
      <c r="E2350" s="217"/>
      <c r="F2350" s="104"/>
      <c r="G2350" s="108"/>
      <c r="J2350" s="174"/>
      <c r="K2350" s="4"/>
    </row>
    <row r="2351" spans="3:11" x14ac:dyDescent="0.25">
      <c r="C2351" s="108"/>
      <c r="D2351" s="217"/>
      <c r="E2351" s="217"/>
      <c r="F2351" s="104"/>
      <c r="G2351" s="108"/>
      <c r="J2351" s="174"/>
      <c r="K2351" s="4"/>
    </row>
    <row r="2352" spans="3:11" x14ac:dyDescent="0.25">
      <c r="C2352" s="108"/>
      <c r="D2352" s="217"/>
      <c r="E2352" s="217"/>
      <c r="F2352" s="104"/>
      <c r="G2352" s="108"/>
      <c r="J2352" s="174"/>
      <c r="K2352" s="4"/>
    </row>
    <row r="2353" spans="3:11" x14ac:dyDescent="0.25">
      <c r="C2353" s="108"/>
      <c r="D2353" s="217"/>
      <c r="E2353" s="217"/>
      <c r="F2353" s="104"/>
      <c r="G2353" s="108"/>
      <c r="J2353" s="174"/>
      <c r="K2353" s="4"/>
    </row>
    <row r="2354" spans="3:11" x14ac:dyDescent="0.25">
      <c r="C2354" s="108"/>
      <c r="D2354" s="217"/>
      <c r="E2354" s="217"/>
      <c r="F2354" s="104"/>
      <c r="G2354" s="108"/>
      <c r="J2354" s="174"/>
      <c r="K2354" s="4"/>
    </row>
    <row r="2355" spans="3:11" x14ac:dyDescent="0.25">
      <c r="C2355" s="108"/>
      <c r="D2355" s="217"/>
      <c r="E2355" s="217"/>
      <c r="F2355" s="104"/>
      <c r="G2355" s="108"/>
      <c r="J2355" s="174"/>
      <c r="K2355" s="4"/>
    </row>
    <row r="2356" spans="3:11" x14ac:dyDescent="0.25">
      <c r="C2356" s="108"/>
      <c r="D2356" s="217"/>
      <c r="E2356" s="217"/>
      <c r="F2356" s="104"/>
      <c r="G2356" s="108"/>
      <c r="J2356" s="174"/>
      <c r="K2356" s="4"/>
    </row>
    <row r="2357" spans="3:11" x14ac:dyDescent="0.25">
      <c r="C2357" s="108"/>
      <c r="D2357" s="217"/>
      <c r="E2357" s="217"/>
      <c r="F2357" s="104"/>
      <c r="G2357" s="108"/>
      <c r="J2357" s="174"/>
      <c r="K2357" s="4"/>
    </row>
    <row r="2358" spans="3:11" x14ac:dyDescent="0.25">
      <c r="C2358" s="108"/>
      <c r="D2358" s="217"/>
      <c r="E2358" s="217"/>
      <c r="F2358" s="104"/>
      <c r="G2358" s="108"/>
      <c r="J2358" s="174"/>
      <c r="K2358" s="4"/>
    </row>
    <row r="2359" spans="3:11" x14ac:dyDescent="0.25">
      <c r="C2359" s="108"/>
      <c r="D2359" s="217"/>
      <c r="E2359" s="217"/>
      <c r="F2359" s="104"/>
      <c r="G2359" s="108"/>
      <c r="J2359" s="174"/>
      <c r="K2359" s="4"/>
    </row>
    <row r="2360" spans="3:11" x14ac:dyDescent="0.25">
      <c r="C2360" s="108"/>
      <c r="D2360" s="217"/>
      <c r="E2360" s="217"/>
      <c r="F2360" s="104"/>
      <c r="G2360" s="108"/>
      <c r="J2360" s="174"/>
      <c r="K2360" s="4"/>
    </row>
    <row r="2361" spans="3:11" x14ac:dyDescent="0.25">
      <c r="C2361" s="108"/>
      <c r="D2361" s="217"/>
      <c r="E2361" s="217"/>
      <c r="F2361" s="104"/>
      <c r="G2361" s="108"/>
      <c r="J2361" s="174"/>
      <c r="K2361" s="4"/>
    </row>
    <row r="2362" spans="3:11" x14ac:dyDescent="0.25">
      <c r="C2362" s="108"/>
      <c r="D2362" s="217"/>
      <c r="E2362" s="217"/>
      <c r="F2362" s="104"/>
      <c r="G2362" s="108"/>
      <c r="J2362" s="174"/>
      <c r="K2362" s="4"/>
    </row>
    <row r="2363" spans="3:11" x14ac:dyDescent="0.25">
      <c r="C2363" s="108"/>
      <c r="D2363" s="217"/>
      <c r="E2363" s="217"/>
      <c r="F2363" s="104"/>
      <c r="G2363" s="108"/>
      <c r="J2363" s="174"/>
      <c r="K2363" s="4"/>
    </row>
    <row r="2364" spans="3:11" x14ac:dyDescent="0.25">
      <c r="C2364" s="108"/>
      <c r="D2364" s="217"/>
      <c r="E2364" s="217"/>
      <c r="F2364" s="104"/>
      <c r="G2364" s="108"/>
      <c r="J2364" s="174"/>
      <c r="K2364" s="4"/>
    </row>
    <row r="2365" spans="3:11" x14ac:dyDescent="0.25">
      <c r="C2365" s="108"/>
      <c r="D2365" s="217"/>
      <c r="E2365" s="217"/>
      <c r="F2365" s="104"/>
      <c r="G2365" s="108"/>
      <c r="J2365" s="174"/>
      <c r="K2365" s="4"/>
    </row>
    <row r="2366" spans="3:11" x14ac:dyDescent="0.25">
      <c r="C2366" s="108"/>
      <c r="D2366" s="217"/>
      <c r="E2366" s="217"/>
      <c r="F2366" s="104"/>
      <c r="G2366" s="108"/>
      <c r="J2366" s="174"/>
      <c r="K2366" s="4"/>
    </row>
    <row r="2367" spans="3:11" x14ac:dyDescent="0.25">
      <c r="C2367" s="108"/>
      <c r="D2367" s="217"/>
      <c r="E2367" s="217"/>
      <c r="F2367" s="104"/>
      <c r="G2367" s="108"/>
      <c r="J2367" s="174"/>
      <c r="K2367" s="4"/>
    </row>
    <row r="2368" spans="3:11" x14ac:dyDescent="0.25">
      <c r="C2368" s="108"/>
      <c r="D2368" s="217"/>
      <c r="E2368" s="217"/>
      <c r="F2368" s="104"/>
      <c r="G2368" s="108"/>
      <c r="J2368" s="174"/>
      <c r="K2368" s="4"/>
    </row>
    <row r="2369" spans="3:11" x14ac:dyDescent="0.25">
      <c r="C2369" s="108"/>
      <c r="D2369" s="217"/>
      <c r="E2369" s="217"/>
      <c r="F2369" s="104"/>
      <c r="G2369" s="108"/>
      <c r="J2369" s="174"/>
      <c r="K2369" s="4"/>
    </row>
    <row r="2370" spans="3:11" x14ac:dyDescent="0.25">
      <c r="C2370" s="108"/>
      <c r="D2370" s="217"/>
      <c r="E2370" s="217"/>
      <c r="F2370" s="104"/>
      <c r="G2370" s="108"/>
      <c r="J2370" s="174"/>
      <c r="K2370" s="4"/>
    </row>
    <row r="2371" spans="3:11" x14ac:dyDescent="0.25">
      <c r="C2371" s="108"/>
      <c r="D2371" s="217"/>
      <c r="E2371" s="217"/>
      <c r="F2371" s="104"/>
      <c r="G2371" s="108"/>
      <c r="J2371" s="174"/>
      <c r="K2371" s="4"/>
    </row>
    <row r="2372" spans="3:11" x14ac:dyDescent="0.25">
      <c r="C2372" s="108"/>
      <c r="D2372" s="217"/>
      <c r="E2372" s="217"/>
      <c r="F2372" s="104"/>
      <c r="G2372" s="108"/>
      <c r="J2372" s="174"/>
      <c r="K2372" s="4"/>
    </row>
    <row r="2373" spans="3:11" x14ac:dyDescent="0.25">
      <c r="C2373" s="108"/>
      <c r="D2373" s="217"/>
      <c r="E2373" s="217"/>
      <c r="F2373" s="104"/>
      <c r="G2373" s="108"/>
      <c r="J2373" s="174"/>
      <c r="K2373" s="4"/>
    </row>
    <row r="2374" spans="3:11" x14ac:dyDescent="0.25">
      <c r="C2374" s="108"/>
      <c r="D2374" s="217"/>
      <c r="E2374" s="217"/>
      <c r="F2374" s="104"/>
      <c r="G2374" s="108"/>
      <c r="J2374" s="174"/>
      <c r="K2374" s="4"/>
    </row>
    <row r="2375" spans="3:11" x14ac:dyDescent="0.25">
      <c r="C2375" s="108"/>
      <c r="D2375" s="217"/>
      <c r="E2375" s="217"/>
      <c r="F2375" s="104"/>
      <c r="G2375" s="108"/>
      <c r="J2375" s="174"/>
      <c r="K2375" s="4"/>
    </row>
    <row r="2376" spans="3:11" x14ac:dyDescent="0.25">
      <c r="C2376" s="108"/>
      <c r="D2376" s="217"/>
      <c r="E2376" s="217"/>
      <c r="F2376" s="104"/>
      <c r="G2376" s="108"/>
      <c r="J2376" s="174"/>
      <c r="K2376" s="4"/>
    </row>
    <row r="2377" spans="3:11" x14ac:dyDescent="0.25">
      <c r="C2377" s="108"/>
      <c r="D2377" s="217"/>
      <c r="E2377" s="217"/>
      <c r="F2377" s="104"/>
      <c r="G2377" s="108"/>
      <c r="J2377" s="174"/>
      <c r="K2377" s="4"/>
    </row>
    <row r="2378" spans="3:11" x14ac:dyDescent="0.25">
      <c r="C2378" s="108"/>
      <c r="D2378" s="217"/>
      <c r="E2378" s="217"/>
      <c r="F2378" s="104"/>
      <c r="G2378" s="108"/>
      <c r="J2378" s="174"/>
      <c r="K2378" s="4"/>
    </row>
    <row r="2379" spans="3:11" x14ac:dyDescent="0.25">
      <c r="C2379" s="108"/>
      <c r="D2379" s="217"/>
      <c r="E2379" s="217"/>
      <c r="F2379" s="104"/>
      <c r="G2379" s="108"/>
      <c r="J2379" s="174"/>
      <c r="K2379" s="4"/>
    </row>
    <row r="2380" spans="3:11" x14ac:dyDescent="0.25">
      <c r="C2380" s="108"/>
      <c r="D2380" s="217"/>
      <c r="E2380" s="217"/>
      <c r="F2380" s="104"/>
      <c r="G2380" s="108"/>
      <c r="J2380" s="174"/>
      <c r="K2380" s="4"/>
    </row>
    <row r="2381" spans="3:11" x14ac:dyDescent="0.25">
      <c r="C2381" s="108"/>
      <c r="D2381" s="217"/>
      <c r="E2381" s="217"/>
      <c r="F2381" s="104"/>
      <c r="G2381" s="108"/>
      <c r="J2381" s="174"/>
      <c r="K2381" s="4"/>
    </row>
    <row r="2382" spans="3:11" x14ac:dyDescent="0.25">
      <c r="C2382" s="108"/>
      <c r="D2382" s="217"/>
      <c r="E2382" s="217"/>
      <c r="F2382" s="104"/>
      <c r="G2382" s="108"/>
      <c r="J2382" s="174"/>
      <c r="K2382" s="4"/>
    </row>
    <row r="2383" spans="3:11" x14ac:dyDescent="0.25">
      <c r="C2383" s="108"/>
      <c r="D2383" s="217"/>
      <c r="E2383" s="217"/>
      <c r="F2383" s="104"/>
      <c r="G2383" s="108"/>
      <c r="J2383" s="174"/>
      <c r="K2383" s="4"/>
    </row>
    <row r="2384" spans="3:11" x14ac:dyDescent="0.25">
      <c r="C2384" s="108"/>
      <c r="D2384" s="217"/>
      <c r="E2384" s="217"/>
      <c r="F2384" s="104"/>
      <c r="G2384" s="108"/>
      <c r="J2384" s="174"/>
      <c r="K2384" s="4"/>
    </row>
    <row r="2385" spans="3:11" x14ac:dyDescent="0.25">
      <c r="C2385" s="108"/>
      <c r="D2385" s="217"/>
      <c r="E2385" s="217"/>
      <c r="F2385" s="104"/>
      <c r="G2385" s="108"/>
      <c r="J2385" s="174"/>
      <c r="K2385" s="4"/>
    </row>
    <row r="2386" spans="3:11" x14ac:dyDescent="0.25">
      <c r="C2386" s="108"/>
      <c r="D2386" s="217"/>
      <c r="E2386" s="217"/>
      <c r="F2386" s="104"/>
      <c r="G2386" s="108"/>
      <c r="J2386" s="174"/>
      <c r="K2386" s="4"/>
    </row>
    <row r="2387" spans="3:11" x14ac:dyDescent="0.25">
      <c r="C2387" s="108"/>
      <c r="D2387" s="217"/>
      <c r="E2387" s="217"/>
      <c r="F2387" s="104"/>
      <c r="G2387" s="108"/>
      <c r="J2387" s="174"/>
      <c r="K2387" s="4"/>
    </row>
    <row r="2388" spans="3:11" x14ac:dyDescent="0.25">
      <c r="C2388" s="108"/>
      <c r="D2388" s="217"/>
      <c r="E2388" s="217"/>
      <c r="F2388" s="104"/>
      <c r="G2388" s="108"/>
      <c r="J2388" s="174"/>
      <c r="K2388" s="4"/>
    </row>
    <row r="2389" spans="3:11" x14ac:dyDescent="0.25">
      <c r="C2389" s="108"/>
      <c r="D2389" s="217"/>
      <c r="E2389" s="217"/>
      <c r="F2389" s="104"/>
      <c r="G2389" s="108"/>
      <c r="J2389" s="174"/>
      <c r="K2389" s="4"/>
    </row>
    <row r="2390" spans="3:11" x14ac:dyDescent="0.25">
      <c r="C2390" s="108"/>
      <c r="D2390" s="217"/>
      <c r="E2390" s="217"/>
      <c r="F2390" s="104"/>
      <c r="G2390" s="108"/>
      <c r="J2390" s="174"/>
      <c r="K2390" s="4"/>
    </row>
    <row r="2391" spans="3:11" x14ac:dyDescent="0.25">
      <c r="C2391" s="108"/>
      <c r="D2391" s="217"/>
      <c r="E2391" s="217"/>
      <c r="F2391" s="104"/>
      <c r="G2391" s="108"/>
      <c r="J2391" s="174"/>
      <c r="K2391" s="4"/>
    </row>
    <row r="2392" spans="3:11" x14ac:dyDescent="0.25">
      <c r="C2392" s="108"/>
      <c r="D2392" s="217"/>
      <c r="E2392" s="217"/>
      <c r="F2392" s="104"/>
      <c r="G2392" s="108"/>
      <c r="J2392" s="174"/>
      <c r="K2392" s="4"/>
    </row>
    <row r="2393" spans="3:11" x14ac:dyDescent="0.25">
      <c r="C2393" s="108"/>
      <c r="D2393" s="217"/>
      <c r="E2393" s="217"/>
      <c r="F2393" s="104"/>
      <c r="G2393" s="108"/>
      <c r="J2393" s="174"/>
      <c r="K2393" s="4"/>
    </row>
    <row r="2394" spans="3:11" x14ac:dyDescent="0.25">
      <c r="C2394" s="108"/>
      <c r="D2394" s="217"/>
      <c r="E2394" s="217"/>
      <c r="F2394" s="104"/>
      <c r="G2394" s="108"/>
      <c r="J2394" s="174"/>
      <c r="K2394" s="4"/>
    </row>
    <row r="2395" spans="3:11" x14ac:dyDescent="0.25">
      <c r="C2395" s="108"/>
      <c r="D2395" s="217"/>
      <c r="E2395" s="217"/>
      <c r="F2395" s="104"/>
      <c r="G2395" s="108"/>
      <c r="J2395" s="174"/>
      <c r="K2395" s="4"/>
    </row>
    <row r="2396" spans="3:11" x14ac:dyDescent="0.25">
      <c r="C2396" s="108"/>
      <c r="D2396" s="217"/>
      <c r="E2396" s="217"/>
      <c r="F2396" s="104"/>
      <c r="G2396" s="108"/>
      <c r="J2396" s="174"/>
      <c r="K2396" s="4"/>
    </row>
    <row r="2397" spans="3:11" x14ac:dyDescent="0.25">
      <c r="C2397" s="108"/>
      <c r="D2397" s="217"/>
      <c r="E2397" s="217"/>
      <c r="F2397" s="104"/>
      <c r="G2397" s="108"/>
      <c r="J2397" s="174"/>
      <c r="K2397" s="4"/>
    </row>
    <row r="2398" spans="3:11" x14ac:dyDescent="0.25">
      <c r="C2398" s="108"/>
      <c r="D2398" s="217"/>
      <c r="E2398" s="217"/>
      <c r="F2398" s="104"/>
      <c r="G2398" s="108"/>
      <c r="J2398" s="174"/>
      <c r="K2398" s="4"/>
    </row>
    <row r="2399" spans="3:11" x14ac:dyDescent="0.25">
      <c r="C2399" s="108"/>
      <c r="D2399" s="217"/>
      <c r="E2399" s="217"/>
      <c r="F2399" s="104"/>
      <c r="G2399" s="108"/>
      <c r="J2399" s="174"/>
      <c r="K2399" s="4"/>
    </row>
    <row r="2400" spans="3:11" x14ac:dyDescent="0.25">
      <c r="C2400" s="108"/>
      <c r="D2400" s="217"/>
      <c r="E2400" s="217"/>
      <c r="F2400" s="104"/>
      <c r="G2400" s="108"/>
      <c r="J2400" s="174"/>
      <c r="K2400" s="4"/>
    </row>
    <row r="2401" spans="3:11" x14ac:dyDescent="0.25">
      <c r="C2401" s="108"/>
      <c r="D2401" s="217"/>
      <c r="E2401" s="217"/>
      <c r="F2401" s="104"/>
      <c r="G2401" s="108"/>
      <c r="J2401" s="174"/>
      <c r="K2401" s="4"/>
    </row>
    <row r="2402" spans="3:11" x14ac:dyDescent="0.25">
      <c r="C2402" s="108"/>
      <c r="D2402" s="217"/>
      <c r="E2402" s="217"/>
      <c r="F2402" s="104"/>
      <c r="G2402" s="108"/>
      <c r="J2402" s="174"/>
      <c r="K2402" s="4"/>
    </row>
    <row r="2403" spans="3:11" x14ac:dyDescent="0.25">
      <c r="C2403" s="108"/>
      <c r="D2403" s="217"/>
      <c r="E2403" s="217"/>
      <c r="F2403" s="104"/>
      <c r="G2403" s="108"/>
      <c r="J2403" s="174"/>
      <c r="K2403" s="4"/>
    </row>
    <row r="2404" spans="3:11" x14ac:dyDescent="0.25">
      <c r="C2404" s="108"/>
      <c r="D2404" s="217"/>
      <c r="E2404" s="217"/>
      <c r="F2404" s="104"/>
      <c r="G2404" s="108"/>
      <c r="J2404" s="174"/>
      <c r="K2404" s="4"/>
    </row>
    <row r="2405" spans="3:11" x14ac:dyDescent="0.25">
      <c r="C2405" s="108"/>
      <c r="D2405" s="217"/>
      <c r="E2405" s="217"/>
      <c r="F2405" s="104"/>
      <c r="G2405" s="108"/>
      <c r="J2405" s="174"/>
      <c r="K2405" s="4"/>
    </row>
    <row r="2406" spans="3:11" x14ac:dyDescent="0.25">
      <c r="C2406" s="108"/>
      <c r="D2406" s="217"/>
      <c r="E2406" s="217"/>
      <c r="F2406" s="104"/>
      <c r="G2406" s="108"/>
      <c r="J2406" s="174"/>
      <c r="K2406" s="4"/>
    </row>
    <row r="2407" spans="3:11" x14ac:dyDescent="0.25">
      <c r="C2407" s="108"/>
      <c r="D2407" s="217"/>
      <c r="E2407" s="217"/>
      <c r="F2407" s="104"/>
      <c r="G2407" s="108"/>
      <c r="J2407" s="174"/>
      <c r="K2407" s="4"/>
    </row>
    <row r="2408" spans="3:11" x14ac:dyDescent="0.25">
      <c r="C2408" s="108"/>
      <c r="D2408" s="217"/>
      <c r="E2408" s="217"/>
      <c r="F2408" s="104"/>
      <c r="G2408" s="108"/>
      <c r="J2408" s="174"/>
      <c r="K2408" s="4"/>
    </row>
    <row r="2409" spans="3:11" x14ac:dyDescent="0.25">
      <c r="C2409" s="108"/>
      <c r="D2409" s="217"/>
      <c r="E2409" s="217"/>
      <c r="F2409" s="104"/>
      <c r="G2409" s="108"/>
      <c r="J2409" s="174"/>
      <c r="K2409" s="4"/>
    </row>
    <row r="2410" spans="3:11" x14ac:dyDescent="0.25">
      <c r="C2410" s="108"/>
      <c r="D2410" s="217"/>
      <c r="E2410" s="217"/>
      <c r="F2410" s="104"/>
      <c r="G2410" s="108"/>
      <c r="J2410" s="174"/>
      <c r="K2410" s="4"/>
    </row>
    <row r="2411" spans="3:11" x14ac:dyDescent="0.25">
      <c r="C2411" s="108"/>
      <c r="D2411" s="217"/>
      <c r="E2411" s="217"/>
      <c r="F2411" s="104"/>
      <c r="G2411" s="108"/>
      <c r="J2411" s="174"/>
      <c r="K2411" s="4"/>
    </row>
    <row r="2412" spans="3:11" x14ac:dyDescent="0.25">
      <c r="C2412" s="108"/>
      <c r="D2412" s="217"/>
      <c r="E2412" s="217"/>
      <c r="F2412" s="104"/>
      <c r="G2412" s="108"/>
      <c r="J2412" s="174"/>
      <c r="K2412" s="4"/>
    </row>
    <row r="2413" spans="3:11" x14ac:dyDescent="0.25">
      <c r="C2413" s="108"/>
      <c r="D2413" s="217"/>
      <c r="E2413" s="217"/>
      <c r="F2413" s="104"/>
      <c r="G2413" s="108"/>
      <c r="J2413" s="174"/>
      <c r="K2413" s="4"/>
    </row>
    <row r="2414" spans="3:11" x14ac:dyDescent="0.25">
      <c r="C2414" s="108"/>
      <c r="D2414" s="217"/>
      <c r="E2414" s="217"/>
      <c r="F2414" s="104"/>
      <c r="G2414" s="108"/>
      <c r="J2414" s="174"/>
      <c r="K2414" s="4"/>
    </row>
    <row r="2415" spans="3:11" x14ac:dyDescent="0.25">
      <c r="C2415" s="108"/>
      <c r="D2415" s="217"/>
      <c r="E2415" s="217"/>
      <c r="F2415" s="104"/>
      <c r="G2415" s="108"/>
      <c r="J2415" s="174"/>
      <c r="K2415" s="4"/>
    </row>
    <row r="2416" spans="3:11" x14ac:dyDescent="0.25">
      <c r="C2416" s="108"/>
      <c r="D2416" s="217"/>
      <c r="E2416" s="217"/>
      <c r="F2416" s="104"/>
      <c r="G2416" s="108"/>
      <c r="J2416" s="174"/>
      <c r="K2416" s="4"/>
    </row>
    <row r="2417" spans="3:11" x14ac:dyDescent="0.25">
      <c r="C2417" s="108"/>
      <c r="D2417" s="217"/>
      <c r="E2417" s="217"/>
      <c r="F2417" s="104"/>
      <c r="G2417" s="108"/>
      <c r="J2417" s="174"/>
      <c r="K2417" s="4"/>
    </row>
    <row r="2418" spans="3:11" x14ac:dyDescent="0.25">
      <c r="C2418" s="108"/>
      <c r="D2418" s="217"/>
      <c r="E2418" s="217"/>
      <c r="F2418" s="104"/>
      <c r="G2418" s="108"/>
      <c r="J2418" s="174"/>
      <c r="K2418" s="4"/>
    </row>
    <row r="2419" spans="3:11" x14ac:dyDescent="0.25">
      <c r="C2419" s="108"/>
      <c r="D2419" s="217"/>
      <c r="E2419" s="217"/>
      <c r="F2419" s="104"/>
      <c r="G2419" s="108"/>
      <c r="J2419" s="174"/>
      <c r="K2419" s="4"/>
    </row>
    <row r="2420" spans="3:11" x14ac:dyDescent="0.25">
      <c r="C2420" s="108"/>
      <c r="D2420" s="217"/>
      <c r="E2420" s="217"/>
      <c r="F2420" s="104"/>
      <c r="G2420" s="108"/>
      <c r="J2420" s="174"/>
      <c r="K2420" s="4"/>
    </row>
    <row r="2421" spans="3:11" x14ac:dyDescent="0.25">
      <c r="C2421" s="108"/>
      <c r="D2421" s="217"/>
      <c r="E2421" s="217"/>
      <c r="F2421" s="104"/>
      <c r="G2421" s="108"/>
      <c r="J2421" s="174"/>
      <c r="K2421" s="4"/>
    </row>
    <row r="2422" spans="3:11" x14ac:dyDescent="0.25">
      <c r="C2422" s="108"/>
      <c r="D2422" s="217"/>
      <c r="E2422" s="217"/>
      <c r="F2422" s="104"/>
      <c r="G2422" s="108"/>
      <c r="J2422" s="174"/>
      <c r="K2422" s="4"/>
    </row>
    <row r="2423" spans="3:11" x14ac:dyDescent="0.25">
      <c r="C2423" s="108"/>
      <c r="D2423" s="217"/>
      <c r="E2423" s="217"/>
      <c r="F2423" s="104"/>
      <c r="G2423" s="108"/>
      <c r="J2423" s="174"/>
      <c r="K2423" s="4"/>
    </row>
    <row r="2424" spans="3:11" x14ac:dyDescent="0.25">
      <c r="C2424" s="108"/>
      <c r="D2424" s="217"/>
      <c r="E2424" s="217"/>
      <c r="F2424" s="104"/>
      <c r="G2424" s="108"/>
      <c r="J2424" s="174"/>
      <c r="K2424" s="4"/>
    </row>
    <row r="2425" spans="3:11" x14ac:dyDescent="0.25">
      <c r="C2425" s="108"/>
      <c r="D2425" s="217"/>
      <c r="E2425" s="217"/>
      <c r="F2425" s="104"/>
      <c r="G2425" s="108"/>
      <c r="J2425" s="174"/>
      <c r="K2425" s="4"/>
    </row>
    <row r="2426" spans="3:11" x14ac:dyDescent="0.25">
      <c r="C2426" s="108"/>
      <c r="D2426" s="217"/>
      <c r="E2426" s="217"/>
      <c r="F2426" s="104"/>
      <c r="G2426" s="108"/>
      <c r="J2426" s="174"/>
      <c r="K2426" s="4"/>
    </row>
    <row r="2427" spans="3:11" x14ac:dyDescent="0.25">
      <c r="C2427" s="108"/>
      <c r="D2427" s="217"/>
      <c r="E2427" s="217"/>
      <c r="F2427" s="104"/>
      <c r="G2427" s="108"/>
      <c r="J2427" s="174"/>
      <c r="K2427" s="4"/>
    </row>
    <row r="2428" spans="3:11" x14ac:dyDescent="0.25">
      <c r="C2428" s="108"/>
      <c r="D2428" s="217"/>
      <c r="E2428" s="217"/>
      <c r="F2428" s="104"/>
      <c r="G2428" s="108"/>
      <c r="J2428" s="174"/>
      <c r="K2428" s="4"/>
    </row>
    <row r="2429" spans="3:11" x14ac:dyDescent="0.25">
      <c r="C2429" s="108"/>
      <c r="D2429" s="217"/>
      <c r="E2429" s="217"/>
      <c r="F2429" s="104"/>
      <c r="G2429" s="108"/>
      <c r="J2429" s="174"/>
      <c r="K2429" s="4"/>
    </row>
    <row r="2430" spans="3:11" x14ac:dyDescent="0.25">
      <c r="C2430" s="108"/>
      <c r="D2430" s="217"/>
      <c r="E2430" s="217"/>
      <c r="F2430" s="104"/>
      <c r="G2430" s="108"/>
      <c r="J2430" s="174"/>
      <c r="K2430" s="4"/>
    </row>
    <row r="2431" spans="3:11" x14ac:dyDescent="0.25">
      <c r="C2431" s="108"/>
      <c r="D2431" s="217"/>
      <c r="E2431" s="217"/>
      <c r="F2431" s="104"/>
      <c r="G2431" s="108"/>
      <c r="J2431" s="174"/>
      <c r="K2431" s="4"/>
    </row>
    <row r="2432" spans="3:11" x14ac:dyDescent="0.25">
      <c r="C2432" s="108"/>
      <c r="D2432" s="217"/>
      <c r="E2432" s="217"/>
      <c r="F2432" s="104"/>
      <c r="G2432" s="108"/>
      <c r="J2432" s="174"/>
      <c r="K2432" s="4"/>
    </row>
    <row r="2433" spans="3:11" x14ac:dyDescent="0.25">
      <c r="C2433" s="108"/>
      <c r="D2433" s="217"/>
      <c r="E2433" s="217"/>
      <c r="F2433" s="104"/>
      <c r="G2433" s="108"/>
      <c r="J2433" s="174"/>
      <c r="K2433" s="4"/>
    </row>
    <row r="2434" spans="3:11" x14ac:dyDescent="0.25">
      <c r="C2434" s="108"/>
      <c r="D2434" s="217"/>
      <c r="E2434" s="217"/>
      <c r="F2434" s="104"/>
      <c r="G2434" s="108"/>
      <c r="J2434" s="174"/>
      <c r="K2434" s="4"/>
    </row>
    <row r="2435" spans="3:11" x14ac:dyDescent="0.25">
      <c r="C2435" s="108"/>
      <c r="D2435" s="217"/>
      <c r="E2435" s="217"/>
      <c r="F2435" s="104"/>
      <c r="G2435" s="108"/>
      <c r="J2435" s="174"/>
      <c r="K2435" s="4"/>
    </row>
    <row r="2436" spans="3:11" x14ac:dyDescent="0.25">
      <c r="C2436" s="108"/>
      <c r="D2436" s="217"/>
      <c r="E2436" s="217"/>
      <c r="F2436" s="104"/>
      <c r="G2436" s="108"/>
      <c r="J2436" s="174"/>
      <c r="K2436" s="4"/>
    </row>
    <row r="2437" spans="3:11" x14ac:dyDescent="0.25">
      <c r="C2437" s="108"/>
      <c r="D2437" s="217"/>
      <c r="E2437" s="217"/>
      <c r="F2437" s="104"/>
      <c r="G2437" s="108"/>
      <c r="J2437" s="174"/>
      <c r="K2437" s="4"/>
    </row>
    <row r="2438" spans="3:11" x14ac:dyDescent="0.25">
      <c r="C2438" s="108"/>
      <c r="D2438" s="217"/>
      <c r="E2438" s="217"/>
      <c r="F2438" s="104"/>
      <c r="G2438" s="108"/>
      <c r="J2438" s="174"/>
      <c r="K2438" s="4"/>
    </row>
    <row r="2439" spans="3:11" x14ac:dyDescent="0.25">
      <c r="C2439" s="108"/>
      <c r="D2439" s="217"/>
      <c r="E2439" s="217"/>
      <c r="F2439" s="104"/>
      <c r="G2439" s="108"/>
      <c r="J2439" s="174"/>
      <c r="K2439" s="4"/>
    </row>
    <row r="2440" spans="3:11" x14ac:dyDescent="0.25">
      <c r="C2440" s="108"/>
      <c r="D2440" s="217"/>
      <c r="E2440" s="217"/>
      <c r="F2440" s="104"/>
      <c r="G2440" s="108"/>
      <c r="J2440" s="174"/>
      <c r="K2440" s="4"/>
    </row>
    <row r="2441" spans="3:11" x14ac:dyDescent="0.25">
      <c r="C2441" s="108"/>
      <c r="D2441" s="217"/>
      <c r="E2441" s="217"/>
      <c r="F2441" s="104"/>
      <c r="G2441" s="108"/>
      <c r="J2441" s="174"/>
      <c r="K2441" s="4"/>
    </row>
    <row r="2442" spans="3:11" x14ac:dyDescent="0.25">
      <c r="C2442" s="108"/>
      <c r="D2442" s="217"/>
      <c r="E2442" s="217"/>
      <c r="F2442" s="104"/>
      <c r="G2442" s="108"/>
      <c r="J2442" s="174"/>
      <c r="K2442" s="4"/>
    </row>
    <row r="2443" spans="3:11" x14ac:dyDescent="0.25">
      <c r="C2443" s="108"/>
      <c r="D2443" s="217"/>
      <c r="E2443" s="217"/>
      <c r="F2443" s="104"/>
      <c r="G2443" s="108"/>
      <c r="J2443" s="174"/>
      <c r="K2443" s="4"/>
    </row>
    <row r="2444" spans="3:11" x14ac:dyDescent="0.25">
      <c r="C2444" s="108"/>
      <c r="D2444" s="217"/>
      <c r="E2444" s="217"/>
      <c r="F2444" s="104"/>
      <c r="G2444" s="108"/>
      <c r="J2444" s="174"/>
      <c r="K2444" s="4"/>
    </row>
    <row r="2445" spans="3:11" x14ac:dyDescent="0.25">
      <c r="C2445" s="108"/>
      <c r="D2445" s="217"/>
      <c r="E2445" s="217"/>
      <c r="F2445" s="104"/>
      <c r="G2445" s="108"/>
      <c r="J2445" s="174"/>
      <c r="K2445" s="4"/>
    </row>
    <row r="2446" spans="3:11" x14ac:dyDescent="0.25">
      <c r="C2446" s="108"/>
      <c r="D2446" s="217"/>
      <c r="E2446" s="217"/>
      <c r="F2446" s="104"/>
      <c r="G2446" s="108"/>
      <c r="J2446" s="174"/>
      <c r="K2446" s="4"/>
    </row>
    <row r="2447" spans="3:11" x14ac:dyDescent="0.25">
      <c r="C2447" s="108"/>
      <c r="D2447" s="217"/>
      <c r="E2447" s="217"/>
      <c r="F2447" s="104"/>
      <c r="G2447" s="108"/>
      <c r="J2447" s="174"/>
      <c r="K2447" s="4"/>
    </row>
    <row r="2448" spans="3:11" x14ac:dyDescent="0.25">
      <c r="C2448" s="108"/>
      <c r="D2448" s="217"/>
      <c r="E2448" s="217"/>
      <c r="F2448" s="104"/>
      <c r="G2448" s="108"/>
      <c r="J2448" s="174"/>
      <c r="K2448" s="4"/>
    </row>
    <row r="2449" spans="3:11" x14ac:dyDescent="0.25">
      <c r="C2449" s="108"/>
      <c r="D2449" s="217"/>
      <c r="E2449" s="217"/>
      <c r="F2449" s="104"/>
      <c r="G2449" s="108"/>
      <c r="J2449" s="174"/>
      <c r="K2449" s="4"/>
    </row>
    <row r="2450" spans="3:11" x14ac:dyDescent="0.25">
      <c r="C2450" s="108"/>
      <c r="D2450" s="217"/>
      <c r="E2450" s="217"/>
      <c r="F2450" s="104"/>
      <c r="G2450" s="108"/>
      <c r="J2450" s="174"/>
      <c r="K2450" s="4"/>
    </row>
    <row r="2451" spans="3:11" x14ac:dyDescent="0.25">
      <c r="C2451" s="108"/>
      <c r="D2451" s="217"/>
      <c r="E2451" s="217"/>
      <c r="F2451" s="104"/>
      <c r="G2451" s="108"/>
      <c r="J2451" s="174"/>
      <c r="K2451" s="4"/>
    </row>
    <row r="2452" spans="3:11" x14ac:dyDescent="0.25">
      <c r="C2452" s="108"/>
      <c r="D2452" s="217"/>
      <c r="E2452" s="217"/>
      <c r="F2452" s="104"/>
      <c r="G2452" s="108"/>
      <c r="J2452" s="174"/>
      <c r="K2452" s="4"/>
    </row>
    <row r="2453" spans="3:11" x14ac:dyDescent="0.25">
      <c r="C2453" s="108"/>
      <c r="D2453" s="217"/>
      <c r="E2453" s="217"/>
      <c r="F2453" s="104"/>
      <c r="G2453" s="108"/>
      <c r="J2453" s="174"/>
      <c r="K2453" s="4"/>
    </row>
    <row r="2454" spans="3:11" x14ac:dyDescent="0.25">
      <c r="C2454" s="108"/>
      <c r="D2454" s="217"/>
      <c r="E2454" s="217"/>
      <c r="F2454" s="104"/>
      <c r="G2454" s="108"/>
      <c r="J2454" s="174"/>
      <c r="K2454" s="4"/>
    </row>
    <row r="2455" spans="3:11" x14ac:dyDescent="0.25">
      <c r="C2455" s="108"/>
      <c r="D2455" s="217"/>
      <c r="E2455" s="217"/>
      <c r="F2455" s="104"/>
      <c r="G2455" s="108"/>
      <c r="J2455" s="174"/>
      <c r="K2455" s="4"/>
    </row>
    <row r="2456" spans="3:11" x14ac:dyDescent="0.25">
      <c r="C2456" s="108"/>
      <c r="D2456" s="217"/>
      <c r="E2456" s="217"/>
      <c r="F2456" s="104"/>
      <c r="G2456" s="108"/>
      <c r="J2456" s="174"/>
      <c r="K2456" s="4"/>
    </row>
    <row r="2457" spans="3:11" x14ac:dyDescent="0.25">
      <c r="C2457" s="108"/>
      <c r="D2457" s="217"/>
      <c r="E2457" s="217"/>
      <c r="F2457" s="104"/>
      <c r="G2457" s="108"/>
      <c r="J2457" s="174"/>
      <c r="K2457" s="4"/>
    </row>
    <row r="2458" spans="3:11" x14ac:dyDescent="0.25">
      <c r="C2458" s="108"/>
      <c r="D2458" s="217"/>
      <c r="E2458" s="217"/>
      <c r="F2458" s="104"/>
      <c r="G2458" s="108"/>
      <c r="J2458" s="174"/>
      <c r="K2458" s="4"/>
    </row>
    <row r="2459" spans="3:11" x14ac:dyDescent="0.25">
      <c r="C2459" s="108"/>
      <c r="D2459" s="217"/>
      <c r="E2459" s="217"/>
      <c r="F2459" s="104"/>
      <c r="G2459" s="108"/>
      <c r="J2459" s="174"/>
      <c r="K2459" s="4"/>
    </row>
    <row r="2460" spans="3:11" x14ac:dyDescent="0.25">
      <c r="C2460" s="108"/>
      <c r="D2460" s="217"/>
      <c r="E2460" s="217"/>
      <c r="F2460" s="104"/>
      <c r="G2460" s="108"/>
      <c r="J2460" s="174"/>
      <c r="K2460" s="4"/>
    </row>
    <row r="2461" spans="3:11" x14ac:dyDescent="0.25">
      <c r="C2461" s="108"/>
      <c r="D2461" s="217"/>
      <c r="E2461" s="217"/>
      <c r="F2461" s="104"/>
      <c r="G2461" s="108"/>
      <c r="J2461" s="174"/>
      <c r="K2461" s="4"/>
    </row>
    <row r="2462" spans="3:11" x14ac:dyDescent="0.25">
      <c r="C2462" s="108"/>
      <c r="D2462" s="217"/>
      <c r="E2462" s="217"/>
      <c r="F2462" s="104"/>
      <c r="G2462" s="108"/>
      <c r="J2462" s="174"/>
      <c r="K2462" s="4"/>
    </row>
    <row r="2463" spans="3:11" x14ac:dyDescent="0.25">
      <c r="C2463" s="108"/>
      <c r="D2463" s="217"/>
      <c r="E2463" s="217"/>
      <c r="F2463" s="104"/>
      <c r="G2463" s="108"/>
      <c r="J2463" s="174"/>
      <c r="K2463" s="4"/>
    </row>
    <row r="2464" spans="3:11" x14ac:dyDescent="0.25">
      <c r="C2464" s="108"/>
      <c r="D2464" s="217"/>
      <c r="E2464" s="217"/>
      <c r="F2464" s="104"/>
      <c r="G2464" s="108"/>
      <c r="J2464" s="174"/>
      <c r="K2464" s="4"/>
    </row>
    <row r="2465" spans="3:11" x14ac:dyDescent="0.25">
      <c r="C2465" s="108"/>
      <c r="D2465" s="217"/>
      <c r="E2465" s="217"/>
      <c r="F2465" s="104"/>
      <c r="G2465" s="108"/>
      <c r="J2465" s="174"/>
      <c r="K2465" s="4"/>
    </row>
    <row r="2466" spans="3:11" x14ac:dyDescent="0.25">
      <c r="C2466" s="108"/>
      <c r="D2466" s="217"/>
      <c r="E2466" s="217"/>
      <c r="F2466" s="104"/>
      <c r="G2466" s="108"/>
      <c r="J2466" s="174"/>
      <c r="K2466" s="4"/>
    </row>
    <row r="2467" spans="3:11" x14ac:dyDescent="0.25">
      <c r="C2467" s="108"/>
      <c r="D2467" s="217"/>
      <c r="E2467" s="217"/>
      <c r="F2467" s="104"/>
      <c r="G2467" s="108"/>
      <c r="J2467" s="174"/>
      <c r="K2467" s="4"/>
    </row>
    <row r="2468" spans="3:11" x14ac:dyDescent="0.25">
      <c r="C2468" s="108"/>
      <c r="D2468" s="217"/>
      <c r="E2468" s="217"/>
      <c r="F2468" s="104"/>
      <c r="G2468" s="108"/>
      <c r="J2468" s="174"/>
      <c r="K2468" s="4"/>
    </row>
    <row r="2469" spans="3:11" x14ac:dyDescent="0.25">
      <c r="C2469" s="108"/>
      <c r="D2469" s="217"/>
      <c r="E2469" s="217"/>
      <c r="F2469" s="104"/>
      <c r="G2469" s="108"/>
      <c r="J2469" s="174"/>
      <c r="K2469" s="4"/>
    </row>
    <row r="2470" spans="3:11" x14ac:dyDescent="0.25">
      <c r="C2470" s="108"/>
      <c r="D2470" s="217"/>
      <c r="E2470" s="217"/>
      <c r="F2470" s="104"/>
      <c r="G2470" s="108"/>
      <c r="J2470" s="174"/>
      <c r="K2470" s="4"/>
    </row>
    <row r="2471" spans="3:11" x14ac:dyDescent="0.25">
      <c r="C2471" s="108"/>
      <c r="D2471" s="217"/>
      <c r="E2471" s="217"/>
      <c r="F2471" s="104"/>
      <c r="G2471" s="108"/>
      <c r="J2471" s="174"/>
      <c r="K2471" s="4"/>
    </row>
    <row r="2472" spans="3:11" x14ac:dyDescent="0.25">
      <c r="C2472" s="108"/>
      <c r="D2472" s="217"/>
      <c r="E2472" s="217"/>
      <c r="F2472" s="104"/>
      <c r="G2472" s="108"/>
      <c r="J2472" s="174"/>
      <c r="K2472" s="4"/>
    </row>
    <row r="2473" spans="3:11" x14ac:dyDescent="0.25">
      <c r="C2473" s="108"/>
      <c r="D2473" s="217"/>
      <c r="E2473" s="217"/>
      <c r="F2473" s="104"/>
      <c r="G2473" s="108"/>
      <c r="J2473" s="174"/>
      <c r="K2473" s="4"/>
    </row>
    <row r="2474" spans="3:11" x14ac:dyDescent="0.25">
      <c r="C2474" s="108"/>
      <c r="D2474" s="217"/>
      <c r="E2474" s="217"/>
      <c r="F2474" s="104"/>
      <c r="G2474" s="108"/>
      <c r="J2474" s="174"/>
      <c r="K2474" s="4"/>
    </row>
    <row r="2475" spans="3:11" x14ac:dyDescent="0.25">
      <c r="C2475" s="108"/>
      <c r="D2475" s="217"/>
      <c r="E2475" s="217"/>
      <c r="F2475" s="104"/>
      <c r="G2475" s="108"/>
      <c r="J2475" s="174"/>
      <c r="K2475" s="4"/>
    </row>
    <row r="2476" spans="3:11" x14ac:dyDescent="0.25">
      <c r="C2476" s="108"/>
      <c r="D2476" s="217"/>
      <c r="E2476" s="217"/>
      <c r="F2476" s="104"/>
      <c r="G2476" s="108"/>
      <c r="J2476" s="174"/>
      <c r="K2476" s="4"/>
    </row>
    <row r="2477" spans="3:11" x14ac:dyDescent="0.25">
      <c r="C2477" s="108"/>
      <c r="D2477" s="217"/>
      <c r="E2477" s="217"/>
      <c r="F2477" s="104"/>
      <c r="G2477" s="108"/>
      <c r="J2477" s="174"/>
      <c r="K2477" s="4"/>
    </row>
    <row r="2478" spans="3:11" x14ac:dyDescent="0.25">
      <c r="C2478" s="108"/>
      <c r="D2478" s="217"/>
      <c r="E2478" s="217"/>
      <c r="F2478" s="104"/>
      <c r="G2478" s="108"/>
      <c r="J2478" s="174"/>
      <c r="K2478" s="4"/>
    </row>
    <row r="2479" spans="3:11" x14ac:dyDescent="0.25">
      <c r="C2479" s="108"/>
      <c r="D2479" s="217"/>
      <c r="E2479" s="217"/>
      <c r="F2479" s="104"/>
      <c r="G2479" s="108"/>
      <c r="J2479" s="174"/>
      <c r="K2479" s="4"/>
    </row>
    <row r="2480" spans="3:11" x14ac:dyDescent="0.25">
      <c r="C2480" s="108"/>
      <c r="D2480" s="217"/>
      <c r="E2480" s="217"/>
      <c r="F2480" s="104"/>
      <c r="G2480" s="108"/>
      <c r="J2480" s="174"/>
      <c r="K2480" s="4"/>
    </row>
    <row r="2481" spans="3:11" x14ac:dyDescent="0.25">
      <c r="C2481" s="108"/>
      <c r="D2481" s="217"/>
      <c r="E2481" s="217"/>
      <c r="F2481" s="104"/>
      <c r="G2481" s="108"/>
      <c r="J2481" s="174"/>
      <c r="K2481" s="4"/>
    </row>
    <row r="2482" spans="3:11" x14ac:dyDescent="0.25">
      <c r="C2482" s="108"/>
      <c r="D2482" s="217"/>
      <c r="E2482" s="217"/>
      <c r="F2482" s="104"/>
      <c r="G2482" s="108"/>
      <c r="J2482" s="174"/>
      <c r="K2482" s="4"/>
    </row>
    <row r="2483" spans="3:11" x14ac:dyDescent="0.25">
      <c r="C2483" s="108"/>
      <c r="D2483" s="217"/>
      <c r="E2483" s="217"/>
      <c r="F2483" s="104"/>
      <c r="G2483" s="108"/>
      <c r="J2483" s="174"/>
      <c r="K2483" s="4"/>
    </row>
    <row r="2484" spans="3:11" x14ac:dyDescent="0.25">
      <c r="C2484" s="108"/>
      <c r="D2484" s="217"/>
      <c r="E2484" s="217"/>
      <c r="F2484" s="104"/>
      <c r="G2484" s="108"/>
      <c r="J2484" s="174"/>
      <c r="K2484" s="4"/>
    </row>
    <row r="2485" spans="3:11" x14ac:dyDescent="0.25">
      <c r="C2485" s="108"/>
      <c r="D2485" s="217"/>
      <c r="E2485" s="217"/>
      <c r="F2485" s="104"/>
      <c r="G2485" s="108"/>
      <c r="J2485" s="174"/>
      <c r="K2485" s="4"/>
    </row>
    <row r="2486" spans="3:11" x14ac:dyDescent="0.25">
      <c r="C2486" s="108"/>
      <c r="D2486" s="217"/>
      <c r="E2486" s="217"/>
      <c r="F2486" s="104"/>
      <c r="G2486" s="108"/>
      <c r="J2486" s="174"/>
      <c r="K2486" s="4"/>
    </row>
    <row r="2487" spans="3:11" x14ac:dyDescent="0.25">
      <c r="C2487" s="108"/>
      <c r="D2487" s="217"/>
      <c r="E2487" s="217"/>
      <c r="F2487" s="104"/>
      <c r="G2487" s="108"/>
      <c r="J2487" s="174"/>
      <c r="K2487" s="4"/>
    </row>
    <row r="2488" spans="3:11" x14ac:dyDescent="0.25">
      <c r="C2488" s="108"/>
      <c r="D2488" s="217"/>
      <c r="E2488" s="217"/>
      <c r="F2488" s="104"/>
      <c r="G2488" s="108"/>
      <c r="J2488" s="174"/>
      <c r="K2488" s="4"/>
    </row>
    <row r="2489" spans="3:11" x14ac:dyDescent="0.25">
      <c r="C2489" s="108"/>
      <c r="D2489" s="217"/>
      <c r="E2489" s="217"/>
      <c r="F2489" s="104"/>
      <c r="G2489" s="108"/>
      <c r="J2489" s="174"/>
      <c r="K2489" s="4"/>
    </row>
    <row r="2490" spans="3:11" x14ac:dyDescent="0.25">
      <c r="C2490" s="108"/>
      <c r="D2490" s="217"/>
      <c r="E2490" s="217"/>
      <c r="F2490" s="104"/>
      <c r="G2490" s="108"/>
      <c r="J2490" s="174"/>
      <c r="K2490" s="4"/>
    </row>
    <row r="2491" spans="3:11" x14ac:dyDescent="0.25">
      <c r="C2491" s="108"/>
      <c r="D2491" s="217"/>
      <c r="E2491" s="217"/>
      <c r="F2491" s="104"/>
      <c r="G2491" s="108"/>
      <c r="J2491" s="174"/>
      <c r="K2491" s="4"/>
    </row>
    <row r="2492" spans="3:11" x14ac:dyDescent="0.25">
      <c r="C2492" s="108"/>
      <c r="D2492" s="217"/>
      <c r="E2492" s="217"/>
      <c r="F2492" s="104"/>
      <c r="G2492" s="108"/>
      <c r="J2492" s="174"/>
      <c r="K2492" s="4"/>
    </row>
    <row r="2493" spans="3:11" x14ac:dyDescent="0.25">
      <c r="C2493" s="108"/>
      <c r="D2493" s="217"/>
      <c r="E2493" s="217"/>
      <c r="F2493" s="104"/>
      <c r="G2493" s="108"/>
      <c r="J2493" s="174"/>
      <c r="K2493" s="4"/>
    </row>
    <row r="2494" spans="3:11" x14ac:dyDescent="0.25">
      <c r="C2494" s="108"/>
      <c r="D2494" s="217"/>
      <c r="E2494" s="217"/>
      <c r="F2494" s="104"/>
      <c r="G2494" s="108"/>
      <c r="J2494" s="174"/>
      <c r="K2494" s="4"/>
    </row>
    <row r="2495" spans="3:11" x14ac:dyDescent="0.25">
      <c r="C2495" s="108"/>
      <c r="D2495" s="217"/>
      <c r="E2495" s="217"/>
      <c r="F2495" s="104"/>
      <c r="G2495" s="108"/>
      <c r="J2495" s="174"/>
      <c r="K2495" s="4"/>
    </row>
    <row r="2496" spans="3:11" x14ac:dyDescent="0.25">
      <c r="C2496" s="108"/>
      <c r="D2496" s="217"/>
      <c r="E2496" s="217"/>
      <c r="F2496" s="104"/>
      <c r="G2496" s="108"/>
      <c r="J2496" s="174"/>
      <c r="K2496" s="4"/>
    </row>
    <row r="2497" spans="3:11" x14ac:dyDescent="0.25">
      <c r="C2497" s="108"/>
      <c r="D2497" s="217"/>
      <c r="E2497" s="217"/>
      <c r="F2497" s="104"/>
      <c r="G2497" s="108"/>
      <c r="J2497" s="174"/>
      <c r="K2497" s="4"/>
    </row>
    <row r="2498" spans="3:11" x14ac:dyDescent="0.25">
      <c r="C2498" s="108"/>
      <c r="D2498" s="217"/>
      <c r="E2498" s="217"/>
      <c r="F2498" s="104"/>
      <c r="G2498" s="108"/>
      <c r="J2498" s="174"/>
      <c r="K2498" s="4"/>
    </row>
    <row r="2499" spans="3:11" x14ac:dyDescent="0.25">
      <c r="C2499" s="108"/>
      <c r="D2499" s="217"/>
      <c r="E2499" s="217"/>
      <c r="F2499" s="104"/>
      <c r="G2499" s="108"/>
      <c r="J2499" s="174"/>
      <c r="K2499" s="4"/>
    </row>
    <row r="2500" spans="3:11" x14ac:dyDescent="0.25">
      <c r="C2500" s="108"/>
      <c r="D2500" s="217"/>
      <c r="E2500" s="217"/>
      <c r="F2500" s="104"/>
      <c r="G2500" s="108"/>
      <c r="J2500" s="174"/>
      <c r="K2500" s="4"/>
    </row>
    <row r="2501" spans="3:11" x14ac:dyDescent="0.25">
      <c r="C2501" s="108"/>
      <c r="D2501" s="217"/>
      <c r="E2501" s="217"/>
      <c r="F2501" s="104"/>
      <c r="G2501" s="108"/>
      <c r="J2501" s="174"/>
      <c r="K2501" s="4"/>
    </row>
    <row r="2502" spans="3:11" x14ac:dyDescent="0.25">
      <c r="C2502" s="108"/>
      <c r="D2502" s="217"/>
      <c r="E2502" s="217"/>
      <c r="F2502" s="104"/>
      <c r="G2502" s="108"/>
      <c r="J2502" s="174"/>
      <c r="K2502" s="4"/>
    </row>
    <row r="2503" spans="3:11" x14ac:dyDescent="0.25">
      <c r="C2503" s="108"/>
      <c r="D2503" s="217"/>
      <c r="E2503" s="217"/>
      <c r="F2503" s="104"/>
      <c r="G2503" s="108"/>
      <c r="J2503" s="174"/>
      <c r="K2503" s="4"/>
    </row>
    <row r="2504" spans="3:11" x14ac:dyDescent="0.25">
      <c r="C2504" s="108"/>
      <c r="D2504" s="217"/>
      <c r="E2504" s="217"/>
      <c r="F2504" s="104"/>
      <c r="G2504" s="108"/>
      <c r="J2504" s="174"/>
      <c r="K2504" s="4"/>
    </row>
    <row r="2505" spans="3:11" x14ac:dyDescent="0.25">
      <c r="C2505" s="108"/>
      <c r="D2505" s="217"/>
      <c r="E2505" s="217"/>
      <c r="F2505" s="104"/>
      <c r="G2505" s="108"/>
      <c r="J2505" s="174"/>
      <c r="K2505" s="4"/>
    </row>
    <row r="2506" spans="3:11" x14ac:dyDescent="0.25">
      <c r="C2506" s="108"/>
      <c r="D2506" s="217"/>
      <c r="E2506" s="217"/>
      <c r="F2506" s="104"/>
      <c r="G2506" s="108"/>
      <c r="J2506" s="174"/>
      <c r="K2506" s="4"/>
    </row>
    <row r="2507" spans="3:11" x14ac:dyDescent="0.25">
      <c r="C2507" s="108"/>
      <c r="D2507" s="217"/>
      <c r="E2507" s="217"/>
      <c r="F2507" s="104"/>
      <c r="G2507" s="108"/>
      <c r="J2507" s="174"/>
      <c r="K2507" s="4"/>
    </row>
    <row r="2508" spans="3:11" x14ac:dyDescent="0.25">
      <c r="C2508" s="108"/>
      <c r="D2508" s="217"/>
      <c r="E2508" s="217"/>
      <c r="F2508" s="104"/>
      <c r="G2508" s="108"/>
      <c r="J2508" s="174"/>
      <c r="K2508" s="4"/>
    </row>
    <row r="2509" spans="3:11" x14ac:dyDescent="0.25">
      <c r="C2509" s="108"/>
      <c r="D2509" s="217"/>
      <c r="E2509" s="217"/>
      <c r="F2509" s="104"/>
      <c r="G2509" s="108"/>
      <c r="J2509" s="174"/>
      <c r="K2509" s="4"/>
    </row>
    <row r="2510" spans="3:11" x14ac:dyDescent="0.25">
      <c r="C2510" s="108"/>
      <c r="D2510" s="217"/>
      <c r="E2510" s="217"/>
      <c r="F2510" s="104"/>
      <c r="G2510" s="108"/>
      <c r="J2510" s="174"/>
      <c r="K2510" s="4"/>
    </row>
    <row r="2511" spans="3:11" x14ac:dyDescent="0.25">
      <c r="C2511" s="108"/>
      <c r="D2511" s="217"/>
      <c r="E2511" s="217"/>
      <c r="F2511" s="104"/>
      <c r="G2511" s="108"/>
      <c r="J2511" s="174"/>
      <c r="K2511" s="4"/>
    </row>
    <row r="2512" spans="3:11" x14ac:dyDescent="0.25">
      <c r="C2512" s="108"/>
      <c r="D2512" s="217"/>
      <c r="E2512" s="217"/>
      <c r="F2512" s="104"/>
      <c r="G2512" s="108"/>
      <c r="J2512" s="174"/>
      <c r="K2512" s="4"/>
    </row>
    <row r="2513" spans="3:11" x14ac:dyDescent="0.25">
      <c r="C2513" s="108"/>
      <c r="D2513" s="217"/>
      <c r="E2513" s="217"/>
      <c r="F2513" s="104"/>
      <c r="G2513" s="108"/>
      <c r="J2513" s="174"/>
      <c r="K2513" s="4"/>
    </row>
    <row r="2514" spans="3:11" x14ac:dyDescent="0.25">
      <c r="C2514" s="108"/>
      <c r="D2514" s="217"/>
      <c r="E2514" s="217"/>
      <c r="F2514" s="104"/>
      <c r="G2514" s="108"/>
      <c r="J2514" s="174"/>
      <c r="K2514" s="4"/>
    </row>
    <row r="2515" spans="3:11" x14ac:dyDescent="0.25">
      <c r="C2515" s="108"/>
      <c r="D2515" s="217"/>
      <c r="E2515" s="217"/>
      <c r="F2515" s="104"/>
      <c r="G2515" s="108"/>
      <c r="J2515" s="174"/>
      <c r="K2515" s="4"/>
    </row>
    <row r="2516" spans="3:11" x14ac:dyDescent="0.25">
      <c r="C2516" s="108"/>
      <c r="D2516" s="217"/>
      <c r="E2516" s="217"/>
      <c r="F2516" s="104"/>
      <c r="G2516" s="108"/>
      <c r="J2516" s="174"/>
      <c r="K2516" s="4"/>
    </row>
    <row r="2517" spans="3:11" x14ac:dyDescent="0.25">
      <c r="C2517" s="108"/>
      <c r="D2517" s="217"/>
      <c r="E2517" s="217"/>
      <c r="F2517" s="104"/>
      <c r="G2517" s="108"/>
      <c r="J2517" s="174"/>
      <c r="K2517" s="4"/>
    </row>
    <row r="2518" spans="3:11" x14ac:dyDescent="0.25">
      <c r="C2518" s="108"/>
      <c r="D2518" s="217"/>
      <c r="E2518" s="217"/>
      <c r="F2518" s="104"/>
      <c r="G2518" s="108"/>
      <c r="J2518" s="174"/>
      <c r="K2518" s="4"/>
    </row>
    <row r="2519" spans="3:11" x14ac:dyDescent="0.25">
      <c r="C2519" s="108"/>
      <c r="D2519" s="217"/>
      <c r="E2519" s="217"/>
      <c r="F2519" s="104"/>
      <c r="G2519" s="108"/>
      <c r="J2519" s="174"/>
      <c r="K2519" s="4"/>
    </row>
    <row r="2520" spans="3:11" x14ac:dyDescent="0.25">
      <c r="C2520" s="108"/>
      <c r="D2520" s="217"/>
      <c r="E2520" s="217"/>
      <c r="F2520" s="104"/>
      <c r="G2520" s="108"/>
      <c r="J2520" s="174"/>
      <c r="K2520" s="4"/>
    </row>
    <row r="2521" spans="3:11" x14ac:dyDescent="0.25">
      <c r="C2521" s="108"/>
      <c r="D2521" s="217"/>
      <c r="E2521" s="217"/>
      <c r="F2521" s="104"/>
      <c r="G2521" s="108"/>
      <c r="J2521" s="174"/>
      <c r="K2521" s="4"/>
    </row>
    <row r="2522" spans="3:11" x14ac:dyDescent="0.25">
      <c r="C2522" s="108"/>
      <c r="D2522" s="217"/>
      <c r="E2522" s="217"/>
      <c r="F2522" s="104"/>
      <c r="G2522" s="108"/>
      <c r="J2522" s="174"/>
      <c r="K2522" s="4"/>
    </row>
    <row r="2523" spans="3:11" x14ac:dyDescent="0.25">
      <c r="C2523" s="108"/>
      <c r="D2523" s="217"/>
      <c r="E2523" s="217"/>
      <c r="F2523" s="104"/>
      <c r="G2523" s="108"/>
      <c r="J2523" s="174"/>
      <c r="K2523" s="4"/>
    </row>
    <row r="2524" spans="3:11" x14ac:dyDescent="0.25">
      <c r="C2524" s="108"/>
      <c r="D2524" s="217"/>
      <c r="E2524" s="217"/>
      <c r="F2524" s="104"/>
      <c r="G2524" s="108"/>
      <c r="J2524" s="174"/>
      <c r="K2524" s="4"/>
    </row>
    <row r="2525" spans="3:11" x14ac:dyDescent="0.25">
      <c r="C2525" s="108"/>
      <c r="D2525" s="217"/>
      <c r="E2525" s="217"/>
      <c r="F2525" s="104"/>
      <c r="G2525" s="108"/>
      <c r="J2525" s="174"/>
      <c r="K2525" s="4"/>
    </row>
    <row r="2526" spans="3:11" x14ac:dyDescent="0.25">
      <c r="C2526" s="108"/>
      <c r="D2526" s="217"/>
      <c r="E2526" s="217"/>
      <c r="F2526" s="104"/>
      <c r="G2526" s="108"/>
      <c r="J2526" s="174"/>
      <c r="K2526" s="4"/>
    </row>
    <row r="2527" spans="3:11" x14ac:dyDescent="0.25">
      <c r="C2527" s="108"/>
      <c r="D2527" s="217"/>
      <c r="E2527" s="217"/>
      <c r="F2527" s="104"/>
      <c r="G2527" s="108"/>
      <c r="J2527" s="174"/>
      <c r="K2527" s="4"/>
    </row>
    <row r="2528" spans="3:11" x14ac:dyDescent="0.25">
      <c r="C2528" s="108"/>
      <c r="D2528" s="217"/>
      <c r="E2528" s="217"/>
      <c r="F2528" s="104"/>
      <c r="G2528" s="108"/>
      <c r="J2528" s="174"/>
      <c r="K2528" s="4"/>
    </row>
    <row r="2529" spans="3:11" x14ac:dyDescent="0.25">
      <c r="C2529" s="108"/>
      <c r="D2529" s="217"/>
      <c r="E2529" s="217"/>
      <c r="F2529" s="104"/>
      <c r="G2529" s="108"/>
      <c r="J2529" s="174"/>
      <c r="K2529" s="4"/>
    </row>
    <row r="2530" spans="3:11" x14ac:dyDescent="0.25">
      <c r="C2530" s="108"/>
      <c r="D2530" s="217"/>
      <c r="E2530" s="217"/>
      <c r="F2530" s="104"/>
      <c r="G2530" s="108"/>
      <c r="J2530" s="174"/>
      <c r="K2530" s="4"/>
    </row>
    <row r="2531" spans="3:11" x14ac:dyDescent="0.25">
      <c r="C2531" s="108"/>
      <c r="D2531" s="217"/>
      <c r="E2531" s="217"/>
      <c r="F2531" s="104"/>
      <c r="G2531" s="108"/>
      <c r="J2531" s="174"/>
      <c r="K2531" s="4"/>
    </row>
    <row r="2532" spans="3:11" x14ac:dyDescent="0.25">
      <c r="C2532" s="108"/>
      <c r="D2532" s="217"/>
      <c r="E2532" s="217"/>
      <c r="F2532" s="104"/>
      <c r="G2532" s="108"/>
      <c r="J2532" s="174"/>
      <c r="K2532" s="4"/>
    </row>
    <row r="2533" spans="3:11" x14ac:dyDescent="0.25">
      <c r="C2533" s="108"/>
      <c r="D2533" s="217"/>
      <c r="E2533" s="217"/>
      <c r="F2533" s="104"/>
      <c r="G2533" s="108"/>
      <c r="J2533" s="174"/>
      <c r="K2533" s="4"/>
    </row>
    <row r="2534" spans="3:11" x14ac:dyDescent="0.25">
      <c r="C2534" s="108"/>
      <c r="D2534" s="217"/>
      <c r="E2534" s="217"/>
      <c r="F2534" s="104"/>
      <c r="G2534" s="108"/>
      <c r="J2534" s="174"/>
      <c r="K2534" s="4"/>
    </row>
    <row r="2535" spans="3:11" x14ac:dyDescent="0.25">
      <c r="C2535" s="108"/>
      <c r="D2535" s="217"/>
      <c r="E2535" s="217"/>
      <c r="F2535" s="104"/>
      <c r="G2535" s="108"/>
      <c r="J2535" s="174"/>
      <c r="K2535" s="4"/>
    </row>
    <row r="2536" spans="3:11" x14ac:dyDescent="0.25">
      <c r="C2536" s="108"/>
      <c r="D2536" s="217"/>
      <c r="E2536" s="217"/>
      <c r="F2536" s="104"/>
      <c r="G2536" s="108"/>
      <c r="J2536" s="174"/>
      <c r="K2536" s="4"/>
    </row>
    <row r="2537" spans="3:11" x14ac:dyDescent="0.25">
      <c r="C2537" s="108"/>
      <c r="D2537" s="217"/>
      <c r="E2537" s="217"/>
      <c r="F2537" s="104"/>
      <c r="G2537" s="108"/>
      <c r="J2537" s="174"/>
      <c r="K2537" s="4"/>
    </row>
    <row r="2538" spans="3:11" x14ac:dyDescent="0.25">
      <c r="C2538" s="108"/>
      <c r="D2538" s="217"/>
      <c r="E2538" s="217"/>
      <c r="F2538" s="104"/>
      <c r="G2538" s="108"/>
      <c r="J2538" s="174"/>
      <c r="K2538" s="4"/>
    </row>
    <row r="2539" spans="3:11" x14ac:dyDescent="0.25">
      <c r="C2539" s="108"/>
      <c r="D2539" s="217"/>
      <c r="E2539" s="217"/>
      <c r="F2539" s="104"/>
      <c r="G2539" s="108"/>
      <c r="J2539" s="174"/>
      <c r="K2539" s="4"/>
    </row>
    <row r="2540" spans="3:11" x14ac:dyDescent="0.25">
      <c r="C2540" s="108"/>
      <c r="D2540" s="217"/>
      <c r="E2540" s="217"/>
      <c r="F2540" s="104"/>
      <c r="G2540" s="108"/>
      <c r="J2540" s="174"/>
      <c r="K2540" s="4"/>
    </row>
    <row r="2541" spans="3:11" x14ac:dyDescent="0.25">
      <c r="C2541" s="108"/>
      <c r="D2541" s="217"/>
      <c r="E2541" s="217"/>
      <c r="F2541" s="104"/>
      <c r="G2541" s="108"/>
      <c r="J2541" s="174"/>
      <c r="K2541" s="4"/>
    </row>
    <row r="2542" spans="3:11" x14ac:dyDescent="0.25">
      <c r="C2542" s="108"/>
      <c r="D2542" s="217"/>
      <c r="E2542" s="217"/>
      <c r="F2542" s="104"/>
      <c r="G2542" s="108"/>
      <c r="J2542" s="174"/>
      <c r="K2542" s="4"/>
    </row>
    <row r="2543" spans="3:11" x14ac:dyDescent="0.25">
      <c r="C2543" s="108"/>
      <c r="D2543" s="217"/>
      <c r="E2543" s="217"/>
      <c r="F2543" s="104"/>
      <c r="G2543" s="108"/>
      <c r="J2543" s="174"/>
      <c r="K2543" s="4"/>
    </row>
    <row r="2544" spans="3:11" x14ac:dyDescent="0.25">
      <c r="C2544" s="108"/>
      <c r="D2544" s="217"/>
      <c r="E2544" s="217"/>
      <c r="F2544" s="104"/>
      <c r="G2544" s="108"/>
      <c r="J2544" s="174"/>
      <c r="K2544" s="4"/>
    </row>
    <row r="2545" spans="3:11" x14ac:dyDescent="0.25">
      <c r="C2545" s="108"/>
      <c r="D2545" s="217"/>
      <c r="E2545" s="217"/>
      <c r="F2545" s="104"/>
      <c r="G2545" s="108"/>
      <c r="J2545" s="174"/>
      <c r="K2545" s="4"/>
    </row>
    <row r="2546" spans="3:11" x14ac:dyDescent="0.25">
      <c r="C2546" s="108"/>
      <c r="D2546" s="217"/>
      <c r="E2546" s="217"/>
      <c r="F2546" s="104"/>
      <c r="G2546" s="108"/>
      <c r="J2546" s="174"/>
      <c r="K2546" s="4"/>
    </row>
    <row r="2547" spans="3:11" x14ac:dyDescent="0.25">
      <c r="C2547" s="108"/>
      <c r="D2547" s="217"/>
      <c r="E2547" s="217"/>
      <c r="F2547" s="104"/>
      <c r="G2547" s="108"/>
      <c r="J2547" s="174"/>
      <c r="K2547" s="4"/>
    </row>
    <row r="2548" spans="3:11" x14ac:dyDescent="0.25">
      <c r="C2548" s="108"/>
      <c r="D2548" s="217"/>
      <c r="E2548" s="217"/>
      <c r="F2548" s="104"/>
      <c r="G2548" s="108"/>
      <c r="J2548" s="174"/>
      <c r="K2548" s="4"/>
    </row>
    <row r="2549" spans="3:11" x14ac:dyDescent="0.25">
      <c r="C2549" s="108"/>
      <c r="D2549" s="217"/>
      <c r="E2549" s="217"/>
      <c r="F2549" s="104"/>
      <c r="G2549" s="108"/>
      <c r="J2549" s="174"/>
      <c r="K2549" s="4"/>
    </row>
    <row r="2550" spans="3:11" x14ac:dyDescent="0.25">
      <c r="C2550" s="108"/>
      <c r="D2550" s="217"/>
      <c r="E2550" s="217"/>
      <c r="F2550" s="104"/>
      <c r="G2550" s="108"/>
      <c r="J2550" s="174"/>
      <c r="K2550" s="4"/>
    </row>
    <row r="2551" spans="3:11" x14ac:dyDescent="0.25">
      <c r="C2551" s="108"/>
      <c r="D2551" s="217"/>
      <c r="E2551" s="217"/>
      <c r="F2551" s="104"/>
      <c r="G2551" s="108"/>
      <c r="J2551" s="174"/>
      <c r="K2551" s="4"/>
    </row>
    <row r="2552" spans="3:11" x14ac:dyDescent="0.25">
      <c r="C2552" s="108"/>
      <c r="D2552" s="217"/>
      <c r="E2552" s="217"/>
      <c r="F2552" s="104"/>
      <c r="G2552" s="108"/>
      <c r="J2552" s="174"/>
      <c r="K2552" s="4"/>
    </row>
    <row r="2553" spans="3:11" x14ac:dyDescent="0.25">
      <c r="C2553" s="108"/>
      <c r="D2553" s="217"/>
      <c r="E2553" s="217"/>
      <c r="F2553" s="104"/>
      <c r="G2553" s="108"/>
      <c r="J2553" s="174"/>
      <c r="K2553" s="4"/>
    </row>
    <row r="2554" spans="3:11" x14ac:dyDescent="0.25">
      <c r="C2554" s="108"/>
      <c r="D2554" s="217"/>
      <c r="E2554" s="217"/>
      <c r="F2554" s="104"/>
      <c r="G2554" s="108"/>
      <c r="J2554" s="174"/>
      <c r="K2554" s="4"/>
    </row>
    <row r="2555" spans="3:11" x14ac:dyDescent="0.25">
      <c r="C2555" s="108"/>
      <c r="D2555" s="217"/>
      <c r="E2555" s="217"/>
      <c r="F2555" s="104"/>
      <c r="G2555" s="108"/>
      <c r="J2555" s="174"/>
      <c r="K2555" s="4"/>
    </row>
    <row r="2556" spans="3:11" x14ac:dyDescent="0.25">
      <c r="C2556" s="108"/>
      <c r="D2556" s="217"/>
      <c r="E2556" s="217"/>
      <c r="F2556" s="104"/>
      <c r="G2556" s="108"/>
      <c r="J2556" s="174"/>
      <c r="K2556" s="4"/>
    </row>
    <row r="2557" spans="3:11" x14ac:dyDescent="0.25">
      <c r="C2557" s="108"/>
      <c r="D2557" s="217"/>
      <c r="E2557" s="217"/>
      <c r="F2557" s="104"/>
      <c r="G2557" s="108"/>
      <c r="J2557" s="174"/>
      <c r="K2557" s="4"/>
    </row>
    <row r="2558" spans="3:11" x14ac:dyDescent="0.25">
      <c r="C2558" s="108"/>
      <c r="D2558" s="217"/>
      <c r="E2558" s="217"/>
      <c r="F2558" s="104"/>
      <c r="G2558" s="108"/>
      <c r="J2558" s="174"/>
      <c r="K2558" s="4"/>
    </row>
    <row r="2559" spans="3:11" x14ac:dyDescent="0.25">
      <c r="C2559" s="108"/>
      <c r="D2559" s="217"/>
      <c r="E2559" s="217"/>
      <c r="F2559" s="104"/>
      <c r="G2559" s="108"/>
      <c r="J2559" s="174"/>
      <c r="K2559" s="4"/>
    </row>
    <row r="2560" spans="3:11" x14ac:dyDescent="0.25">
      <c r="C2560" s="108"/>
      <c r="D2560" s="217"/>
      <c r="E2560" s="217"/>
      <c r="F2560" s="104"/>
      <c r="G2560" s="108"/>
      <c r="J2560" s="174"/>
      <c r="K2560" s="4"/>
    </row>
    <row r="2561" spans="3:11" x14ac:dyDescent="0.25">
      <c r="C2561" s="108"/>
      <c r="D2561" s="217"/>
      <c r="E2561" s="217"/>
      <c r="F2561" s="104"/>
      <c r="G2561" s="108"/>
      <c r="J2561" s="174"/>
      <c r="K2561" s="4"/>
    </row>
    <row r="2562" spans="3:11" x14ac:dyDescent="0.25">
      <c r="C2562" s="108"/>
      <c r="D2562" s="217"/>
      <c r="E2562" s="217"/>
      <c r="F2562" s="104"/>
      <c r="G2562" s="108"/>
      <c r="J2562" s="174"/>
      <c r="K2562" s="4"/>
    </row>
    <row r="2563" spans="3:11" x14ac:dyDescent="0.25">
      <c r="C2563" s="108"/>
      <c r="D2563" s="217"/>
      <c r="E2563" s="217"/>
      <c r="F2563" s="104"/>
      <c r="G2563" s="108"/>
      <c r="J2563" s="174"/>
      <c r="K2563" s="4"/>
    </row>
    <row r="2564" spans="3:11" x14ac:dyDescent="0.25">
      <c r="C2564" s="108"/>
      <c r="D2564" s="217"/>
      <c r="E2564" s="217"/>
      <c r="F2564" s="104"/>
      <c r="G2564" s="108"/>
      <c r="J2564" s="174"/>
      <c r="K2564" s="4"/>
    </row>
    <row r="2565" spans="3:11" x14ac:dyDescent="0.25">
      <c r="C2565" s="108"/>
      <c r="D2565" s="217"/>
      <c r="E2565" s="217"/>
      <c r="F2565" s="104"/>
      <c r="G2565" s="108"/>
      <c r="J2565" s="174"/>
      <c r="K2565" s="4"/>
    </row>
    <row r="2566" spans="3:11" x14ac:dyDescent="0.25">
      <c r="C2566" s="108"/>
      <c r="D2566" s="217"/>
      <c r="E2566" s="217"/>
      <c r="F2566" s="104"/>
      <c r="G2566" s="108"/>
      <c r="J2566" s="174"/>
      <c r="K2566" s="4"/>
    </row>
    <row r="2567" spans="3:11" x14ac:dyDescent="0.25">
      <c r="C2567" s="108"/>
      <c r="D2567" s="217"/>
      <c r="E2567" s="217"/>
      <c r="F2567" s="104"/>
      <c r="G2567" s="108"/>
      <c r="J2567" s="174"/>
      <c r="K2567" s="4"/>
    </row>
    <row r="2568" spans="3:11" x14ac:dyDescent="0.25">
      <c r="C2568" s="108"/>
      <c r="D2568" s="217"/>
      <c r="E2568" s="217"/>
      <c r="F2568" s="104"/>
      <c r="G2568" s="108"/>
      <c r="J2568" s="174"/>
      <c r="K2568" s="4"/>
    </row>
    <row r="2569" spans="3:11" x14ac:dyDescent="0.25">
      <c r="C2569" s="108"/>
      <c r="D2569" s="217"/>
      <c r="E2569" s="217"/>
      <c r="F2569" s="104"/>
      <c r="G2569" s="108"/>
      <c r="J2569" s="174"/>
      <c r="K2569" s="4"/>
    </row>
    <row r="2570" spans="3:11" x14ac:dyDescent="0.25">
      <c r="C2570" s="108"/>
      <c r="D2570" s="217"/>
      <c r="E2570" s="217"/>
      <c r="F2570" s="104"/>
      <c r="G2570" s="108"/>
      <c r="J2570" s="174"/>
      <c r="K2570" s="4"/>
    </row>
    <row r="2571" spans="3:11" x14ac:dyDescent="0.25">
      <c r="C2571" s="108"/>
      <c r="D2571" s="217"/>
      <c r="E2571" s="217"/>
      <c r="F2571" s="104"/>
      <c r="G2571" s="108"/>
      <c r="J2571" s="174"/>
      <c r="K2571" s="4"/>
    </row>
    <row r="2572" spans="3:11" x14ac:dyDescent="0.25">
      <c r="C2572" s="108"/>
      <c r="D2572" s="217"/>
      <c r="E2572" s="217"/>
      <c r="F2572" s="104"/>
      <c r="G2572" s="108"/>
      <c r="J2572" s="174"/>
      <c r="K2572" s="4"/>
    </row>
    <row r="2573" spans="3:11" x14ac:dyDescent="0.25">
      <c r="C2573" s="108"/>
      <c r="D2573" s="217"/>
      <c r="E2573" s="217"/>
      <c r="F2573" s="104"/>
      <c r="G2573" s="108"/>
      <c r="J2573" s="174"/>
      <c r="K2573" s="4"/>
    </row>
    <row r="2574" spans="3:11" x14ac:dyDescent="0.25">
      <c r="C2574" s="108"/>
      <c r="D2574" s="217"/>
      <c r="E2574" s="217"/>
      <c r="F2574" s="104"/>
      <c r="G2574" s="108"/>
      <c r="J2574" s="174"/>
      <c r="K2574" s="4"/>
    </row>
    <row r="2575" spans="3:11" x14ac:dyDescent="0.25">
      <c r="C2575" s="108"/>
      <c r="D2575" s="217"/>
      <c r="E2575" s="217"/>
      <c r="F2575" s="104"/>
      <c r="G2575" s="108"/>
      <c r="J2575" s="174"/>
      <c r="K2575" s="4"/>
    </row>
    <row r="2576" spans="3:11" x14ac:dyDescent="0.25">
      <c r="C2576" s="108"/>
      <c r="D2576" s="217"/>
      <c r="E2576" s="217"/>
      <c r="F2576" s="104"/>
      <c r="G2576" s="108"/>
      <c r="J2576" s="174"/>
      <c r="K2576" s="4"/>
    </row>
    <row r="2577" spans="3:11" x14ac:dyDescent="0.25">
      <c r="C2577" s="108"/>
      <c r="D2577" s="217"/>
      <c r="E2577" s="217"/>
      <c r="F2577" s="104"/>
      <c r="G2577" s="108"/>
      <c r="J2577" s="174"/>
      <c r="K2577" s="4"/>
    </row>
    <row r="2578" spans="3:11" x14ac:dyDescent="0.25">
      <c r="C2578" s="108"/>
      <c r="D2578" s="217"/>
      <c r="E2578" s="217"/>
      <c r="F2578" s="104"/>
      <c r="G2578" s="108"/>
      <c r="J2578" s="174"/>
      <c r="K2578" s="4"/>
    </row>
    <row r="2579" spans="3:11" x14ac:dyDescent="0.25">
      <c r="C2579" s="108"/>
      <c r="D2579" s="217"/>
      <c r="E2579" s="217"/>
      <c r="F2579" s="104"/>
      <c r="G2579" s="108"/>
      <c r="J2579" s="174"/>
      <c r="K2579" s="4"/>
    </row>
    <row r="2580" spans="3:11" x14ac:dyDescent="0.25">
      <c r="C2580" s="108"/>
      <c r="D2580" s="217"/>
      <c r="E2580" s="217"/>
      <c r="F2580" s="104"/>
      <c r="G2580" s="108"/>
      <c r="J2580" s="174"/>
      <c r="K2580" s="4"/>
    </row>
    <row r="2581" spans="3:11" x14ac:dyDescent="0.25">
      <c r="C2581" s="108"/>
      <c r="D2581" s="217"/>
      <c r="E2581" s="217"/>
      <c r="F2581" s="104"/>
      <c r="G2581" s="108"/>
      <c r="J2581" s="174"/>
      <c r="K2581" s="4"/>
    </row>
    <row r="2582" spans="3:11" x14ac:dyDescent="0.25">
      <c r="C2582" s="108"/>
      <c r="D2582" s="217"/>
      <c r="E2582" s="217"/>
      <c r="F2582" s="104"/>
      <c r="G2582" s="108"/>
      <c r="J2582" s="174"/>
      <c r="K2582" s="4"/>
    </row>
    <row r="2583" spans="3:11" x14ac:dyDescent="0.25">
      <c r="C2583" s="108"/>
      <c r="D2583" s="217"/>
      <c r="E2583" s="217"/>
      <c r="F2583" s="104"/>
      <c r="G2583" s="108"/>
      <c r="J2583" s="174"/>
      <c r="K2583" s="4"/>
    </row>
    <row r="2584" spans="3:11" x14ac:dyDescent="0.25">
      <c r="C2584" s="108"/>
      <c r="D2584" s="217"/>
      <c r="E2584" s="217"/>
      <c r="F2584" s="104"/>
      <c r="G2584" s="108"/>
      <c r="J2584" s="174"/>
      <c r="K2584" s="4"/>
    </row>
    <row r="2585" spans="3:11" x14ac:dyDescent="0.25">
      <c r="C2585" s="108"/>
      <c r="D2585" s="217"/>
      <c r="E2585" s="217"/>
      <c r="F2585" s="104"/>
      <c r="G2585" s="108"/>
      <c r="J2585" s="174"/>
      <c r="K2585" s="4"/>
    </row>
    <row r="2586" spans="3:11" x14ac:dyDescent="0.25">
      <c r="C2586" s="108"/>
      <c r="D2586" s="217"/>
      <c r="E2586" s="217"/>
      <c r="F2586" s="104"/>
      <c r="G2586" s="108"/>
      <c r="J2586" s="174"/>
      <c r="K2586" s="4"/>
    </row>
    <row r="2587" spans="3:11" x14ac:dyDescent="0.25">
      <c r="C2587" s="108"/>
      <c r="D2587" s="217"/>
      <c r="E2587" s="217"/>
      <c r="F2587" s="104"/>
      <c r="G2587" s="108"/>
      <c r="J2587" s="174"/>
      <c r="K2587" s="4"/>
    </row>
    <row r="2588" spans="3:11" x14ac:dyDescent="0.25">
      <c r="C2588" s="108"/>
      <c r="D2588" s="217"/>
      <c r="E2588" s="217"/>
      <c r="F2588" s="104"/>
      <c r="G2588" s="108"/>
      <c r="J2588" s="174"/>
      <c r="K2588" s="4"/>
    </row>
    <row r="2589" spans="3:11" x14ac:dyDescent="0.25">
      <c r="C2589" s="108"/>
      <c r="D2589" s="217"/>
      <c r="E2589" s="217"/>
      <c r="F2589" s="104"/>
      <c r="G2589" s="108"/>
      <c r="J2589" s="174"/>
      <c r="K2589" s="4"/>
    </row>
    <row r="2590" spans="3:11" x14ac:dyDescent="0.25">
      <c r="C2590" s="108"/>
      <c r="D2590" s="217"/>
      <c r="E2590" s="217"/>
      <c r="F2590" s="104"/>
      <c r="G2590" s="108"/>
      <c r="J2590" s="174"/>
      <c r="K2590" s="4"/>
    </row>
    <row r="2591" spans="3:11" x14ac:dyDescent="0.25">
      <c r="C2591" s="108"/>
      <c r="D2591" s="217"/>
      <c r="E2591" s="217"/>
      <c r="F2591" s="104"/>
      <c r="G2591" s="108"/>
      <c r="J2591" s="174"/>
      <c r="K2591" s="4"/>
    </row>
    <row r="2592" spans="3:11" x14ac:dyDescent="0.25">
      <c r="C2592" s="108"/>
      <c r="D2592" s="217"/>
      <c r="E2592" s="217"/>
      <c r="F2592" s="104"/>
      <c r="G2592" s="108"/>
      <c r="J2592" s="174"/>
      <c r="K2592" s="4"/>
    </row>
    <row r="2593" spans="3:11" x14ac:dyDescent="0.25">
      <c r="C2593" s="108"/>
      <c r="D2593" s="217"/>
      <c r="E2593" s="217"/>
      <c r="F2593" s="104"/>
      <c r="G2593" s="108"/>
      <c r="J2593" s="174"/>
      <c r="K2593" s="4"/>
    </row>
    <row r="2594" spans="3:11" x14ac:dyDescent="0.25">
      <c r="C2594" s="108"/>
      <c r="D2594" s="217"/>
      <c r="E2594" s="217"/>
      <c r="F2594" s="104"/>
      <c r="G2594" s="108"/>
      <c r="J2594" s="174"/>
      <c r="K2594" s="4"/>
    </row>
    <row r="2595" spans="3:11" x14ac:dyDescent="0.25">
      <c r="C2595" s="108"/>
      <c r="D2595" s="217"/>
      <c r="E2595" s="217"/>
      <c r="F2595" s="104"/>
      <c r="G2595" s="108"/>
      <c r="J2595" s="174"/>
      <c r="K2595" s="4"/>
    </row>
    <row r="2596" spans="3:11" x14ac:dyDescent="0.25">
      <c r="C2596" s="108"/>
      <c r="D2596" s="217"/>
      <c r="E2596" s="217"/>
      <c r="F2596" s="104"/>
      <c r="G2596" s="108"/>
      <c r="J2596" s="174"/>
      <c r="K2596" s="4"/>
    </row>
    <row r="2597" spans="3:11" x14ac:dyDescent="0.25">
      <c r="C2597" s="108"/>
      <c r="D2597" s="217"/>
      <c r="E2597" s="217"/>
      <c r="F2597" s="104"/>
      <c r="G2597" s="108"/>
      <c r="J2597" s="174"/>
      <c r="K2597" s="4"/>
    </row>
    <row r="2598" spans="3:11" x14ac:dyDescent="0.25">
      <c r="C2598" s="108"/>
      <c r="D2598" s="217"/>
      <c r="E2598" s="217"/>
      <c r="F2598" s="104"/>
      <c r="G2598" s="108"/>
      <c r="J2598" s="174"/>
      <c r="K2598" s="4"/>
    </row>
    <row r="2599" spans="3:11" x14ac:dyDescent="0.25">
      <c r="C2599" s="108"/>
      <c r="D2599" s="217"/>
      <c r="E2599" s="217"/>
      <c r="F2599" s="104"/>
      <c r="G2599" s="108"/>
      <c r="J2599" s="174"/>
      <c r="K2599" s="4"/>
    </row>
    <row r="2600" spans="3:11" x14ac:dyDescent="0.25">
      <c r="C2600" s="108"/>
      <c r="D2600" s="217"/>
      <c r="E2600" s="217"/>
      <c r="F2600" s="104"/>
      <c r="G2600" s="108"/>
      <c r="J2600" s="174"/>
      <c r="K2600" s="4"/>
    </row>
    <row r="2601" spans="3:11" x14ac:dyDescent="0.25">
      <c r="C2601" s="108"/>
      <c r="D2601" s="217"/>
      <c r="E2601" s="217"/>
      <c r="F2601" s="104"/>
      <c r="G2601" s="108"/>
      <c r="J2601" s="174"/>
      <c r="K2601" s="4"/>
    </row>
    <row r="2602" spans="3:11" x14ac:dyDescent="0.25">
      <c r="C2602" s="108"/>
      <c r="D2602" s="217"/>
      <c r="E2602" s="217"/>
      <c r="F2602" s="104"/>
      <c r="G2602" s="108"/>
      <c r="J2602" s="174"/>
      <c r="K2602" s="4"/>
    </row>
    <row r="2603" spans="3:11" x14ac:dyDescent="0.25">
      <c r="C2603" s="108"/>
      <c r="D2603" s="217"/>
      <c r="E2603" s="217"/>
      <c r="F2603" s="104"/>
      <c r="G2603" s="108"/>
      <c r="J2603" s="174"/>
      <c r="K2603" s="4"/>
    </row>
    <row r="2604" spans="3:11" x14ac:dyDescent="0.25">
      <c r="C2604" s="108"/>
      <c r="D2604" s="217"/>
      <c r="E2604" s="217"/>
      <c r="F2604" s="104"/>
      <c r="G2604" s="108"/>
      <c r="J2604" s="174"/>
      <c r="K2604" s="4"/>
    </row>
    <row r="2605" spans="3:11" x14ac:dyDescent="0.25">
      <c r="C2605" s="108"/>
      <c r="D2605" s="217"/>
      <c r="E2605" s="217"/>
      <c r="F2605" s="104"/>
      <c r="G2605" s="108"/>
      <c r="J2605" s="174"/>
      <c r="K2605" s="4"/>
    </row>
    <row r="2606" spans="3:11" x14ac:dyDescent="0.25">
      <c r="C2606" s="108"/>
      <c r="D2606" s="217"/>
      <c r="E2606" s="217"/>
      <c r="F2606" s="104"/>
      <c r="G2606" s="108"/>
      <c r="J2606" s="174"/>
      <c r="K2606" s="4"/>
    </row>
    <row r="2607" spans="3:11" x14ac:dyDescent="0.25">
      <c r="C2607" s="108"/>
      <c r="D2607" s="217"/>
      <c r="E2607" s="217"/>
      <c r="F2607" s="104"/>
      <c r="G2607" s="108"/>
      <c r="J2607" s="174"/>
      <c r="K2607" s="4"/>
    </row>
    <row r="2608" spans="3:11" x14ac:dyDescent="0.25">
      <c r="C2608" s="108"/>
      <c r="D2608" s="217"/>
      <c r="E2608" s="217"/>
      <c r="F2608" s="104"/>
      <c r="G2608" s="108"/>
      <c r="J2608" s="174"/>
      <c r="K2608" s="4"/>
    </row>
    <row r="2609" spans="3:11" x14ac:dyDescent="0.25">
      <c r="C2609" s="108"/>
      <c r="D2609" s="217"/>
      <c r="E2609" s="217"/>
      <c r="F2609" s="104"/>
      <c r="G2609" s="108"/>
      <c r="J2609" s="174"/>
      <c r="K2609" s="4"/>
    </row>
    <row r="2610" spans="3:11" x14ac:dyDescent="0.25">
      <c r="C2610" s="108"/>
      <c r="D2610" s="217"/>
      <c r="E2610" s="217"/>
      <c r="F2610" s="104"/>
      <c r="G2610" s="108"/>
      <c r="J2610" s="174"/>
      <c r="K2610" s="4"/>
    </row>
    <row r="2611" spans="3:11" x14ac:dyDescent="0.25">
      <c r="C2611" s="108"/>
      <c r="D2611" s="217"/>
      <c r="E2611" s="217"/>
      <c r="F2611" s="104"/>
      <c r="G2611" s="108"/>
      <c r="J2611" s="174"/>
      <c r="K2611" s="4"/>
    </row>
    <row r="2612" spans="3:11" x14ac:dyDescent="0.25">
      <c r="C2612" s="108"/>
      <c r="D2612" s="217"/>
      <c r="E2612" s="217"/>
      <c r="F2612" s="104"/>
      <c r="G2612" s="108"/>
      <c r="J2612" s="174"/>
      <c r="K2612" s="4"/>
    </row>
    <row r="2613" spans="3:11" x14ac:dyDescent="0.25">
      <c r="C2613" s="108"/>
      <c r="D2613" s="217"/>
      <c r="E2613" s="217"/>
      <c r="F2613" s="104"/>
      <c r="G2613" s="108"/>
      <c r="J2613" s="174"/>
      <c r="K2613" s="4"/>
    </row>
    <row r="2614" spans="3:11" x14ac:dyDescent="0.25">
      <c r="C2614" s="108"/>
      <c r="D2614" s="217"/>
      <c r="E2614" s="217"/>
      <c r="F2614" s="104"/>
      <c r="G2614" s="108"/>
      <c r="J2614" s="174"/>
      <c r="K2614" s="4"/>
    </row>
    <row r="2615" spans="3:11" x14ac:dyDescent="0.25">
      <c r="C2615" s="108"/>
      <c r="D2615" s="217"/>
      <c r="E2615" s="217"/>
      <c r="F2615" s="104"/>
      <c r="G2615" s="108"/>
      <c r="J2615" s="174"/>
      <c r="K2615" s="4"/>
    </row>
    <row r="2616" spans="3:11" x14ac:dyDescent="0.25">
      <c r="C2616" s="108"/>
      <c r="D2616" s="217"/>
      <c r="E2616" s="217"/>
      <c r="F2616" s="104"/>
      <c r="G2616" s="108"/>
      <c r="J2616" s="174"/>
      <c r="K2616" s="4"/>
    </row>
    <row r="2617" spans="3:11" x14ac:dyDescent="0.25">
      <c r="C2617" s="108"/>
      <c r="D2617" s="217"/>
      <c r="E2617" s="217"/>
      <c r="F2617" s="104"/>
      <c r="G2617" s="108"/>
      <c r="J2617" s="174"/>
      <c r="K2617" s="4"/>
    </row>
    <row r="2618" spans="3:11" x14ac:dyDescent="0.25">
      <c r="C2618" s="108"/>
      <c r="D2618" s="217"/>
      <c r="E2618" s="217"/>
      <c r="F2618" s="104"/>
      <c r="G2618" s="108"/>
      <c r="J2618" s="174"/>
      <c r="K2618" s="4"/>
    </row>
    <row r="2619" spans="3:11" x14ac:dyDescent="0.25">
      <c r="C2619" s="108"/>
      <c r="D2619" s="217"/>
      <c r="E2619" s="217"/>
      <c r="F2619" s="104"/>
      <c r="G2619" s="108"/>
      <c r="J2619" s="174"/>
      <c r="K2619" s="4"/>
    </row>
    <row r="2620" spans="3:11" x14ac:dyDescent="0.25">
      <c r="C2620" s="108"/>
      <c r="D2620" s="217"/>
      <c r="E2620" s="217"/>
      <c r="F2620" s="104"/>
      <c r="G2620" s="108"/>
      <c r="J2620" s="174"/>
      <c r="K2620" s="4"/>
    </row>
    <row r="2621" spans="3:11" x14ac:dyDescent="0.25">
      <c r="C2621" s="108"/>
      <c r="D2621" s="217"/>
      <c r="E2621" s="217"/>
      <c r="F2621" s="104"/>
      <c r="G2621" s="108"/>
      <c r="J2621" s="174"/>
      <c r="K2621" s="4"/>
    </row>
    <row r="2622" spans="3:11" x14ac:dyDescent="0.25">
      <c r="C2622" s="108"/>
      <c r="D2622" s="217"/>
      <c r="E2622" s="217"/>
      <c r="F2622" s="104"/>
      <c r="G2622" s="108"/>
      <c r="J2622" s="174"/>
      <c r="K2622" s="4"/>
    </row>
    <row r="2623" spans="3:11" x14ac:dyDescent="0.25">
      <c r="C2623" s="108"/>
      <c r="D2623" s="217"/>
      <c r="E2623" s="217"/>
      <c r="F2623" s="104"/>
      <c r="G2623" s="108"/>
      <c r="J2623" s="174"/>
      <c r="K2623" s="4"/>
    </row>
    <row r="2624" spans="3:11" x14ac:dyDescent="0.25">
      <c r="C2624" s="108"/>
      <c r="D2624" s="217"/>
      <c r="E2624" s="217"/>
      <c r="F2624" s="104"/>
      <c r="G2624" s="108"/>
      <c r="J2624" s="174"/>
      <c r="K2624" s="4"/>
    </row>
    <row r="2625" spans="3:11" x14ac:dyDescent="0.25">
      <c r="C2625" s="108"/>
      <c r="D2625" s="217"/>
      <c r="E2625" s="217"/>
      <c r="F2625" s="104"/>
      <c r="G2625" s="108"/>
      <c r="J2625" s="174"/>
      <c r="K2625" s="4"/>
    </row>
    <row r="2626" spans="3:11" x14ac:dyDescent="0.25">
      <c r="C2626" s="108"/>
      <c r="D2626" s="217"/>
      <c r="E2626" s="217"/>
      <c r="F2626" s="104"/>
      <c r="G2626" s="108"/>
      <c r="J2626" s="174"/>
      <c r="K2626" s="4"/>
    </row>
    <row r="2627" spans="3:11" x14ac:dyDescent="0.25">
      <c r="C2627" s="108"/>
      <c r="D2627" s="217"/>
      <c r="E2627" s="217"/>
      <c r="F2627" s="104"/>
      <c r="G2627" s="108"/>
      <c r="J2627" s="174"/>
      <c r="K2627" s="4"/>
    </row>
    <row r="2628" spans="3:11" x14ac:dyDescent="0.25">
      <c r="C2628" s="108"/>
      <c r="D2628" s="217"/>
      <c r="E2628" s="217"/>
      <c r="F2628" s="104"/>
      <c r="G2628" s="108"/>
      <c r="J2628" s="174"/>
      <c r="K2628" s="4"/>
    </row>
    <row r="2629" spans="3:11" x14ac:dyDescent="0.25">
      <c r="C2629" s="108"/>
      <c r="D2629" s="217"/>
      <c r="E2629" s="217"/>
      <c r="F2629" s="104"/>
      <c r="G2629" s="108"/>
      <c r="J2629" s="174"/>
      <c r="K2629" s="4"/>
    </row>
    <row r="2630" spans="3:11" x14ac:dyDescent="0.25">
      <c r="C2630" s="108"/>
      <c r="D2630" s="217"/>
      <c r="E2630" s="217"/>
      <c r="F2630" s="104"/>
      <c r="G2630" s="108"/>
      <c r="J2630" s="174"/>
      <c r="K2630" s="4"/>
    </row>
    <row r="2631" spans="3:11" x14ac:dyDescent="0.25">
      <c r="C2631" s="108"/>
      <c r="D2631" s="217"/>
      <c r="E2631" s="217"/>
      <c r="F2631" s="104"/>
      <c r="G2631" s="108"/>
      <c r="J2631" s="174"/>
      <c r="K2631" s="4"/>
    </row>
    <row r="2632" spans="3:11" x14ac:dyDescent="0.25">
      <c r="C2632" s="108"/>
      <c r="D2632" s="217"/>
      <c r="E2632" s="217"/>
      <c r="F2632" s="104"/>
      <c r="G2632" s="108"/>
      <c r="J2632" s="174"/>
      <c r="K2632" s="4"/>
    </row>
    <row r="2633" spans="3:11" x14ac:dyDescent="0.25">
      <c r="C2633" s="108"/>
      <c r="D2633" s="217"/>
      <c r="E2633" s="217"/>
      <c r="F2633" s="104"/>
      <c r="G2633" s="108"/>
      <c r="J2633" s="174"/>
      <c r="K2633" s="4"/>
    </row>
    <row r="2634" spans="3:11" x14ac:dyDescent="0.25">
      <c r="C2634" s="108"/>
      <c r="D2634" s="217"/>
      <c r="E2634" s="217"/>
      <c r="F2634" s="104"/>
      <c r="G2634" s="108"/>
      <c r="J2634" s="174"/>
      <c r="K2634" s="4"/>
    </row>
    <row r="2635" spans="3:11" x14ac:dyDescent="0.25">
      <c r="C2635" s="108"/>
      <c r="D2635" s="217"/>
      <c r="E2635" s="217"/>
      <c r="F2635" s="104"/>
      <c r="G2635" s="108"/>
      <c r="J2635" s="174"/>
      <c r="K2635" s="4"/>
    </row>
    <row r="2636" spans="3:11" x14ac:dyDescent="0.25">
      <c r="C2636" s="108"/>
      <c r="D2636" s="217"/>
      <c r="E2636" s="217"/>
      <c r="F2636" s="104"/>
      <c r="G2636" s="108"/>
      <c r="J2636" s="174"/>
      <c r="K2636" s="4"/>
    </row>
    <row r="2637" spans="3:11" x14ac:dyDescent="0.25">
      <c r="C2637" s="108"/>
      <c r="D2637" s="217"/>
      <c r="E2637" s="217"/>
      <c r="F2637" s="104"/>
      <c r="G2637" s="108"/>
      <c r="J2637" s="174"/>
      <c r="K2637" s="4"/>
    </row>
    <row r="2638" spans="3:11" x14ac:dyDescent="0.25">
      <c r="C2638" s="108"/>
      <c r="D2638" s="217"/>
      <c r="E2638" s="217"/>
      <c r="F2638" s="104"/>
      <c r="G2638" s="108"/>
      <c r="J2638" s="174"/>
      <c r="K2638" s="4"/>
    </row>
    <row r="2639" spans="3:11" x14ac:dyDescent="0.25">
      <c r="C2639" s="108"/>
      <c r="D2639" s="217"/>
      <c r="E2639" s="217"/>
      <c r="F2639" s="104"/>
      <c r="G2639" s="108"/>
      <c r="J2639" s="174"/>
      <c r="K2639" s="4"/>
    </row>
    <row r="2640" spans="3:11" x14ac:dyDescent="0.25">
      <c r="C2640" s="108"/>
      <c r="D2640" s="217"/>
      <c r="E2640" s="217"/>
      <c r="F2640" s="104"/>
      <c r="G2640" s="108"/>
      <c r="J2640" s="174"/>
      <c r="K2640" s="4"/>
    </row>
    <row r="2641" spans="3:11" x14ac:dyDescent="0.25">
      <c r="C2641" s="108"/>
      <c r="D2641" s="217"/>
      <c r="E2641" s="217"/>
      <c r="F2641" s="104"/>
      <c r="G2641" s="108"/>
      <c r="J2641" s="174"/>
      <c r="K2641" s="4"/>
    </row>
    <row r="2642" spans="3:11" x14ac:dyDescent="0.25">
      <c r="C2642" s="108"/>
      <c r="D2642" s="217"/>
      <c r="E2642" s="217"/>
      <c r="F2642" s="104"/>
      <c r="G2642" s="108"/>
      <c r="J2642" s="174"/>
      <c r="K2642" s="4"/>
    </row>
    <row r="2643" spans="3:11" x14ac:dyDescent="0.25">
      <c r="C2643" s="108"/>
      <c r="D2643" s="217"/>
      <c r="E2643" s="217"/>
      <c r="F2643" s="104"/>
      <c r="G2643" s="108"/>
      <c r="J2643" s="174"/>
      <c r="K2643" s="4"/>
    </row>
    <row r="2644" spans="3:11" x14ac:dyDescent="0.25">
      <c r="C2644" s="108"/>
      <c r="D2644" s="217"/>
      <c r="E2644" s="217"/>
      <c r="F2644" s="104"/>
      <c r="G2644" s="108"/>
      <c r="J2644" s="174"/>
      <c r="K2644" s="4"/>
    </row>
    <row r="2645" spans="3:11" x14ac:dyDescent="0.25">
      <c r="C2645" s="108"/>
      <c r="D2645" s="217"/>
      <c r="E2645" s="217"/>
      <c r="F2645" s="104"/>
      <c r="G2645" s="108"/>
      <c r="J2645" s="174"/>
      <c r="K2645" s="4"/>
    </row>
    <row r="2646" spans="3:11" x14ac:dyDescent="0.25">
      <c r="C2646" s="108"/>
      <c r="D2646" s="217"/>
      <c r="E2646" s="217"/>
      <c r="F2646" s="104"/>
      <c r="G2646" s="108"/>
      <c r="J2646" s="174"/>
      <c r="K2646" s="4"/>
    </row>
    <row r="2647" spans="3:11" x14ac:dyDescent="0.25">
      <c r="C2647" s="108"/>
      <c r="D2647" s="217"/>
      <c r="E2647" s="217"/>
      <c r="F2647" s="104"/>
      <c r="G2647" s="108"/>
      <c r="J2647" s="174"/>
      <c r="K2647" s="4"/>
    </row>
    <row r="2648" spans="3:11" x14ac:dyDescent="0.25">
      <c r="C2648" s="108"/>
      <c r="D2648" s="217"/>
      <c r="E2648" s="217"/>
      <c r="F2648" s="104"/>
      <c r="G2648" s="108"/>
      <c r="J2648" s="174"/>
      <c r="K2648" s="4"/>
    </row>
    <row r="2649" spans="3:11" x14ac:dyDescent="0.25">
      <c r="C2649" s="108"/>
      <c r="D2649" s="217"/>
      <c r="E2649" s="217"/>
      <c r="F2649" s="104"/>
      <c r="G2649" s="108"/>
      <c r="J2649" s="174"/>
      <c r="K2649" s="4"/>
    </row>
    <row r="2650" spans="3:11" x14ac:dyDescent="0.25">
      <c r="C2650" s="108"/>
      <c r="D2650" s="217"/>
      <c r="E2650" s="217"/>
      <c r="F2650" s="104"/>
      <c r="G2650" s="108"/>
      <c r="J2650" s="174"/>
      <c r="K2650" s="4"/>
    </row>
    <row r="2651" spans="3:11" x14ac:dyDescent="0.25">
      <c r="C2651" s="108"/>
      <c r="D2651" s="217"/>
      <c r="E2651" s="217"/>
      <c r="F2651" s="104"/>
      <c r="G2651" s="108"/>
      <c r="J2651" s="174"/>
      <c r="K2651" s="4"/>
    </row>
    <row r="2652" spans="3:11" x14ac:dyDescent="0.25">
      <c r="C2652" s="108"/>
      <c r="D2652" s="217"/>
      <c r="E2652" s="217"/>
      <c r="F2652" s="104"/>
      <c r="G2652" s="108"/>
      <c r="J2652" s="174"/>
      <c r="K2652" s="4"/>
    </row>
    <row r="2653" spans="3:11" x14ac:dyDescent="0.25">
      <c r="C2653" s="108"/>
      <c r="D2653" s="217"/>
      <c r="E2653" s="217"/>
      <c r="F2653" s="104"/>
      <c r="G2653" s="108"/>
      <c r="J2653" s="174"/>
      <c r="K2653" s="4"/>
    </row>
    <row r="2654" spans="3:11" x14ac:dyDescent="0.25">
      <c r="C2654" s="108"/>
      <c r="D2654" s="217"/>
      <c r="E2654" s="217"/>
      <c r="F2654" s="104"/>
      <c r="G2654" s="108"/>
      <c r="J2654" s="174"/>
      <c r="K2654" s="4"/>
    </row>
    <row r="2655" spans="3:11" x14ac:dyDescent="0.25">
      <c r="C2655" s="108"/>
      <c r="D2655" s="217"/>
      <c r="E2655" s="217"/>
      <c r="F2655" s="104"/>
      <c r="G2655" s="108"/>
      <c r="J2655" s="174"/>
      <c r="K2655" s="4"/>
    </row>
    <row r="2656" spans="3:11" x14ac:dyDescent="0.25">
      <c r="C2656" s="108"/>
      <c r="D2656" s="217"/>
      <c r="E2656" s="217"/>
      <c r="F2656" s="104"/>
      <c r="G2656" s="108"/>
      <c r="J2656" s="174"/>
      <c r="K2656" s="4"/>
    </row>
    <row r="2657" spans="3:11" x14ac:dyDescent="0.25">
      <c r="C2657" s="108"/>
      <c r="D2657" s="217"/>
      <c r="E2657" s="217"/>
      <c r="F2657" s="104"/>
      <c r="G2657" s="108"/>
      <c r="J2657" s="174"/>
      <c r="K2657" s="4"/>
    </row>
    <row r="2658" spans="3:11" x14ac:dyDescent="0.25">
      <c r="C2658" s="108"/>
      <c r="D2658" s="217"/>
      <c r="E2658" s="217"/>
      <c r="F2658" s="104"/>
      <c r="G2658" s="108"/>
      <c r="J2658" s="174"/>
      <c r="K2658" s="4"/>
    </row>
    <row r="2659" spans="3:11" x14ac:dyDescent="0.25">
      <c r="C2659" s="108"/>
      <c r="D2659" s="217"/>
      <c r="E2659" s="217"/>
      <c r="F2659" s="104"/>
      <c r="G2659" s="108"/>
      <c r="J2659" s="174"/>
      <c r="K2659" s="4"/>
    </row>
    <row r="2660" spans="3:11" x14ac:dyDescent="0.25">
      <c r="C2660" s="108"/>
      <c r="D2660" s="217"/>
      <c r="E2660" s="217"/>
      <c r="F2660" s="104"/>
      <c r="G2660" s="108"/>
      <c r="J2660" s="174"/>
      <c r="K2660" s="4"/>
    </row>
    <row r="2661" spans="3:11" x14ac:dyDescent="0.25">
      <c r="C2661" s="108"/>
      <c r="D2661" s="217"/>
      <c r="E2661" s="217"/>
      <c r="F2661" s="104"/>
      <c r="G2661" s="108"/>
      <c r="J2661" s="174"/>
      <c r="K2661" s="4"/>
    </row>
    <row r="2662" spans="3:11" x14ac:dyDescent="0.25">
      <c r="C2662" s="108"/>
      <c r="D2662" s="217"/>
      <c r="E2662" s="217"/>
      <c r="F2662" s="104"/>
      <c r="G2662" s="108"/>
      <c r="J2662" s="174"/>
      <c r="K2662" s="4"/>
    </row>
    <row r="2663" spans="3:11" x14ac:dyDescent="0.25">
      <c r="C2663" s="108"/>
      <c r="D2663" s="217"/>
      <c r="E2663" s="217"/>
      <c r="F2663" s="104"/>
      <c r="G2663" s="108"/>
      <c r="J2663" s="174"/>
      <c r="K2663" s="4"/>
    </row>
    <row r="2664" spans="3:11" x14ac:dyDescent="0.25">
      <c r="C2664" s="108"/>
      <c r="D2664" s="217"/>
      <c r="E2664" s="217"/>
      <c r="F2664" s="104"/>
      <c r="G2664" s="108"/>
      <c r="J2664" s="174"/>
      <c r="K2664" s="4"/>
    </row>
    <row r="2665" spans="3:11" x14ac:dyDescent="0.25">
      <c r="C2665" s="108"/>
      <c r="D2665" s="217"/>
      <c r="E2665" s="217"/>
      <c r="F2665" s="104"/>
      <c r="G2665" s="108"/>
      <c r="J2665" s="174"/>
      <c r="K2665" s="4"/>
    </row>
    <row r="2666" spans="3:11" x14ac:dyDescent="0.25">
      <c r="C2666" s="108"/>
      <c r="D2666" s="217"/>
      <c r="E2666" s="217"/>
      <c r="F2666" s="104"/>
      <c r="G2666" s="108"/>
      <c r="J2666" s="174"/>
      <c r="K2666" s="4"/>
    </row>
    <row r="2667" spans="3:11" x14ac:dyDescent="0.25">
      <c r="C2667" s="108"/>
      <c r="D2667" s="217"/>
      <c r="E2667" s="217"/>
      <c r="F2667" s="104"/>
      <c r="G2667" s="108"/>
      <c r="J2667" s="174"/>
      <c r="K2667" s="4"/>
    </row>
    <row r="2668" spans="3:11" x14ac:dyDescent="0.25">
      <c r="C2668" s="108"/>
      <c r="D2668" s="217"/>
      <c r="E2668" s="217"/>
      <c r="F2668" s="104"/>
      <c r="G2668" s="108"/>
      <c r="J2668" s="174"/>
      <c r="K2668" s="4"/>
    </row>
    <row r="2669" spans="3:11" x14ac:dyDescent="0.25">
      <c r="C2669" s="108"/>
      <c r="D2669" s="217"/>
      <c r="E2669" s="217"/>
      <c r="F2669" s="104"/>
      <c r="G2669" s="108"/>
      <c r="J2669" s="174"/>
      <c r="K2669" s="4"/>
    </row>
    <row r="2670" spans="3:11" x14ac:dyDescent="0.25">
      <c r="C2670" s="108"/>
      <c r="D2670" s="217"/>
      <c r="E2670" s="217"/>
      <c r="F2670" s="104"/>
      <c r="G2670" s="108"/>
      <c r="J2670" s="174"/>
      <c r="K2670" s="4"/>
    </row>
    <row r="2671" spans="3:11" x14ac:dyDescent="0.25">
      <c r="C2671" s="108"/>
      <c r="D2671" s="217"/>
      <c r="E2671" s="217"/>
      <c r="F2671" s="104"/>
      <c r="G2671" s="108"/>
      <c r="J2671" s="174"/>
      <c r="K2671" s="4"/>
    </row>
    <row r="2672" spans="3:11" x14ac:dyDescent="0.25">
      <c r="C2672" s="108"/>
      <c r="D2672" s="217"/>
      <c r="E2672" s="217"/>
      <c r="F2672" s="104"/>
      <c r="G2672" s="108"/>
      <c r="J2672" s="174"/>
      <c r="K2672" s="4"/>
    </row>
    <row r="2673" spans="3:11" x14ac:dyDescent="0.25">
      <c r="C2673" s="108"/>
      <c r="D2673" s="217"/>
      <c r="E2673" s="217"/>
      <c r="F2673" s="104"/>
      <c r="G2673" s="108"/>
      <c r="J2673" s="174"/>
      <c r="K2673" s="4"/>
    </row>
    <row r="2674" spans="3:11" x14ac:dyDescent="0.25">
      <c r="C2674" s="108"/>
      <c r="D2674" s="217"/>
      <c r="E2674" s="217"/>
      <c r="F2674" s="104"/>
      <c r="G2674" s="108"/>
      <c r="J2674" s="174"/>
      <c r="K2674" s="4"/>
    </row>
    <row r="2675" spans="3:11" x14ac:dyDescent="0.25">
      <c r="C2675" s="108"/>
      <c r="D2675" s="217"/>
      <c r="E2675" s="217"/>
      <c r="F2675" s="104"/>
      <c r="G2675" s="108"/>
      <c r="J2675" s="174"/>
      <c r="K2675" s="4"/>
    </row>
    <row r="2676" spans="3:11" x14ac:dyDescent="0.25">
      <c r="C2676" s="108"/>
      <c r="D2676" s="217"/>
      <c r="E2676" s="217"/>
      <c r="F2676" s="104"/>
      <c r="G2676" s="108"/>
      <c r="J2676" s="174"/>
      <c r="K2676" s="4"/>
    </row>
    <row r="2677" spans="3:11" x14ac:dyDescent="0.25">
      <c r="C2677" s="108"/>
      <c r="D2677" s="217"/>
      <c r="E2677" s="217"/>
      <c r="F2677" s="104"/>
      <c r="G2677" s="108"/>
      <c r="J2677" s="174"/>
      <c r="K2677" s="4"/>
    </row>
    <row r="2678" spans="3:11" x14ac:dyDescent="0.25">
      <c r="C2678" s="108"/>
      <c r="D2678" s="217"/>
      <c r="E2678" s="217"/>
      <c r="F2678" s="104"/>
      <c r="G2678" s="108"/>
      <c r="J2678" s="174"/>
      <c r="K2678" s="4"/>
    </row>
    <row r="2679" spans="3:11" x14ac:dyDescent="0.25">
      <c r="C2679" s="108"/>
      <c r="D2679" s="217"/>
      <c r="E2679" s="217"/>
      <c r="F2679" s="104"/>
      <c r="G2679" s="108"/>
      <c r="J2679" s="174"/>
      <c r="K2679" s="4"/>
    </row>
    <row r="2680" spans="3:11" x14ac:dyDescent="0.25">
      <c r="C2680" s="108"/>
      <c r="D2680" s="217"/>
      <c r="E2680" s="217"/>
      <c r="F2680" s="104"/>
      <c r="G2680" s="108"/>
      <c r="J2680" s="174"/>
      <c r="K2680" s="4"/>
    </row>
    <row r="2681" spans="3:11" x14ac:dyDescent="0.25">
      <c r="C2681" s="108"/>
      <c r="D2681" s="217"/>
      <c r="E2681" s="217"/>
      <c r="F2681" s="104"/>
      <c r="G2681" s="108"/>
      <c r="J2681" s="174"/>
      <c r="K2681" s="4"/>
    </row>
    <row r="2682" spans="3:11" x14ac:dyDescent="0.25">
      <c r="C2682" s="108"/>
      <c r="D2682" s="217"/>
      <c r="E2682" s="217"/>
      <c r="F2682" s="104"/>
      <c r="G2682" s="108"/>
      <c r="J2682" s="174"/>
      <c r="K2682" s="4"/>
    </row>
    <row r="2683" spans="3:11" x14ac:dyDescent="0.25">
      <c r="C2683" s="108"/>
      <c r="D2683" s="217"/>
      <c r="E2683" s="217"/>
      <c r="F2683" s="104"/>
      <c r="G2683" s="108"/>
      <c r="J2683" s="174"/>
      <c r="K2683" s="4"/>
    </row>
    <row r="2684" spans="3:11" x14ac:dyDescent="0.25">
      <c r="C2684" s="108"/>
      <c r="D2684" s="217"/>
      <c r="E2684" s="217"/>
      <c r="F2684" s="104"/>
      <c r="G2684" s="108"/>
      <c r="J2684" s="174"/>
      <c r="K2684" s="4"/>
    </row>
    <row r="2685" spans="3:11" x14ac:dyDescent="0.25">
      <c r="C2685" s="108"/>
      <c r="D2685" s="217"/>
      <c r="E2685" s="217"/>
      <c r="F2685" s="104"/>
      <c r="G2685" s="108"/>
      <c r="J2685" s="174"/>
      <c r="K2685" s="4"/>
    </row>
    <row r="2686" spans="3:11" x14ac:dyDescent="0.25">
      <c r="C2686" s="108"/>
      <c r="D2686" s="217"/>
      <c r="E2686" s="217"/>
      <c r="F2686" s="104"/>
      <c r="G2686" s="108"/>
      <c r="J2686" s="174"/>
      <c r="K2686" s="4"/>
    </row>
    <row r="2687" spans="3:11" x14ac:dyDescent="0.25">
      <c r="C2687" s="108"/>
      <c r="D2687" s="217"/>
      <c r="E2687" s="217"/>
      <c r="F2687" s="104"/>
      <c r="G2687" s="108"/>
      <c r="J2687" s="174"/>
      <c r="K2687" s="4"/>
    </row>
    <row r="2688" spans="3:11" x14ac:dyDescent="0.25">
      <c r="C2688" s="108"/>
      <c r="D2688" s="217"/>
      <c r="E2688" s="217"/>
      <c r="F2688" s="104"/>
      <c r="G2688" s="108"/>
      <c r="J2688" s="174"/>
      <c r="K2688" s="4"/>
    </row>
    <row r="2689" spans="3:11" x14ac:dyDescent="0.25">
      <c r="C2689" s="108"/>
      <c r="D2689" s="217"/>
      <c r="E2689" s="217"/>
      <c r="F2689" s="104"/>
      <c r="G2689" s="108"/>
      <c r="J2689" s="174"/>
      <c r="K2689" s="4"/>
    </row>
    <row r="2690" spans="3:11" x14ac:dyDescent="0.25">
      <c r="C2690" s="108"/>
      <c r="D2690" s="217"/>
      <c r="E2690" s="217"/>
      <c r="F2690" s="104"/>
      <c r="G2690" s="108"/>
      <c r="J2690" s="174"/>
      <c r="K2690" s="4"/>
    </row>
    <row r="2691" spans="3:11" x14ac:dyDescent="0.25">
      <c r="C2691" s="108"/>
      <c r="D2691" s="217"/>
      <c r="E2691" s="217"/>
      <c r="F2691" s="104"/>
      <c r="G2691" s="108"/>
      <c r="J2691" s="174"/>
      <c r="K2691" s="4"/>
    </row>
    <row r="2692" spans="3:11" x14ac:dyDescent="0.25">
      <c r="C2692" s="108"/>
      <c r="D2692" s="217"/>
      <c r="E2692" s="217"/>
      <c r="F2692" s="104"/>
      <c r="G2692" s="108"/>
      <c r="J2692" s="174"/>
      <c r="K2692" s="4"/>
    </row>
    <row r="2693" spans="3:11" x14ac:dyDescent="0.25">
      <c r="C2693" s="108"/>
      <c r="D2693" s="217"/>
      <c r="E2693" s="217"/>
      <c r="F2693" s="104"/>
      <c r="G2693" s="108"/>
      <c r="J2693" s="174"/>
      <c r="K2693" s="4"/>
    </row>
    <row r="2694" spans="3:11" x14ac:dyDescent="0.25">
      <c r="C2694" s="108"/>
      <c r="D2694" s="217"/>
      <c r="E2694" s="217"/>
      <c r="F2694" s="104"/>
      <c r="G2694" s="108"/>
      <c r="J2694" s="174"/>
      <c r="K2694" s="4"/>
    </row>
    <row r="2695" spans="3:11" x14ac:dyDescent="0.25">
      <c r="C2695" s="108"/>
      <c r="D2695" s="217"/>
      <c r="E2695" s="217"/>
      <c r="F2695" s="104"/>
      <c r="G2695" s="108"/>
      <c r="J2695" s="174"/>
      <c r="K2695" s="4"/>
    </row>
    <row r="2696" spans="3:11" x14ac:dyDescent="0.25">
      <c r="C2696" s="108"/>
      <c r="D2696" s="217"/>
      <c r="E2696" s="217"/>
      <c r="F2696" s="104"/>
      <c r="G2696" s="108"/>
      <c r="J2696" s="174"/>
      <c r="K2696" s="4"/>
    </row>
    <row r="2697" spans="3:11" x14ac:dyDescent="0.25">
      <c r="C2697" s="108"/>
      <c r="D2697" s="217"/>
      <c r="E2697" s="217"/>
      <c r="F2697" s="104"/>
      <c r="G2697" s="108"/>
      <c r="J2697" s="174"/>
      <c r="K2697" s="4"/>
    </row>
    <row r="2698" spans="3:11" x14ac:dyDescent="0.25">
      <c r="C2698" s="108"/>
      <c r="D2698" s="217"/>
      <c r="E2698" s="217"/>
      <c r="F2698" s="104"/>
      <c r="G2698" s="108"/>
      <c r="J2698" s="174"/>
      <c r="K2698" s="4"/>
    </row>
    <row r="2699" spans="3:11" x14ac:dyDescent="0.25">
      <c r="C2699" s="108"/>
      <c r="D2699" s="217"/>
      <c r="E2699" s="217"/>
      <c r="F2699" s="104"/>
      <c r="G2699" s="108"/>
      <c r="J2699" s="174"/>
      <c r="K2699" s="4"/>
    </row>
    <row r="2700" spans="3:11" x14ac:dyDescent="0.25">
      <c r="C2700" s="108"/>
      <c r="D2700" s="217"/>
      <c r="E2700" s="217"/>
      <c r="F2700" s="104"/>
      <c r="G2700" s="108"/>
      <c r="J2700" s="174"/>
      <c r="K2700" s="4"/>
    </row>
    <row r="2701" spans="3:11" x14ac:dyDescent="0.25">
      <c r="C2701" s="108"/>
      <c r="D2701" s="217"/>
      <c r="E2701" s="217"/>
      <c r="F2701" s="104"/>
      <c r="G2701" s="108"/>
      <c r="J2701" s="174"/>
      <c r="K2701" s="4"/>
    </row>
    <row r="2702" spans="3:11" x14ac:dyDescent="0.25">
      <c r="C2702" s="108"/>
      <c r="D2702" s="217"/>
      <c r="E2702" s="217"/>
      <c r="F2702" s="104"/>
      <c r="G2702" s="108"/>
      <c r="J2702" s="174"/>
      <c r="K2702" s="4"/>
    </row>
    <row r="2703" spans="3:11" x14ac:dyDescent="0.25">
      <c r="C2703" s="108"/>
      <c r="D2703" s="217"/>
      <c r="E2703" s="217"/>
      <c r="F2703" s="104"/>
      <c r="G2703" s="108"/>
      <c r="J2703" s="174"/>
      <c r="K2703" s="4"/>
    </row>
    <row r="2704" spans="3:11" x14ac:dyDescent="0.25">
      <c r="C2704" s="108"/>
      <c r="D2704" s="217"/>
      <c r="E2704" s="217"/>
      <c r="F2704" s="104"/>
      <c r="G2704" s="108"/>
      <c r="J2704" s="174"/>
      <c r="K2704" s="4"/>
    </row>
    <row r="2705" spans="3:11" x14ac:dyDescent="0.25">
      <c r="C2705" s="108"/>
      <c r="D2705" s="217"/>
      <c r="E2705" s="217"/>
      <c r="F2705" s="104"/>
      <c r="G2705" s="108"/>
      <c r="J2705" s="174"/>
      <c r="K2705" s="4"/>
    </row>
    <row r="2706" spans="3:11" x14ac:dyDescent="0.25">
      <c r="C2706" s="108"/>
      <c r="D2706" s="217"/>
      <c r="E2706" s="217"/>
      <c r="F2706" s="104"/>
      <c r="G2706" s="108"/>
      <c r="J2706" s="174"/>
      <c r="K2706" s="4"/>
    </row>
    <row r="2707" spans="3:11" x14ac:dyDescent="0.25">
      <c r="C2707" s="108"/>
      <c r="D2707" s="217"/>
      <c r="E2707" s="217"/>
      <c r="F2707" s="104"/>
      <c r="G2707" s="108"/>
      <c r="J2707" s="174"/>
      <c r="K2707" s="4"/>
    </row>
    <row r="2708" spans="3:11" x14ac:dyDescent="0.25">
      <c r="C2708" s="108"/>
      <c r="D2708" s="217"/>
      <c r="E2708" s="217"/>
      <c r="F2708" s="104"/>
      <c r="G2708" s="108"/>
      <c r="J2708" s="174"/>
      <c r="K2708" s="4"/>
    </row>
    <row r="2709" spans="3:11" x14ac:dyDescent="0.25">
      <c r="C2709" s="108"/>
      <c r="D2709" s="217"/>
      <c r="E2709" s="217"/>
      <c r="F2709" s="104"/>
      <c r="G2709" s="108"/>
      <c r="J2709" s="174"/>
      <c r="K2709" s="4"/>
    </row>
    <row r="2710" spans="3:11" x14ac:dyDescent="0.25">
      <c r="C2710" s="108"/>
      <c r="D2710" s="217"/>
      <c r="E2710" s="217"/>
      <c r="F2710" s="104"/>
      <c r="G2710" s="108"/>
      <c r="J2710" s="174"/>
      <c r="K2710" s="4"/>
    </row>
    <row r="2711" spans="3:11" x14ac:dyDescent="0.25">
      <c r="C2711" s="108"/>
      <c r="D2711" s="217"/>
      <c r="E2711" s="217"/>
      <c r="F2711" s="104"/>
      <c r="G2711" s="108"/>
      <c r="J2711" s="174"/>
      <c r="K2711" s="4"/>
    </row>
    <row r="2712" spans="3:11" x14ac:dyDescent="0.25">
      <c r="C2712" s="108"/>
      <c r="D2712" s="217"/>
      <c r="E2712" s="217"/>
      <c r="F2712" s="104"/>
      <c r="G2712" s="108"/>
      <c r="J2712" s="174"/>
      <c r="K2712" s="4"/>
    </row>
    <row r="2713" spans="3:11" x14ac:dyDescent="0.25">
      <c r="C2713" s="108"/>
      <c r="D2713" s="217"/>
      <c r="E2713" s="217"/>
      <c r="F2713" s="104"/>
      <c r="G2713" s="108"/>
      <c r="J2713" s="174"/>
      <c r="K2713" s="4"/>
    </row>
    <row r="2714" spans="3:11" x14ac:dyDescent="0.25">
      <c r="C2714" s="108"/>
      <c r="D2714" s="217"/>
      <c r="E2714" s="217"/>
      <c r="F2714" s="104"/>
      <c r="G2714" s="108"/>
      <c r="J2714" s="174"/>
      <c r="K2714" s="4"/>
    </row>
    <row r="2715" spans="3:11" x14ac:dyDescent="0.25">
      <c r="C2715" s="108"/>
      <c r="D2715" s="217"/>
      <c r="E2715" s="217"/>
      <c r="F2715" s="104"/>
      <c r="G2715" s="108"/>
      <c r="J2715" s="174"/>
      <c r="K2715" s="4"/>
    </row>
    <row r="2716" spans="3:11" x14ac:dyDescent="0.25">
      <c r="C2716" s="108"/>
      <c r="D2716" s="217"/>
      <c r="E2716" s="217"/>
      <c r="F2716" s="104"/>
      <c r="G2716" s="108"/>
      <c r="J2716" s="174"/>
      <c r="K2716" s="4"/>
    </row>
    <row r="2717" spans="3:11" x14ac:dyDescent="0.25">
      <c r="C2717" s="108"/>
      <c r="D2717" s="217"/>
      <c r="E2717" s="217"/>
      <c r="F2717" s="104"/>
      <c r="G2717" s="108"/>
      <c r="J2717" s="174"/>
      <c r="K2717" s="4"/>
    </row>
    <row r="2718" spans="3:11" x14ac:dyDescent="0.25">
      <c r="C2718" s="108"/>
      <c r="D2718" s="217"/>
      <c r="E2718" s="217"/>
      <c r="F2718" s="104"/>
      <c r="G2718" s="108"/>
      <c r="J2718" s="174"/>
      <c r="K2718" s="4"/>
    </row>
    <row r="2719" spans="3:11" x14ac:dyDescent="0.25">
      <c r="C2719" s="108"/>
      <c r="D2719" s="217"/>
      <c r="E2719" s="217"/>
      <c r="F2719" s="104"/>
      <c r="G2719" s="108"/>
      <c r="J2719" s="174"/>
      <c r="K2719" s="4"/>
    </row>
    <row r="2720" spans="3:11" x14ac:dyDescent="0.25">
      <c r="C2720" s="108"/>
      <c r="D2720" s="217"/>
      <c r="E2720" s="217"/>
      <c r="F2720" s="104"/>
      <c r="G2720" s="108"/>
      <c r="J2720" s="174"/>
      <c r="K2720" s="4"/>
    </row>
    <row r="2721" spans="3:11" x14ac:dyDescent="0.25">
      <c r="C2721" s="108"/>
      <c r="D2721" s="217"/>
      <c r="E2721" s="217"/>
      <c r="F2721" s="104"/>
      <c r="G2721" s="108"/>
      <c r="J2721" s="174"/>
      <c r="K2721" s="4"/>
    </row>
    <row r="2722" spans="3:11" x14ac:dyDescent="0.25">
      <c r="C2722" s="108"/>
      <c r="D2722" s="217"/>
      <c r="E2722" s="217"/>
      <c r="F2722" s="104"/>
      <c r="G2722" s="108"/>
      <c r="J2722" s="174"/>
      <c r="K2722" s="4"/>
    </row>
    <row r="2723" spans="3:11" x14ac:dyDescent="0.25">
      <c r="C2723" s="108"/>
      <c r="D2723" s="217"/>
      <c r="E2723" s="217"/>
      <c r="F2723" s="104"/>
      <c r="G2723" s="108"/>
      <c r="J2723" s="174"/>
      <c r="K2723" s="4"/>
    </row>
    <row r="2724" spans="3:11" x14ac:dyDescent="0.25">
      <c r="C2724" s="108"/>
      <c r="D2724" s="217"/>
      <c r="E2724" s="217"/>
      <c r="F2724" s="104"/>
      <c r="G2724" s="108"/>
      <c r="J2724" s="174"/>
      <c r="K2724" s="4"/>
    </row>
    <row r="2725" spans="3:11" x14ac:dyDescent="0.25">
      <c r="C2725" s="108"/>
      <c r="D2725" s="217"/>
      <c r="E2725" s="217"/>
      <c r="F2725" s="104"/>
      <c r="G2725" s="108"/>
      <c r="J2725" s="174"/>
      <c r="K2725" s="4"/>
    </row>
    <row r="2726" spans="3:11" x14ac:dyDescent="0.25">
      <c r="C2726" s="108"/>
      <c r="D2726" s="217"/>
      <c r="E2726" s="217"/>
      <c r="F2726" s="104"/>
      <c r="G2726" s="108"/>
      <c r="J2726" s="174"/>
      <c r="K2726" s="4"/>
    </row>
    <row r="2727" spans="3:11" x14ac:dyDescent="0.25">
      <c r="C2727" s="108"/>
      <c r="D2727" s="217"/>
      <c r="E2727" s="217"/>
      <c r="F2727" s="104"/>
      <c r="G2727" s="108"/>
      <c r="J2727" s="174"/>
      <c r="K2727" s="4"/>
    </row>
    <row r="2728" spans="3:11" x14ac:dyDescent="0.25">
      <c r="C2728" s="108"/>
      <c r="D2728" s="217"/>
      <c r="E2728" s="217"/>
      <c r="F2728" s="104"/>
      <c r="G2728" s="108"/>
      <c r="J2728" s="174"/>
      <c r="K2728" s="4"/>
    </row>
    <row r="2729" spans="3:11" x14ac:dyDescent="0.25">
      <c r="C2729" s="108"/>
      <c r="D2729" s="217"/>
      <c r="E2729" s="217"/>
      <c r="F2729" s="104"/>
      <c r="G2729" s="108"/>
      <c r="J2729" s="174"/>
      <c r="K2729" s="4"/>
    </row>
    <row r="2730" spans="3:11" x14ac:dyDescent="0.25">
      <c r="C2730" s="108"/>
      <c r="D2730" s="217"/>
      <c r="E2730" s="217"/>
      <c r="F2730" s="104"/>
      <c r="G2730" s="108"/>
      <c r="J2730" s="174"/>
      <c r="K2730" s="4"/>
    </row>
    <row r="2731" spans="3:11" x14ac:dyDescent="0.25">
      <c r="C2731" s="108"/>
      <c r="D2731" s="217"/>
      <c r="E2731" s="217"/>
      <c r="F2731" s="104"/>
      <c r="G2731" s="108"/>
      <c r="J2731" s="174"/>
      <c r="K2731" s="4"/>
    </row>
    <row r="2732" spans="3:11" x14ac:dyDescent="0.25">
      <c r="C2732" s="108"/>
      <c r="D2732" s="217"/>
      <c r="E2732" s="217"/>
      <c r="F2732" s="104"/>
      <c r="G2732" s="108"/>
      <c r="J2732" s="174"/>
      <c r="K2732" s="4"/>
    </row>
    <row r="2733" spans="3:11" x14ac:dyDescent="0.25">
      <c r="C2733" s="108"/>
      <c r="D2733" s="217"/>
      <c r="E2733" s="217"/>
      <c r="F2733" s="104"/>
      <c r="G2733" s="108"/>
      <c r="J2733" s="174"/>
      <c r="K2733" s="4"/>
    </row>
    <row r="2734" spans="3:11" x14ac:dyDescent="0.25">
      <c r="C2734" s="108"/>
      <c r="D2734" s="217"/>
      <c r="E2734" s="217"/>
      <c r="F2734" s="104"/>
      <c r="G2734" s="108"/>
      <c r="J2734" s="174"/>
      <c r="K2734" s="4"/>
    </row>
    <row r="2735" spans="3:11" x14ac:dyDescent="0.25">
      <c r="C2735" s="108"/>
      <c r="D2735" s="217"/>
      <c r="E2735" s="217"/>
      <c r="F2735" s="104"/>
      <c r="G2735" s="108"/>
      <c r="J2735" s="174"/>
      <c r="K2735" s="4"/>
    </row>
    <row r="2736" spans="3:11" x14ac:dyDescent="0.25">
      <c r="C2736" s="108"/>
      <c r="D2736" s="217"/>
      <c r="E2736" s="217"/>
      <c r="F2736" s="104"/>
      <c r="G2736" s="108"/>
      <c r="J2736" s="174"/>
      <c r="K2736" s="4"/>
    </row>
    <row r="2737" spans="3:11" x14ac:dyDescent="0.25">
      <c r="C2737" s="108"/>
      <c r="D2737" s="217"/>
      <c r="E2737" s="217"/>
      <c r="F2737" s="104"/>
      <c r="G2737" s="108"/>
      <c r="J2737" s="174"/>
      <c r="K2737" s="4"/>
    </row>
    <row r="2738" spans="3:11" x14ac:dyDescent="0.25">
      <c r="C2738" s="108"/>
      <c r="D2738" s="217"/>
      <c r="E2738" s="217"/>
      <c r="F2738" s="104"/>
      <c r="G2738" s="108"/>
      <c r="J2738" s="174"/>
      <c r="K2738" s="4"/>
    </row>
    <row r="2739" spans="3:11" x14ac:dyDescent="0.25">
      <c r="C2739" s="108"/>
      <c r="D2739" s="217"/>
      <c r="E2739" s="217"/>
      <c r="F2739" s="104"/>
      <c r="G2739" s="108"/>
      <c r="J2739" s="174"/>
      <c r="K2739" s="4"/>
    </row>
    <row r="2740" spans="3:11" x14ac:dyDescent="0.25">
      <c r="C2740" s="108"/>
      <c r="D2740" s="217"/>
      <c r="E2740" s="217"/>
      <c r="F2740" s="104"/>
      <c r="G2740" s="108"/>
      <c r="J2740" s="174"/>
      <c r="K2740" s="4"/>
    </row>
    <row r="2741" spans="3:11" x14ac:dyDescent="0.25">
      <c r="C2741" s="108"/>
      <c r="D2741" s="217"/>
      <c r="E2741" s="217"/>
      <c r="F2741" s="104"/>
      <c r="G2741" s="108"/>
      <c r="J2741" s="174"/>
      <c r="K2741" s="4"/>
    </row>
    <row r="2742" spans="3:11" x14ac:dyDescent="0.25">
      <c r="C2742" s="108"/>
      <c r="D2742" s="217"/>
      <c r="E2742" s="217"/>
      <c r="F2742" s="104"/>
      <c r="G2742" s="108"/>
      <c r="J2742" s="174"/>
      <c r="K2742" s="4"/>
    </row>
    <row r="2743" spans="3:11" x14ac:dyDescent="0.25">
      <c r="C2743" s="108"/>
      <c r="D2743" s="217"/>
      <c r="E2743" s="217"/>
      <c r="F2743" s="104"/>
      <c r="G2743" s="108"/>
      <c r="J2743" s="174"/>
      <c r="K2743" s="4"/>
    </row>
    <row r="2744" spans="3:11" x14ac:dyDescent="0.25">
      <c r="C2744" s="108"/>
      <c r="D2744" s="217"/>
      <c r="E2744" s="217"/>
      <c r="F2744" s="104"/>
      <c r="G2744" s="108"/>
      <c r="J2744" s="174"/>
      <c r="K2744" s="4"/>
    </row>
    <row r="2745" spans="3:11" x14ac:dyDescent="0.25">
      <c r="C2745" s="108"/>
      <c r="D2745" s="217"/>
      <c r="E2745" s="217"/>
      <c r="F2745" s="104"/>
      <c r="G2745" s="108"/>
      <c r="J2745" s="174"/>
      <c r="K2745" s="4"/>
    </row>
    <row r="2746" spans="3:11" x14ac:dyDescent="0.25">
      <c r="C2746" s="108"/>
      <c r="D2746" s="217"/>
      <c r="E2746" s="217"/>
      <c r="F2746" s="104"/>
      <c r="G2746" s="108"/>
      <c r="J2746" s="174"/>
      <c r="K2746" s="4"/>
    </row>
    <row r="2747" spans="3:11" x14ac:dyDescent="0.25">
      <c r="C2747" s="108"/>
      <c r="D2747" s="217"/>
      <c r="E2747" s="217"/>
      <c r="F2747" s="104"/>
      <c r="G2747" s="108"/>
      <c r="J2747" s="174"/>
      <c r="K2747" s="4"/>
    </row>
    <row r="2748" spans="3:11" x14ac:dyDescent="0.25">
      <c r="C2748" s="108"/>
      <c r="D2748" s="217"/>
      <c r="E2748" s="217"/>
      <c r="F2748" s="104"/>
      <c r="G2748" s="108"/>
      <c r="J2748" s="174"/>
      <c r="K2748" s="4"/>
    </row>
    <row r="2749" spans="3:11" x14ac:dyDescent="0.25">
      <c r="C2749" s="108"/>
      <c r="D2749" s="217"/>
      <c r="E2749" s="217"/>
      <c r="F2749" s="104"/>
      <c r="G2749" s="108"/>
      <c r="J2749" s="174"/>
      <c r="K2749" s="4"/>
    </row>
    <row r="2750" spans="3:11" x14ac:dyDescent="0.25">
      <c r="C2750" s="108"/>
      <c r="D2750" s="217"/>
      <c r="E2750" s="217"/>
      <c r="F2750" s="104"/>
      <c r="G2750" s="108"/>
      <c r="J2750" s="174"/>
      <c r="K2750" s="4"/>
    </row>
    <row r="2751" spans="3:11" x14ac:dyDescent="0.25">
      <c r="C2751" s="108"/>
      <c r="D2751" s="217"/>
      <c r="E2751" s="217"/>
      <c r="F2751" s="104"/>
      <c r="G2751" s="108"/>
      <c r="J2751" s="174"/>
      <c r="K2751" s="4"/>
    </row>
    <row r="2752" spans="3:11" x14ac:dyDescent="0.25">
      <c r="C2752" s="108"/>
      <c r="D2752" s="217"/>
      <c r="E2752" s="217"/>
      <c r="F2752" s="104"/>
      <c r="G2752" s="108"/>
      <c r="J2752" s="174"/>
      <c r="K2752" s="4"/>
    </row>
    <row r="2753" spans="3:11" x14ac:dyDescent="0.25">
      <c r="C2753" s="108"/>
      <c r="D2753" s="217"/>
      <c r="E2753" s="217"/>
      <c r="F2753" s="104"/>
      <c r="G2753" s="108"/>
      <c r="J2753" s="174"/>
      <c r="K2753" s="4"/>
    </row>
    <row r="2754" spans="3:11" x14ac:dyDescent="0.25">
      <c r="C2754" s="108"/>
      <c r="D2754" s="217"/>
      <c r="E2754" s="217"/>
      <c r="F2754" s="104"/>
      <c r="G2754" s="108"/>
      <c r="J2754" s="174"/>
      <c r="K2754" s="4"/>
    </row>
    <row r="2755" spans="3:11" x14ac:dyDescent="0.25">
      <c r="C2755" s="108"/>
      <c r="D2755" s="217"/>
      <c r="E2755" s="217"/>
      <c r="F2755" s="104"/>
      <c r="G2755" s="108"/>
      <c r="J2755" s="174"/>
      <c r="K2755" s="4"/>
    </row>
    <row r="2756" spans="3:11" x14ac:dyDescent="0.25">
      <c r="C2756" s="108"/>
      <c r="D2756" s="217"/>
      <c r="E2756" s="217"/>
      <c r="F2756" s="104"/>
      <c r="G2756" s="108"/>
      <c r="J2756" s="174"/>
      <c r="K2756" s="4"/>
    </row>
    <row r="2757" spans="3:11" x14ac:dyDescent="0.25">
      <c r="C2757" s="108"/>
      <c r="D2757" s="217"/>
      <c r="E2757" s="217"/>
      <c r="F2757" s="104"/>
      <c r="G2757" s="108"/>
      <c r="J2757" s="174"/>
      <c r="K2757" s="4"/>
    </row>
    <row r="2758" spans="3:11" x14ac:dyDescent="0.25">
      <c r="C2758" s="108"/>
      <c r="D2758" s="217"/>
      <c r="E2758" s="217"/>
      <c r="F2758" s="104"/>
      <c r="G2758" s="108"/>
      <c r="J2758" s="174"/>
      <c r="K2758" s="4"/>
    </row>
    <row r="2759" spans="3:11" x14ac:dyDescent="0.25">
      <c r="C2759" s="108"/>
      <c r="D2759" s="217"/>
      <c r="E2759" s="217"/>
      <c r="F2759" s="104"/>
      <c r="G2759" s="108"/>
      <c r="J2759" s="174"/>
      <c r="K2759" s="4"/>
    </row>
    <row r="2760" spans="3:11" x14ac:dyDescent="0.25">
      <c r="C2760" s="108"/>
      <c r="D2760" s="217"/>
      <c r="E2760" s="217"/>
      <c r="F2760" s="104"/>
      <c r="G2760" s="108"/>
      <c r="J2760" s="174"/>
      <c r="K2760" s="4"/>
    </row>
    <row r="2761" spans="3:11" x14ac:dyDescent="0.25">
      <c r="C2761" s="108"/>
      <c r="D2761" s="217"/>
      <c r="E2761" s="217"/>
      <c r="F2761" s="104"/>
      <c r="G2761" s="108"/>
      <c r="J2761" s="174"/>
      <c r="K2761" s="4"/>
    </row>
    <row r="2762" spans="3:11" x14ac:dyDescent="0.25">
      <c r="C2762" s="108"/>
      <c r="D2762" s="217"/>
      <c r="E2762" s="217"/>
      <c r="F2762" s="104"/>
      <c r="G2762" s="108"/>
      <c r="J2762" s="174"/>
      <c r="K2762" s="4"/>
    </row>
    <row r="2763" spans="3:11" x14ac:dyDescent="0.25">
      <c r="C2763" s="108"/>
      <c r="D2763" s="217"/>
      <c r="E2763" s="217"/>
      <c r="F2763" s="104"/>
      <c r="G2763" s="108"/>
      <c r="J2763" s="174"/>
      <c r="K2763" s="4"/>
    </row>
    <row r="2764" spans="3:11" x14ac:dyDescent="0.25">
      <c r="C2764" s="108"/>
      <c r="D2764" s="217"/>
      <c r="E2764" s="217"/>
      <c r="F2764" s="104"/>
      <c r="G2764" s="108"/>
      <c r="J2764" s="174"/>
      <c r="K2764" s="4"/>
    </row>
    <row r="2765" spans="3:11" x14ac:dyDescent="0.25">
      <c r="C2765" s="108"/>
      <c r="D2765" s="217"/>
      <c r="E2765" s="217"/>
      <c r="F2765" s="104"/>
      <c r="G2765" s="108"/>
      <c r="J2765" s="174"/>
      <c r="K2765" s="4"/>
    </row>
    <row r="2766" spans="3:11" x14ac:dyDescent="0.25">
      <c r="C2766" s="108"/>
      <c r="D2766" s="217"/>
      <c r="E2766" s="217"/>
      <c r="F2766" s="104"/>
      <c r="G2766" s="108"/>
      <c r="J2766" s="174"/>
      <c r="K2766" s="4"/>
    </row>
    <row r="2767" spans="3:11" x14ac:dyDescent="0.25">
      <c r="C2767" s="108"/>
      <c r="D2767" s="217"/>
      <c r="E2767" s="217"/>
      <c r="F2767" s="104"/>
      <c r="G2767" s="108"/>
      <c r="J2767" s="174"/>
      <c r="K2767" s="4"/>
    </row>
    <row r="2768" spans="3:11" x14ac:dyDescent="0.25">
      <c r="C2768" s="108"/>
      <c r="D2768" s="217"/>
      <c r="E2768" s="217"/>
      <c r="F2768" s="104"/>
      <c r="G2768" s="108"/>
      <c r="J2768" s="174"/>
      <c r="K2768" s="4"/>
    </row>
    <row r="2769" spans="3:11" x14ac:dyDescent="0.25">
      <c r="C2769" s="108"/>
      <c r="D2769" s="217"/>
      <c r="E2769" s="217"/>
      <c r="F2769" s="104"/>
      <c r="G2769" s="108"/>
      <c r="J2769" s="174"/>
      <c r="K2769" s="4"/>
    </row>
    <row r="2770" spans="3:11" x14ac:dyDescent="0.25">
      <c r="C2770" s="108"/>
      <c r="D2770" s="217"/>
      <c r="E2770" s="217"/>
      <c r="F2770" s="104"/>
      <c r="G2770" s="108"/>
      <c r="J2770" s="174"/>
      <c r="K2770" s="4"/>
    </row>
    <row r="2771" spans="3:11" x14ac:dyDescent="0.25">
      <c r="C2771" s="108"/>
      <c r="D2771" s="217"/>
      <c r="E2771" s="217"/>
      <c r="F2771" s="104"/>
      <c r="G2771" s="108"/>
      <c r="J2771" s="174"/>
      <c r="K2771" s="4"/>
    </row>
    <row r="2772" spans="3:11" x14ac:dyDescent="0.25">
      <c r="C2772" s="108"/>
      <c r="D2772" s="217"/>
      <c r="E2772" s="217"/>
      <c r="F2772" s="104"/>
      <c r="G2772" s="108"/>
      <c r="J2772" s="174"/>
      <c r="K2772" s="4"/>
    </row>
    <row r="2773" spans="3:11" x14ac:dyDescent="0.25">
      <c r="C2773" s="108"/>
      <c r="D2773" s="217"/>
      <c r="E2773" s="217"/>
      <c r="F2773" s="104"/>
      <c r="G2773" s="108"/>
      <c r="J2773" s="174"/>
      <c r="K2773" s="4"/>
    </row>
    <row r="2774" spans="3:11" x14ac:dyDescent="0.25">
      <c r="C2774" s="108"/>
      <c r="D2774" s="217"/>
      <c r="E2774" s="217"/>
      <c r="F2774" s="104"/>
      <c r="G2774" s="108"/>
      <c r="J2774" s="174"/>
      <c r="K2774" s="4"/>
    </row>
    <row r="2775" spans="3:11" x14ac:dyDescent="0.25">
      <c r="C2775" s="108"/>
      <c r="D2775" s="217"/>
      <c r="E2775" s="217"/>
      <c r="F2775" s="104"/>
      <c r="G2775" s="108"/>
      <c r="J2775" s="174"/>
      <c r="K2775" s="4"/>
    </row>
    <row r="2776" spans="3:11" x14ac:dyDescent="0.25">
      <c r="C2776" s="108"/>
      <c r="D2776" s="217"/>
      <c r="E2776" s="217"/>
      <c r="F2776" s="104"/>
      <c r="G2776" s="108"/>
      <c r="J2776" s="174"/>
      <c r="K2776" s="4"/>
    </row>
    <row r="2777" spans="3:11" x14ac:dyDescent="0.25">
      <c r="C2777" s="108"/>
      <c r="D2777" s="217"/>
      <c r="E2777" s="217"/>
      <c r="F2777" s="104"/>
      <c r="G2777" s="108"/>
      <c r="J2777" s="174"/>
      <c r="K2777" s="4"/>
    </row>
    <row r="2778" spans="3:11" x14ac:dyDescent="0.25">
      <c r="C2778" s="108"/>
      <c r="D2778" s="217"/>
      <c r="E2778" s="217"/>
      <c r="F2778" s="104"/>
      <c r="G2778" s="108"/>
      <c r="J2778" s="174"/>
      <c r="K2778" s="4"/>
    </row>
    <row r="2779" spans="3:11" x14ac:dyDescent="0.25">
      <c r="C2779" s="108"/>
      <c r="D2779" s="217"/>
      <c r="E2779" s="217"/>
      <c r="F2779" s="104"/>
      <c r="G2779" s="108"/>
      <c r="J2779" s="174"/>
      <c r="K2779" s="4"/>
    </row>
    <row r="2780" spans="3:11" x14ac:dyDescent="0.25">
      <c r="C2780" s="108"/>
      <c r="D2780" s="217"/>
      <c r="E2780" s="217"/>
      <c r="F2780" s="104"/>
      <c r="G2780" s="108"/>
      <c r="J2780" s="174"/>
      <c r="K2780" s="4"/>
    </row>
    <row r="2781" spans="3:11" x14ac:dyDescent="0.25">
      <c r="C2781" s="108"/>
      <c r="D2781" s="217"/>
      <c r="E2781" s="217"/>
      <c r="F2781" s="104"/>
      <c r="G2781" s="108"/>
      <c r="J2781" s="174"/>
      <c r="K2781" s="4"/>
    </row>
    <row r="2782" spans="3:11" x14ac:dyDescent="0.25">
      <c r="C2782" s="108"/>
      <c r="D2782" s="217"/>
      <c r="E2782" s="217"/>
      <c r="F2782" s="104"/>
      <c r="G2782" s="108"/>
      <c r="J2782" s="174"/>
      <c r="K2782" s="4"/>
    </row>
    <row r="2783" spans="3:11" x14ac:dyDescent="0.25">
      <c r="C2783" s="108"/>
      <c r="D2783" s="217"/>
      <c r="E2783" s="217"/>
      <c r="F2783" s="104"/>
      <c r="G2783" s="108"/>
      <c r="J2783" s="174"/>
      <c r="K2783" s="4"/>
    </row>
    <row r="2784" spans="3:11" x14ac:dyDescent="0.25">
      <c r="C2784" s="108"/>
      <c r="D2784" s="217"/>
      <c r="E2784" s="217"/>
      <c r="F2784" s="104"/>
      <c r="G2784" s="108"/>
      <c r="J2784" s="174"/>
      <c r="K2784" s="4"/>
    </row>
    <row r="2785" spans="3:11" x14ac:dyDescent="0.25">
      <c r="C2785" s="108"/>
      <c r="D2785" s="217"/>
      <c r="E2785" s="217"/>
      <c r="F2785" s="104"/>
      <c r="G2785" s="108"/>
      <c r="J2785" s="174"/>
      <c r="K2785" s="4"/>
    </row>
    <row r="2786" spans="3:11" x14ac:dyDescent="0.25">
      <c r="C2786" s="108"/>
      <c r="D2786" s="217"/>
      <c r="E2786" s="217"/>
      <c r="F2786" s="104"/>
      <c r="G2786" s="108"/>
      <c r="J2786" s="174"/>
      <c r="K2786" s="4"/>
    </row>
    <row r="2787" spans="3:11" x14ac:dyDescent="0.25">
      <c r="C2787" s="108"/>
      <c r="D2787" s="217"/>
      <c r="E2787" s="217"/>
      <c r="F2787" s="104"/>
      <c r="G2787" s="108"/>
      <c r="J2787" s="174"/>
      <c r="K2787" s="4"/>
    </row>
    <row r="2788" spans="3:11" x14ac:dyDescent="0.25">
      <c r="C2788" s="108"/>
      <c r="D2788" s="217"/>
      <c r="E2788" s="217"/>
      <c r="F2788" s="104"/>
      <c r="G2788" s="108"/>
      <c r="J2788" s="174"/>
      <c r="K2788" s="4"/>
    </row>
    <row r="2789" spans="3:11" x14ac:dyDescent="0.25">
      <c r="C2789" s="108"/>
      <c r="D2789" s="217"/>
      <c r="E2789" s="217"/>
      <c r="F2789" s="104"/>
      <c r="G2789" s="108"/>
      <c r="J2789" s="174"/>
      <c r="K2789" s="4"/>
    </row>
    <row r="2790" spans="3:11" x14ac:dyDescent="0.25">
      <c r="C2790" s="108"/>
      <c r="D2790" s="217"/>
      <c r="E2790" s="217"/>
      <c r="F2790" s="104"/>
      <c r="G2790" s="108"/>
      <c r="J2790" s="174"/>
      <c r="K2790" s="4"/>
    </row>
    <row r="2791" spans="3:11" x14ac:dyDescent="0.25">
      <c r="C2791" s="108"/>
      <c r="D2791" s="217"/>
      <c r="E2791" s="217"/>
      <c r="F2791" s="104"/>
      <c r="G2791" s="108"/>
      <c r="J2791" s="174"/>
      <c r="K2791" s="4"/>
    </row>
    <row r="2792" spans="3:11" x14ac:dyDescent="0.25">
      <c r="C2792" s="108"/>
      <c r="D2792" s="217"/>
      <c r="E2792" s="217"/>
      <c r="F2792" s="104"/>
      <c r="G2792" s="108"/>
      <c r="J2792" s="174"/>
      <c r="K2792" s="4"/>
    </row>
    <row r="2793" spans="3:11" x14ac:dyDescent="0.25">
      <c r="C2793" s="108"/>
      <c r="D2793" s="217"/>
      <c r="E2793" s="217"/>
      <c r="F2793" s="104"/>
      <c r="G2793" s="108"/>
      <c r="J2793" s="174"/>
      <c r="K2793" s="4"/>
    </row>
    <row r="2794" spans="3:11" x14ac:dyDescent="0.25">
      <c r="C2794" s="108"/>
      <c r="D2794" s="217"/>
      <c r="E2794" s="217"/>
      <c r="F2794" s="104"/>
      <c r="G2794" s="108"/>
      <c r="J2794" s="174"/>
      <c r="K2794" s="4"/>
    </row>
    <row r="2795" spans="3:11" x14ac:dyDescent="0.25">
      <c r="C2795" s="108"/>
      <c r="D2795" s="217"/>
      <c r="E2795" s="217"/>
      <c r="F2795" s="104"/>
      <c r="G2795" s="108"/>
      <c r="J2795" s="174"/>
      <c r="K2795" s="4"/>
    </row>
    <row r="2796" spans="3:11" x14ac:dyDescent="0.25">
      <c r="C2796" s="108"/>
      <c r="D2796" s="217"/>
      <c r="E2796" s="217"/>
      <c r="F2796" s="104"/>
      <c r="G2796" s="108"/>
      <c r="J2796" s="174"/>
      <c r="K2796" s="4"/>
    </row>
    <row r="2797" spans="3:11" x14ac:dyDescent="0.25">
      <c r="C2797" s="108"/>
      <c r="D2797" s="217"/>
      <c r="E2797" s="217"/>
      <c r="F2797" s="104"/>
      <c r="G2797" s="108"/>
      <c r="J2797" s="174"/>
      <c r="K2797" s="4"/>
    </row>
    <row r="2798" spans="3:11" x14ac:dyDescent="0.25">
      <c r="C2798" s="108"/>
      <c r="D2798" s="217"/>
      <c r="E2798" s="217"/>
      <c r="F2798" s="104"/>
      <c r="G2798" s="108"/>
      <c r="J2798" s="174"/>
      <c r="K2798" s="4"/>
    </row>
    <row r="2799" spans="3:11" x14ac:dyDescent="0.25">
      <c r="C2799" s="108"/>
      <c r="D2799" s="217"/>
      <c r="E2799" s="217"/>
      <c r="F2799" s="104"/>
      <c r="G2799" s="108"/>
      <c r="J2799" s="174"/>
      <c r="K2799" s="4"/>
    </row>
    <row r="2800" spans="3:11" x14ac:dyDescent="0.25">
      <c r="C2800" s="108"/>
      <c r="D2800" s="217"/>
      <c r="E2800" s="217"/>
      <c r="F2800" s="104"/>
      <c r="G2800" s="108"/>
      <c r="J2800" s="174"/>
      <c r="K2800" s="4"/>
    </row>
    <row r="2801" spans="3:11" x14ac:dyDescent="0.25">
      <c r="C2801" s="108"/>
      <c r="D2801" s="217"/>
      <c r="E2801" s="217"/>
      <c r="F2801" s="104"/>
      <c r="G2801" s="108"/>
      <c r="J2801" s="174"/>
      <c r="K2801" s="4"/>
    </row>
    <row r="2802" spans="3:11" x14ac:dyDescent="0.25">
      <c r="C2802" s="108"/>
      <c r="D2802" s="217"/>
      <c r="E2802" s="217"/>
      <c r="F2802" s="104"/>
      <c r="G2802" s="108"/>
      <c r="J2802" s="174"/>
      <c r="K2802" s="4"/>
    </row>
    <row r="2803" spans="3:11" x14ac:dyDescent="0.25">
      <c r="C2803" s="108"/>
      <c r="D2803" s="217"/>
      <c r="E2803" s="217"/>
      <c r="F2803" s="104"/>
      <c r="G2803" s="108"/>
      <c r="J2803" s="174"/>
      <c r="K2803" s="4"/>
    </row>
    <row r="2804" spans="3:11" x14ac:dyDescent="0.25">
      <c r="C2804" s="108"/>
      <c r="D2804" s="217"/>
      <c r="E2804" s="217"/>
      <c r="F2804" s="104"/>
      <c r="G2804" s="108"/>
      <c r="J2804" s="174"/>
      <c r="K2804" s="4"/>
    </row>
    <row r="2805" spans="3:11" x14ac:dyDescent="0.25">
      <c r="C2805" s="108"/>
      <c r="D2805" s="217"/>
      <c r="E2805" s="217"/>
      <c r="F2805" s="104"/>
      <c r="G2805" s="108"/>
      <c r="J2805" s="174"/>
      <c r="K2805" s="4"/>
    </row>
    <row r="2806" spans="3:11" x14ac:dyDescent="0.25">
      <c r="C2806" s="108"/>
      <c r="D2806" s="217"/>
      <c r="E2806" s="217"/>
      <c r="F2806" s="104"/>
      <c r="G2806" s="108"/>
      <c r="J2806" s="174"/>
      <c r="K2806" s="4"/>
    </row>
    <row r="2807" spans="3:11" x14ac:dyDescent="0.25">
      <c r="C2807" s="108"/>
      <c r="D2807" s="217"/>
      <c r="E2807" s="217"/>
      <c r="F2807" s="104"/>
      <c r="G2807" s="108"/>
      <c r="J2807" s="174"/>
      <c r="K2807" s="4"/>
    </row>
    <row r="2808" spans="3:11" x14ac:dyDescent="0.25">
      <c r="C2808" s="108"/>
      <c r="D2808" s="217"/>
      <c r="E2808" s="217"/>
      <c r="F2808" s="104"/>
      <c r="G2808" s="108"/>
      <c r="J2808" s="174"/>
      <c r="K2808" s="4"/>
    </row>
    <row r="2809" spans="3:11" x14ac:dyDescent="0.25">
      <c r="C2809" s="108"/>
      <c r="D2809" s="217"/>
      <c r="E2809" s="217"/>
      <c r="F2809" s="104"/>
      <c r="G2809" s="108"/>
      <c r="J2809" s="174"/>
      <c r="K2809" s="4"/>
    </row>
    <row r="2810" spans="3:11" x14ac:dyDescent="0.25">
      <c r="C2810" s="108"/>
      <c r="D2810" s="217"/>
      <c r="E2810" s="217"/>
      <c r="F2810" s="104"/>
      <c r="G2810" s="108"/>
      <c r="J2810" s="174"/>
      <c r="K2810" s="4"/>
    </row>
    <row r="2811" spans="3:11" x14ac:dyDescent="0.25">
      <c r="C2811" s="108"/>
      <c r="D2811" s="217"/>
      <c r="E2811" s="217"/>
      <c r="F2811" s="104"/>
      <c r="G2811" s="108"/>
      <c r="J2811" s="174"/>
      <c r="K2811" s="4"/>
    </row>
    <row r="2812" spans="3:11" x14ac:dyDescent="0.25">
      <c r="C2812" s="108"/>
      <c r="D2812" s="217"/>
      <c r="E2812" s="217"/>
      <c r="F2812" s="104"/>
      <c r="G2812" s="108"/>
      <c r="J2812" s="174"/>
      <c r="K2812" s="4"/>
    </row>
    <row r="2813" spans="3:11" x14ac:dyDescent="0.25">
      <c r="C2813" s="108"/>
      <c r="D2813" s="217"/>
      <c r="E2813" s="217"/>
      <c r="F2813" s="104"/>
      <c r="G2813" s="108"/>
      <c r="J2813" s="174"/>
      <c r="K2813" s="4"/>
    </row>
    <row r="2814" spans="3:11" x14ac:dyDescent="0.25">
      <c r="C2814" s="108"/>
      <c r="D2814" s="217"/>
      <c r="E2814" s="217"/>
      <c r="F2814" s="104"/>
      <c r="G2814" s="108"/>
      <c r="J2814" s="174"/>
      <c r="K2814" s="4"/>
    </row>
    <row r="2815" spans="3:11" x14ac:dyDescent="0.25">
      <c r="C2815" s="108"/>
      <c r="D2815" s="217"/>
      <c r="E2815" s="217"/>
      <c r="F2815" s="104"/>
      <c r="G2815" s="108"/>
      <c r="J2815" s="174"/>
      <c r="K2815" s="4"/>
    </row>
    <row r="2816" spans="3:11" x14ac:dyDescent="0.25">
      <c r="C2816" s="108"/>
      <c r="D2816" s="217"/>
      <c r="E2816" s="217"/>
      <c r="F2816" s="104"/>
      <c r="G2816" s="108"/>
      <c r="J2816" s="174"/>
      <c r="K2816" s="4"/>
    </row>
    <row r="2817" spans="3:11" x14ac:dyDescent="0.25">
      <c r="C2817" s="108"/>
      <c r="D2817" s="217"/>
      <c r="E2817" s="217"/>
      <c r="F2817" s="104"/>
      <c r="G2817" s="108"/>
      <c r="J2817" s="174"/>
      <c r="K2817" s="4"/>
    </row>
    <row r="2818" spans="3:11" x14ac:dyDescent="0.25">
      <c r="C2818" s="108"/>
      <c r="D2818" s="217"/>
      <c r="E2818" s="217"/>
      <c r="F2818" s="104"/>
      <c r="G2818" s="108"/>
      <c r="J2818" s="174"/>
      <c r="K2818" s="4"/>
    </row>
    <row r="2819" spans="3:11" x14ac:dyDescent="0.25">
      <c r="C2819" s="108"/>
      <c r="D2819" s="217"/>
      <c r="E2819" s="217"/>
      <c r="F2819" s="104"/>
      <c r="G2819" s="108"/>
      <c r="J2819" s="174"/>
      <c r="K2819" s="4"/>
    </row>
    <row r="2820" spans="3:11" x14ac:dyDescent="0.25">
      <c r="C2820" s="108"/>
      <c r="D2820" s="217"/>
      <c r="E2820" s="217"/>
      <c r="F2820" s="104"/>
      <c r="G2820" s="108"/>
      <c r="J2820" s="174"/>
      <c r="K2820" s="4"/>
    </row>
    <row r="2821" spans="3:11" x14ac:dyDescent="0.25">
      <c r="C2821" s="108"/>
      <c r="D2821" s="217"/>
      <c r="E2821" s="217"/>
      <c r="F2821" s="104"/>
      <c r="G2821" s="108"/>
      <c r="J2821" s="174"/>
      <c r="K2821" s="4"/>
    </row>
    <row r="2822" spans="3:11" x14ac:dyDescent="0.25">
      <c r="C2822" s="108"/>
      <c r="D2822" s="217"/>
      <c r="E2822" s="217"/>
      <c r="F2822" s="104"/>
      <c r="G2822" s="108"/>
      <c r="J2822" s="174"/>
      <c r="K2822" s="4"/>
    </row>
    <row r="2823" spans="3:11" x14ac:dyDescent="0.25">
      <c r="C2823" s="108"/>
      <c r="D2823" s="217"/>
      <c r="E2823" s="217"/>
      <c r="F2823" s="104"/>
      <c r="G2823" s="108"/>
      <c r="J2823" s="174"/>
      <c r="K2823" s="4"/>
    </row>
    <row r="2824" spans="3:11" x14ac:dyDescent="0.25">
      <c r="C2824" s="108"/>
      <c r="D2824" s="217"/>
      <c r="E2824" s="217"/>
      <c r="F2824" s="104"/>
      <c r="G2824" s="108"/>
      <c r="J2824" s="174"/>
      <c r="K2824" s="4"/>
    </row>
    <row r="2825" spans="3:11" x14ac:dyDescent="0.25">
      <c r="C2825" s="108"/>
      <c r="D2825" s="217"/>
      <c r="E2825" s="217"/>
      <c r="F2825" s="104"/>
      <c r="G2825" s="108"/>
      <c r="J2825" s="174"/>
      <c r="K2825" s="4"/>
    </row>
    <row r="2826" spans="3:11" x14ac:dyDescent="0.25">
      <c r="C2826" s="108"/>
      <c r="D2826" s="217"/>
      <c r="E2826" s="217"/>
      <c r="F2826" s="104"/>
      <c r="G2826" s="108"/>
      <c r="J2826" s="174"/>
      <c r="K2826" s="4"/>
    </row>
    <row r="2827" spans="3:11" x14ac:dyDescent="0.25">
      <c r="C2827" s="108"/>
      <c r="D2827" s="217"/>
      <c r="E2827" s="217"/>
      <c r="F2827" s="104"/>
      <c r="G2827" s="108"/>
      <c r="J2827" s="174"/>
      <c r="K2827" s="4"/>
    </row>
    <row r="2828" spans="3:11" x14ac:dyDescent="0.25">
      <c r="C2828" s="108"/>
      <c r="D2828" s="217"/>
      <c r="E2828" s="217"/>
      <c r="F2828" s="104"/>
      <c r="G2828" s="108"/>
      <c r="J2828" s="174"/>
      <c r="K2828" s="4"/>
    </row>
    <row r="2829" spans="3:11" x14ac:dyDescent="0.25">
      <c r="C2829" s="108"/>
      <c r="D2829" s="217"/>
      <c r="E2829" s="217"/>
      <c r="F2829" s="104"/>
      <c r="G2829" s="108"/>
      <c r="J2829" s="174"/>
      <c r="K2829" s="4"/>
    </row>
    <row r="2830" spans="3:11" x14ac:dyDescent="0.25">
      <c r="C2830" s="108"/>
      <c r="D2830" s="217"/>
      <c r="E2830" s="217"/>
      <c r="F2830" s="104"/>
      <c r="G2830" s="108"/>
      <c r="J2830" s="174"/>
      <c r="K2830" s="4"/>
    </row>
    <row r="2831" spans="3:11" x14ac:dyDescent="0.25">
      <c r="C2831" s="108"/>
      <c r="D2831" s="217"/>
      <c r="E2831" s="217"/>
      <c r="F2831" s="104"/>
      <c r="G2831" s="108"/>
      <c r="J2831" s="174"/>
      <c r="K2831" s="4"/>
    </row>
    <row r="2832" spans="3:11" x14ac:dyDescent="0.25">
      <c r="C2832" s="108"/>
      <c r="D2832" s="217"/>
      <c r="E2832" s="217"/>
      <c r="F2832" s="104"/>
      <c r="G2832" s="108"/>
      <c r="J2832" s="174"/>
      <c r="K2832" s="4"/>
    </row>
    <row r="2833" spans="3:11" x14ac:dyDescent="0.25">
      <c r="C2833" s="108"/>
      <c r="D2833" s="217"/>
      <c r="E2833" s="217"/>
      <c r="F2833" s="104"/>
      <c r="G2833" s="108"/>
      <c r="J2833" s="174"/>
      <c r="K2833" s="4"/>
    </row>
    <row r="2834" spans="3:11" x14ac:dyDescent="0.25">
      <c r="C2834" s="108"/>
      <c r="D2834" s="217"/>
      <c r="E2834" s="217"/>
      <c r="F2834" s="104"/>
      <c r="G2834" s="108"/>
      <c r="J2834" s="174"/>
      <c r="K2834" s="4"/>
    </row>
    <row r="2835" spans="3:11" x14ac:dyDescent="0.25">
      <c r="C2835" s="108"/>
      <c r="D2835" s="217"/>
      <c r="E2835" s="217"/>
      <c r="F2835" s="104"/>
      <c r="G2835" s="108"/>
      <c r="J2835" s="174"/>
      <c r="K2835" s="4"/>
    </row>
    <row r="2836" spans="3:11" x14ac:dyDescent="0.25">
      <c r="C2836" s="108"/>
      <c r="D2836" s="217"/>
      <c r="E2836" s="217"/>
      <c r="F2836" s="104"/>
      <c r="G2836" s="108"/>
      <c r="J2836" s="174"/>
      <c r="K2836" s="4"/>
    </row>
    <row r="2837" spans="3:11" x14ac:dyDescent="0.25">
      <c r="C2837" s="108"/>
      <c r="D2837" s="217"/>
      <c r="E2837" s="217"/>
      <c r="F2837" s="104"/>
      <c r="G2837" s="108"/>
      <c r="J2837" s="174"/>
      <c r="K2837" s="4"/>
    </row>
    <row r="2838" spans="3:11" x14ac:dyDescent="0.25">
      <c r="C2838" s="108"/>
      <c r="D2838" s="217"/>
      <c r="E2838" s="217"/>
      <c r="F2838" s="104"/>
      <c r="G2838" s="108"/>
      <c r="J2838" s="174"/>
      <c r="K2838" s="4"/>
    </row>
    <row r="2839" spans="3:11" x14ac:dyDescent="0.25">
      <c r="C2839" s="108"/>
      <c r="D2839" s="217"/>
      <c r="E2839" s="217"/>
      <c r="F2839" s="104"/>
      <c r="G2839" s="108"/>
      <c r="J2839" s="174"/>
      <c r="K2839" s="4"/>
    </row>
    <row r="2840" spans="3:11" x14ac:dyDescent="0.25">
      <c r="C2840" s="108"/>
      <c r="D2840" s="217"/>
      <c r="E2840" s="217"/>
      <c r="F2840" s="104"/>
      <c r="G2840" s="108"/>
      <c r="J2840" s="174"/>
      <c r="K2840" s="4"/>
    </row>
    <row r="2841" spans="3:11" x14ac:dyDescent="0.25">
      <c r="C2841" s="108"/>
      <c r="D2841" s="217"/>
      <c r="E2841" s="217"/>
      <c r="F2841" s="104"/>
      <c r="G2841" s="108"/>
      <c r="J2841" s="174"/>
      <c r="K2841" s="4"/>
    </row>
    <row r="2842" spans="3:11" x14ac:dyDescent="0.25">
      <c r="C2842" s="108"/>
      <c r="D2842" s="217"/>
      <c r="E2842" s="217"/>
      <c r="F2842" s="104"/>
      <c r="G2842" s="108"/>
      <c r="J2842" s="174"/>
      <c r="K2842" s="4"/>
    </row>
    <row r="2843" spans="3:11" x14ac:dyDescent="0.25">
      <c r="C2843" s="108"/>
      <c r="D2843" s="217"/>
      <c r="E2843" s="217"/>
      <c r="F2843" s="104"/>
      <c r="G2843" s="108"/>
      <c r="J2843" s="174"/>
      <c r="K2843" s="4"/>
    </row>
    <row r="2844" spans="3:11" x14ac:dyDescent="0.25">
      <c r="C2844" s="108"/>
      <c r="D2844" s="217"/>
      <c r="E2844" s="217"/>
      <c r="F2844" s="104"/>
      <c r="G2844" s="108"/>
      <c r="J2844" s="174"/>
      <c r="K2844" s="4"/>
    </row>
    <row r="2845" spans="3:11" x14ac:dyDescent="0.25">
      <c r="C2845" s="108"/>
      <c r="D2845" s="217"/>
      <c r="E2845" s="217"/>
      <c r="F2845" s="104"/>
      <c r="G2845" s="108"/>
      <c r="J2845" s="174"/>
      <c r="K2845" s="4"/>
    </row>
    <row r="2846" spans="3:11" x14ac:dyDescent="0.25">
      <c r="C2846" s="108"/>
      <c r="D2846" s="217"/>
      <c r="E2846" s="217"/>
      <c r="F2846" s="104"/>
      <c r="G2846" s="108"/>
      <c r="J2846" s="174"/>
      <c r="K2846" s="4"/>
    </row>
    <row r="2847" spans="3:11" x14ac:dyDescent="0.25">
      <c r="C2847" s="108"/>
      <c r="D2847" s="217"/>
      <c r="E2847" s="217"/>
      <c r="F2847" s="104"/>
      <c r="G2847" s="108"/>
      <c r="J2847" s="174"/>
      <c r="K2847" s="4"/>
    </row>
    <row r="2848" spans="3:11" x14ac:dyDescent="0.25">
      <c r="C2848" s="108"/>
      <c r="D2848" s="217"/>
      <c r="E2848" s="217"/>
      <c r="F2848" s="104"/>
      <c r="G2848" s="108"/>
      <c r="J2848" s="174"/>
      <c r="K2848" s="4"/>
    </row>
    <row r="2849" spans="3:11" x14ac:dyDescent="0.25">
      <c r="C2849" s="108"/>
      <c r="D2849" s="217"/>
      <c r="E2849" s="217"/>
      <c r="F2849" s="104"/>
      <c r="G2849" s="108"/>
      <c r="J2849" s="174"/>
      <c r="K2849" s="4"/>
    </row>
    <row r="2850" spans="3:11" x14ac:dyDescent="0.25">
      <c r="C2850" s="108"/>
      <c r="D2850" s="217"/>
      <c r="E2850" s="217"/>
      <c r="F2850" s="104"/>
      <c r="G2850" s="108"/>
      <c r="J2850" s="174"/>
      <c r="K2850" s="4"/>
    </row>
    <row r="2851" spans="3:11" x14ac:dyDescent="0.25">
      <c r="C2851" s="108"/>
      <c r="D2851" s="217"/>
      <c r="E2851" s="217"/>
      <c r="F2851" s="104"/>
      <c r="G2851" s="108"/>
      <c r="J2851" s="174"/>
      <c r="K2851" s="4"/>
    </row>
    <row r="2852" spans="3:11" x14ac:dyDescent="0.25">
      <c r="C2852" s="108"/>
      <c r="D2852" s="217"/>
      <c r="E2852" s="217"/>
      <c r="F2852" s="104"/>
      <c r="G2852" s="108"/>
      <c r="J2852" s="174"/>
      <c r="K2852" s="4"/>
    </row>
    <row r="2853" spans="3:11" x14ac:dyDescent="0.25">
      <c r="C2853" s="108"/>
      <c r="D2853" s="217"/>
      <c r="E2853" s="217"/>
      <c r="F2853" s="104"/>
      <c r="G2853" s="108"/>
      <c r="J2853" s="174"/>
      <c r="K2853" s="4"/>
    </row>
    <row r="2854" spans="3:11" x14ac:dyDescent="0.25">
      <c r="C2854" s="108"/>
      <c r="D2854" s="217"/>
      <c r="E2854" s="217"/>
      <c r="F2854" s="104"/>
      <c r="G2854" s="108"/>
      <c r="J2854" s="174"/>
      <c r="K2854" s="4"/>
    </row>
    <row r="2855" spans="3:11" x14ac:dyDescent="0.25">
      <c r="C2855" s="108"/>
      <c r="D2855" s="217"/>
      <c r="E2855" s="217"/>
      <c r="F2855" s="104"/>
      <c r="G2855" s="108"/>
      <c r="J2855" s="174"/>
      <c r="K2855" s="4"/>
    </row>
    <row r="2856" spans="3:11" x14ac:dyDescent="0.25">
      <c r="C2856" s="108"/>
      <c r="D2856" s="217"/>
      <c r="E2856" s="217"/>
      <c r="F2856" s="104"/>
      <c r="G2856" s="108"/>
      <c r="J2856" s="174"/>
      <c r="K2856" s="4"/>
    </row>
    <row r="2857" spans="3:11" x14ac:dyDescent="0.25">
      <c r="C2857" s="108"/>
      <c r="D2857" s="217"/>
      <c r="E2857" s="217"/>
      <c r="F2857" s="104"/>
      <c r="G2857" s="108"/>
      <c r="J2857" s="174"/>
      <c r="K2857" s="4"/>
    </row>
    <row r="2858" spans="3:11" x14ac:dyDescent="0.25">
      <c r="C2858" s="108"/>
      <c r="D2858" s="217"/>
      <c r="E2858" s="217"/>
      <c r="F2858" s="104"/>
      <c r="G2858" s="108"/>
      <c r="J2858" s="174"/>
      <c r="K2858" s="4"/>
    </row>
    <row r="2859" spans="3:11" x14ac:dyDescent="0.25">
      <c r="C2859" s="108"/>
      <c r="D2859" s="217"/>
      <c r="E2859" s="217"/>
      <c r="F2859" s="104"/>
      <c r="G2859" s="108"/>
      <c r="J2859" s="174"/>
      <c r="K2859" s="4"/>
    </row>
    <row r="2860" spans="3:11" x14ac:dyDescent="0.25">
      <c r="C2860" s="108"/>
      <c r="D2860" s="217"/>
      <c r="E2860" s="217"/>
      <c r="F2860" s="104"/>
      <c r="G2860" s="108"/>
      <c r="J2860" s="174"/>
      <c r="K2860" s="4"/>
    </row>
    <row r="2861" spans="3:11" x14ac:dyDescent="0.25">
      <c r="C2861" s="108"/>
      <c r="D2861" s="217"/>
      <c r="E2861" s="217"/>
      <c r="F2861" s="104"/>
      <c r="G2861" s="108"/>
      <c r="J2861" s="174"/>
      <c r="K2861" s="4"/>
    </row>
    <row r="2862" spans="3:11" x14ac:dyDescent="0.25">
      <c r="C2862" s="108"/>
      <c r="D2862" s="217"/>
      <c r="E2862" s="217"/>
      <c r="F2862" s="104"/>
      <c r="G2862" s="108"/>
      <c r="J2862" s="174"/>
      <c r="K2862" s="4"/>
    </row>
    <row r="2863" spans="3:11" x14ac:dyDescent="0.25">
      <c r="C2863" s="108"/>
      <c r="D2863" s="217"/>
      <c r="E2863" s="217"/>
      <c r="F2863" s="104"/>
      <c r="G2863" s="108"/>
      <c r="J2863" s="174"/>
      <c r="K2863" s="4"/>
    </row>
    <row r="2864" spans="3:11" x14ac:dyDescent="0.25">
      <c r="C2864" s="108"/>
      <c r="D2864" s="217"/>
      <c r="E2864" s="217"/>
      <c r="F2864" s="104"/>
      <c r="G2864" s="108"/>
      <c r="J2864" s="174"/>
      <c r="K2864" s="4"/>
    </row>
    <row r="2865" spans="3:11" x14ac:dyDescent="0.25">
      <c r="C2865" s="108"/>
      <c r="D2865" s="217"/>
      <c r="E2865" s="217"/>
      <c r="F2865" s="104"/>
      <c r="G2865" s="108"/>
      <c r="J2865" s="174"/>
      <c r="K2865" s="4"/>
    </row>
    <row r="2866" spans="3:11" x14ac:dyDescent="0.25">
      <c r="C2866" s="108"/>
      <c r="D2866" s="217"/>
      <c r="E2866" s="217"/>
      <c r="F2866" s="104"/>
      <c r="G2866" s="108"/>
      <c r="J2866" s="174"/>
      <c r="K2866" s="4"/>
    </row>
    <row r="2867" spans="3:11" x14ac:dyDescent="0.25">
      <c r="C2867" s="108"/>
      <c r="D2867" s="217"/>
      <c r="E2867" s="217"/>
      <c r="F2867" s="104"/>
      <c r="G2867" s="108"/>
      <c r="J2867" s="174"/>
      <c r="K2867" s="4"/>
    </row>
    <row r="2868" spans="3:11" x14ac:dyDescent="0.25">
      <c r="C2868" s="108"/>
      <c r="D2868" s="217"/>
      <c r="E2868" s="217"/>
      <c r="F2868" s="104"/>
      <c r="G2868" s="108"/>
      <c r="J2868" s="174"/>
      <c r="K2868" s="4"/>
    </row>
    <row r="2869" spans="3:11" x14ac:dyDescent="0.25">
      <c r="C2869" s="108"/>
      <c r="D2869" s="217"/>
      <c r="E2869" s="217"/>
      <c r="F2869" s="104"/>
      <c r="G2869" s="108"/>
      <c r="J2869" s="174"/>
      <c r="K2869" s="4"/>
    </row>
    <row r="2870" spans="3:11" x14ac:dyDescent="0.25">
      <c r="C2870" s="108"/>
      <c r="D2870" s="217"/>
      <c r="E2870" s="217"/>
      <c r="F2870" s="104"/>
      <c r="G2870" s="108"/>
      <c r="J2870" s="174"/>
      <c r="K2870" s="4"/>
    </row>
    <row r="2871" spans="3:11" x14ac:dyDescent="0.25">
      <c r="C2871" s="108"/>
      <c r="D2871" s="217"/>
      <c r="E2871" s="217"/>
      <c r="F2871" s="104"/>
      <c r="G2871" s="108"/>
      <c r="J2871" s="174"/>
      <c r="K2871" s="4"/>
    </row>
    <row r="2872" spans="3:11" x14ac:dyDescent="0.25">
      <c r="C2872" s="108"/>
      <c r="D2872" s="217"/>
      <c r="E2872" s="217"/>
      <c r="F2872" s="104"/>
      <c r="G2872" s="108"/>
      <c r="J2872" s="174"/>
      <c r="K2872" s="4"/>
    </row>
    <row r="2873" spans="3:11" x14ac:dyDescent="0.25">
      <c r="C2873" s="108"/>
      <c r="D2873" s="217"/>
      <c r="E2873" s="217"/>
      <c r="F2873" s="104"/>
      <c r="G2873" s="108"/>
      <c r="J2873" s="174"/>
      <c r="K2873" s="4"/>
    </row>
    <row r="2874" spans="3:11" x14ac:dyDescent="0.25">
      <c r="C2874" s="108"/>
      <c r="D2874" s="217"/>
      <c r="E2874" s="217"/>
      <c r="F2874" s="104"/>
      <c r="G2874" s="108"/>
      <c r="J2874" s="174"/>
      <c r="K2874" s="4"/>
    </row>
    <row r="2875" spans="3:11" x14ac:dyDescent="0.25">
      <c r="C2875" s="108"/>
      <c r="D2875" s="217"/>
      <c r="E2875" s="217"/>
      <c r="F2875" s="104"/>
      <c r="G2875" s="108"/>
      <c r="J2875" s="174"/>
      <c r="K2875" s="4"/>
    </row>
    <row r="2876" spans="3:11" x14ac:dyDescent="0.25">
      <c r="C2876" s="108"/>
      <c r="D2876" s="217"/>
      <c r="E2876" s="217"/>
      <c r="F2876" s="104"/>
      <c r="G2876" s="108"/>
      <c r="J2876" s="174"/>
      <c r="K2876" s="4"/>
    </row>
    <row r="2877" spans="3:11" x14ac:dyDescent="0.25">
      <c r="C2877" s="108"/>
      <c r="D2877" s="217"/>
      <c r="E2877" s="217"/>
      <c r="F2877" s="104"/>
      <c r="G2877" s="108"/>
      <c r="J2877" s="174"/>
      <c r="K2877" s="4"/>
    </row>
    <row r="2878" spans="3:11" x14ac:dyDescent="0.25">
      <c r="C2878" s="108"/>
      <c r="D2878" s="217"/>
      <c r="E2878" s="217"/>
      <c r="F2878" s="104"/>
      <c r="G2878" s="108"/>
      <c r="J2878" s="174"/>
      <c r="K2878" s="4"/>
    </row>
    <row r="2879" spans="3:11" x14ac:dyDescent="0.25">
      <c r="C2879" s="108"/>
      <c r="D2879" s="217"/>
      <c r="E2879" s="217"/>
      <c r="F2879" s="104"/>
      <c r="G2879" s="108"/>
      <c r="J2879" s="174"/>
      <c r="K2879" s="4"/>
    </row>
    <row r="2880" spans="3:11" x14ac:dyDescent="0.25">
      <c r="C2880" s="108"/>
      <c r="D2880" s="217"/>
      <c r="E2880" s="217"/>
      <c r="F2880" s="104"/>
      <c r="G2880" s="108"/>
      <c r="J2880" s="174"/>
      <c r="K2880" s="4"/>
    </row>
    <row r="2881" spans="3:11" x14ac:dyDescent="0.25">
      <c r="C2881" s="108"/>
      <c r="D2881" s="217"/>
      <c r="E2881" s="217"/>
      <c r="F2881" s="104"/>
      <c r="G2881" s="108"/>
      <c r="J2881" s="174"/>
      <c r="K2881" s="4"/>
    </row>
    <row r="2882" spans="3:11" x14ac:dyDescent="0.25">
      <c r="C2882" s="108"/>
      <c r="D2882" s="217"/>
      <c r="E2882" s="217"/>
      <c r="F2882" s="104"/>
      <c r="G2882" s="108"/>
      <c r="J2882" s="174"/>
      <c r="K2882" s="4"/>
    </row>
    <row r="2883" spans="3:11" x14ac:dyDescent="0.25">
      <c r="C2883" s="108"/>
      <c r="D2883" s="217"/>
      <c r="E2883" s="217"/>
      <c r="F2883" s="104"/>
      <c r="G2883" s="108"/>
      <c r="J2883" s="174"/>
      <c r="K2883" s="4"/>
    </row>
    <row r="2884" spans="3:11" x14ac:dyDescent="0.25">
      <c r="C2884" s="108"/>
      <c r="D2884" s="217"/>
      <c r="E2884" s="217"/>
      <c r="F2884" s="104"/>
      <c r="G2884" s="108"/>
      <c r="J2884" s="174"/>
      <c r="K2884" s="4"/>
    </row>
    <row r="2885" spans="3:11" x14ac:dyDescent="0.25">
      <c r="C2885" s="108"/>
      <c r="D2885" s="217"/>
      <c r="E2885" s="217"/>
      <c r="F2885" s="104"/>
      <c r="G2885" s="108"/>
      <c r="J2885" s="174"/>
      <c r="K2885" s="4"/>
    </row>
    <row r="2886" spans="3:11" x14ac:dyDescent="0.25">
      <c r="C2886" s="108"/>
      <c r="D2886" s="217"/>
      <c r="E2886" s="217"/>
      <c r="F2886" s="104"/>
      <c r="G2886" s="108"/>
      <c r="J2886" s="174"/>
      <c r="K2886" s="4"/>
    </row>
    <row r="2887" spans="3:11" x14ac:dyDescent="0.25">
      <c r="C2887" s="108"/>
      <c r="D2887" s="217"/>
      <c r="E2887" s="217"/>
      <c r="F2887" s="104"/>
      <c r="G2887" s="108"/>
      <c r="J2887" s="174"/>
      <c r="K2887" s="4"/>
    </row>
    <row r="2888" spans="3:11" x14ac:dyDescent="0.25">
      <c r="C2888" s="108"/>
      <c r="D2888" s="217"/>
      <c r="E2888" s="217"/>
      <c r="F2888" s="104"/>
      <c r="G2888" s="108"/>
      <c r="J2888" s="174"/>
      <c r="K2888" s="4"/>
    </row>
    <row r="2889" spans="3:11" x14ac:dyDescent="0.25">
      <c r="C2889" s="108"/>
      <c r="D2889" s="217"/>
      <c r="E2889" s="217"/>
      <c r="F2889" s="104"/>
      <c r="G2889" s="108"/>
      <c r="J2889" s="174"/>
      <c r="K2889" s="4"/>
    </row>
    <row r="2890" spans="3:11" x14ac:dyDescent="0.25">
      <c r="C2890" s="108"/>
      <c r="D2890" s="217"/>
      <c r="E2890" s="217"/>
      <c r="F2890" s="104"/>
      <c r="G2890" s="108"/>
      <c r="J2890" s="174"/>
      <c r="K2890" s="4"/>
    </row>
    <row r="2891" spans="3:11" x14ac:dyDescent="0.25">
      <c r="C2891" s="108"/>
      <c r="D2891" s="217"/>
      <c r="E2891" s="217"/>
      <c r="F2891" s="104"/>
      <c r="G2891" s="108"/>
      <c r="J2891" s="174"/>
      <c r="K2891" s="4"/>
    </row>
    <row r="2892" spans="3:11" x14ac:dyDescent="0.25">
      <c r="C2892" s="108"/>
      <c r="D2892" s="217"/>
      <c r="E2892" s="217"/>
      <c r="F2892" s="104"/>
      <c r="G2892" s="108"/>
      <c r="J2892" s="174"/>
      <c r="K2892" s="4"/>
    </row>
    <row r="2893" spans="3:11" x14ac:dyDescent="0.25">
      <c r="C2893" s="108"/>
      <c r="D2893" s="217"/>
      <c r="E2893" s="217"/>
      <c r="F2893" s="104"/>
      <c r="G2893" s="108"/>
      <c r="J2893" s="174"/>
      <c r="K2893" s="4"/>
    </row>
    <row r="2894" spans="3:11" x14ac:dyDescent="0.25">
      <c r="C2894" s="108"/>
      <c r="D2894" s="217"/>
      <c r="E2894" s="217"/>
      <c r="F2894" s="104"/>
      <c r="G2894" s="108"/>
      <c r="J2894" s="174"/>
      <c r="K2894" s="4"/>
    </row>
    <row r="2895" spans="3:11" x14ac:dyDescent="0.25">
      <c r="C2895" s="108"/>
      <c r="D2895" s="217"/>
      <c r="E2895" s="217"/>
      <c r="F2895" s="104"/>
      <c r="G2895" s="108"/>
      <c r="J2895" s="174"/>
      <c r="K2895" s="4"/>
    </row>
    <row r="2896" spans="3:11" x14ac:dyDescent="0.25">
      <c r="C2896" s="108"/>
      <c r="D2896" s="217"/>
      <c r="E2896" s="217"/>
      <c r="F2896" s="104"/>
      <c r="G2896" s="108"/>
      <c r="J2896" s="174"/>
      <c r="K2896" s="4"/>
    </row>
    <row r="2897" spans="3:11" x14ac:dyDescent="0.25">
      <c r="C2897" s="108"/>
      <c r="D2897" s="217"/>
      <c r="E2897" s="217"/>
      <c r="F2897" s="104"/>
      <c r="G2897" s="108"/>
      <c r="J2897" s="174"/>
      <c r="K2897" s="4"/>
    </row>
    <row r="2898" spans="3:11" x14ac:dyDescent="0.25">
      <c r="C2898" s="108"/>
      <c r="D2898" s="217"/>
      <c r="E2898" s="217"/>
      <c r="F2898" s="104"/>
      <c r="G2898" s="108"/>
      <c r="J2898" s="174"/>
      <c r="K2898" s="4"/>
    </row>
    <row r="2899" spans="3:11" x14ac:dyDescent="0.25">
      <c r="C2899" s="108"/>
      <c r="D2899" s="217"/>
      <c r="E2899" s="217"/>
      <c r="F2899" s="104"/>
      <c r="G2899" s="108"/>
      <c r="J2899" s="174"/>
      <c r="K2899" s="4"/>
    </row>
    <row r="2900" spans="3:11" x14ac:dyDescent="0.25">
      <c r="C2900" s="108"/>
      <c r="D2900" s="217"/>
      <c r="E2900" s="217"/>
      <c r="F2900" s="104"/>
      <c r="G2900" s="108"/>
      <c r="J2900" s="174"/>
      <c r="K2900" s="4"/>
    </row>
    <row r="2901" spans="3:11" x14ac:dyDescent="0.25">
      <c r="C2901" s="108"/>
      <c r="D2901" s="217"/>
      <c r="E2901" s="217"/>
      <c r="F2901" s="104"/>
      <c r="G2901" s="108"/>
      <c r="J2901" s="174"/>
      <c r="K2901" s="4"/>
    </row>
    <row r="2902" spans="3:11" x14ac:dyDescent="0.25">
      <c r="C2902" s="108"/>
      <c r="D2902" s="217"/>
      <c r="E2902" s="217"/>
      <c r="F2902" s="104"/>
      <c r="G2902" s="108"/>
      <c r="J2902" s="174"/>
      <c r="K2902" s="4"/>
    </row>
    <row r="2903" spans="3:11" x14ac:dyDescent="0.25">
      <c r="C2903" s="108"/>
      <c r="D2903" s="217"/>
      <c r="E2903" s="217"/>
      <c r="F2903" s="104"/>
      <c r="G2903" s="108"/>
      <c r="J2903" s="174"/>
      <c r="K2903" s="4"/>
    </row>
    <row r="2904" spans="3:11" x14ac:dyDescent="0.25">
      <c r="C2904" s="108"/>
      <c r="D2904" s="217"/>
      <c r="E2904" s="217"/>
      <c r="F2904" s="104"/>
      <c r="G2904" s="108"/>
      <c r="J2904" s="174"/>
      <c r="K2904" s="4"/>
    </row>
    <row r="2905" spans="3:11" x14ac:dyDescent="0.25">
      <c r="C2905" s="108"/>
      <c r="D2905" s="217"/>
      <c r="E2905" s="217"/>
      <c r="F2905" s="104"/>
      <c r="G2905" s="108"/>
      <c r="J2905" s="174"/>
      <c r="K2905" s="4"/>
    </row>
    <row r="2906" spans="3:11" x14ac:dyDescent="0.25">
      <c r="C2906" s="108"/>
      <c r="D2906" s="217"/>
      <c r="E2906" s="217"/>
      <c r="F2906" s="104"/>
      <c r="G2906" s="108"/>
      <c r="J2906" s="174"/>
      <c r="K2906" s="4"/>
    </row>
    <row r="2907" spans="3:11" x14ac:dyDescent="0.25">
      <c r="C2907" s="108"/>
      <c r="D2907" s="217"/>
      <c r="E2907" s="217"/>
      <c r="F2907" s="104"/>
      <c r="G2907" s="108"/>
      <c r="J2907" s="174"/>
      <c r="K2907" s="4"/>
    </row>
    <row r="2908" spans="3:11" x14ac:dyDescent="0.25">
      <c r="C2908" s="108"/>
      <c r="D2908" s="217"/>
      <c r="E2908" s="217"/>
      <c r="F2908" s="104"/>
      <c r="G2908" s="108"/>
      <c r="J2908" s="174"/>
      <c r="K2908" s="4"/>
    </row>
    <row r="2909" spans="3:11" x14ac:dyDescent="0.25">
      <c r="C2909" s="108"/>
      <c r="D2909" s="217"/>
      <c r="E2909" s="217"/>
      <c r="F2909" s="104"/>
      <c r="G2909" s="108"/>
      <c r="J2909" s="174"/>
      <c r="K2909" s="4"/>
    </row>
    <row r="2910" spans="3:11" x14ac:dyDescent="0.25">
      <c r="C2910" s="108"/>
      <c r="D2910" s="217"/>
      <c r="E2910" s="217"/>
      <c r="F2910" s="104"/>
      <c r="G2910" s="108"/>
      <c r="J2910" s="174"/>
      <c r="K2910" s="4"/>
    </row>
    <row r="2911" spans="3:11" x14ac:dyDescent="0.25">
      <c r="C2911" s="108"/>
      <c r="D2911" s="217"/>
      <c r="E2911" s="217"/>
      <c r="F2911" s="104"/>
      <c r="G2911" s="108"/>
      <c r="J2911" s="174"/>
      <c r="K2911" s="4"/>
    </row>
    <row r="2912" spans="3:11" x14ac:dyDescent="0.25">
      <c r="C2912" s="108"/>
      <c r="D2912" s="217"/>
      <c r="E2912" s="217"/>
      <c r="F2912" s="104"/>
      <c r="G2912" s="108"/>
      <c r="J2912" s="174"/>
      <c r="K2912" s="4"/>
    </row>
    <row r="2913" spans="3:11" x14ac:dyDescent="0.25">
      <c r="C2913" s="108"/>
      <c r="D2913" s="217"/>
      <c r="E2913" s="217"/>
      <c r="F2913" s="104"/>
      <c r="G2913" s="108"/>
      <c r="J2913" s="174"/>
      <c r="K2913" s="4"/>
    </row>
    <row r="2914" spans="3:11" x14ac:dyDescent="0.25">
      <c r="C2914" s="108"/>
      <c r="D2914" s="217"/>
      <c r="E2914" s="217"/>
      <c r="F2914" s="104"/>
      <c r="G2914" s="108"/>
      <c r="J2914" s="174"/>
      <c r="K2914" s="4"/>
    </row>
    <row r="2915" spans="3:11" x14ac:dyDescent="0.25">
      <c r="C2915" s="108"/>
      <c r="D2915" s="217"/>
      <c r="E2915" s="217"/>
      <c r="F2915" s="104"/>
      <c r="G2915" s="108"/>
      <c r="J2915" s="174"/>
      <c r="K2915" s="4"/>
    </row>
    <row r="2916" spans="3:11" x14ac:dyDescent="0.25">
      <c r="C2916" s="108"/>
      <c r="D2916" s="217"/>
      <c r="E2916" s="217"/>
      <c r="F2916" s="104"/>
      <c r="G2916" s="108"/>
      <c r="J2916" s="174"/>
      <c r="K2916" s="4"/>
    </row>
    <row r="2917" spans="3:11" x14ac:dyDescent="0.25">
      <c r="C2917" s="108"/>
      <c r="D2917" s="217"/>
      <c r="E2917" s="217"/>
      <c r="F2917" s="104"/>
      <c r="G2917" s="108"/>
      <c r="J2917" s="174"/>
      <c r="K2917" s="4"/>
    </row>
    <row r="2918" spans="3:11" x14ac:dyDescent="0.25">
      <c r="C2918" s="108"/>
      <c r="D2918" s="217"/>
      <c r="E2918" s="217"/>
      <c r="F2918" s="104"/>
      <c r="G2918" s="108"/>
      <c r="J2918" s="174"/>
      <c r="K2918" s="4"/>
    </row>
    <row r="2919" spans="3:11" x14ac:dyDescent="0.25">
      <c r="C2919" s="108"/>
      <c r="D2919" s="217"/>
      <c r="E2919" s="217"/>
      <c r="F2919" s="104"/>
      <c r="G2919" s="108"/>
      <c r="J2919" s="174"/>
      <c r="K2919" s="4"/>
    </row>
    <row r="2920" spans="3:11" x14ac:dyDescent="0.25">
      <c r="C2920" s="108"/>
      <c r="D2920" s="217"/>
      <c r="E2920" s="217"/>
      <c r="F2920" s="104"/>
      <c r="G2920" s="108"/>
      <c r="J2920" s="174"/>
      <c r="K2920" s="4"/>
    </row>
    <row r="2921" spans="3:11" x14ac:dyDescent="0.25">
      <c r="C2921" s="108"/>
      <c r="D2921" s="217"/>
      <c r="E2921" s="217"/>
      <c r="F2921" s="104"/>
      <c r="G2921" s="108"/>
      <c r="J2921" s="174"/>
      <c r="K2921" s="4"/>
    </row>
    <row r="2922" spans="3:11" x14ac:dyDescent="0.25">
      <c r="C2922" s="108"/>
      <c r="D2922" s="217"/>
      <c r="E2922" s="217"/>
      <c r="F2922" s="104"/>
      <c r="G2922" s="108"/>
      <c r="J2922" s="174"/>
      <c r="K2922" s="4"/>
    </row>
    <row r="2923" spans="3:11" x14ac:dyDescent="0.25">
      <c r="C2923" s="108"/>
      <c r="D2923" s="217"/>
      <c r="E2923" s="217"/>
      <c r="F2923" s="104"/>
      <c r="G2923" s="108"/>
      <c r="J2923" s="174"/>
      <c r="K2923" s="4"/>
    </row>
    <row r="2924" spans="3:11" x14ac:dyDescent="0.25">
      <c r="C2924" s="108"/>
      <c r="D2924" s="217"/>
      <c r="E2924" s="217"/>
      <c r="F2924" s="104"/>
      <c r="G2924" s="108"/>
      <c r="J2924" s="174"/>
      <c r="K2924" s="4"/>
    </row>
    <row r="2925" spans="3:11" x14ac:dyDescent="0.25">
      <c r="C2925" s="108"/>
      <c r="D2925" s="217"/>
      <c r="E2925" s="217"/>
      <c r="F2925" s="104"/>
      <c r="G2925" s="108"/>
      <c r="J2925" s="174"/>
      <c r="K2925" s="4"/>
    </row>
    <row r="2926" spans="3:11" x14ac:dyDescent="0.25">
      <c r="C2926" s="108"/>
      <c r="D2926" s="217"/>
      <c r="E2926" s="217"/>
      <c r="F2926" s="104"/>
      <c r="G2926" s="108"/>
      <c r="J2926" s="174"/>
      <c r="K2926" s="4"/>
    </row>
    <row r="2927" spans="3:11" x14ac:dyDescent="0.25">
      <c r="C2927" s="108"/>
      <c r="D2927" s="217"/>
      <c r="E2927" s="217"/>
      <c r="F2927" s="104"/>
      <c r="G2927" s="108"/>
      <c r="J2927" s="174"/>
      <c r="K2927" s="4"/>
    </row>
    <row r="2928" spans="3:11" x14ac:dyDescent="0.25">
      <c r="C2928" s="108"/>
      <c r="D2928" s="217"/>
      <c r="E2928" s="217"/>
      <c r="F2928" s="104"/>
      <c r="G2928" s="108"/>
      <c r="J2928" s="174"/>
      <c r="K2928" s="4"/>
    </row>
    <row r="2929" spans="3:11" x14ac:dyDescent="0.25">
      <c r="C2929" s="108"/>
      <c r="D2929" s="217"/>
      <c r="E2929" s="217"/>
      <c r="F2929" s="104"/>
      <c r="G2929" s="108"/>
      <c r="J2929" s="174"/>
      <c r="K2929" s="4"/>
    </row>
    <row r="2930" spans="3:11" x14ac:dyDescent="0.25">
      <c r="C2930" s="108"/>
      <c r="D2930" s="217"/>
      <c r="E2930" s="217"/>
      <c r="F2930" s="104"/>
      <c r="G2930" s="108"/>
      <c r="J2930" s="174"/>
      <c r="K2930" s="4"/>
    </row>
    <row r="2931" spans="3:11" x14ac:dyDescent="0.25">
      <c r="C2931" s="108"/>
      <c r="D2931" s="217"/>
      <c r="E2931" s="217"/>
      <c r="F2931" s="104"/>
      <c r="G2931" s="108"/>
      <c r="J2931" s="174"/>
      <c r="K2931" s="4"/>
    </row>
    <row r="2932" spans="3:11" x14ac:dyDescent="0.25">
      <c r="C2932" s="108"/>
      <c r="D2932" s="217"/>
      <c r="E2932" s="217"/>
      <c r="F2932" s="104"/>
      <c r="G2932" s="108"/>
      <c r="J2932" s="174"/>
      <c r="K2932" s="4"/>
    </row>
    <row r="2933" spans="3:11" x14ac:dyDescent="0.25">
      <c r="C2933" s="108"/>
      <c r="D2933" s="217"/>
      <c r="E2933" s="217"/>
      <c r="F2933" s="104"/>
      <c r="G2933" s="108"/>
      <c r="J2933" s="174"/>
      <c r="K2933" s="4"/>
    </row>
    <row r="2934" spans="3:11" x14ac:dyDescent="0.25">
      <c r="C2934" s="108"/>
      <c r="D2934" s="217"/>
      <c r="E2934" s="217"/>
      <c r="F2934" s="104"/>
      <c r="G2934" s="108"/>
      <c r="J2934" s="174"/>
      <c r="K2934" s="4"/>
    </row>
    <row r="2935" spans="3:11" x14ac:dyDescent="0.25">
      <c r="C2935" s="108"/>
      <c r="D2935" s="217"/>
      <c r="E2935" s="217"/>
      <c r="F2935" s="104"/>
      <c r="G2935" s="108"/>
      <c r="J2935" s="174"/>
      <c r="K2935" s="4"/>
    </row>
    <row r="2936" spans="3:11" x14ac:dyDescent="0.25">
      <c r="C2936" s="108"/>
      <c r="D2936" s="217"/>
      <c r="E2936" s="217"/>
      <c r="F2936" s="104"/>
      <c r="G2936" s="108"/>
      <c r="J2936" s="174"/>
      <c r="K2936" s="4"/>
    </row>
    <row r="2937" spans="3:11" x14ac:dyDescent="0.25">
      <c r="C2937" s="108"/>
      <c r="D2937" s="217"/>
      <c r="E2937" s="217"/>
      <c r="F2937" s="104"/>
      <c r="G2937" s="108"/>
      <c r="J2937" s="174"/>
      <c r="K2937" s="4"/>
    </row>
    <row r="2938" spans="3:11" x14ac:dyDescent="0.25">
      <c r="C2938" s="108"/>
      <c r="D2938" s="217"/>
      <c r="E2938" s="217"/>
      <c r="F2938" s="104"/>
      <c r="G2938" s="108"/>
      <c r="J2938" s="174"/>
      <c r="K2938" s="4"/>
    </row>
    <row r="2939" spans="3:11" x14ac:dyDescent="0.25">
      <c r="C2939" s="108"/>
      <c r="D2939" s="217"/>
      <c r="E2939" s="217"/>
      <c r="F2939" s="104"/>
      <c r="G2939" s="108"/>
      <c r="J2939" s="174"/>
      <c r="K2939" s="4"/>
    </row>
    <row r="2940" spans="3:11" x14ac:dyDescent="0.25">
      <c r="C2940" s="108"/>
      <c r="D2940" s="217"/>
      <c r="E2940" s="217"/>
      <c r="F2940" s="104"/>
      <c r="G2940" s="108"/>
      <c r="J2940" s="174"/>
      <c r="K2940" s="4"/>
    </row>
    <row r="2941" spans="3:11" x14ac:dyDescent="0.25">
      <c r="C2941" s="108"/>
      <c r="D2941" s="217"/>
      <c r="E2941" s="217"/>
      <c r="F2941" s="104"/>
      <c r="G2941" s="108"/>
      <c r="J2941" s="174"/>
      <c r="K2941" s="4"/>
    </row>
    <row r="2942" spans="3:11" x14ac:dyDescent="0.25">
      <c r="C2942" s="108"/>
      <c r="D2942" s="217"/>
      <c r="E2942" s="217"/>
      <c r="F2942" s="104"/>
      <c r="G2942" s="108"/>
      <c r="J2942" s="174"/>
      <c r="K2942" s="4"/>
    </row>
    <row r="2943" spans="3:11" x14ac:dyDescent="0.25">
      <c r="C2943" s="108"/>
      <c r="D2943" s="217"/>
      <c r="E2943" s="217"/>
      <c r="F2943" s="104"/>
      <c r="G2943" s="108"/>
      <c r="J2943" s="174"/>
      <c r="K2943" s="4"/>
    </row>
    <row r="2944" spans="3:11" x14ac:dyDescent="0.25">
      <c r="C2944" s="108"/>
      <c r="D2944" s="217"/>
      <c r="E2944" s="217"/>
      <c r="F2944" s="104"/>
      <c r="G2944" s="108"/>
      <c r="J2944" s="174"/>
      <c r="K2944" s="4"/>
    </row>
    <row r="2945" spans="3:11" x14ac:dyDescent="0.25">
      <c r="C2945" s="108"/>
      <c r="D2945" s="217"/>
      <c r="E2945" s="217"/>
      <c r="F2945" s="104"/>
      <c r="G2945" s="108"/>
      <c r="J2945" s="174"/>
      <c r="K2945" s="4"/>
    </row>
    <row r="2946" spans="3:11" x14ac:dyDescent="0.25">
      <c r="C2946" s="108"/>
      <c r="D2946" s="217"/>
      <c r="E2946" s="217"/>
      <c r="F2946" s="104"/>
      <c r="G2946" s="108"/>
      <c r="J2946" s="174"/>
      <c r="K2946" s="4"/>
    </row>
    <row r="2947" spans="3:11" x14ac:dyDescent="0.25">
      <c r="C2947" s="108"/>
      <c r="D2947" s="217"/>
      <c r="E2947" s="217"/>
      <c r="F2947" s="104"/>
      <c r="G2947" s="108"/>
      <c r="J2947" s="174"/>
      <c r="K2947" s="4"/>
    </row>
    <row r="2948" spans="3:11" x14ac:dyDescent="0.25">
      <c r="C2948" s="108"/>
      <c r="D2948" s="217"/>
      <c r="E2948" s="217"/>
      <c r="F2948" s="104"/>
      <c r="G2948" s="108"/>
      <c r="J2948" s="174"/>
      <c r="K2948" s="4"/>
    </row>
    <row r="2949" spans="3:11" x14ac:dyDescent="0.25">
      <c r="C2949" s="108"/>
      <c r="D2949" s="217"/>
      <c r="E2949" s="217"/>
      <c r="F2949" s="104"/>
      <c r="G2949" s="108"/>
      <c r="J2949" s="174"/>
      <c r="K2949" s="4"/>
    </row>
    <row r="2950" spans="3:11" x14ac:dyDescent="0.25">
      <c r="C2950" s="108"/>
      <c r="D2950" s="217"/>
      <c r="E2950" s="217"/>
      <c r="F2950" s="104"/>
      <c r="G2950" s="108"/>
      <c r="J2950" s="174"/>
      <c r="K2950" s="4"/>
    </row>
    <row r="2951" spans="3:11" x14ac:dyDescent="0.25">
      <c r="C2951" s="108"/>
      <c r="D2951" s="217"/>
      <c r="E2951" s="217"/>
      <c r="F2951" s="104"/>
      <c r="G2951" s="108"/>
      <c r="J2951" s="174"/>
      <c r="K2951" s="4"/>
    </row>
    <row r="2952" spans="3:11" x14ac:dyDescent="0.25">
      <c r="C2952" s="108"/>
      <c r="D2952" s="217"/>
      <c r="E2952" s="217"/>
      <c r="F2952" s="104"/>
      <c r="G2952" s="108"/>
      <c r="J2952" s="174"/>
      <c r="K2952" s="4"/>
    </row>
    <row r="2953" spans="3:11" x14ac:dyDescent="0.25">
      <c r="C2953" s="108"/>
      <c r="D2953" s="217"/>
      <c r="E2953" s="217"/>
      <c r="F2953" s="104"/>
      <c r="G2953" s="108"/>
      <c r="J2953" s="174"/>
      <c r="K2953" s="4"/>
    </row>
    <row r="2954" spans="3:11" x14ac:dyDescent="0.25">
      <c r="C2954" s="108"/>
      <c r="D2954" s="217"/>
      <c r="E2954" s="217"/>
      <c r="F2954" s="104"/>
      <c r="G2954" s="108"/>
      <c r="J2954" s="174"/>
      <c r="K2954" s="4"/>
    </row>
    <row r="2955" spans="3:11" x14ac:dyDescent="0.25">
      <c r="C2955" s="108"/>
      <c r="D2955" s="217"/>
      <c r="E2955" s="217"/>
      <c r="F2955" s="104"/>
      <c r="G2955" s="108"/>
      <c r="J2955" s="174"/>
      <c r="K2955" s="4"/>
    </row>
    <row r="2956" spans="3:11" x14ac:dyDescent="0.25">
      <c r="C2956" s="108"/>
      <c r="D2956" s="217"/>
      <c r="E2956" s="217"/>
      <c r="F2956" s="104"/>
      <c r="G2956" s="108"/>
      <c r="J2956" s="174"/>
      <c r="K2956" s="4"/>
    </row>
    <row r="2957" spans="3:11" x14ac:dyDescent="0.25">
      <c r="C2957" s="108"/>
      <c r="D2957" s="217"/>
      <c r="E2957" s="217"/>
      <c r="F2957" s="104"/>
      <c r="G2957" s="108"/>
      <c r="J2957" s="174"/>
      <c r="K2957" s="4"/>
    </row>
    <row r="2958" spans="3:11" x14ac:dyDescent="0.25">
      <c r="C2958" s="108"/>
      <c r="D2958" s="217"/>
      <c r="E2958" s="217"/>
      <c r="F2958" s="104"/>
      <c r="G2958" s="108"/>
      <c r="J2958" s="174"/>
      <c r="K2958" s="4"/>
    </row>
    <row r="2959" spans="3:11" x14ac:dyDescent="0.25">
      <c r="C2959" s="108"/>
      <c r="D2959" s="217"/>
      <c r="E2959" s="217"/>
      <c r="F2959" s="104"/>
      <c r="G2959" s="108"/>
      <c r="J2959" s="174"/>
      <c r="K2959" s="4"/>
    </row>
    <row r="2960" spans="3:11" x14ac:dyDescent="0.25">
      <c r="C2960" s="108"/>
      <c r="D2960" s="217"/>
      <c r="E2960" s="217"/>
      <c r="F2960" s="104"/>
      <c r="G2960" s="108"/>
      <c r="J2960" s="174"/>
      <c r="K2960" s="4"/>
    </row>
    <row r="2961" spans="3:11" x14ac:dyDescent="0.25">
      <c r="C2961" s="108"/>
      <c r="D2961" s="217"/>
      <c r="E2961" s="217"/>
      <c r="F2961" s="104"/>
      <c r="G2961" s="108"/>
      <c r="J2961" s="174"/>
      <c r="K2961" s="4"/>
    </row>
    <row r="2962" spans="3:11" x14ac:dyDescent="0.25">
      <c r="C2962" s="108"/>
      <c r="D2962" s="217"/>
      <c r="E2962" s="217"/>
      <c r="F2962" s="104"/>
      <c r="G2962" s="108"/>
      <c r="J2962" s="174"/>
      <c r="K2962" s="4"/>
    </row>
    <row r="2963" spans="3:11" x14ac:dyDescent="0.25">
      <c r="C2963" s="108"/>
      <c r="D2963" s="217"/>
      <c r="E2963" s="217"/>
      <c r="F2963" s="104"/>
      <c r="G2963" s="108"/>
      <c r="J2963" s="174"/>
      <c r="K2963" s="4"/>
    </row>
    <row r="2964" spans="3:11" x14ac:dyDescent="0.25">
      <c r="C2964" s="108"/>
      <c r="D2964" s="217"/>
      <c r="E2964" s="217"/>
      <c r="F2964" s="104"/>
      <c r="G2964" s="108"/>
      <c r="J2964" s="174"/>
      <c r="K2964" s="4"/>
    </row>
    <row r="2965" spans="3:11" x14ac:dyDescent="0.25">
      <c r="C2965" s="108"/>
      <c r="D2965" s="217"/>
      <c r="E2965" s="217"/>
      <c r="F2965" s="104"/>
      <c r="G2965" s="108"/>
      <c r="J2965" s="174"/>
      <c r="K2965" s="4"/>
    </row>
    <row r="2966" spans="3:11" x14ac:dyDescent="0.25">
      <c r="C2966" s="108"/>
      <c r="D2966" s="217"/>
      <c r="E2966" s="217"/>
      <c r="F2966" s="104"/>
      <c r="G2966" s="108"/>
      <c r="J2966" s="174"/>
      <c r="K2966" s="4"/>
    </row>
    <row r="2967" spans="3:11" x14ac:dyDescent="0.25">
      <c r="C2967" s="108"/>
      <c r="D2967" s="217"/>
      <c r="E2967" s="217"/>
      <c r="F2967" s="104"/>
      <c r="G2967" s="108"/>
      <c r="J2967" s="174"/>
      <c r="K2967" s="4"/>
    </row>
    <row r="2968" spans="3:11" x14ac:dyDescent="0.25">
      <c r="C2968" s="108"/>
      <c r="D2968" s="217"/>
      <c r="E2968" s="217"/>
      <c r="F2968" s="104"/>
      <c r="G2968" s="108"/>
      <c r="J2968" s="174"/>
      <c r="K2968" s="4"/>
    </row>
    <row r="2969" spans="3:11" x14ac:dyDescent="0.25">
      <c r="C2969" s="108"/>
      <c r="D2969" s="217"/>
      <c r="E2969" s="217"/>
      <c r="F2969" s="104"/>
      <c r="G2969" s="108"/>
      <c r="J2969" s="174"/>
      <c r="K2969" s="4"/>
    </row>
    <row r="2970" spans="3:11" x14ac:dyDescent="0.25">
      <c r="C2970" s="108"/>
      <c r="D2970" s="217"/>
      <c r="E2970" s="217"/>
      <c r="F2970" s="104"/>
      <c r="G2970" s="108"/>
      <c r="J2970" s="174"/>
      <c r="K2970" s="4"/>
    </row>
    <row r="2971" spans="3:11" x14ac:dyDescent="0.25">
      <c r="C2971" s="108"/>
      <c r="D2971" s="217"/>
      <c r="E2971" s="217"/>
      <c r="F2971" s="104"/>
      <c r="G2971" s="108"/>
      <c r="J2971" s="174"/>
      <c r="K2971" s="4"/>
    </row>
    <row r="2972" spans="3:11" x14ac:dyDescent="0.25">
      <c r="C2972" s="108"/>
      <c r="D2972" s="217"/>
      <c r="E2972" s="217"/>
      <c r="F2972" s="104"/>
      <c r="G2972" s="108"/>
      <c r="J2972" s="174"/>
      <c r="K2972" s="4"/>
    </row>
    <row r="2973" spans="3:11" x14ac:dyDescent="0.25">
      <c r="C2973" s="108"/>
      <c r="D2973" s="217"/>
      <c r="E2973" s="217"/>
      <c r="F2973" s="104"/>
      <c r="G2973" s="108"/>
      <c r="J2973" s="174"/>
      <c r="K2973" s="4"/>
    </row>
    <row r="2974" spans="3:11" x14ac:dyDescent="0.25">
      <c r="C2974" s="108"/>
      <c r="D2974" s="217"/>
      <c r="E2974" s="217"/>
      <c r="F2974" s="104"/>
      <c r="G2974" s="108"/>
      <c r="J2974" s="174"/>
      <c r="K2974" s="4"/>
    </row>
    <row r="2975" spans="3:11" x14ac:dyDescent="0.25">
      <c r="C2975" s="108"/>
      <c r="D2975" s="217"/>
      <c r="E2975" s="217"/>
      <c r="F2975" s="104"/>
      <c r="G2975" s="108"/>
      <c r="J2975" s="174"/>
      <c r="K2975" s="4"/>
    </row>
    <row r="2976" spans="3:11" x14ac:dyDescent="0.25">
      <c r="C2976" s="108"/>
      <c r="D2976" s="217"/>
      <c r="E2976" s="217"/>
      <c r="F2976" s="104"/>
      <c r="G2976" s="108"/>
      <c r="J2976" s="174"/>
      <c r="K2976" s="4"/>
    </row>
    <row r="2977" spans="3:11" x14ac:dyDescent="0.25">
      <c r="C2977" s="108"/>
      <c r="D2977" s="217"/>
      <c r="E2977" s="217"/>
      <c r="F2977" s="104"/>
      <c r="G2977" s="108"/>
      <c r="J2977" s="174"/>
      <c r="K2977" s="4"/>
    </row>
    <row r="2978" spans="3:11" x14ac:dyDescent="0.25">
      <c r="C2978" s="108"/>
      <c r="D2978" s="217"/>
      <c r="E2978" s="217"/>
      <c r="F2978" s="104"/>
      <c r="G2978" s="108"/>
      <c r="J2978" s="174"/>
      <c r="K2978" s="4"/>
    </row>
    <row r="2979" spans="3:11" x14ac:dyDescent="0.25">
      <c r="C2979" s="108"/>
      <c r="D2979" s="217"/>
      <c r="E2979" s="217"/>
      <c r="F2979" s="104"/>
      <c r="G2979" s="108"/>
      <c r="J2979" s="174"/>
      <c r="K2979" s="4"/>
    </row>
    <row r="2980" spans="3:11" x14ac:dyDescent="0.25">
      <c r="C2980" s="108"/>
      <c r="D2980" s="217"/>
      <c r="E2980" s="217"/>
      <c r="F2980" s="104"/>
      <c r="G2980" s="108"/>
      <c r="J2980" s="174"/>
      <c r="K2980" s="4"/>
    </row>
    <row r="2981" spans="3:11" x14ac:dyDescent="0.25">
      <c r="C2981" s="108"/>
      <c r="D2981" s="217"/>
      <c r="E2981" s="217"/>
      <c r="F2981" s="104"/>
      <c r="G2981" s="108"/>
      <c r="J2981" s="174"/>
      <c r="K2981" s="4"/>
    </row>
    <row r="2982" spans="3:11" x14ac:dyDescent="0.25">
      <c r="C2982" s="108"/>
      <c r="D2982" s="217"/>
      <c r="E2982" s="217"/>
      <c r="F2982" s="104"/>
      <c r="G2982" s="108"/>
      <c r="J2982" s="174"/>
      <c r="K2982" s="4"/>
    </row>
    <row r="2983" spans="3:11" x14ac:dyDescent="0.25">
      <c r="C2983" s="108"/>
      <c r="D2983" s="217"/>
      <c r="E2983" s="217"/>
      <c r="F2983" s="104"/>
      <c r="G2983" s="108"/>
      <c r="J2983" s="174"/>
      <c r="K2983" s="4"/>
    </row>
    <row r="2984" spans="3:11" x14ac:dyDescent="0.25">
      <c r="C2984" s="108"/>
      <c r="D2984" s="217"/>
      <c r="E2984" s="217"/>
      <c r="F2984" s="104"/>
      <c r="G2984" s="108"/>
      <c r="J2984" s="174"/>
      <c r="K2984" s="4"/>
    </row>
    <row r="2985" spans="3:11" x14ac:dyDescent="0.25">
      <c r="C2985" s="108"/>
      <c r="D2985" s="217"/>
      <c r="E2985" s="217"/>
      <c r="F2985" s="104"/>
      <c r="G2985" s="108"/>
      <c r="J2985" s="174"/>
      <c r="K2985" s="4"/>
    </row>
    <row r="2986" spans="3:11" x14ac:dyDescent="0.25">
      <c r="C2986" s="108"/>
      <c r="D2986" s="217"/>
      <c r="E2986" s="217"/>
      <c r="F2986" s="104"/>
      <c r="G2986" s="108"/>
      <c r="J2986" s="174"/>
      <c r="K2986" s="4"/>
    </row>
    <row r="2987" spans="3:11" x14ac:dyDescent="0.25">
      <c r="C2987" s="108"/>
      <c r="D2987" s="217"/>
      <c r="E2987" s="217"/>
      <c r="F2987" s="104"/>
      <c r="G2987" s="108"/>
      <c r="J2987" s="174"/>
      <c r="K2987" s="4"/>
    </row>
    <row r="2988" spans="3:11" x14ac:dyDescent="0.25">
      <c r="C2988" s="108"/>
      <c r="D2988" s="217"/>
      <c r="E2988" s="217"/>
      <c r="F2988" s="104"/>
      <c r="G2988" s="108"/>
      <c r="J2988" s="174"/>
      <c r="K2988" s="4"/>
    </row>
    <row r="2989" spans="3:11" x14ac:dyDescent="0.25">
      <c r="C2989" s="108"/>
      <c r="D2989" s="217"/>
      <c r="E2989" s="217"/>
      <c r="F2989" s="104"/>
      <c r="G2989" s="108"/>
      <c r="J2989" s="174"/>
      <c r="K2989" s="4"/>
    </row>
    <row r="2990" spans="3:11" x14ac:dyDescent="0.25">
      <c r="C2990" s="108"/>
      <c r="D2990" s="217"/>
      <c r="E2990" s="217"/>
      <c r="F2990" s="104"/>
      <c r="G2990" s="108"/>
      <c r="J2990" s="174"/>
      <c r="K2990" s="4"/>
    </row>
    <row r="2991" spans="3:11" x14ac:dyDescent="0.25">
      <c r="C2991" s="108"/>
      <c r="D2991" s="217"/>
      <c r="E2991" s="217"/>
      <c r="F2991" s="104"/>
      <c r="G2991" s="108"/>
      <c r="J2991" s="174"/>
      <c r="K2991" s="4"/>
    </row>
    <row r="2992" spans="3:11" x14ac:dyDescent="0.25">
      <c r="C2992" s="108"/>
      <c r="D2992" s="217"/>
      <c r="E2992" s="217"/>
      <c r="F2992" s="104"/>
      <c r="G2992" s="108"/>
      <c r="J2992" s="174"/>
      <c r="K2992" s="4"/>
    </row>
    <row r="2993" spans="3:11" x14ac:dyDescent="0.25">
      <c r="C2993" s="108"/>
      <c r="D2993" s="217"/>
      <c r="E2993" s="217"/>
      <c r="F2993" s="104"/>
      <c r="G2993" s="108"/>
      <c r="J2993" s="174"/>
      <c r="K2993" s="4"/>
    </row>
    <row r="2994" spans="3:11" x14ac:dyDescent="0.25">
      <c r="C2994" s="108"/>
      <c r="D2994" s="217"/>
      <c r="E2994" s="217"/>
      <c r="F2994" s="104"/>
      <c r="G2994" s="108"/>
      <c r="J2994" s="174"/>
      <c r="K2994" s="4"/>
    </row>
    <row r="2995" spans="3:11" x14ac:dyDescent="0.25">
      <c r="C2995" s="108"/>
      <c r="D2995" s="217"/>
      <c r="E2995" s="217"/>
      <c r="F2995" s="104"/>
      <c r="G2995" s="108"/>
      <c r="J2995" s="174"/>
      <c r="K2995" s="4"/>
    </row>
    <row r="2996" spans="3:11" x14ac:dyDescent="0.25">
      <c r="C2996" s="108"/>
      <c r="D2996" s="217"/>
      <c r="E2996" s="217"/>
      <c r="F2996" s="104"/>
      <c r="G2996" s="108"/>
      <c r="J2996" s="174"/>
      <c r="K2996" s="4"/>
    </row>
    <row r="2997" spans="3:11" x14ac:dyDescent="0.25">
      <c r="C2997" s="108"/>
      <c r="D2997" s="217"/>
      <c r="E2997" s="217"/>
      <c r="F2997" s="104"/>
      <c r="G2997" s="108"/>
      <c r="J2997" s="174"/>
      <c r="K2997" s="4"/>
    </row>
    <row r="2998" spans="3:11" x14ac:dyDescent="0.25">
      <c r="C2998" s="108"/>
      <c r="D2998" s="217"/>
      <c r="E2998" s="217"/>
      <c r="F2998" s="104"/>
      <c r="G2998" s="108"/>
      <c r="J2998" s="174"/>
      <c r="K2998" s="4"/>
    </row>
    <row r="2999" spans="3:11" x14ac:dyDescent="0.25">
      <c r="C2999" s="108"/>
      <c r="D2999" s="217"/>
      <c r="E2999" s="217"/>
      <c r="F2999" s="104"/>
      <c r="G2999" s="108"/>
      <c r="J2999" s="174"/>
      <c r="K2999" s="4"/>
    </row>
    <row r="3000" spans="3:11" x14ac:dyDescent="0.25">
      <c r="C3000" s="108"/>
      <c r="D3000" s="217"/>
      <c r="E3000" s="217"/>
      <c r="F3000" s="104"/>
      <c r="G3000" s="108"/>
      <c r="J3000" s="174"/>
      <c r="K3000" s="4"/>
    </row>
    <row r="3001" spans="3:11" x14ac:dyDescent="0.25">
      <c r="C3001" s="108"/>
      <c r="D3001" s="217"/>
      <c r="E3001" s="217"/>
      <c r="F3001" s="104"/>
      <c r="G3001" s="108"/>
      <c r="J3001" s="174"/>
      <c r="K3001" s="4"/>
    </row>
    <row r="3002" spans="3:11" x14ac:dyDescent="0.25">
      <c r="C3002" s="108"/>
      <c r="D3002" s="217"/>
      <c r="E3002" s="217"/>
      <c r="F3002" s="104"/>
      <c r="G3002" s="108"/>
      <c r="J3002" s="174"/>
      <c r="K3002" s="4"/>
    </row>
    <row r="3003" spans="3:11" x14ac:dyDescent="0.25">
      <c r="C3003" s="108"/>
      <c r="D3003" s="217"/>
      <c r="E3003" s="217"/>
      <c r="F3003" s="104"/>
      <c r="G3003" s="108"/>
      <c r="J3003" s="174"/>
      <c r="K3003" s="4"/>
    </row>
    <row r="3004" spans="3:11" x14ac:dyDescent="0.25">
      <c r="C3004" s="108"/>
      <c r="D3004" s="217"/>
      <c r="E3004" s="217"/>
      <c r="F3004" s="104"/>
      <c r="G3004" s="108"/>
      <c r="J3004" s="174"/>
      <c r="K3004" s="4"/>
    </row>
    <row r="3005" spans="3:11" x14ac:dyDescent="0.25">
      <c r="C3005" s="108"/>
      <c r="D3005" s="217"/>
      <c r="E3005" s="217"/>
      <c r="F3005" s="104"/>
      <c r="G3005" s="108"/>
      <c r="J3005" s="174"/>
      <c r="K3005" s="4"/>
    </row>
    <row r="3006" spans="3:11" x14ac:dyDescent="0.25">
      <c r="C3006" s="108"/>
      <c r="D3006" s="217"/>
      <c r="E3006" s="217"/>
      <c r="F3006" s="104"/>
      <c r="G3006" s="108"/>
      <c r="J3006" s="174"/>
      <c r="K3006" s="4"/>
    </row>
    <row r="3007" spans="3:11" x14ac:dyDescent="0.25">
      <c r="C3007" s="108"/>
      <c r="D3007" s="217"/>
      <c r="E3007" s="217"/>
      <c r="F3007" s="104"/>
      <c r="G3007" s="108"/>
      <c r="J3007" s="174"/>
      <c r="K3007" s="4"/>
    </row>
    <row r="3008" spans="3:11" x14ac:dyDescent="0.25">
      <c r="C3008" s="108"/>
      <c r="D3008" s="217"/>
      <c r="E3008" s="217"/>
      <c r="F3008" s="104"/>
      <c r="G3008" s="108"/>
      <c r="J3008" s="174"/>
      <c r="K3008" s="4"/>
    </row>
    <row r="3009" spans="3:11" x14ac:dyDescent="0.25">
      <c r="C3009" s="108"/>
      <c r="D3009" s="217"/>
      <c r="E3009" s="217"/>
      <c r="F3009" s="104"/>
      <c r="G3009" s="108"/>
      <c r="J3009" s="174"/>
      <c r="K3009" s="4"/>
    </row>
    <row r="3010" spans="3:11" x14ac:dyDescent="0.25">
      <c r="C3010" s="108"/>
      <c r="D3010" s="217"/>
      <c r="E3010" s="217"/>
      <c r="F3010" s="104"/>
      <c r="G3010" s="108"/>
      <c r="J3010" s="174"/>
      <c r="K3010" s="4"/>
    </row>
    <row r="3011" spans="3:11" x14ac:dyDescent="0.25">
      <c r="C3011" s="108"/>
      <c r="D3011" s="217"/>
      <c r="E3011" s="217"/>
      <c r="F3011" s="104"/>
      <c r="G3011" s="108"/>
      <c r="J3011" s="174"/>
      <c r="K3011" s="4"/>
    </row>
    <row r="3012" spans="3:11" x14ac:dyDescent="0.25">
      <c r="C3012" s="108"/>
      <c r="D3012" s="217"/>
      <c r="E3012" s="217"/>
      <c r="F3012" s="104"/>
      <c r="G3012" s="108"/>
      <c r="J3012" s="174"/>
      <c r="K3012" s="4"/>
    </row>
    <row r="3013" spans="3:11" x14ac:dyDescent="0.25">
      <c r="C3013" s="108"/>
      <c r="D3013" s="217"/>
      <c r="E3013" s="217"/>
      <c r="F3013" s="104"/>
      <c r="G3013" s="108"/>
      <c r="J3013" s="174"/>
      <c r="K3013" s="4"/>
    </row>
    <row r="3014" spans="3:11" x14ac:dyDescent="0.25">
      <c r="C3014" s="108"/>
      <c r="D3014" s="217"/>
      <c r="E3014" s="217"/>
      <c r="F3014" s="104"/>
      <c r="G3014" s="108"/>
      <c r="J3014" s="174"/>
      <c r="K3014" s="4"/>
    </row>
    <row r="3015" spans="3:11" x14ac:dyDescent="0.25">
      <c r="C3015" s="108"/>
      <c r="D3015" s="217"/>
      <c r="E3015" s="217"/>
      <c r="F3015" s="104"/>
      <c r="G3015" s="108"/>
      <c r="J3015" s="174"/>
      <c r="K3015" s="4"/>
    </row>
    <row r="3016" spans="3:11" x14ac:dyDescent="0.25">
      <c r="C3016" s="108"/>
      <c r="D3016" s="217"/>
      <c r="E3016" s="217"/>
      <c r="F3016" s="104"/>
      <c r="G3016" s="108"/>
      <c r="J3016" s="174"/>
      <c r="K3016" s="4"/>
    </row>
    <row r="3017" spans="3:11" x14ac:dyDescent="0.25">
      <c r="C3017" s="108"/>
      <c r="D3017" s="217"/>
      <c r="E3017" s="217"/>
      <c r="F3017" s="104"/>
      <c r="G3017" s="108"/>
      <c r="J3017" s="174"/>
      <c r="K3017" s="4"/>
    </row>
    <row r="3018" spans="3:11" x14ac:dyDescent="0.25">
      <c r="C3018" s="108"/>
      <c r="D3018" s="217"/>
      <c r="E3018" s="217"/>
      <c r="F3018" s="104"/>
      <c r="G3018" s="108"/>
      <c r="J3018" s="174"/>
      <c r="K3018" s="4"/>
    </row>
    <row r="3019" spans="3:11" x14ac:dyDescent="0.25">
      <c r="C3019" s="108"/>
      <c r="D3019" s="217"/>
      <c r="E3019" s="217"/>
      <c r="F3019" s="104"/>
      <c r="G3019" s="108"/>
      <c r="J3019" s="174"/>
      <c r="K3019" s="4"/>
    </row>
    <row r="3020" spans="3:11" x14ac:dyDescent="0.25">
      <c r="C3020" s="108"/>
      <c r="D3020" s="217"/>
      <c r="E3020" s="217"/>
      <c r="F3020" s="104"/>
      <c r="G3020" s="108"/>
      <c r="J3020" s="174"/>
      <c r="K3020" s="4"/>
    </row>
    <row r="3021" spans="3:11" x14ac:dyDescent="0.25">
      <c r="C3021" s="108"/>
      <c r="D3021" s="217"/>
      <c r="E3021" s="217"/>
      <c r="F3021" s="104"/>
      <c r="G3021" s="108"/>
      <c r="J3021" s="174"/>
      <c r="K3021" s="4"/>
    </row>
    <row r="3022" spans="3:11" x14ac:dyDescent="0.25">
      <c r="C3022" s="108"/>
      <c r="D3022" s="217"/>
      <c r="E3022" s="217"/>
      <c r="F3022" s="104"/>
      <c r="G3022" s="108"/>
      <c r="J3022" s="174"/>
      <c r="K3022" s="4"/>
    </row>
    <row r="3023" spans="3:11" x14ac:dyDescent="0.25">
      <c r="C3023" s="108"/>
      <c r="D3023" s="217"/>
      <c r="E3023" s="217"/>
      <c r="F3023" s="104"/>
      <c r="G3023" s="108"/>
      <c r="J3023" s="174"/>
      <c r="K3023" s="4"/>
    </row>
    <row r="3024" spans="3:11" x14ac:dyDescent="0.25">
      <c r="C3024" s="108"/>
      <c r="D3024" s="217"/>
      <c r="E3024" s="217"/>
      <c r="F3024" s="104"/>
      <c r="G3024" s="108"/>
      <c r="J3024" s="174"/>
      <c r="K3024" s="4"/>
    </row>
    <row r="3025" spans="3:11" x14ac:dyDescent="0.25">
      <c r="C3025" s="108"/>
      <c r="D3025" s="217"/>
      <c r="E3025" s="217"/>
      <c r="F3025" s="104"/>
      <c r="G3025" s="108"/>
      <c r="J3025" s="174"/>
      <c r="K3025" s="4"/>
    </row>
    <row r="3026" spans="3:11" x14ac:dyDescent="0.25">
      <c r="C3026" s="108"/>
      <c r="D3026" s="217"/>
      <c r="E3026" s="217"/>
      <c r="F3026" s="104"/>
      <c r="G3026" s="108"/>
      <c r="J3026" s="174"/>
      <c r="K3026" s="4"/>
    </row>
    <row r="3027" spans="3:11" x14ac:dyDescent="0.25">
      <c r="C3027" s="108"/>
      <c r="D3027" s="217"/>
      <c r="E3027" s="217"/>
      <c r="F3027" s="104"/>
      <c r="G3027" s="108"/>
      <c r="J3027" s="174"/>
      <c r="K3027" s="4"/>
    </row>
    <row r="3028" spans="3:11" x14ac:dyDescent="0.25">
      <c r="C3028" s="108"/>
      <c r="D3028" s="217"/>
      <c r="E3028" s="217"/>
      <c r="F3028" s="104"/>
      <c r="G3028" s="108"/>
      <c r="J3028" s="174"/>
      <c r="K3028" s="4"/>
    </row>
    <row r="3029" spans="3:11" x14ac:dyDescent="0.25">
      <c r="C3029" s="108"/>
      <c r="D3029" s="217"/>
      <c r="E3029" s="217"/>
      <c r="F3029" s="104"/>
      <c r="G3029" s="108"/>
      <c r="J3029" s="174"/>
      <c r="K3029" s="4"/>
    </row>
    <row r="3030" spans="3:11" x14ac:dyDescent="0.25">
      <c r="C3030" s="108"/>
      <c r="D3030" s="217"/>
      <c r="E3030" s="217"/>
      <c r="F3030" s="104"/>
      <c r="G3030" s="108"/>
      <c r="J3030" s="174"/>
      <c r="K3030" s="4"/>
    </row>
    <row r="3031" spans="3:11" x14ac:dyDescent="0.25">
      <c r="C3031" s="108"/>
      <c r="D3031" s="217"/>
      <c r="E3031" s="217"/>
      <c r="F3031" s="104"/>
      <c r="G3031" s="108"/>
      <c r="J3031" s="174"/>
      <c r="K3031" s="4"/>
    </row>
    <row r="3032" spans="3:11" x14ac:dyDescent="0.25">
      <c r="C3032" s="108"/>
      <c r="D3032" s="217"/>
      <c r="E3032" s="217"/>
      <c r="F3032" s="104"/>
      <c r="G3032" s="108"/>
      <c r="J3032" s="174"/>
      <c r="K3032" s="4"/>
    </row>
    <row r="3033" spans="3:11" x14ac:dyDescent="0.25">
      <c r="C3033" s="108"/>
      <c r="D3033" s="217"/>
      <c r="E3033" s="217"/>
      <c r="F3033" s="104"/>
      <c r="G3033" s="108"/>
      <c r="J3033" s="174"/>
      <c r="K3033" s="4"/>
    </row>
    <row r="3034" spans="3:11" x14ac:dyDescent="0.25">
      <c r="C3034" s="108"/>
      <c r="D3034" s="217"/>
      <c r="E3034" s="217"/>
      <c r="F3034" s="104"/>
      <c r="G3034" s="108"/>
      <c r="J3034" s="174"/>
      <c r="K3034" s="4"/>
    </row>
    <row r="3035" spans="3:11" x14ac:dyDescent="0.25">
      <c r="C3035" s="108"/>
      <c r="D3035" s="217"/>
      <c r="E3035" s="217"/>
      <c r="F3035" s="104"/>
      <c r="G3035" s="108"/>
      <c r="J3035" s="174"/>
      <c r="K3035" s="4"/>
    </row>
    <row r="3036" spans="3:11" x14ac:dyDescent="0.25">
      <c r="C3036" s="108"/>
      <c r="D3036" s="217"/>
      <c r="E3036" s="217"/>
      <c r="F3036" s="104"/>
      <c r="G3036" s="108"/>
      <c r="J3036" s="174"/>
      <c r="K3036" s="4"/>
    </row>
    <row r="3037" spans="3:11" x14ac:dyDescent="0.25">
      <c r="C3037" s="108"/>
      <c r="D3037" s="217"/>
      <c r="E3037" s="217"/>
      <c r="F3037" s="104"/>
      <c r="G3037" s="108"/>
      <c r="J3037" s="174"/>
      <c r="K3037" s="4"/>
    </row>
    <row r="3038" spans="3:11" x14ac:dyDescent="0.25">
      <c r="C3038" s="108"/>
      <c r="D3038" s="217"/>
      <c r="E3038" s="217"/>
      <c r="F3038" s="104"/>
      <c r="G3038" s="108"/>
      <c r="J3038" s="174"/>
      <c r="K3038" s="4"/>
    </row>
    <row r="3039" spans="3:11" x14ac:dyDescent="0.25">
      <c r="C3039" s="108"/>
      <c r="D3039" s="217"/>
      <c r="E3039" s="217"/>
      <c r="F3039" s="104"/>
      <c r="G3039" s="108"/>
      <c r="J3039" s="174"/>
      <c r="K3039" s="4"/>
    </row>
    <row r="3040" spans="3:11" x14ac:dyDescent="0.25">
      <c r="C3040" s="108"/>
      <c r="D3040" s="217"/>
      <c r="E3040" s="217"/>
      <c r="F3040" s="104"/>
      <c r="G3040" s="108"/>
      <c r="J3040" s="174"/>
      <c r="K3040" s="4"/>
    </row>
    <row r="3041" spans="3:11" x14ac:dyDescent="0.25">
      <c r="C3041" s="108"/>
      <c r="D3041" s="217"/>
      <c r="E3041" s="217"/>
      <c r="F3041" s="104"/>
      <c r="G3041" s="108"/>
      <c r="J3041" s="174"/>
      <c r="K3041" s="4"/>
    </row>
    <row r="3042" spans="3:11" x14ac:dyDescent="0.25">
      <c r="C3042" s="108"/>
      <c r="D3042" s="217"/>
      <c r="E3042" s="217"/>
      <c r="F3042" s="104"/>
      <c r="G3042" s="108"/>
      <c r="J3042" s="174"/>
      <c r="K3042" s="4"/>
    </row>
    <row r="3043" spans="3:11" x14ac:dyDescent="0.25">
      <c r="C3043" s="108"/>
      <c r="D3043" s="217"/>
      <c r="E3043" s="217"/>
      <c r="F3043" s="104"/>
      <c r="G3043" s="108"/>
      <c r="J3043" s="174"/>
      <c r="K3043" s="4"/>
    </row>
    <row r="3044" spans="3:11" x14ac:dyDescent="0.25">
      <c r="C3044" s="108"/>
      <c r="D3044" s="217"/>
      <c r="E3044" s="217"/>
      <c r="F3044" s="104"/>
      <c r="G3044" s="108"/>
      <c r="J3044" s="174"/>
      <c r="K3044" s="4"/>
    </row>
    <row r="3045" spans="3:11" x14ac:dyDescent="0.25">
      <c r="C3045" s="108"/>
      <c r="D3045" s="217"/>
      <c r="E3045" s="217"/>
      <c r="F3045" s="104"/>
      <c r="G3045" s="108"/>
      <c r="J3045" s="174"/>
      <c r="K3045" s="4"/>
    </row>
    <row r="3046" spans="3:11" x14ac:dyDescent="0.25">
      <c r="C3046" s="108"/>
      <c r="D3046" s="217"/>
      <c r="E3046" s="217"/>
      <c r="F3046" s="104"/>
      <c r="G3046" s="108"/>
      <c r="J3046" s="174"/>
      <c r="K3046" s="4"/>
    </row>
    <row r="3047" spans="3:11" x14ac:dyDescent="0.25">
      <c r="C3047" s="108"/>
      <c r="D3047" s="217"/>
      <c r="E3047" s="217"/>
      <c r="F3047" s="104"/>
      <c r="G3047" s="108"/>
      <c r="J3047" s="174"/>
      <c r="K3047" s="4"/>
    </row>
    <row r="3048" spans="3:11" x14ac:dyDescent="0.25">
      <c r="C3048" s="108"/>
      <c r="D3048" s="217"/>
      <c r="E3048" s="217"/>
      <c r="F3048" s="104"/>
      <c r="G3048" s="108"/>
      <c r="J3048" s="174"/>
      <c r="K3048" s="4"/>
    </row>
    <row r="3049" spans="3:11" x14ac:dyDescent="0.25">
      <c r="C3049" s="108"/>
      <c r="D3049" s="217"/>
      <c r="E3049" s="217"/>
      <c r="F3049" s="104"/>
      <c r="G3049" s="108"/>
      <c r="J3049" s="174"/>
      <c r="K3049" s="4"/>
    </row>
    <row r="3050" spans="3:11" x14ac:dyDescent="0.25">
      <c r="C3050" s="108"/>
      <c r="D3050" s="217"/>
      <c r="E3050" s="217"/>
      <c r="F3050" s="104"/>
      <c r="G3050" s="108"/>
      <c r="J3050" s="174"/>
      <c r="K3050" s="4"/>
    </row>
    <row r="3051" spans="3:11" x14ac:dyDescent="0.25">
      <c r="C3051" s="108"/>
      <c r="D3051" s="217"/>
      <c r="E3051" s="217"/>
      <c r="F3051" s="104"/>
      <c r="G3051" s="108"/>
      <c r="J3051" s="174"/>
      <c r="K3051" s="4"/>
    </row>
    <row r="3052" spans="3:11" x14ac:dyDescent="0.25">
      <c r="C3052" s="108"/>
      <c r="D3052" s="217"/>
      <c r="E3052" s="217"/>
      <c r="F3052" s="104"/>
      <c r="G3052" s="108"/>
      <c r="J3052" s="174"/>
      <c r="K3052" s="4"/>
    </row>
    <row r="3053" spans="3:11" x14ac:dyDescent="0.25">
      <c r="C3053" s="108"/>
      <c r="D3053" s="217"/>
      <c r="E3053" s="217"/>
      <c r="F3053" s="104"/>
      <c r="G3053" s="108"/>
      <c r="J3053" s="174"/>
      <c r="K3053" s="4"/>
    </row>
    <row r="3054" spans="3:11" x14ac:dyDescent="0.25">
      <c r="C3054" s="108"/>
      <c r="D3054" s="217"/>
      <c r="E3054" s="217"/>
      <c r="F3054" s="104"/>
      <c r="G3054" s="108"/>
      <c r="J3054" s="174"/>
      <c r="K3054" s="4"/>
    </row>
    <row r="3055" spans="3:11" x14ac:dyDescent="0.25">
      <c r="C3055" s="108"/>
      <c r="D3055" s="217"/>
      <c r="E3055" s="217"/>
      <c r="F3055" s="104"/>
      <c r="G3055" s="108"/>
      <c r="J3055" s="174"/>
      <c r="K3055" s="4"/>
    </row>
    <row r="3056" spans="3:11" x14ac:dyDescent="0.25">
      <c r="C3056" s="108"/>
      <c r="D3056" s="217"/>
      <c r="E3056" s="217"/>
      <c r="F3056" s="104"/>
      <c r="G3056" s="108"/>
      <c r="J3056" s="174"/>
      <c r="K3056" s="4"/>
    </row>
    <row r="3057" spans="3:11" x14ac:dyDescent="0.25">
      <c r="C3057" s="108"/>
      <c r="D3057" s="217"/>
      <c r="E3057" s="217"/>
      <c r="F3057" s="104"/>
      <c r="G3057" s="108"/>
      <c r="J3057" s="174"/>
      <c r="K3057" s="4"/>
    </row>
    <row r="3058" spans="3:11" x14ac:dyDescent="0.25">
      <c r="C3058" s="108"/>
      <c r="D3058" s="217"/>
      <c r="E3058" s="217"/>
      <c r="F3058" s="104"/>
      <c r="G3058" s="108"/>
      <c r="J3058" s="174"/>
      <c r="K3058" s="4"/>
    </row>
    <row r="3059" spans="3:11" x14ac:dyDescent="0.25">
      <c r="C3059" s="108"/>
      <c r="D3059" s="217"/>
      <c r="E3059" s="217"/>
      <c r="F3059" s="104"/>
      <c r="G3059" s="108"/>
      <c r="J3059" s="174"/>
      <c r="K3059" s="4"/>
    </row>
    <row r="3060" spans="3:11" x14ac:dyDescent="0.25">
      <c r="C3060" s="108"/>
      <c r="D3060" s="217"/>
      <c r="E3060" s="217"/>
      <c r="F3060" s="104"/>
      <c r="G3060" s="108"/>
      <c r="J3060" s="174"/>
      <c r="K3060" s="4"/>
    </row>
    <row r="3061" spans="3:11" x14ac:dyDescent="0.25">
      <c r="C3061" s="108"/>
      <c r="D3061" s="217"/>
      <c r="E3061" s="217"/>
      <c r="F3061" s="104"/>
      <c r="G3061" s="108"/>
      <c r="J3061" s="174"/>
      <c r="K3061" s="4"/>
    </row>
    <row r="3062" spans="3:11" x14ac:dyDescent="0.25">
      <c r="C3062" s="108"/>
      <c r="D3062" s="217"/>
      <c r="E3062" s="217"/>
      <c r="F3062" s="104"/>
      <c r="G3062" s="108"/>
      <c r="J3062" s="174"/>
      <c r="K3062" s="4"/>
    </row>
    <row r="3063" spans="3:11" x14ac:dyDescent="0.25">
      <c r="C3063" s="108"/>
      <c r="D3063" s="217"/>
      <c r="E3063" s="217"/>
      <c r="F3063" s="104"/>
      <c r="G3063" s="108"/>
      <c r="J3063" s="174"/>
      <c r="K3063" s="4"/>
    </row>
    <row r="3064" spans="3:11" x14ac:dyDescent="0.25">
      <c r="C3064" s="108"/>
      <c r="D3064" s="217"/>
      <c r="E3064" s="217"/>
      <c r="F3064" s="104"/>
      <c r="G3064" s="108"/>
      <c r="J3064" s="174"/>
      <c r="K3064" s="4"/>
    </row>
    <row r="3065" spans="3:11" x14ac:dyDescent="0.25">
      <c r="C3065" s="108"/>
      <c r="D3065" s="217"/>
      <c r="E3065" s="217"/>
      <c r="F3065" s="104"/>
      <c r="G3065" s="108"/>
      <c r="J3065" s="174"/>
      <c r="K3065" s="4"/>
    </row>
    <row r="3066" spans="3:11" x14ac:dyDescent="0.25">
      <c r="C3066" s="108"/>
      <c r="D3066" s="217"/>
      <c r="E3066" s="217"/>
      <c r="F3066" s="104"/>
      <c r="G3066" s="108"/>
      <c r="J3066" s="174"/>
      <c r="K3066" s="4"/>
    </row>
    <row r="3067" spans="3:11" x14ac:dyDescent="0.25">
      <c r="C3067" s="108"/>
      <c r="D3067" s="217"/>
      <c r="E3067" s="217"/>
      <c r="F3067" s="104"/>
      <c r="G3067" s="108"/>
      <c r="J3067" s="174"/>
      <c r="K3067" s="4"/>
    </row>
    <row r="3068" spans="3:11" x14ac:dyDescent="0.25">
      <c r="C3068" s="108"/>
      <c r="D3068" s="217"/>
      <c r="E3068" s="217"/>
      <c r="F3068" s="104"/>
      <c r="G3068" s="108"/>
      <c r="J3068" s="174"/>
      <c r="K3068" s="4"/>
    </row>
    <row r="3069" spans="3:11" x14ac:dyDescent="0.25">
      <c r="C3069" s="108"/>
      <c r="D3069" s="217"/>
      <c r="E3069" s="217"/>
      <c r="F3069" s="104"/>
      <c r="G3069" s="108"/>
      <c r="J3069" s="174"/>
      <c r="K3069" s="4"/>
    </row>
    <row r="3070" spans="3:11" x14ac:dyDescent="0.25">
      <c r="C3070" s="108"/>
      <c r="D3070" s="217"/>
      <c r="E3070" s="217"/>
      <c r="F3070" s="104"/>
      <c r="G3070" s="108"/>
      <c r="J3070" s="174"/>
      <c r="K3070" s="4"/>
    </row>
    <row r="3071" spans="3:11" x14ac:dyDescent="0.25">
      <c r="C3071" s="108"/>
      <c r="D3071" s="217"/>
      <c r="E3071" s="217"/>
      <c r="F3071" s="104"/>
      <c r="G3071" s="108"/>
      <c r="J3071" s="174"/>
      <c r="K3071" s="4"/>
    </row>
    <row r="3072" spans="3:11" x14ac:dyDescent="0.25">
      <c r="C3072" s="108"/>
      <c r="D3072" s="217"/>
      <c r="E3072" s="217"/>
      <c r="F3072" s="104"/>
      <c r="G3072" s="108"/>
      <c r="J3072" s="174"/>
      <c r="K3072" s="4"/>
    </row>
    <row r="3073" spans="3:11" x14ac:dyDescent="0.25">
      <c r="C3073" s="108"/>
      <c r="D3073" s="217"/>
      <c r="E3073" s="217"/>
      <c r="F3073" s="104"/>
      <c r="G3073" s="108"/>
      <c r="J3073" s="174"/>
      <c r="K3073" s="4"/>
    </row>
    <row r="3074" spans="3:11" x14ac:dyDescent="0.25">
      <c r="C3074" s="108"/>
      <c r="D3074" s="217"/>
      <c r="E3074" s="217"/>
      <c r="F3074" s="104"/>
      <c r="G3074" s="108"/>
      <c r="J3074" s="174"/>
      <c r="K3074" s="4"/>
    </row>
    <row r="3075" spans="3:11" x14ac:dyDescent="0.25">
      <c r="C3075" s="108"/>
      <c r="D3075" s="217"/>
      <c r="E3075" s="217"/>
      <c r="F3075" s="104"/>
      <c r="G3075" s="108"/>
      <c r="J3075" s="174"/>
      <c r="K3075" s="4"/>
    </row>
    <row r="3076" spans="3:11" x14ac:dyDescent="0.25">
      <c r="C3076" s="108"/>
      <c r="D3076" s="217"/>
      <c r="E3076" s="217"/>
      <c r="F3076" s="104"/>
      <c r="G3076" s="108"/>
      <c r="J3076" s="174"/>
      <c r="K3076" s="4"/>
    </row>
    <row r="3077" spans="3:11" x14ac:dyDescent="0.25">
      <c r="C3077" s="108"/>
      <c r="D3077" s="217"/>
      <c r="E3077" s="217"/>
      <c r="F3077" s="104"/>
      <c r="G3077" s="108"/>
      <c r="J3077" s="174"/>
      <c r="K3077" s="4"/>
    </row>
    <row r="3078" spans="3:11" x14ac:dyDescent="0.25">
      <c r="C3078" s="108"/>
      <c r="D3078" s="217"/>
      <c r="E3078" s="217"/>
      <c r="F3078" s="104"/>
      <c r="G3078" s="108"/>
      <c r="J3078" s="174"/>
      <c r="K3078" s="4"/>
    </row>
    <row r="3079" spans="3:11" x14ac:dyDescent="0.25">
      <c r="C3079" s="108"/>
      <c r="D3079" s="217"/>
      <c r="E3079" s="217"/>
      <c r="F3079" s="104"/>
      <c r="G3079" s="108"/>
      <c r="J3079" s="174"/>
      <c r="K3079" s="4"/>
    </row>
    <row r="3080" spans="3:11" x14ac:dyDescent="0.25">
      <c r="C3080" s="108"/>
      <c r="D3080" s="217"/>
      <c r="E3080" s="217"/>
      <c r="F3080" s="104"/>
      <c r="G3080" s="108"/>
      <c r="J3080" s="174"/>
      <c r="K3080" s="4"/>
    </row>
    <row r="3081" spans="3:11" x14ac:dyDescent="0.25">
      <c r="C3081" s="108"/>
      <c r="D3081" s="217"/>
      <c r="E3081" s="217"/>
      <c r="F3081" s="104"/>
      <c r="G3081" s="108"/>
      <c r="J3081" s="174"/>
      <c r="K3081" s="4"/>
    </row>
    <row r="3082" spans="3:11" x14ac:dyDescent="0.25">
      <c r="C3082" s="108"/>
      <c r="D3082" s="217"/>
      <c r="E3082" s="217"/>
      <c r="F3082" s="104"/>
      <c r="G3082" s="108"/>
      <c r="J3082" s="174"/>
      <c r="K3082" s="4"/>
    </row>
    <row r="3083" spans="3:11" x14ac:dyDescent="0.25">
      <c r="C3083" s="108"/>
      <c r="D3083" s="217"/>
      <c r="E3083" s="217"/>
      <c r="F3083" s="104"/>
      <c r="G3083" s="108"/>
      <c r="J3083" s="174"/>
      <c r="K3083" s="4"/>
    </row>
    <row r="3084" spans="3:11" x14ac:dyDescent="0.25">
      <c r="C3084" s="108"/>
      <c r="D3084" s="217"/>
      <c r="E3084" s="217"/>
      <c r="F3084" s="104"/>
      <c r="G3084" s="108"/>
      <c r="J3084" s="174"/>
      <c r="K3084" s="4"/>
    </row>
    <row r="3085" spans="3:11" x14ac:dyDescent="0.25">
      <c r="C3085" s="108"/>
      <c r="D3085" s="217"/>
      <c r="E3085" s="217"/>
      <c r="F3085" s="104"/>
      <c r="G3085" s="108"/>
      <c r="J3085" s="174"/>
      <c r="K3085" s="4"/>
    </row>
    <row r="3086" spans="3:11" x14ac:dyDescent="0.25">
      <c r="C3086" s="108"/>
      <c r="D3086" s="217"/>
      <c r="E3086" s="217"/>
      <c r="F3086" s="104"/>
      <c r="G3086" s="108"/>
      <c r="J3086" s="174"/>
      <c r="K3086" s="4"/>
    </row>
    <row r="3087" spans="3:11" x14ac:dyDescent="0.25">
      <c r="C3087" s="108"/>
      <c r="D3087" s="217"/>
      <c r="E3087" s="217"/>
      <c r="F3087" s="104"/>
      <c r="G3087" s="108"/>
      <c r="J3087" s="174"/>
      <c r="K3087" s="4"/>
    </row>
    <row r="3088" spans="3:11" x14ac:dyDescent="0.25">
      <c r="C3088" s="108"/>
      <c r="D3088" s="217"/>
      <c r="E3088" s="217"/>
      <c r="F3088" s="104"/>
      <c r="G3088" s="108"/>
      <c r="J3088" s="174"/>
      <c r="K3088" s="4"/>
    </row>
    <row r="3089" spans="3:11" x14ac:dyDescent="0.25">
      <c r="C3089" s="108"/>
      <c r="D3089" s="217"/>
      <c r="E3089" s="217"/>
      <c r="F3089" s="104"/>
      <c r="G3089" s="108"/>
      <c r="J3089" s="174"/>
      <c r="K3089" s="4"/>
    </row>
    <row r="3090" spans="3:11" x14ac:dyDescent="0.25">
      <c r="C3090" s="108"/>
      <c r="D3090" s="217"/>
      <c r="E3090" s="217"/>
      <c r="F3090" s="104"/>
      <c r="G3090" s="108"/>
      <c r="J3090" s="174"/>
      <c r="K3090" s="4"/>
    </row>
    <row r="3091" spans="3:11" x14ac:dyDescent="0.25">
      <c r="C3091" s="108"/>
      <c r="D3091" s="217"/>
      <c r="E3091" s="217"/>
      <c r="F3091" s="104"/>
      <c r="G3091" s="108"/>
      <c r="J3091" s="174"/>
      <c r="K3091" s="4"/>
    </row>
    <row r="3092" spans="3:11" x14ac:dyDescent="0.25">
      <c r="C3092" s="108"/>
      <c r="D3092" s="217"/>
      <c r="E3092" s="217"/>
      <c r="F3092" s="104"/>
      <c r="G3092" s="108"/>
      <c r="J3092" s="174"/>
      <c r="K3092" s="4"/>
    </row>
    <row r="3093" spans="3:11" x14ac:dyDescent="0.25">
      <c r="C3093" s="108"/>
      <c r="D3093" s="217"/>
      <c r="E3093" s="217"/>
      <c r="F3093" s="104"/>
      <c r="G3093" s="108"/>
      <c r="J3093" s="174"/>
      <c r="K3093" s="4"/>
    </row>
    <row r="3094" spans="3:11" x14ac:dyDescent="0.25">
      <c r="C3094" s="108"/>
      <c r="D3094" s="217"/>
      <c r="E3094" s="217"/>
      <c r="F3094" s="104"/>
      <c r="G3094" s="108"/>
      <c r="J3094" s="174"/>
      <c r="K3094" s="4"/>
    </row>
    <row r="3095" spans="3:11" x14ac:dyDescent="0.25">
      <c r="C3095" s="108"/>
      <c r="D3095" s="217"/>
      <c r="E3095" s="217"/>
      <c r="F3095" s="104"/>
      <c r="G3095" s="108"/>
      <c r="J3095" s="174"/>
      <c r="K3095" s="4"/>
    </row>
    <row r="3096" spans="3:11" x14ac:dyDescent="0.25">
      <c r="C3096" s="108"/>
      <c r="D3096" s="217"/>
      <c r="E3096" s="217"/>
      <c r="F3096" s="104"/>
      <c r="G3096" s="108"/>
      <c r="J3096" s="174"/>
      <c r="K3096" s="4"/>
    </row>
    <row r="3097" spans="3:11" x14ac:dyDescent="0.25">
      <c r="C3097" s="108"/>
      <c r="D3097" s="217"/>
      <c r="E3097" s="217"/>
      <c r="F3097" s="104"/>
      <c r="G3097" s="108"/>
      <c r="J3097" s="174"/>
      <c r="K3097" s="4"/>
    </row>
    <row r="3098" spans="3:11" x14ac:dyDescent="0.25">
      <c r="C3098" s="108"/>
      <c r="D3098" s="217"/>
      <c r="E3098" s="217"/>
      <c r="F3098" s="104"/>
      <c r="G3098" s="108"/>
      <c r="J3098" s="174"/>
      <c r="K3098" s="4"/>
    </row>
    <row r="3099" spans="3:11" x14ac:dyDescent="0.25">
      <c r="C3099" s="108"/>
      <c r="D3099" s="217"/>
      <c r="E3099" s="217"/>
      <c r="F3099" s="104"/>
      <c r="G3099" s="108"/>
      <c r="J3099" s="174"/>
      <c r="K3099" s="4"/>
    </row>
    <row r="3100" spans="3:11" x14ac:dyDescent="0.25">
      <c r="C3100" s="108"/>
      <c r="D3100" s="217"/>
      <c r="E3100" s="217"/>
      <c r="F3100" s="104"/>
      <c r="G3100" s="108"/>
      <c r="J3100" s="174"/>
      <c r="K3100" s="4"/>
    </row>
    <row r="3101" spans="3:11" x14ac:dyDescent="0.25">
      <c r="C3101" s="108"/>
      <c r="D3101" s="217"/>
      <c r="E3101" s="217"/>
      <c r="F3101" s="104"/>
      <c r="G3101" s="108"/>
      <c r="J3101" s="174"/>
      <c r="K3101" s="4"/>
    </row>
    <row r="3102" spans="3:11" x14ac:dyDescent="0.25">
      <c r="C3102" s="108"/>
      <c r="D3102" s="217"/>
      <c r="E3102" s="217"/>
      <c r="F3102" s="104"/>
      <c r="G3102" s="108"/>
      <c r="J3102" s="174"/>
      <c r="K3102" s="4"/>
    </row>
    <row r="3103" spans="3:11" x14ac:dyDescent="0.25">
      <c r="C3103" s="108"/>
      <c r="D3103" s="217"/>
      <c r="E3103" s="217"/>
      <c r="F3103" s="104"/>
      <c r="G3103" s="108"/>
      <c r="J3103" s="174"/>
      <c r="K3103" s="4"/>
    </row>
    <row r="3104" spans="3:11" x14ac:dyDescent="0.25">
      <c r="C3104" s="108"/>
      <c r="D3104" s="217"/>
      <c r="E3104" s="217"/>
      <c r="F3104" s="104"/>
      <c r="G3104" s="108"/>
      <c r="J3104" s="174"/>
      <c r="K3104" s="4"/>
    </row>
    <row r="3105" spans="3:11" x14ac:dyDescent="0.25">
      <c r="C3105" s="108"/>
      <c r="D3105" s="217"/>
      <c r="E3105" s="217"/>
      <c r="F3105" s="104"/>
      <c r="G3105" s="108"/>
      <c r="J3105" s="174"/>
      <c r="K3105" s="4"/>
    </row>
    <row r="3106" spans="3:11" x14ac:dyDescent="0.25">
      <c r="C3106" s="108"/>
      <c r="D3106" s="217"/>
      <c r="E3106" s="217"/>
      <c r="F3106" s="104"/>
      <c r="G3106" s="108"/>
      <c r="J3106" s="174"/>
      <c r="K3106" s="4"/>
    </row>
    <row r="3107" spans="3:11" x14ac:dyDescent="0.25">
      <c r="C3107" s="108"/>
      <c r="D3107" s="217"/>
      <c r="E3107" s="217"/>
      <c r="F3107" s="104"/>
      <c r="G3107" s="108"/>
      <c r="J3107" s="174"/>
      <c r="K3107" s="4"/>
    </row>
    <row r="3108" spans="3:11" x14ac:dyDescent="0.25">
      <c r="C3108" s="108"/>
      <c r="D3108" s="217"/>
      <c r="E3108" s="217"/>
      <c r="F3108" s="104"/>
      <c r="G3108" s="108"/>
      <c r="J3108" s="174"/>
      <c r="K3108" s="4"/>
    </row>
    <row r="3109" spans="3:11" x14ac:dyDescent="0.25">
      <c r="C3109" s="108"/>
      <c r="D3109" s="217"/>
      <c r="E3109" s="217"/>
      <c r="F3109" s="104"/>
      <c r="G3109" s="108"/>
      <c r="J3109" s="174"/>
      <c r="K3109" s="4"/>
    </row>
    <row r="3110" spans="3:11" x14ac:dyDescent="0.25">
      <c r="C3110" s="108"/>
      <c r="D3110" s="217"/>
      <c r="E3110" s="217"/>
      <c r="F3110" s="104"/>
      <c r="G3110" s="108"/>
      <c r="J3110" s="174"/>
      <c r="K3110" s="4"/>
    </row>
    <row r="3111" spans="3:11" x14ac:dyDescent="0.25">
      <c r="C3111" s="108"/>
      <c r="D3111" s="217"/>
      <c r="E3111" s="217"/>
      <c r="F3111" s="104"/>
      <c r="G3111" s="108"/>
      <c r="J3111" s="174"/>
      <c r="K3111" s="4"/>
    </row>
    <row r="3112" spans="3:11" x14ac:dyDescent="0.25">
      <c r="C3112" s="108"/>
      <c r="D3112" s="217"/>
      <c r="E3112" s="217"/>
      <c r="F3112" s="104"/>
      <c r="G3112" s="108"/>
      <c r="J3112" s="174"/>
      <c r="K3112" s="4"/>
    </row>
    <row r="3113" spans="3:11" x14ac:dyDescent="0.25">
      <c r="C3113" s="108"/>
      <c r="D3113" s="217"/>
      <c r="E3113" s="217"/>
      <c r="F3113" s="104"/>
      <c r="G3113" s="108"/>
      <c r="J3113" s="174"/>
      <c r="K3113" s="4"/>
    </row>
    <row r="3114" spans="3:11" x14ac:dyDescent="0.25">
      <c r="C3114" s="108"/>
      <c r="D3114" s="217"/>
      <c r="E3114" s="217"/>
      <c r="F3114" s="104"/>
      <c r="G3114" s="108"/>
      <c r="J3114" s="174"/>
      <c r="K3114" s="4"/>
    </row>
    <row r="3115" spans="3:11" x14ac:dyDescent="0.25">
      <c r="C3115" s="108"/>
      <c r="D3115" s="217"/>
      <c r="E3115" s="217"/>
      <c r="F3115" s="104"/>
      <c r="G3115" s="108"/>
      <c r="J3115" s="174"/>
      <c r="K3115" s="4"/>
    </row>
    <row r="3116" spans="3:11" x14ac:dyDescent="0.25">
      <c r="C3116" s="108"/>
      <c r="D3116" s="217"/>
      <c r="E3116" s="217"/>
      <c r="F3116" s="104"/>
      <c r="G3116" s="108"/>
      <c r="J3116" s="174"/>
      <c r="K3116" s="4"/>
    </row>
    <row r="3117" spans="3:11" x14ac:dyDescent="0.25">
      <c r="C3117" s="108"/>
      <c r="D3117" s="217"/>
      <c r="E3117" s="217"/>
      <c r="F3117" s="104"/>
      <c r="G3117" s="108"/>
      <c r="J3117" s="174"/>
      <c r="K3117" s="4"/>
    </row>
    <row r="3118" spans="3:11" x14ac:dyDescent="0.25">
      <c r="C3118" s="108"/>
      <c r="D3118" s="217"/>
      <c r="E3118" s="217"/>
      <c r="F3118" s="104"/>
      <c r="G3118" s="108"/>
      <c r="J3118" s="174"/>
      <c r="K3118" s="4"/>
    </row>
    <row r="3119" spans="3:11" x14ac:dyDescent="0.25">
      <c r="C3119" s="108"/>
      <c r="D3119" s="217"/>
      <c r="E3119" s="217"/>
      <c r="F3119" s="104"/>
      <c r="G3119" s="108"/>
      <c r="J3119" s="174"/>
      <c r="K3119" s="4"/>
    </row>
    <row r="3120" spans="3:11" x14ac:dyDescent="0.25">
      <c r="C3120" s="108"/>
      <c r="D3120" s="217"/>
      <c r="E3120" s="217"/>
      <c r="F3120" s="104"/>
      <c r="G3120" s="108"/>
      <c r="J3120" s="174"/>
      <c r="K3120" s="4"/>
    </row>
    <row r="3121" spans="3:11" x14ac:dyDescent="0.25">
      <c r="C3121" s="108"/>
      <c r="D3121" s="217"/>
      <c r="E3121" s="217"/>
      <c r="F3121" s="104"/>
      <c r="G3121" s="108"/>
      <c r="J3121" s="174"/>
      <c r="K3121" s="4"/>
    </row>
    <row r="3122" spans="3:11" x14ac:dyDescent="0.25">
      <c r="C3122" s="108"/>
      <c r="D3122" s="217"/>
      <c r="E3122" s="217"/>
      <c r="F3122" s="104"/>
      <c r="G3122" s="108"/>
      <c r="J3122" s="174"/>
      <c r="K3122" s="4"/>
    </row>
    <row r="3123" spans="3:11" x14ac:dyDescent="0.25">
      <c r="C3123" s="108"/>
      <c r="D3123" s="217"/>
      <c r="E3123" s="217"/>
      <c r="F3123" s="104"/>
      <c r="G3123" s="108"/>
      <c r="J3123" s="174"/>
      <c r="K3123" s="4"/>
    </row>
    <row r="3124" spans="3:11" x14ac:dyDescent="0.25">
      <c r="C3124" s="108"/>
      <c r="D3124" s="217"/>
      <c r="E3124" s="217"/>
      <c r="F3124" s="104"/>
      <c r="G3124" s="108"/>
      <c r="J3124" s="174"/>
      <c r="K3124" s="4"/>
    </row>
    <row r="3125" spans="3:11" x14ac:dyDescent="0.25">
      <c r="C3125" s="108"/>
      <c r="D3125" s="217"/>
      <c r="E3125" s="217"/>
      <c r="F3125" s="104"/>
      <c r="G3125" s="108"/>
      <c r="J3125" s="174"/>
      <c r="K3125" s="4"/>
    </row>
    <row r="3126" spans="3:11" x14ac:dyDescent="0.25">
      <c r="C3126" s="108"/>
      <c r="D3126" s="217"/>
      <c r="E3126" s="217"/>
      <c r="F3126" s="104"/>
      <c r="G3126" s="108"/>
      <c r="J3126" s="174"/>
      <c r="K3126" s="4"/>
    </row>
    <row r="3127" spans="3:11" x14ac:dyDescent="0.25">
      <c r="C3127" s="108"/>
      <c r="D3127" s="217"/>
      <c r="E3127" s="217"/>
      <c r="F3127" s="104"/>
      <c r="G3127" s="108"/>
      <c r="J3127" s="174"/>
      <c r="K3127" s="4"/>
    </row>
    <row r="3128" spans="3:11" x14ac:dyDescent="0.25">
      <c r="C3128" s="108"/>
      <c r="D3128" s="217"/>
      <c r="E3128" s="217"/>
      <c r="F3128" s="104"/>
      <c r="G3128" s="108"/>
      <c r="J3128" s="174"/>
      <c r="K3128" s="4"/>
    </row>
    <row r="3129" spans="3:11" x14ac:dyDescent="0.25">
      <c r="C3129" s="108"/>
      <c r="D3129" s="217"/>
      <c r="E3129" s="217"/>
      <c r="F3129" s="104"/>
      <c r="G3129" s="108"/>
      <c r="J3129" s="174"/>
      <c r="K3129" s="4"/>
    </row>
    <row r="3130" spans="3:11" x14ac:dyDescent="0.25">
      <c r="C3130" s="108"/>
      <c r="D3130" s="217"/>
      <c r="E3130" s="217"/>
      <c r="F3130" s="104"/>
      <c r="G3130" s="108"/>
      <c r="J3130" s="174"/>
      <c r="K3130" s="4"/>
    </row>
    <row r="3131" spans="3:11" x14ac:dyDescent="0.25">
      <c r="C3131" s="108"/>
      <c r="D3131" s="217"/>
      <c r="E3131" s="217"/>
      <c r="F3131" s="104"/>
      <c r="G3131" s="108"/>
      <c r="J3131" s="174"/>
      <c r="K3131" s="4"/>
    </row>
    <row r="3132" spans="3:11" x14ac:dyDescent="0.25">
      <c r="C3132" s="108"/>
      <c r="D3132" s="217"/>
      <c r="E3132" s="217"/>
      <c r="F3132" s="104"/>
      <c r="G3132" s="108"/>
      <c r="J3132" s="174"/>
      <c r="K3132" s="4"/>
    </row>
    <row r="3133" spans="3:11" x14ac:dyDescent="0.25">
      <c r="C3133" s="108"/>
      <c r="D3133" s="217"/>
      <c r="E3133" s="217"/>
      <c r="F3133" s="104"/>
      <c r="G3133" s="108"/>
      <c r="J3133" s="174"/>
      <c r="K3133" s="4"/>
    </row>
    <row r="3134" spans="3:11" x14ac:dyDescent="0.25">
      <c r="C3134" s="108"/>
      <c r="D3134" s="217"/>
      <c r="E3134" s="217"/>
      <c r="F3134" s="104"/>
      <c r="G3134" s="108"/>
      <c r="J3134" s="174"/>
      <c r="K3134" s="4"/>
    </row>
    <row r="3135" spans="3:11" x14ac:dyDescent="0.25">
      <c r="C3135" s="108"/>
      <c r="D3135" s="217"/>
      <c r="E3135" s="217"/>
      <c r="F3135" s="104"/>
      <c r="G3135" s="108"/>
      <c r="J3135" s="174"/>
      <c r="K3135" s="4"/>
    </row>
    <row r="3136" spans="3:11" x14ac:dyDescent="0.25">
      <c r="C3136" s="108"/>
      <c r="D3136" s="217"/>
      <c r="E3136" s="217"/>
      <c r="F3136" s="104"/>
      <c r="G3136" s="108"/>
      <c r="J3136" s="174"/>
      <c r="K3136" s="4"/>
    </row>
    <row r="3137" spans="3:11" x14ac:dyDescent="0.25">
      <c r="C3137" s="108"/>
      <c r="D3137" s="217"/>
      <c r="E3137" s="217"/>
      <c r="F3137" s="104"/>
      <c r="G3137" s="108"/>
      <c r="J3137" s="174"/>
      <c r="K3137" s="4"/>
    </row>
    <row r="3138" spans="3:11" x14ac:dyDescent="0.25">
      <c r="C3138" s="108"/>
      <c r="D3138" s="217"/>
      <c r="E3138" s="217"/>
      <c r="F3138" s="104"/>
      <c r="G3138" s="108"/>
      <c r="J3138" s="174"/>
      <c r="K3138" s="4"/>
    </row>
    <row r="3139" spans="3:11" x14ac:dyDescent="0.25">
      <c r="C3139" s="108"/>
      <c r="D3139" s="217"/>
      <c r="E3139" s="217"/>
      <c r="F3139" s="104"/>
      <c r="G3139" s="108"/>
      <c r="J3139" s="174"/>
      <c r="K3139" s="4"/>
    </row>
    <row r="3140" spans="3:11" x14ac:dyDescent="0.25">
      <c r="C3140" s="108"/>
      <c r="D3140" s="217"/>
      <c r="E3140" s="217"/>
      <c r="F3140" s="104"/>
      <c r="G3140" s="108"/>
      <c r="J3140" s="174"/>
      <c r="K3140" s="4"/>
    </row>
    <row r="3141" spans="3:11" x14ac:dyDescent="0.25">
      <c r="C3141" s="108"/>
      <c r="D3141" s="217"/>
      <c r="E3141" s="217"/>
      <c r="F3141" s="104"/>
      <c r="G3141" s="108"/>
      <c r="J3141" s="174"/>
      <c r="K3141" s="4"/>
    </row>
    <row r="3142" spans="3:11" x14ac:dyDescent="0.25">
      <c r="C3142" s="108"/>
      <c r="D3142" s="217"/>
      <c r="E3142" s="217"/>
      <c r="F3142" s="104"/>
      <c r="G3142" s="108"/>
      <c r="J3142" s="174"/>
      <c r="K3142" s="4"/>
    </row>
    <row r="3143" spans="3:11" x14ac:dyDescent="0.25">
      <c r="C3143" s="108"/>
      <c r="D3143" s="217"/>
      <c r="E3143" s="217"/>
      <c r="F3143" s="104"/>
      <c r="G3143" s="108"/>
      <c r="J3143" s="174"/>
      <c r="K3143" s="4"/>
    </row>
    <row r="3144" spans="3:11" x14ac:dyDescent="0.25">
      <c r="C3144" s="108"/>
      <c r="D3144" s="217"/>
      <c r="E3144" s="217"/>
      <c r="F3144" s="104"/>
      <c r="G3144" s="108"/>
      <c r="J3144" s="174"/>
      <c r="K3144" s="4"/>
    </row>
    <row r="3145" spans="3:11" x14ac:dyDescent="0.25">
      <c r="C3145" s="108"/>
      <c r="D3145" s="217"/>
      <c r="E3145" s="217"/>
      <c r="F3145" s="104"/>
      <c r="G3145" s="108"/>
      <c r="J3145" s="174"/>
      <c r="K3145" s="4"/>
    </row>
    <row r="3146" spans="3:11" x14ac:dyDescent="0.25">
      <c r="C3146" s="108"/>
      <c r="D3146" s="217"/>
      <c r="E3146" s="217"/>
      <c r="F3146" s="104"/>
      <c r="G3146" s="108"/>
      <c r="J3146" s="174"/>
      <c r="K3146" s="4"/>
    </row>
    <row r="3147" spans="3:11" x14ac:dyDescent="0.25">
      <c r="C3147" s="108"/>
      <c r="D3147" s="217"/>
      <c r="E3147" s="217"/>
      <c r="F3147" s="104"/>
      <c r="G3147" s="108"/>
      <c r="J3147" s="174"/>
      <c r="K3147" s="4"/>
    </row>
    <row r="3148" spans="3:11" x14ac:dyDescent="0.25">
      <c r="C3148" s="108"/>
      <c r="D3148" s="217"/>
      <c r="E3148" s="217"/>
      <c r="F3148" s="104"/>
      <c r="G3148" s="108"/>
      <c r="J3148" s="174"/>
      <c r="K3148" s="4"/>
    </row>
    <row r="3149" spans="3:11" x14ac:dyDescent="0.25">
      <c r="C3149" s="108"/>
      <c r="D3149" s="217"/>
      <c r="E3149" s="217"/>
      <c r="F3149" s="104"/>
      <c r="G3149" s="108"/>
      <c r="J3149" s="174"/>
      <c r="K3149" s="4"/>
    </row>
    <row r="3150" spans="3:11" x14ac:dyDescent="0.25">
      <c r="C3150" s="108"/>
      <c r="D3150" s="217"/>
      <c r="E3150" s="217"/>
      <c r="F3150" s="104"/>
      <c r="G3150" s="108"/>
      <c r="J3150" s="174"/>
      <c r="K3150" s="4"/>
    </row>
    <row r="3151" spans="3:11" x14ac:dyDescent="0.25">
      <c r="C3151" s="108"/>
      <c r="D3151" s="217"/>
      <c r="E3151" s="217"/>
      <c r="F3151" s="104"/>
      <c r="G3151" s="108"/>
      <c r="J3151" s="174"/>
      <c r="K3151" s="4"/>
    </row>
    <row r="3152" spans="3:11" x14ac:dyDescent="0.25">
      <c r="C3152" s="108"/>
      <c r="D3152" s="217"/>
      <c r="E3152" s="217"/>
      <c r="F3152" s="104"/>
      <c r="G3152" s="108"/>
      <c r="J3152" s="174"/>
      <c r="K3152" s="4"/>
    </row>
    <row r="3153" spans="3:11" x14ac:dyDescent="0.25">
      <c r="C3153" s="108"/>
      <c r="D3153" s="217"/>
      <c r="E3153" s="217"/>
      <c r="F3153" s="104"/>
      <c r="G3153" s="108"/>
      <c r="J3153" s="174"/>
      <c r="K3153" s="4"/>
    </row>
    <row r="3154" spans="3:11" x14ac:dyDescent="0.25">
      <c r="C3154" s="108"/>
      <c r="D3154" s="217"/>
      <c r="E3154" s="217"/>
      <c r="F3154" s="104"/>
      <c r="G3154" s="108"/>
      <c r="J3154" s="174"/>
      <c r="K3154" s="4"/>
    </row>
    <row r="3155" spans="3:11" x14ac:dyDescent="0.25">
      <c r="C3155" s="108"/>
      <c r="D3155" s="217"/>
      <c r="E3155" s="217"/>
      <c r="F3155" s="104"/>
      <c r="G3155" s="108"/>
      <c r="J3155" s="174"/>
      <c r="K3155" s="4"/>
    </row>
    <row r="3156" spans="3:11" x14ac:dyDescent="0.25">
      <c r="C3156" s="108"/>
      <c r="D3156" s="217"/>
      <c r="E3156" s="217"/>
      <c r="F3156" s="104"/>
      <c r="G3156" s="108"/>
      <c r="J3156" s="174"/>
      <c r="K3156" s="4"/>
    </row>
    <row r="3157" spans="3:11" x14ac:dyDescent="0.25">
      <c r="C3157" s="108"/>
      <c r="D3157" s="217"/>
      <c r="E3157" s="217"/>
      <c r="F3157" s="104"/>
      <c r="G3157" s="108"/>
      <c r="J3157" s="174"/>
      <c r="K3157" s="4"/>
    </row>
    <row r="3158" spans="3:11" x14ac:dyDescent="0.25">
      <c r="C3158" s="108"/>
      <c r="D3158" s="217"/>
      <c r="E3158" s="217"/>
      <c r="F3158" s="104"/>
      <c r="G3158" s="108"/>
      <c r="J3158" s="174"/>
      <c r="K3158" s="4"/>
    </row>
    <row r="3159" spans="3:11" x14ac:dyDescent="0.25">
      <c r="C3159" s="108"/>
      <c r="D3159" s="217"/>
      <c r="E3159" s="217"/>
      <c r="F3159" s="104"/>
      <c r="G3159" s="108"/>
      <c r="J3159" s="174"/>
      <c r="K3159" s="4"/>
    </row>
    <row r="3160" spans="3:11" x14ac:dyDescent="0.25">
      <c r="C3160" s="108"/>
      <c r="D3160" s="217"/>
      <c r="E3160" s="217"/>
      <c r="F3160" s="104"/>
      <c r="G3160" s="108"/>
      <c r="J3160" s="174"/>
      <c r="K3160" s="4"/>
    </row>
    <row r="3161" spans="3:11" x14ac:dyDescent="0.25">
      <c r="C3161" s="108"/>
      <c r="D3161" s="217"/>
      <c r="E3161" s="217"/>
      <c r="F3161" s="104"/>
      <c r="G3161" s="108"/>
      <c r="J3161" s="174"/>
      <c r="K3161" s="4"/>
    </row>
    <row r="3162" spans="3:11" x14ac:dyDescent="0.25">
      <c r="C3162" s="108"/>
      <c r="D3162" s="217"/>
      <c r="E3162" s="217"/>
      <c r="F3162" s="104"/>
      <c r="G3162" s="108"/>
      <c r="J3162" s="174"/>
      <c r="K3162" s="4"/>
    </row>
    <row r="3163" spans="3:11" x14ac:dyDescent="0.25">
      <c r="C3163" s="108"/>
      <c r="D3163" s="217"/>
      <c r="E3163" s="217"/>
      <c r="F3163" s="104"/>
      <c r="G3163" s="108"/>
      <c r="J3163" s="174"/>
      <c r="K3163" s="4"/>
    </row>
    <row r="3164" spans="3:11" x14ac:dyDescent="0.25">
      <c r="C3164" s="108"/>
      <c r="D3164" s="217"/>
      <c r="E3164" s="217"/>
      <c r="F3164" s="104"/>
      <c r="G3164" s="108"/>
      <c r="J3164" s="174"/>
      <c r="K3164" s="4"/>
    </row>
    <row r="3165" spans="3:11" x14ac:dyDescent="0.25">
      <c r="C3165" s="108"/>
      <c r="D3165" s="217"/>
      <c r="E3165" s="217"/>
      <c r="F3165" s="104"/>
      <c r="G3165" s="108"/>
      <c r="J3165" s="174"/>
      <c r="K3165" s="4"/>
    </row>
    <row r="3166" spans="3:11" x14ac:dyDescent="0.25">
      <c r="C3166" s="108"/>
      <c r="D3166" s="217"/>
      <c r="E3166" s="217"/>
      <c r="F3166" s="104"/>
      <c r="G3166" s="108"/>
      <c r="J3166" s="174"/>
      <c r="K3166" s="4"/>
    </row>
    <row r="3167" spans="3:11" x14ac:dyDescent="0.25">
      <c r="C3167" s="108"/>
      <c r="D3167" s="217"/>
      <c r="E3167" s="217"/>
      <c r="F3167" s="104"/>
      <c r="G3167" s="108"/>
      <c r="J3167" s="174"/>
      <c r="K3167" s="4"/>
    </row>
    <row r="3168" spans="3:11" x14ac:dyDescent="0.25">
      <c r="C3168" s="108"/>
      <c r="D3168" s="217"/>
      <c r="E3168" s="217"/>
      <c r="F3168" s="104"/>
      <c r="G3168" s="108"/>
      <c r="J3168" s="174"/>
      <c r="K3168" s="4"/>
    </row>
    <row r="3169" spans="3:11" x14ac:dyDescent="0.25">
      <c r="C3169" s="108"/>
      <c r="D3169" s="217"/>
      <c r="E3169" s="217"/>
      <c r="F3169" s="104"/>
      <c r="G3169" s="108"/>
      <c r="J3169" s="174"/>
      <c r="K3169" s="4"/>
    </row>
    <row r="3170" spans="3:11" x14ac:dyDescent="0.25">
      <c r="C3170" s="108"/>
      <c r="D3170" s="217"/>
      <c r="E3170" s="217"/>
      <c r="F3170" s="104"/>
      <c r="G3170" s="108"/>
      <c r="J3170" s="174"/>
      <c r="K3170" s="4"/>
    </row>
    <row r="3171" spans="3:11" x14ac:dyDescent="0.25">
      <c r="C3171" s="108"/>
      <c r="D3171" s="217"/>
      <c r="E3171" s="217"/>
      <c r="F3171" s="104"/>
      <c r="G3171" s="108"/>
      <c r="J3171" s="174"/>
      <c r="K3171" s="4"/>
    </row>
    <row r="3172" spans="3:11" x14ac:dyDescent="0.25">
      <c r="C3172" s="108"/>
      <c r="D3172" s="217"/>
      <c r="E3172" s="217"/>
      <c r="F3172" s="104"/>
      <c r="G3172" s="108"/>
      <c r="J3172" s="174"/>
      <c r="K3172" s="4"/>
    </row>
    <row r="3173" spans="3:11" x14ac:dyDescent="0.25">
      <c r="C3173" s="108"/>
      <c r="D3173" s="217"/>
      <c r="E3173" s="217"/>
      <c r="F3173" s="104"/>
      <c r="G3173" s="108"/>
      <c r="J3173" s="174"/>
      <c r="K3173" s="4"/>
    </row>
    <row r="3174" spans="3:11" x14ac:dyDescent="0.25">
      <c r="C3174" s="108"/>
      <c r="D3174" s="217"/>
      <c r="E3174" s="217"/>
      <c r="F3174" s="104"/>
      <c r="G3174" s="108"/>
      <c r="J3174" s="174"/>
      <c r="K3174" s="4"/>
    </row>
    <row r="3175" spans="3:11" x14ac:dyDescent="0.25">
      <c r="C3175" s="108"/>
      <c r="D3175" s="217"/>
      <c r="E3175" s="217"/>
      <c r="F3175" s="104"/>
      <c r="G3175" s="108"/>
      <c r="J3175" s="174"/>
      <c r="K3175" s="4"/>
    </row>
    <row r="3176" spans="3:11" x14ac:dyDescent="0.25">
      <c r="C3176" s="108"/>
      <c r="D3176" s="217"/>
      <c r="E3176" s="217"/>
      <c r="F3176" s="104"/>
      <c r="G3176" s="108"/>
      <c r="J3176" s="174"/>
      <c r="K3176" s="4"/>
    </row>
    <row r="3177" spans="3:11" x14ac:dyDescent="0.25">
      <c r="C3177" s="108"/>
      <c r="D3177" s="217"/>
      <c r="E3177" s="217"/>
      <c r="F3177" s="104"/>
      <c r="G3177" s="108"/>
      <c r="J3177" s="174"/>
      <c r="K3177" s="4"/>
    </row>
    <row r="3178" spans="3:11" x14ac:dyDescent="0.25">
      <c r="C3178" s="108"/>
      <c r="D3178" s="217"/>
      <c r="E3178" s="217"/>
      <c r="F3178" s="104"/>
      <c r="G3178" s="108"/>
      <c r="J3178" s="174"/>
      <c r="K3178" s="4"/>
    </row>
    <row r="3179" spans="3:11" x14ac:dyDescent="0.25">
      <c r="C3179" s="108"/>
      <c r="D3179" s="217"/>
      <c r="E3179" s="217"/>
      <c r="F3179" s="104"/>
      <c r="G3179" s="108"/>
      <c r="J3179" s="174"/>
      <c r="K3179" s="4"/>
    </row>
    <row r="3180" spans="3:11" x14ac:dyDescent="0.25">
      <c r="C3180" s="108"/>
      <c r="D3180" s="217"/>
      <c r="E3180" s="217"/>
      <c r="F3180" s="104"/>
      <c r="G3180" s="108"/>
      <c r="J3180" s="174"/>
      <c r="K3180" s="4"/>
    </row>
    <row r="3181" spans="3:11" x14ac:dyDescent="0.25">
      <c r="C3181" s="108"/>
      <c r="D3181" s="217"/>
      <c r="E3181" s="217"/>
      <c r="F3181" s="104"/>
      <c r="G3181" s="108"/>
      <c r="J3181" s="174"/>
      <c r="K3181" s="4"/>
    </row>
    <row r="3182" spans="3:11" x14ac:dyDescent="0.25">
      <c r="C3182" s="108"/>
      <c r="D3182" s="217"/>
      <c r="E3182" s="217"/>
      <c r="F3182" s="104"/>
      <c r="G3182" s="108"/>
      <c r="J3182" s="174"/>
      <c r="K3182" s="4"/>
    </row>
    <row r="3183" spans="3:11" x14ac:dyDescent="0.25">
      <c r="C3183" s="108"/>
      <c r="D3183" s="217"/>
      <c r="E3183" s="217"/>
      <c r="F3183" s="104"/>
      <c r="G3183" s="108"/>
      <c r="J3183" s="174"/>
      <c r="K3183" s="4"/>
    </row>
    <row r="3184" spans="3:11" x14ac:dyDescent="0.25">
      <c r="C3184" s="108"/>
      <c r="D3184" s="217"/>
      <c r="E3184" s="217"/>
      <c r="F3184" s="104"/>
      <c r="G3184" s="108"/>
      <c r="J3184" s="174"/>
      <c r="K3184" s="4"/>
    </row>
    <row r="3185" spans="3:11" x14ac:dyDescent="0.25">
      <c r="C3185" s="108"/>
      <c r="D3185" s="217"/>
      <c r="E3185" s="217"/>
      <c r="F3185" s="104"/>
      <c r="G3185" s="108"/>
      <c r="J3185" s="174"/>
      <c r="K3185" s="4"/>
    </row>
    <row r="3186" spans="3:11" x14ac:dyDescent="0.25">
      <c r="C3186" s="108"/>
      <c r="D3186" s="217"/>
      <c r="E3186" s="217"/>
      <c r="F3186" s="104"/>
      <c r="G3186" s="108"/>
      <c r="J3186" s="174"/>
      <c r="K3186" s="4"/>
    </row>
    <row r="3187" spans="3:11" x14ac:dyDescent="0.25">
      <c r="C3187" s="108"/>
      <c r="D3187" s="217"/>
      <c r="E3187" s="217"/>
      <c r="F3187" s="104"/>
      <c r="G3187" s="108"/>
      <c r="J3187" s="174"/>
      <c r="K3187" s="4"/>
    </row>
    <row r="3188" spans="3:11" x14ac:dyDescent="0.25">
      <c r="C3188" s="108"/>
      <c r="D3188" s="217"/>
      <c r="E3188" s="217"/>
      <c r="F3188" s="104"/>
      <c r="G3188" s="108"/>
      <c r="J3188" s="174"/>
      <c r="K3188" s="4"/>
    </row>
    <row r="3189" spans="3:11" x14ac:dyDescent="0.25">
      <c r="C3189" s="108"/>
      <c r="D3189" s="217"/>
      <c r="E3189" s="217"/>
      <c r="F3189" s="104"/>
      <c r="G3189" s="108"/>
      <c r="J3189" s="174"/>
      <c r="K3189" s="4"/>
    </row>
    <row r="3190" spans="3:11" x14ac:dyDescent="0.25">
      <c r="C3190" s="108"/>
      <c r="D3190" s="217"/>
      <c r="E3190" s="217"/>
      <c r="F3190" s="104"/>
      <c r="G3190" s="108"/>
      <c r="J3190" s="174"/>
      <c r="K3190" s="4"/>
    </row>
    <row r="3191" spans="3:11" x14ac:dyDescent="0.25">
      <c r="C3191" s="108"/>
      <c r="D3191" s="217"/>
      <c r="E3191" s="217"/>
      <c r="F3191" s="104"/>
      <c r="G3191" s="108"/>
      <c r="J3191" s="174"/>
      <c r="K3191" s="4"/>
    </row>
    <row r="3192" spans="3:11" x14ac:dyDescent="0.25">
      <c r="C3192" s="108"/>
      <c r="D3192" s="217"/>
      <c r="E3192" s="217"/>
      <c r="F3192" s="104"/>
      <c r="G3192" s="108"/>
      <c r="J3192" s="174"/>
      <c r="K3192" s="4"/>
    </row>
    <row r="3193" spans="3:11" x14ac:dyDescent="0.25">
      <c r="C3193" s="108"/>
      <c r="D3193" s="217"/>
      <c r="E3193" s="217"/>
      <c r="F3193" s="104"/>
      <c r="G3193" s="108"/>
      <c r="J3193" s="174"/>
      <c r="K3193" s="4"/>
    </row>
    <row r="3194" spans="3:11" x14ac:dyDescent="0.25">
      <c r="C3194" s="108"/>
      <c r="D3194" s="217"/>
      <c r="E3194" s="217"/>
      <c r="F3194" s="104"/>
      <c r="G3194" s="108"/>
      <c r="J3194" s="174"/>
      <c r="K3194" s="4"/>
    </row>
    <row r="3195" spans="3:11" x14ac:dyDescent="0.25">
      <c r="C3195" s="108"/>
      <c r="D3195" s="217"/>
      <c r="E3195" s="217"/>
      <c r="F3195" s="104"/>
      <c r="G3195" s="108"/>
      <c r="J3195" s="174"/>
      <c r="K3195" s="4"/>
    </row>
    <row r="3196" spans="3:11" x14ac:dyDescent="0.25">
      <c r="C3196" s="108"/>
      <c r="D3196" s="217"/>
      <c r="E3196" s="217"/>
      <c r="F3196" s="104"/>
      <c r="G3196" s="108"/>
      <c r="J3196" s="174"/>
      <c r="K3196" s="4"/>
    </row>
    <row r="3197" spans="3:11" x14ac:dyDescent="0.25">
      <c r="C3197" s="108"/>
      <c r="D3197" s="217"/>
      <c r="E3197" s="217"/>
      <c r="F3197" s="104"/>
      <c r="G3197" s="108"/>
      <c r="J3197" s="174"/>
      <c r="K3197" s="4"/>
    </row>
    <row r="3198" spans="3:11" x14ac:dyDescent="0.25">
      <c r="C3198" s="108"/>
      <c r="D3198" s="217"/>
      <c r="E3198" s="217"/>
      <c r="F3198" s="104"/>
      <c r="G3198" s="108"/>
      <c r="J3198" s="174"/>
      <c r="K3198" s="4"/>
    </row>
    <row r="3199" spans="3:11" x14ac:dyDescent="0.25">
      <c r="C3199" s="108"/>
      <c r="D3199" s="217"/>
      <c r="E3199" s="217"/>
      <c r="F3199" s="104"/>
      <c r="G3199" s="108"/>
      <c r="J3199" s="174"/>
      <c r="K3199" s="4"/>
    </row>
    <row r="3200" spans="3:11" x14ac:dyDescent="0.25">
      <c r="C3200" s="108"/>
      <c r="D3200" s="217"/>
      <c r="E3200" s="217"/>
      <c r="F3200" s="104"/>
      <c r="G3200" s="108"/>
      <c r="J3200" s="174"/>
      <c r="K3200" s="4"/>
    </row>
    <row r="3201" spans="3:11" x14ac:dyDescent="0.25">
      <c r="C3201" s="108"/>
      <c r="D3201" s="217"/>
      <c r="E3201" s="217"/>
      <c r="F3201" s="104"/>
      <c r="G3201" s="108"/>
      <c r="J3201" s="174"/>
      <c r="K3201" s="4"/>
    </row>
    <row r="3202" spans="3:11" x14ac:dyDescent="0.25">
      <c r="C3202" s="108"/>
      <c r="D3202" s="217"/>
      <c r="E3202" s="217"/>
      <c r="F3202" s="104"/>
      <c r="G3202" s="108"/>
      <c r="J3202" s="174"/>
      <c r="K3202" s="4"/>
    </row>
    <row r="3203" spans="3:11" x14ac:dyDescent="0.25">
      <c r="C3203" s="108"/>
      <c r="D3203" s="217"/>
      <c r="E3203" s="217"/>
      <c r="F3203" s="104"/>
      <c r="G3203" s="108"/>
      <c r="J3203" s="174"/>
      <c r="K3203" s="4"/>
    </row>
    <row r="3204" spans="3:11" x14ac:dyDescent="0.25">
      <c r="C3204" s="108"/>
      <c r="D3204" s="217"/>
      <c r="E3204" s="217"/>
      <c r="F3204" s="104"/>
      <c r="G3204" s="108"/>
      <c r="J3204" s="174"/>
      <c r="K3204" s="4"/>
    </row>
    <row r="3205" spans="3:11" x14ac:dyDescent="0.25">
      <c r="C3205" s="108"/>
      <c r="D3205" s="217"/>
      <c r="E3205" s="217"/>
      <c r="F3205" s="104"/>
      <c r="G3205" s="108"/>
      <c r="J3205" s="174"/>
      <c r="K3205" s="4"/>
    </row>
    <row r="3206" spans="3:11" x14ac:dyDescent="0.25">
      <c r="C3206" s="108"/>
      <c r="D3206" s="217"/>
      <c r="E3206" s="217"/>
      <c r="F3206" s="104"/>
      <c r="G3206" s="108"/>
      <c r="J3206" s="174"/>
      <c r="K3206" s="4"/>
    </row>
    <row r="3207" spans="3:11" x14ac:dyDescent="0.25">
      <c r="C3207" s="108"/>
      <c r="D3207" s="217"/>
      <c r="E3207" s="217"/>
      <c r="F3207" s="104"/>
      <c r="G3207" s="108"/>
      <c r="J3207" s="174"/>
      <c r="K3207" s="4"/>
    </row>
    <row r="3208" spans="3:11" x14ac:dyDescent="0.25">
      <c r="C3208" s="108"/>
      <c r="D3208" s="217"/>
      <c r="E3208" s="217"/>
      <c r="F3208" s="104"/>
      <c r="G3208" s="108"/>
      <c r="J3208" s="174"/>
      <c r="K3208" s="4"/>
    </row>
    <row r="3209" spans="3:11" x14ac:dyDescent="0.25">
      <c r="C3209" s="108"/>
      <c r="D3209" s="217"/>
      <c r="E3209" s="217"/>
      <c r="F3209" s="104"/>
      <c r="G3209" s="108"/>
      <c r="J3209" s="174"/>
      <c r="K3209" s="4"/>
    </row>
    <row r="3210" spans="3:11" x14ac:dyDescent="0.25">
      <c r="C3210" s="108"/>
      <c r="D3210" s="217"/>
      <c r="E3210" s="217"/>
      <c r="F3210" s="104"/>
      <c r="G3210" s="108"/>
      <c r="J3210" s="174"/>
      <c r="K3210" s="4"/>
    </row>
    <row r="3211" spans="3:11" x14ac:dyDescent="0.25">
      <c r="C3211" s="108"/>
      <c r="D3211" s="217"/>
      <c r="E3211" s="217"/>
      <c r="F3211" s="104"/>
      <c r="G3211" s="108"/>
      <c r="J3211" s="174"/>
      <c r="K3211" s="4"/>
    </row>
    <row r="3212" spans="3:11" x14ac:dyDescent="0.25">
      <c r="C3212" s="108"/>
      <c r="D3212" s="217"/>
      <c r="E3212" s="217"/>
      <c r="F3212" s="104"/>
      <c r="G3212" s="108"/>
      <c r="J3212" s="174"/>
      <c r="K3212" s="4"/>
    </row>
    <row r="3213" spans="3:11" x14ac:dyDescent="0.25">
      <c r="C3213" s="108"/>
      <c r="D3213" s="217"/>
      <c r="E3213" s="217"/>
      <c r="F3213" s="104"/>
      <c r="G3213" s="108"/>
      <c r="J3213" s="174"/>
      <c r="K3213" s="4"/>
    </row>
    <row r="3214" spans="3:11" x14ac:dyDescent="0.25">
      <c r="C3214" s="108"/>
      <c r="D3214" s="217"/>
      <c r="E3214" s="217"/>
      <c r="F3214" s="104"/>
      <c r="G3214" s="108"/>
      <c r="J3214" s="174"/>
      <c r="K3214" s="4"/>
    </row>
    <row r="3215" spans="3:11" x14ac:dyDescent="0.25">
      <c r="C3215" s="108"/>
      <c r="D3215" s="217"/>
      <c r="E3215" s="217"/>
      <c r="F3215" s="104"/>
      <c r="G3215" s="108"/>
      <c r="J3215" s="174"/>
      <c r="K3215" s="4"/>
    </row>
    <row r="3216" spans="3:11" x14ac:dyDescent="0.25">
      <c r="C3216" s="108"/>
      <c r="D3216" s="217"/>
      <c r="E3216" s="217"/>
      <c r="F3216" s="104"/>
      <c r="G3216" s="108"/>
      <c r="J3216" s="174"/>
      <c r="K3216" s="4"/>
    </row>
    <row r="3217" spans="3:11" x14ac:dyDescent="0.25">
      <c r="C3217" s="108"/>
      <c r="D3217" s="217"/>
      <c r="E3217" s="217"/>
      <c r="F3217" s="104"/>
      <c r="G3217" s="108"/>
      <c r="J3217" s="174"/>
      <c r="K3217" s="4"/>
    </row>
    <row r="3218" spans="3:11" x14ac:dyDescent="0.25">
      <c r="C3218" s="108"/>
      <c r="D3218" s="217"/>
      <c r="E3218" s="217"/>
      <c r="F3218" s="104"/>
      <c r="G3218" s="108"/>
      <c r="J3218" s="174"/>
      <c r="K3218" s="4"/>
    </row>
    <row r="3219" spans="3:11" x14ac:dyDescent="0.25">
      <c r="C3219" s="108"/>
      <c r="D3219" s="217"/>
      <c r="E3219" s="217"/>
      <c r="F3219" s="104"/>
      <c r="G3219" s="108"/>
      <c r="J3219" s="174"/>
      <c r="K3219" s="4"/>
    </row>
    <row r="3220" spans="3:11" x14ac:dyDescent="0.25">
      <c r="C3220" s="108"/>
      <c r="D3220" s="217"/>
      <c r="E3220" s="217"/>
      <c r="F3220" s="104"/>
      <c r="G3220" s="108"/>
      <c r="J3220" s="174"/>
      <c r="K3220" s="4"/>
    </row>
    <row r="3221" spans="3:11" x14ac:dyDescent="0.25">
      <c r="C3221" s="108"/>
      <c r="D3221" s="217"/>
      <c r="E3221" s="217"/>
      <c r="F3221" s="104"/>
      <c r="G3221" s="108"/>
      <c r="J3221" s="174"/>
      <c r="K3221" s="4"/>
    </row>
    <row r="3222" spans="3:11" x14ac:dyDescent="0.25">
      <c r="C3222" s="108"/>
      <c r="D3222" s="217"/>
      <c r="E3222" s="217"/>
      <c r="F3222" s="104"/>
      <c r="G3222" s="108"/>
      <c r="J3222" s="174"/>
      <c r="K3222" s="4"/>
    </row>
    <row r="3223" spans="3:11" x14ac:dyDescent="0.25">
      <c r="C3223" s="108"/>
      <c r="D3223" s="217"/>
      <c r="E3223" s="217"/>
      <c r="F3223" s="104"/>
      <c r="G3223" s="108"/>
      <c r="J3223" s="174"/>
      <c r="K3223" s="4"/>
    </row>
    <row r="3224" spans="3:11" x14ac:dyDescent="0.25">
      <c r="C3224" s="108"/>
      <c r="D3224" s="217"/>
      <c r="E3224" s="217"/>
      <c r="F3224" s="104"/>
      <c r="G3224" s="108"/>
      <c r="J3224" s="174"/>
      <c r="K3224" s="4"/>
    </row>
    <row r="3225" spans="3:11" x14ac:dyDescent="0.25">
      <c r="C3225" s="108"/>
      <c r="D3225" s="217"/>
      <c r="E3225" s="217"/>
      <c r="F3225" s="104"/>
      <c r="G3225" s="108"/>
      <c r="J3225" s="174"/>
      <c r="K3225" s="4"/>
    </row>
    <row r="3226" spans="3:11" x14ac:dyDescent="0.25">
      <c r="C3226" s="108"/>
      <c r="D3226" s="217"/>
      <c r="E3226" s="217"/>
      <c r="F3226" s="104"/>
      <c r="G3226" s="108"/>
      <c r="J3226" s="174"/>
      <c r="K3226" s="4"/>
    </row>
    <row r="3227" spans="3:11" x14ac:dyDescent="0.25">
      <c r="C3227" s="108"/>
      <c r="D3227" s="217"/>
      <c r="E3227" s="217"/>
      <c r="F3227" s="104"/>
      <c r="G3227" s="108"/>
      <c r="J3227" s="174"/>
      <c r="K3227" s="4"/>
    </row>
    <row r="3228" spans="3:11" x14ac:dyDescent="0.25">
      <c r="C3228" s="108"/>
      <c r="D3228" s="217"/>
      <c r="E3228" s="217"/>
      <c r="F3228" s="104"/>
      <c r="G3228" s="108"/>
      <c r="J3228" s="174"/>
      <c r="K3228" s="4"/>
    </row>
    <row r="3229" spans="3:11" x14ac:dyDescent="0.25">
      <c r="C3229" s="108"/>
      <c r="D3229" s="217"/>
      <c r="E3229" s="217"/>
      <c r="F3229" s="104"/>
      <c r="G3229" s="108"/>
      <c r="J3229" s="174"/>
      <c r="K3229" s="4"/>
    </row>
    <row r="3230" spans="3:11" x14ac:dyDescent="0.25">
      <c r="C3230" s="108"/>
      <c r="D3230" s="217"/>
      <c r="E3230" s="217"/>
      <c r="F3230" s="104"/>
      <c r="G3230" s="108"/>
      <c r="J3230" s="174"/>
      <c r="K3230" s="4"/>
    </row>
    <row r="3231" spans="3:11" x14ac:dyDescent="0.25">
      <c r="C3231" s="108"/>
      <c r="D3231" s="217"/>
      <c r="E3231" s="217"/>
      <c r="F3231" s="104"/>
      <c r="G3231" s="108"/>
      <c r="J3231" s="174"/>
      <c r="K3231" s="4"/>
    </row>
    <row r="3232" spans="3:11" x14ac:dyDescent="0.25">
      <c r="C3232" s="108"/>
      <c r="D3232" s="217"/>
      <c r="E3232" s="217"/>
      <c r="F3232" s="104"/>
      <c r="G3232" s="108"/>
      <c r="J3232" s="174"/>
      <c r="K3232" s="4"/>
    </row>
    <row r="3233" spans="3:11" x14ac:dyDescent="0.25">
      <c r="C3233" s="108"/>
      <c r="D3233" s="217"/>
      <c r="E3233" s="217"/>
      <c r="F3233" s="104"/>
      <c r="G3233" s="108"/>
      <c r="J3233" s="174"/>
      <c r="K3233" s="4"/>
    </row>
    <row r="3234" spans="3:11" x14ac:dyDescent="0.25">
      <c r="C3234" s="108"/>
      <c r="D3234" s="217"/>
      <c r="E3234" s="217"/>
      <c r="F3234" s="104"/>
      <c r="G3234" s="108"/>
      <c r="J3234" s="174"/>
      <c r="K3234" s="4"/>
    </row>
    <row r="3235" spans="3:11" x14ac:dyDescent="0.25">
      <c r="C3235" s="108"/>
      <c r="D3235" s="217"/>
      <c r="E3235" s="217"/>
      <c r="F3235" s="104"/>
      <c r="G3235" s="108"/>
      <c r="J3235" s="174"/>
      <c r="K3235" s="4"/>
    </row>
    <row r="3236" spans="3:11" x14ac:dyDescent="0.25">
      <c r="C3236" s="108"/>
      <c r="D3236" s="217"/>
      <c r="E3236" s="217"/>
      <c r="F3236" s="104"/>
      <c r="G3236" s="108"/>
      <c r="J3236" s="174"/>
      <c r="K3236" s="4"/>
    </row>
    <row r="3237" spans="3:11" x14ac:dyDescent="0.25">
      <c r="C3237" s="108"/>
      <c r="D3237" s="217"/>
      <c r="E3237" s="217"/>
      <c r="F3237" s="104"/>
      <c r="G3237" s="108"/>
      <c r="J3237" s="174"/>
      <c r="K3237" s="4"/>
    </row>
    <row r="3238" spans="3:11" x14ac:dyDescent="0.25">
      <c r="C3238" s="108"/>
      <c r="D3238" s="217"/>
      <c r="E3238" s="217"/>
      <c r="F3238" s="104"/>
      <c r="G3238" s="108"/>
      <c r="J3238" s="174"/>
      <c r="K3238" s="4"/>
    </row>
    <row r="3239" spans="3:11" x14ac:dyDescent="0.25">
      <c r="C3239" s="108"/>
      <c r="D3239" s="217"/>
      <c r="E3239" s="217"/>
      <c r="F3239" s="104"/>
      <c r="G3239" s="108"/>
      <c r="J3239" s="174"/>
      <c r="K3239" s="4"/>
    </row>
    <row r="3240" spans="3:11" x14ac:dyDescent="0.25">
      <c r="C3240" s="108"/>
      <c r="D3240" s="217"/>
      <c r="E3240" s="217"/>
      <c r="F3240" s="104"/>
      <c r="G3240" s="108"/>
      <c r="J3240" s="174"/>
      <c r="K3240" s="4"/>
    </row>
    <row r="3241" spans="3:11" x14ac:dyDescent="0.25">
      <c r="C3241" s="108"/>
      <c r="D3241" s="217"/>
      <c r="E3241" s="217"/>
      <c r="F3241" s="104"/>
      <c r="G3241" s="108"/>
      <c r="J3241" s="174"/>
      <c r="K3241" s="4"/>
    </row>
    <row r="3242" spans="3:11" x14ac:dyDescent="0.25">
      <c r="C3242" s="108"/>
      <c r="D3242" s="217"/>
      <c r="E3242" s="217"/>
      <c r="F3242" s="104"/>
      <c r="G3242" s="108"/>
      <c r="J3242" s="174"/>
      <c r="K3242" s="4"/>
    </row>
    <row r="3243" spans="3:11" x14ac:dyDescent="0.25">
      <c r="C3243" s="108"/>
      <c r="D3243" s="217"/>
      <c r="E3243" s="217"/>
      <c r="F3243" s="104"/>
      <c r="G3243" s="108"/>
      <c r="J3243" s="174"/>
      <c r="K3243" s="4"/>
    </row>
    <row r="3244" spans="3:11" x14ac:dyDescent="0.25">
      <c r="C3244" s="108"/>
      <c r="D3244" s="217"/>
      <c r="E3244" s="217"/>
      <c r="F3244" s="104"/>
      <c r="G3244" s="108"/>
      <c r="J3244" s="174"/>
      <c r="K3244" s="4"/>
    </row>
    <row r="3245" spans="3:11" x14ac:dyDescent="0.25">
      <c r="C3245" s="108"/>
      <c r="D3245" s="217"/>
      <c r="E3245" s="217"/>
      <c r="F3245" s="104"/>
      <c r="G3245" s="108"/>
      <c r="J3245" s="174"/>
      <c r="K3245" s="4"/>
    </row>
    <row r="3246" spans="3:11" x14ac:dyDescent="0.25">
      <c r="C3246" s="108"/>
      <c r="D3246" s="217"/>
      <c r="E3246" s="217"/>
      <c r="F3246" s="104"/>
      <c r="G3246" s="108"/>
      <c r="J3246" s="174"/>
      <c r="K3246" s="4"/>
    </row>
    <row r="3247" spans="3:11" x14ac:dyDescent="0.25">
      <c r="C3247" s="108"/>
      <c r="D3247" s="217"/>
      <c r="E3247" s="217"/>
      <c r="F3247" s="104"/>
      <c r="G3247" s="108"/>
      <c r="J3247" s="174"/>
      <c r="K3247" s="4"/>
    </row>
    <row r="3248" spans="3:11" x14ac:dyDescent="0.25">
      <c r="C3248" s="108"/>
      <c r="D3248" s="217"/>
      <c r="E3248" s="217"/>
      <c r="F3248" s="104"/>
      <c r="G3248" s="108"/>
      <c r="J3248" s="174"/>
      <c r="K3248" s="4"/>
    </row>
    <row r="3249" spans="3:11" x14ac:dyDescent="0.25">
      <c r="C3249" s="108"/>
      <c r="D3249" s="217"/>
      <c r="E3249" s="217"/>
      <c r="F3249" s="104"/>
      <c r="G3249" s="108"/>
      <c r="J3249" s="174"/>
      <c r="K3249" s="4"/>
    </row>
    <row r="3250" spans="3:11" x14ac:dyDescent="0.25">
      <c r="C3250" s="108"/>
      <c r="D3250" s="217"/>
      <c r="E3250" s="217"/>
      <c r="F3250" s="104"/>
      <c r="G3250" s="108"/>
      <c r="J3250" s="174"/>
      <c r="K3250" s="4"/>
    </row>
    <row r="3251" spans="3:11" x14ac:dyDescent="0.25">
      <c r="C3251" s="108"/>
      <c r="D3251" s="217"/>
      <c r="E3251" s="217"/>
      <c r="F3251" s="104"/>
      <c r="G3251" s="108"/>
      <c r="J3251" s="174"/>
      <c r="K3251" s="4"/>
    </row>
    <row r="3252" spans="3:11" x14ac:dyDescent="0.25">
      <c r="C3252" s="108"/>
      <c r="D3252" s="217"/>
      <c r="E3252" s="217"/>
      <c r="F3252" s="104"/>
      <c r="G3252" s="108"/>
      <c r="J3252" s="174"/>
      <c r="K3252" s="4"/>
    </row>
    <row r="3253" spans="3:11" x14ac:dyDescent="0.25">
      <c r="C3253" s="108"/>
      <c r="D3253" s="217"/>
      <c r="E3253" s="217"/>
      <c r="F3253" s="104"/>
      <c r="G3253" s="108"/>
      <c r="J3253" s="174"/>
      <c r="K3253" s="4"/>
    </row>
    <row r="3254" spans="3:11" x14ac:dyDescent="0.25">
      <c r="C3254" s="108"/>
      <c r="D3254" s="217"/>
      <c r="E3254" s="217"/>
      <c r="F3254" s="104"/>
      <c r="G3254" s="108"/>
      <c r="J3254" s="174"/>
      <c r="K3254" s="4"/>
    </row>
    <row r="3255" spans="3:11" x14ac:dyDescent="0.25">
      <c r="C3255" s="108"/>
      <c r="D3255" s="217"/>
      <c r="E3255" s="217"/>
      <c r="F3255" s="104"/>
      <c r="G3255" s="108"/>
      <c r="J3255" s="174"/>
      <c r="K3255" s="4"/>
    </row>
    <row r="3256" spans="3:11" x14ac:dyDescent="0.25">
      <c r="C3256" s="108"/>
      <c r="D3256" s="217"/>
      <c r="E3256" s="217"/>
      <c r="F3256" s="104"/>
      <c r="G3256" s="108"/>
      <c r="J3256" s="174"/>
      <c r="K3256" s="4"/>
    </row>
    <row r="3257" spans="3:11" x14ac:dyDescent="0.25">
      <c r="C3257" s="108"/>
      <c r="D3257" s="217"/>
      <c r="E3257" s="217"/>
      <c r="F3257" s="104"/>
      <c r="G3257" s="108"/>
      <c r="J3257" s="174"/>
      <c r="K3257" s="4"/>
    </row>
    <row r="3258" spans="3:11" x14ac:dyDescent="0.25">
      <c r="C3258" s="108"/>
      <c r="D3258" s="217"/>
      <c r="E3258" s="217"/>
      <c r="F3258" s="104"/>
      <c r="G3258" s="108"/>
      <c r="J3258" s="174"/>
      <c r="K3258" s="4"/>
    </row>
    <row r="3259" spans="3:11" x14ac:dyDescent="0.25">
      <c r="C3259" s="108"/>
      <c r="D3259" s="217"/>
      <c r="E3259" s="217"/>
      <c r="F3259" s="104"/>
      <c r="G3259" s="108"/>
      <c r="J3259" s="174"/>
      <c r="K3259" s="4"/>
    </row>
    <row r="3260" spans="3:11" x14ac:dyDescent="0.25">
      <c r="C3260" s="108"/>
      <c r="D3260" s="217"/>
      <c r="E3260" s="217"/>
      <c r="F3260" s="104"/>
      <c r="G3260" s="108"/>
      <c r="J3260" s="174"/>
      <c r="K3260" s="4"/>
    </row>
    <row r="3261" spans="3:11" x14ac:dyDescent="0.25">
      <c r="C3261" s="108"/>
      <c r="D3261" s="217"/>
      <c r="E3261" s="217"/>
      <c r="F3261" s="104"/>
      <c r="G3261" s="108"/>
      <c r="J3261" s="174"/>
      <c r="K3261" s="4"/>
    </row>
    <row r="3262" spans="3:11" x14ac:dyDescent="0.25">
      <c r="C3262" s="108"/>
      <c r="D3262" s="217"/>
      <c r="E3262" s="217"/>
      <c r="F3262" s="104"/>
      <c r="G3262" s="108"/>
      <c r="J3262" s="174"/>
      <c r="K3262" s="4"/>
    </row>
    <row r="3263" spans="3:11" x14ac:dyDescent="0.25">
      <c r="C3263" s="108"/>
      <c r="D3263" s="217"/>
      <c r="E3263" s="217"/>
      <c r="F3263" s="104"/>
      <c r="G3263" s="108"/>
      <c r="J3263" s="174"/>
      <c r="K3263" s="4"/>
    </row>
    <row r="3264" spans="3:11" x14ac:dyDescent="0.25">
      <c r="C3264" s="108"/>
      <c r="D3264" s="217"/>
      <c r="E3264" s="217"/>
      <c r="F3264" s="104"/>
      <c r="G3264" s="108"/>
      <c r="J3264" s="174"/>
      <c r="K3264" s="4"/>
    </row>
    <row r="3265" spans="3:11" x14ac:dyDescent="0.25">
      <c r="C3265" s="108"/>
      <c r="D3265" s="217"/>
      <c r="E3265" s="217"/>
      <c r="F3265" s="104"/>
      <c r="G3265" s="108"/>
      <c r="J3265" s="174"/>
      <c r="K3265" s="4"/>
    </row>
    <row r="3266" spans="3:11" x14ac:dyDescent="0.25">
      <c r="C3266" s="108"/>
      <c r="D3266" s="217"/>
      <c r="E3266" s="217"/>
      <c r="F3266" s="104"/>
      <c r="G3266" s="108"/>
      <c r="J3266" s="174"/>
      <c r="K3266" s="4"/>
    </row>
    <row r="3267" spans="3:11" x14ac:dyDescent="0.25">
      <c r="C3267" s="108"/>
      <c r="D3267" s="217"/>
      <c r="E3267" s="217"/>
      <c r="F3267" s="104"/>
      <c r="G3267" s="108"/>
      <c r="J3267" s="174"/>
      <c r="K3267" s="4"/>
    </row>
    <row r="3268" spans="3:11" x14ac:dyDescent="0.25">
      <c r="C3268" s="108"/>
      <c r="D3268" s="217"/>
      <c r="E3268" s="217"/>
      <c r="F3268" s="104"/>
      <c r="G3268" s="108"/>
      <c r="J3268" s="174"/>
      <c r="K3268" s="4"/>
    </row>
    <row r="3269" spans="3:11" x14ac:dyDescent="0.25">
      <c r="C3269" s="108"/>
      <c r="D3269" s="217"/>
      <c r="E3269" s="217"/>
      <c r="F3269" s="104"/>
      <c r="G3269" s="108"/>
      <c r="J3269" s="174"/>
      <c r="K3269" s="4"/>
    </row>
    <row r="3270" spans="3:11" x14ac:dyDescent="0.25">
      <c r="C3270" s="108"/>
      <c r="D3270" s="217"/>
      <c r="E3270" s="217"/>
      <c r="F3270" s="104"/>
      <c r="G3270" s="108"/>
      <c r="J3270" s="174"/>
      <c r="K3270" s="4"/>
    </row>
    <row r="3271" spans="3:11" x14ac:dyDescent="0.25">
      <c r="C3271" s="108"/>
      <c r="D3271" s="217"/>
      <c r="E3271" s="217"/>
      <c r="F3271" s="104"/>
      <c r="G3271" s="108"/>
      <c r="J3271" s="174"/>
      <c r="K3271" s="4"/>
    </row>
    <row r="3272" spans="3:11" x14ac:dyDescent="0.25">
      <c r="C3272" s="108"/>
      <c r="D3272" s="217"/>
      <c r="E3272" s="217"/>
      <c r="F3272" s="104"/>
      <c r="G3272" s="108"/>
      <c r="J3272" s="174"/>
      <c r="K3272" s="4"/>
    </row>
    <row r="3273" spans="3:11" x14ac:dyDescent="0.25">
      <c r="C3273" s="108"/>
      <c r="D3273" s="217"/>
      <c r="E3273" s="217"/>
      <c r="F3273" s="104"/>
      <c r="G3273" s="108"/>
      <c r="J3273" s="174"/>
      <c r="K3273" s="4"/>
    </row>
    <row r="3274" spans="3:11" x14ac:dyDescent="0.25">
      <c r="C3274" s="108"/>
      <c r="D3274" s="217"/>
      <c r="E3274" s="217"/>
      <c r="F3274" s="104"/>
      <c r="G3274" s="108"/>
      <c r="J3274" s="174"/>
      <c r="K3274" s="4"/>
    </row>
    <row r="3275" spans="3:11" x14ac:dyDescent="0.25">
      <c r="C3275" s="108"/>
      <c r="D3275" s="217"/>
      <c r="E3275" s="217"/>
      <c r="F3275" s="104"/>
      <c r="G3275" s="108"/>
      <c r="J3275" s="174"/>
      <c r="K3275" s="4"/>
    </row>
    <row r="3276" spans="3:11" x14ac:dyDescent="0.25">
      <c r="C3276" s="108"/>
      <c r="D3276" s="217"/>
      <c r="E3276" s="217"/>
      <c r="F3276" s="104"/>
      <c r="G3276" s="108"/>
      <c r="J3276" s="174"/>
      <c r="K3276" s="4"/>
    </row>
    <row r="3277" spans="3:11" x14ac:dyDescent="0.25">
      <c r="C3277" s="108"/>
      <c r="D3277" s="217"/>
      <c r="E3277" s="217"/>
      <c r="F3277" s="104"/>
      <c r="G3277" s="108"/>
      <c r="J3277" s="174"/>
      <c r="K3277" s="4"/>
    </row>
    <row r="3278" spans="3:11" x14ac:dyDescent="0.25">
      <c r="C3278" s="108"/>
      <c r="D3278" s="217"/>
      <c r="E3278" s="217"/>
      <c r="F3278" s="104"/>
      <c r="G3278" s="108"/>
      <c r="J3278" s="174"/>
      <c r="K3278" s="4"/>
    </row>
    <row r="3279" spans="3:11" x14ac:dyDescent="0.25">
      <c r="C3279" s="108"/>
      <c r="D3279" s="217"/>
      <c r="E3279" s="217"/>
      <c r="F3279" s="104"/>
      <c r="G3279" s="108"/>
      <c r="J3279" s="174"/>
      <c r="K3279" s="4"/>
    </row>
    <row r="3280" spans="3:11" x14ac:dyDescent="0.25">
      <c r="C3280" s="108"/>
      <c r="D3280" s="217"/>
      <c r="E3280" s="217"/>
      <c r="F3280" s="104"/>
      <c r="G3280" s="108"/>
      <c r="J3280" s="174"/>
      <c r="K3280" s="4"/>
    </row>
    <row r="3281" spans="3:11" x14ac:dyDescent="0.25">
      <c r="C3281" s="108"/>
      <c r="D3281" s="217"/>
      <c r="E3281" s="217"/>
      <c r="F3281" s="104"/>
      <c r="G3281" s="108"/>
      <c r="J3281" s="174"/>
      <c r="K3281" s="4"/>
    </row>
    <row r="3282" spans="3:11" x14ac:dyDescent="0.25">
      <c r="C3282" s="108"/>
      <c r="D3282" s="217"/>
      <c r="E3282" s="217"/>
      <c r="F3282" s="104"/>
      <c r="G3282" s="108"/>
      <c r="J3282" s="174"/>
      <c r="K3282" s="4"/>
    </row>
    <row r="3283" spans="3:11" x14ac:dyDescent="0.25">
      <c r="C3283" s="108"/>
      <c r="D3283" s="217"/>
      <c r="E3283" s="217"/>
      <c r="F3283" s="104"/>
      <c r="G3283" s="108"/>
      <c r="J3283" s="174"/>
      <c r="K3283" s="4"/>
    </row>
    <row r="3284" spans="3:11" x14ac:dyDescent="0.25">
      <c r="C3284" s="108"/>
      <c r="D3284" s="217"/>
      <c r="E3284" s="217"/>
      <c r="F3284" s="104"/>
      <c r="G3284" s="108"/>
      <c r="J3284" s="174"/>
      <c r="K3284" s="4"/>
    </row>
    <row r="3285" spans="3:11" x14ac:dyDescent="0.25">
      <c r="C3285" s="108"/>
      <c r="D3285" s="217"/>
      <c r="E3285" s="217"/>
      <c r="F3285" s="104"/>
      <c r="G3285" s="108"/>
      <c r="J3285" s="174"/>
      <c r="K3285" s="4"/>
    </row>
    <row r="3286" spans="3:11" x14ac:dyDescent="0.25">
      <c r="C3286" s="108"/>
      <c r="D3286" s="217"/>
      <c r="E3286" s="217"/>
      <c r="F3286" s="104"/>
      <c r="G3286" s="108"/>
      <c r="J3286" s="174"/>
      <c r="K3286" s="4"/>
    </row>
    <row r="3287" spans="3:11" x14ac:dyDescent="0.25">
      <c r="C3287" s="108"/>
      <c r="D3287" s="217"/>
      <c r="E3287" s="217"/>
      <c r="F3287" s="104"/>
      <c r="G3287" s="108"/>
      <c r="J3287" s="174"/>
      <c r="K3287" s="4"/>
    </row>
    <row r="3288" spans="3:11" x14ac:dyDescent="0.25">
      <c r="C3288" s="108"/>
      <c r="D3288" s="217"/>
      <c r="E3288" s="217"/>
      <c r="F3288" s="104"/>
      <c r="G3288" s="108"/>
      <c r="J3288" s="174"/>
      <c r="K3288" s="4"/>
    </row>
    <row r="3289" spans="3:11" x14ac:dyDescent="0.25">
      <c r="C3289" s="108"/>
      <c r="D3289" s="217"/>
      <c r="E3289" s="217"/>
      <c r="F3289" s="104"/>
      <c r="G3289" s="108"/>
      <c r="J3289" s="174"/>
      <c r="K3289" s="4"/>
    </row>
    <row r="3290" spans="3:11" x14ac:dyDescent="0.25">
      <c r="C3290" s="108"/>
      <c r="D3290" s="217"/>
      <c r="E3290" s="217"/>
      <c r="F3290" s="104"/>
      <c r="G3290" s="108"/>
      <c r="J3290" s="174"/>
      <c r="K3290" s="4"/>
    </row>
    <row r="3291" spans="3:11" x14ac:dyDescent="0.25">
      <c r="C3291" s="108"/>
      <c r="D3291" s="217"/>
      <c r="E3291" s="217"/>
      <c r="F3291" s="104"/>
      <c r="G3291" s="108"/>
      <c r="J3291" s="174"/>
      <c r="K3291" s="4"/>
    </row>
    <row r="3292" spans="3:11" x14ac:dyDescent="0.25">
      <c r="C3292" s="108"/>
      <c r="D3292" s="217"/>
      <c r="E3292" s="217"/>
      <c r="F3292" s="104"/>
      <c r="G3292" s="108"/>
      <c r="J3292" s="174"/>
      <c r="K3292" s="4"/>
    </row>
    <row r="3293" spans="3:11" x14ac:dyDescent="0.25">
      <c r="C3293" s="108"/>
      <c r="D3293" s="217"/>
      <c r="E3293" s="217"/>
      <c r="F3293" s="104"/>
      <c r="G3293" s="108"/>
      <c r="J3293" s="174"/>
      <c r="K3293" s="4"/>
    </row>
    <row r="3294" spans="3:11" x14ac:dyDescent="0.25">
      <c r="C3294" s="108"/>
      <c r="D3294" s="217"/>
      <c r="E3294" s="217"/>
      <c r="F3294" s="104"/>
      <c r="G3294" s="108"/>
      <c r="J3294" s="174"/>
      <c r="K3294" s="4"/>
    </row>
    <row r="3295" spans="3:11" x14ac:dyDescent="0.25">
      <c r="C3295" s="108"/>
      <c r="D3295" s="217"/>
      <c r="E3295" s="217"/>
      <c r="F3295" s="104"/>
      <c r="G3295" s="108"/>
      <c r="J3295" s="174"/>
      <c r="K3295" s="4"/>
    </row>
    <row r="3296" spans="3:11" x14ac:dyDescent="0.25">
      <c r="C3296" s="108"/>
      <c r="D3296" s="217"/>
      <c r="E3296" s="217"/>
      <c r="F3296" s="104"/>
      <c r="G3296" s="108"/>
      <c r="J3296" s="174"/>
      <c r="K3296" s="4"/>
    </row>
    <row r="3297" spans="3:11" x14ac:dyDescent="0.25">
      <c r="C3297" s="108"/>
      <c r="D3297" s="217"/>
      <c r="E3297" s="217"/>
      <c r="F3297" s="104"/>
      <c r="G3297" s="108"/>
      <c r="J3297" s="174"/>
      <c r="K3297" s="4"/>
    </row>
    <row r="3298" spans="3:11" x14ac:dyDescent="0.25">
      <c r="C3298" s="108"/>
      <c r="D3298" s="217"/>
      <c r="E3298" s="217"/>
      <c r="F3298" s="104"/>
      <c r="G3298" s="108"/>
      <c r="J3298" s="174"/>
      <c r="K3298" s="4"/>
    </row>
    <row r="3299" spans="3:11" x14ac:dyDescent="0.25">
      <c r="C3299" s="108"/>
      <c r="D3299" s="217"/>
      <c r="E3299" s="217"/>
      <c r="F3299" s="104"/>
      <c r="G3299" s="108"/>
      <c r="J3299" s="174"/>
      <c r="K3299" s="4"/>
    </row>
    <row r="3300" spans="3:11" x14ac:dyDescent="0.25">
      <c r="C3300" s="108"/>
      <c r="D3300" s="217"/>
      <c r="E3300" s="217"/>
      <c r="F3300" s="104"/>
      <c r="G3300" s="108"/>
      <c r="J3300" s="174"/>
      <c r="K3300" s="4"/>
    </row>
    <row r="3301" spans="3:11" x14ac:dyDescent="0.25">
      <c r="C3301" s="108"/>
      <c r="D3301" s="217"/>
      <c r="E3301" s="217"/>
      <c r="F3301" s="104"/>
      <c r="G3301" s="108"/>
      <c r="J3301" s="174"/>
      <c r="K3301" s="4"/>
    </row>
    <row r="3302" spans="3:11" x14ac:dyDescent="0.25">
      <c r="C3302" s="108"/>
      <c r="D3302" s="217"/>
      <c r="E3302" s="217"/>
      <c r="F3302" s="104"/>
      <c r="G3302" s="108"/>
      <c r="J3302" s="174"/>
      <c r="K3302" s="4"/>
    </row>
    <row r="3303" spans="3:11" x14ac:dyDescent="0.25">
      <c r="C3303" s="108"/>
      <c r="D3303" s="217"/>
      <c r="E3303" s="217"/>
      <c r="F3303" s="104"/>
      <c r="G3303" s="108"/>
      <c r="J3303" s="174"/>
      <c r="K3303" s="4"/>
    </row>
    <row r="3304" spans="3:11" x14ac:dyDescent="0.25">
      <c r="C3304" s="108"/>
      <c r="D3304" s="217"/>
      <c r="E3304" s="217"/>
      <c r="F3304" s="104"/>
      <c r="G3304" s="108"/>
      <c r="J3304" s="174"/>
      <c r="K3304" s="4"/>
    </row>
    <row r="3305" spans="3:11" x14ac:dyDescent="0.25">
      <c r="C3305" s="108"/>
      <c r="D3305" s="217"/>
      <c r="E3305" s="217"/>
      <c r="F3305" s="104"/>
      <c r="G3305" s="108"/>
      <c r="J3305" s="174"/>
      <c r="K3305" s="4"/>
    </row>
    <row r="3306" spans="3:11" x14ac:dyDescent="0.25">
      <c r="C3306" s="108"/>
      <c r="D3306" s="217"/>
      <c r="E3306" s="217"/>
      <c r="F3306" s="104"/>
      <c r="G3306" s="108"/>
      <c r="J3306" s="174"/>
      <c r="K3306" s="4"/>
    </row>
    <row r="3307" spans="3:11" x14ac:dyDescent="0.25">
      <c r="C3307" s="108"/>
      <c r="D3307" s="217"/>
      <c r="E3307" s="217"/>
      <c r="F3307" s="104"/>
      <c r="G3307" s="108"/>
      <c r="J3307" s="174"/>
      <c r="K3307" s="4"/>
    </row>
    <row r="3308" spans="3:11" x14ac:dyDescent="0.25">
      <c r="C3308" s="108"/>
      <c r="D3308" s="217"/>
      <c r="E3308" s="217"/>
      <c r="F3308" s="104"/>
      <c r="G3308" s="108"/>
      <c r="J3308" s="174"/>
      <c r="K3308" s="4"/>
    </row>
    <row r="3309" spans="3:11" x14ac:dyDescent="0.25">
      <c r="C3309" s="108"/>
      <c r="D3309" s="217"/>
      <c r="E3309" s="217"/>
      <c r="F3309" s="104"/>
      <c r="G3309" s="108"/>
      <c r="J3309" s="174"/>
      <c r="K3309" s="4"/>
    </row>
    <row r="3310" spans="3:11" x14ac:dyDescent="0.25">
      <c r="C3310" s="108"/>
      <c r="D3310" s="217"/>
      <c r="E3310" s="217"/>
      <c r="F3310" s="104"/>
      <c r="G3310" s="108"/>
      <c r="J3310" s="174"/>
      <c r="K3310" s="4"/>
    </row>
    <row r="3311" spans="3:11" x14ac:dyDescent="0.25">
      <c r="C3311" s="108"/>
      <c r="D3311" s="217"/>
      <c r="E3311" s="217"/>
      <c r="F3311" s="104"/>
      <c r="G3311" s="108"/>
      <c r="J3311" s="174"/>
      <c r="K3311" s="4"/>
    </row>
    <row r="3312" spans="3:11" x14ac:dyDescent="0.25">
      <c r="C3312" s="108"/>
      <c r="D3312" s="217"/>
      <c r="E3312" s="217"/>
      <c r="F3312" s="104"/>
      <c r="G3312" s="108"/>
      <c r="J3312" s="174"/>
      <c r="K3312" s="4"/>
    </row>
    <row r="3313" spans="3:11" x14ac:dyDescent="0.25">
      <c r="C3313" s="108"/>
      <c r="D3313" s="217"/>
      <c r="E3313" s="217"/>
      <c r="F3313" s="104"/>
      <c r="G3313" s="108"/>
      <c r="J3313" s="174"/>
      <c r="K3313" s="4"/>
    </row>
    <row r="3314" spans="3:11" x14ac:dyDescent="0.25">
      <c r="C3314" s="108"/>
      <c r="D3314" s="217"/>
      <c r="E3314" s="217"/>
      <c r="F3314" s="104"/>
      <c r="G3314" s="108"/>
      <c r="J3314" s="174"/>
      <c r="K3314" s="4"/>
    </row>
    <row r="3315" spans="3:11" x14ac:dyDescent="0.25">
      <c r="C3315" s="108"/>
      <c r="D3315" s="217"/>
      <c r="E3315" s="217"/>
      <c r="F3315" s="104"/>
      <c r="G3315" s="108"/>
      <c r="J3315" s="174"/>
      <c r="K3315" s="4"/>
    </row>
    <row r="3316" spans="3:11" x14ac:dyDescent="0.25">
      <c r="C3316" s="108"/>
      <c r="D3316" s="217"/>
      <c r="E3316" s="217"/>
      <c r="F3316" s="104"/>
      <c r="G3316" s="108"/>
      <c r="J3316" s="174"/>
      <c r="K3316" s="4"/>
    </row>
    <row r="3317" spans="3:11" x14ac:dyDescent="0.25">
      <c r="C3317" s="108"/>
      <c r="D3317" s="217"/>
      <c r="E3317" s="217"/>
      <c r="F3317" s="104"/>
      <c r="G3317" s="108"/>
      <c r="J3317" s="174"/>
      <c r="K3317" s="4"/>
    </row>
    <row r="3318" spans="3:11" x14ac:dyDescent="0.25">
      <c r="C3318" s="108"/>
      <c r="D3318" s="217"/>
      <c r="E3318" s="217"/>
      <c r="F3318" s="104"/>
      <c r="G3318" s="108"/>
      <c r="J3318" s="174"/>
      <c r="K3318" s="4"/>
    </row>
    <row r="3319" spans="3:11" x14ac:dyDescent="0.25">
      <c r="C3319" s="108"/>
      <c r="D3319" s="217"/>
      <c r="E3319" s="217"/>
      <c r="F3319" s="104"/>
      <c r="G3319" s="108"/>
      <c r="J3319" s="174"/>
      <c r="K3319" s="4"/>
    </row>
    <row r="3320" spans="3:11" x14ac:dyDescent="0.25">
      <c r="C3320" s="108"/>
      <c r="D3320" s="217"/>
      <c r="E3320" s="217"/>
      <c r="F3320" s="104"/>
      <c r="G3320" s="108"/>
      <c r="J3320" s="174"/>
      <c r="K3320" s="4"/>
    </row>
    <row r="3321" spans="3:11" x14ac:dyDescent="0.25">
      <c r="C3321" s="108"/>
      <c r="D3321" s="217"/>
      <c r="E3321" s="217"/>
      <c r="F3321" s="104"/>
      <c r="G3321" s="108"/>
      <c r="J3321" s="174"/>
      <c r="K3321" s="4"/>
    </row>
    <row r="3322" spans="3:11" x14ac:dyDescent="0.25">
      <c r="C3322" s="108"/>
      <c r="D3322" s="217"/>
      <c r="E3322" s="217"/>
      <c r="F3322" s="104"/>
      <c r="G3322" s="108"/>
      <c r="J3322" s="174"/>
      <c r="K3322" s="4"/>
    </row>
    <row r="3323" spans="3:11" x14ac:dyDescent="0.25">
      <c r="C3323" s="108"/>
      <c r="D3323" s="217"/>
      <c r="E3323" s="217"/>
      <c r="F3323" s="104"/>
      <c r="G3323" s="108"/>
      <c r="J3323" s="174"/>
      <c r="K3323" s="4"/>
    </row>
    <row r="3324" spans="3:11" x14ac:dyDescent="0.25">
      <c r="C3324" s="108"/>
      <c r="D3324" s="217"/>
      <c r="E3324" s="217"/>
      <c r="F3324" s="104"/>
      <c r="G3324" s="108"/>
      <c r="J3324" s="174"/>
      <c r="K3324" s="4"/>
    </row>
    <row r="3325" spans="3:11" x14ac:dyDescent="0.25">
      <c r="C3325" s="108"/>
      <c r="D3325" s="217"/>
      <c r="E3325" s="217"/>
      <c r="F3325" s="104"/>
      <c r="G3325" s="108"/>
      <c r="J3325" s="174"/>
      <c r="K3325" s="4"/>
    </row>
    <row r="3326" spans="3:11" x14ac:dyDescent="0.25">
      <c r="C3326" s="108"/>
      <c r="D3326" s="217"/>
      <c r="E3326" s="217"/>
      <c r="F3326" s="104"/>
      <c r="G3326" s="108"/>
      <c r="J3326" s="174"/>
      <c r="K3326" s="4"/>
    </row>
    <row r="3327" spans="3:11" x14ac:dyDescent="0.25">
      <c r="C3327" s="108"/>
      <c r="D3327" s="217"/>
      <c r="E3327" s="217"/>
      <c r="F3327" s="104"/>
      <c r="G3327" s="108"/>
      <c r="J3327" s="174"/>
      <c r="K3327" s="4"/>
    </row>
    <row r="3328" spans="3:11" x14ac:dyDescent="0.25">
      <c r="C3328" s="108"/>
      <c r="D3328" s="217"/>
      <c r="E3328" s="217"/>
      <c r="F3328" s="104"/>
      <c r="G3328" s="108"/>
      <c r="J3328" s="174"/>
      <c r="K3328" s="4"/>
    </row>
    <row r="3329" spans="3:11" x14ac:dyDescent="0.25">
      <c r="C3329" s="108"/>
      <c r="D3329" s="217"/>
      <c r="E3329" s="217"/>
      <c r="F3329" s="104"/>
      <c r="G3329" s="108"/>
      <c r="J3329" s="174"/>
      <c r="K3329" s="4"/>
    </row>
    <row r="3330" spans="3:11" x14ac:dyDescent="0.25">
      <c r="C3330" s="108"/>
      <c r="D3330" s="217"/>
      <c r="E3330" s="217"/>
      <c r="F3330" s="104"/>
      <c r="G3330" s="108"/>
      <c r="J3330" s="174"/>
      <c r="K3330" s="4"/>
    </row>
    <row r="3331" spans="3:11" x14ac:dyDescent="0.25">
      <c r="C3331" s="108"/>
      <c r="D3331" s="217"/>
      <c r="E3331" s="217"/>
      <c r="F3331" s="104"/>
      <c r="G3331" s="108"/>
      <c r="J3331" s="174"/>
      <c r="K3331" s="4"/>
    </row>
    <row r="3332" spans="3:11" x14ac:dyDescent="0.25">
      <c r="C3332" s="108"/>
      <c r="D3332" s="217"/>
      <c r="E3332" s="217"/>
      <c r="F3332" s="104"/>
      <c r="G3332" s="108"/>
      <c r="J3332" s="174"/>
      <c r="K3332" s="4"/>
    </row>
    <row r="3333" spans="3:11" x14ac:dyDescent="0.25">
      <c r="C3333" s="108"/>
      <c r="D3333" s="217"/>
      <c r="E3333" s="217"/>
      <c r="F3333" s="104"/>
      <c r="G3333" s="108"/>
      <c r="J3333" s="174"/>
      <c r="K3333" s="4"/>
    </row>
    <row r="3334" spans="3:11" x14ac:dyDescent="0.25">
      <c r="C3334" s="108"/>
      <c r="D3334" s="217"/>
      <c r="E3334" s="217"/>
      <c r="F3334" s="104"/>
      <c r="G3334" s="108"/>
      <c r="J3334" s="174"/>
      <c r="K3334" s="4"/>
    </row>
    <row r="3335" spans="3:11" x14ac:dyDescent="0.25">
      <c r="C3335" s="108"/>
      <c r="D3335" s="217"/>
      <c r="E3335" s="217"/>
      <c r="F3335" s="104"/>
      <c r="G3335" s="108"/>
      <c r="J3335" s="174"/>
      <c r="K3335" s="4"/>
    </row>
    <row r="3336" spans="3:11" x14ac:dyDescent="0.25">
      <c r="C3336" s="108"/>
      <c r="D3336" s="217"/>
      <c r="E3336" s="217"/>
      <c r="F3336" s="104"/>
      <c r="G3336" s="108"/>
      <c r="J3336" s="174"/>
      <c r="K3336" s="4"/>
    </row>
    <row r="3337" spans="3:11" x14ac:dyDescent="0.25">
      <c r="C3337" s="108"/>
      <c r="D3337" s="217"/>
      <c r="E3337" s="217"/>
      <c r="F3337" s="104"/>
      <c r="G3337" s="108"/>
      <c r="J3337" s="174"/>
      <c r="K3337" s="4"/>
    </row>
    <row r="3338" spans="3:11" x14ac:dyDescent="0.25">
      <c r="C3338" s="108"/>
      <c r="D3338" s="217"/>
      <c r="E3338" s="217"/>
      <c r="F3338" s="104"/>
      <c r="G3338" s="108"/>
      <c r="J3338" s="174"/>
      <c r="K3338" s="4"/>
    </row>
    <row r="3339" spans="3:11" x14ac:dyDescent="0.25">
      <c r="C3339" s="108"/>
      <c r="D3339" s="217"/>
      <c r="E3339" s="217"/>
      <c r="F3339" s="104"/>
      <c r="G3339" s="108"/>
      <c r="J3339" s="174"/>
      <c r="K3339" s="4"/>
    </row>
    <row r="3340" spans="3:11" x14ac:dyDescent="0.25">
      <c r="C3340" s="108"/>
      <c r="D3340" s="217"/>
      <c r="E3340" s="217"/>
      <c r="F3340" s="104"/>
      <c r="G3340" s="108"/>
      <c r="J3340" s="174"/>
      <c r="K3340" s="4"/>
    </row>
    <row r="3341" spans="3:11" x14ac:dyDescent="0.25">
      <c r="C3341" s="108"/>
      <c r="D3341" s="217"/>
      <c r="E3341" s="217"/>
      <c r="F3341" s="104"/>
      <c r="G3341" s="108"/>
      <c r="J3341" s="174"/>
      <c r="K3341" s="4"/>
    </row>
    <row r="3342" spans="3:11" x14ac:dyDescent="0.25">
      <c r="C3342" s="108"/>
      <c r="D3342" s="217"/>
      <c r="E3342" s="217"/>
      <c r="F3342" s="104"/>
      <c r="G3342" s="108"/>
      <c r="J3342" s="174"/>
      <c r="K3342" s="4"/>
    </row>
    <row r="3343" spans="3:11" x14ac:dyDescent="0.25">
      <c r="C3343" s="108"/>
      <c r="D3343" s="217"/>
      <c r="E3343" s="217"/>
      <c r="F3343" s="104"/>
      <c r="G3343" s="108"/>
      <c r="J3343" s="174"/>
      <c r="K3343" s="4"/>
    </row>
    <row r="3344" spans="3:11" x14ac:dyDescent="0.25">
      <c r="C3344" s="108"/>
      <c r="D3344" s="217"/>
      <c r="E3344" s="217"/>
      <c r="F3344" s="104"/>
      <c r="G3344" s="108"/>
      <c r="J3344" s="174"/>
      <c r="K3344" s="4"/>
    </row>
    <row r="3345" spans="3:11" x14ac:dyDescent="0.25">
      <c r="C3345" s="108"/>
      <c r="D3345" s="217"/>
      <c r="E3345" s="217"/>
      <c r="F3345" s="104"/>
      <c r="G3345" s="108"/>
      <c r="J3345" s="174"/>
      <c r="K3345" s="4"/>
    </row>
    <row r="3346" spans="3:11" x14ac:dyDescent="0.25">
      <c r="C3346" s="108"/>
      <c r="D3346" s="217"/>
      <c r="E3346" s="217"/>
      <c r="F3346" s="104"/>
      <c r="G3346" s="108"/>
      <c r="J3346" s="174"/>
      <c r="K3346" s="4"/>
    </row>
    <row r="3347" spans="3:11" x14ac:dyDescent="0.25">
      <c r="C3347" s="108"/>
      <c r="D3347" s="217"/>
      <c r="E3347" s="217"/>
      <c r="F3347" s="104"/>
      <c r="G3347" s="108"/>
      <c r="J3347" s="174"/>
      <c r="K3347" s="4"/>
    </row>
    <row r="3348" spans="3:11" x14ac:dyDescent="0.25">
      <c r="C3348" s="108"/>
      <c r="D3348" s="217"/>
      <c r="E3348" s="217"/>
      <c r="F3348" s="104"/>
      <c r="G3348" s="108"/>
      <c r="J3348" s="174"/>
      <c r="K3348" s="4"/>
    </row>
    <row r="3349" spans="3:11" x14ac:dyDescent="0.25">
      <c r="C3349" s="108"/>
      <c r="D3349" s="217"/>
      <c r="E3349" s="217"/>
      <c r="F3349" s="104"/>
      <c r="G3349" s="108"/>
      <c r="J3349" s="174"/>
      <c r="K3349" s="4"/>
    </row>
    <row r="3350" spans="3:11" x14ac:dyDescent="0.25">
      <c r="C3350" s="108"/>
      <c r="D3350" s="217"/>
      <c r="E3350" s="217"/>
      <c r="F3350" s="104"/>
      <c r="G3350" s="108"/>
      <c r="J3350" s="174"/>
      <c r="K3350" s="4"/>
    </row>
    <row r="3351" spans="3:11" x14ac:dyDescent="0.25">
      <c r="C3351" s="108"/>
      <c r="D3351" s="217"/>
      <c r="E3351" s="217"/>
      <c r="F3351" s="104"/>
      <c r="G3351" s="108"/>
      <c r="J3351" s="174"/>
      <c r="K3351" s="4"/>
    </row>
    <row r="3352" spans="3:11" x14ac:dyDescent="0.25">
      <c r="C3352" s="108"/>
      <c r="D3352" s="217"/>
      <c r="E3352" s="217"/>
      <c r="F3352" s="104"/>
      <c r="G3352" s="108"/>
      <c r="J3352" s="174"/>
      <c r="K3352" s="4"/>
    </row>
    <row r="3353" spans="3:11" x14ac:dyDescent="0.25">
      <c r="C3353" s="108"/>
      <c r="D3353" s="217"/>
      <c r="E3353" s="217"/>
      <c r="F3353" s="104"/>
      <c r="G3353" s="108"/>
      <c r="J3353" s="174"/>
      <c r="K3353" s="4"/>
    </row>
    <row r="3354" spans="3:11" x14ac:dyDescent="0.25">
      <c r="C3354" s="108"/>
      <c r="D3354" s="217"/>
      <c r="E3354" s="217"/>
      <c r="F3354" s="104"/>
      <c r="G3354" s="108"/>
      <c r="J3354" s="174"/>
      <c r="K3354" s="4"/>
    </row>
    <row r="3355" spans="3:11" x14ac:dyDescent="0.25">
      <c r="C3355" s="108"/>
      <c r="D3355" s="217"/>
      <c r="E3355" s="217"/>
      <c r="F3355" s="104"/>
      <c r="G3355" s="108"/>
      <c r="J3355" s="174"/>
      <c r="K3355" s="4"/>
    </row>
    <row r="3356" spans="3:11" x14ac:dyDescent="0.25">
      <c r="C3356" s="108"/>
      <c r="D3356" s="217"/>
      <c r="E3356" s="217"/>
      <c r="F3356" s="104"/>
      <c r="G3356" s="108"/>
      <c r="J3356" s="174"/>
      <c r="K3356" s="4"/>
    </row>
    <row r="3357" spans="3:11" x14ac:dyDescent="0.25">
      <c r="C3357" s="108"/>
      <c r="D3357" s="217"/>
      <c r="E3357" s="217"/>
      <c r="F3357" s="104"/>
      <c r="G3357" s="108"/>
      <c r="J3357" s="174"/>
      <c r="K3357" s="4"/>
    </row>
    <row r="3358" spans="3:11" x14ac:dyDescent="0.25">
      <c r="C3358" s="108"/>
      <c r="D3358" s="217"/>
      <c r="E3358" s="217"/>
      <c r="F3358" s="104"/>
      <c r="G3358" s="108"/>
      <c r="J3358" s="174"/>
      <c r="K3358" s="4"/>
    </row>
    <row r="3359" spans="3:11" x14ac:dyDescent="0.25">
      <c r="C3359" s="108"/>
      <c r="D3359" s="217"/>
      <c r="E3359" s="217"/>
      <c r="F3359" s="104"/>
      <c r="G3359" s="108"/>
      <c r="J3359" s="174"/>
      <c r="K3359" s="4"/>
    </row>
    <row r="3360" spans="3:11" x14ac:dyDescent="0.25">
      <c r="C3360" s="108"/>
      <c r="D3360" s="217"/>
      <c r="E3360" s="217"/>
      <c r="F3360" s="104"/>
      <c r="G3360" s="108"/>
      <c r="J3360" s="174"/>
      <c r="K3360" s="4"/>
    </row>
    <row r="3361" spans="3:11" x14ac:dyDescent="0.25">
      <c r="C3361" s="108"/>
      <c r="D3361" s="217"/>
      <c r="E3361" s="217"/>
      <c r="F3361" s="104"/>
      <c r="G3361" s="108"/>
      <c r="J3361" s="174"/>
      <c r="K3361" s="4"/>
    </row>
    <row r="3362" spans="3:11" x14ac:dyDescent="0.25">
      <c r="C3362" s="108"/>
      <c r="D3362" s="217"/>
      <c r="E3362" s="217"/>
      <c r="F3362" s="104"/>
      <c r="G3362" s="108"/>
      <c r="J3362" s="174"/>
      <c r="K3362" s="4"/>
    </row>
    <row r="3363" spans="3:11" x14ac:dyDescent="0.25">
      <c r="C3363" s="108"/>
      <c r="D3363" s="217"/>
      <c r="E3363" s="217"/>
      <c r="F3363" s="104"/>
      <c r="G3363" s="108"/>
      <c r="J3363" s="174"/>
      <c r="K3363" s="4"/>
    </row>
    <row r="3364" spans="3:11" x14ac:dyDescent="0.25">
      <c r="C3364" s="108"/>
      <c r="D3364" s="217"/>
      <c r="E3364" s="217"/>
      <c r="F3364" s="104"/>
      <c r="G3364" s="108"/>
      <c r="J3364" s="174"/>
      <c r="K3364" s="4"/>
    </row>
    <row r="3365" spans="3:11" x14ac:dyDescent="0.25">
      <c r="C3365" s="108"/>
      <c r="D3365" s="217"/>
      <c r="E3365" s="217"/>
      <c r="F3365" s="104"/>
      <c r="G3365" s="108"/>
      <c r="J3365" s="174"/>
      <c r="K3365" s="4"/>
    </row>
    <row r="3366" spans="3:11" x14ac:dyDescent="0.25">
      <c r="C3366" s="108"/>
      <c r="D3366" s="217"/>
      <c r="E3366" s="217"/>
      <c r="F3366" s="104"/>
      <c r="G3366" s="108"/>
      <c r="J3366" s="174"/>
      <c r="K3366" s="4"/>
    </row>
    <row r="3367" spans="3:11" x14ac:dyDescent="0.25">
      <c r="C3367" s="108"/>
      <c r="D3367" s="217"/>
      <c r="E3367" s="217"/>
      <c r="F3367" s="104"/>
      <c r="G3367" s="108"/>
      <c r="J3367" s="174"/>
      <c r="K3367" s="4"/>
    </row>
    <row r="3368" spans="3:11" x14ac:dyDescent="0.25">
      <c r="C3368" s="108"/>
      <c r="D3368" s="217"/>
      <c r="E3368" s="217"/>
      <c r="F3368" s="104"/>
      <c r="G3368" s="108"/>
      <c r="J3368" s="174"/>
      <c r="K3368" s="4"/>
    </row>
    <row r="3369" spans="3:11" x14ac:dyDescent="0.25">
      <c r="C3369" s="108"/>
      <c r="D3369" s="217"/>
      <c r="E3369" s="217"/>
      <c r="F3369" s="104"/>
      <c r="G3369" s="108"/>
      <c r="J3369" s="174"/>
      <c r="K3369" s="4"/>
    </row>
    <row r="3370" spans="3:11" x14ac:dyDescent="0.25">
      <c r="C3370" s="108"/>
      <c r="D3370" s="217"/>
      <c r="E3370" s="217"/>
      <c r="F3370" s="104"/>
      <c r="G3370" s="108"/>
      <c r="J3370" s="174"/>
      <c r="K3370" s="4"/>
    </row>
    <row r="3371" spans="3:11" x14ac:dyDescent="0.25">
      <c r="C3371" s="108"/>
      <c r="D3371" s="217"/>
      <c r="E3371" s="217"/>
      <c r="F3371" s="104"/>
      <c r="G3371" s="108"/>
      <c r="J3371" s="174"/>
      <c r="K3371" s="4"/>
    </row>
    <row r="3372" spans="3:11" x14ac:dyDescent="0.25">
      <c r="C3372" s="108"/>
      <c r="D3372" s="217"/>
      <c r="E3372" s="217"/>
      <c r="F3372" s="104"/>
      <c r="G3372" s="108"/>
      <c r="J3372" s="174"/>
      <c r="K3372" s="4"/>
    </row>
    <row r="3373" spans="3:11" x14ac:dyDescent="0.25">
      <c r="C3373" s="108"/>
      <c r="D3373" s="217"/>
      <c r="E3373" s="217"/>
      <c r="F3373" s="104"/>
      <c r="G3373" s="108"/>
      <c r="J3373" s="174"/>
      <c r="K3373" s="4"/>
    </row>
    <row r="3374" spans="3:11" x14ac:dyDescent="0.25">
      <c r="C3374" s="108"/>
      <c r="D3374" s="217"/>
      <c r="E3374" s="217"/>
      <c r="F3374" s="104"/>
      <c r="G3374" s="108"/>
      <c r="J3374" s="174"/>
      <c r="K3374" s="4"/>
    </row>
    <row r="3375" spans="3:11" x14ac:dyDescent="0.25">
      <c r="C3375" s="108"/>
      <c r="D3375" s="217"/>
      <c r="E3375" s="217"/>
      <c r="F3375" s="104"/>
      <c r="G3375" s="108"/>
      <c r="J3375" s="174"/>
      <c r="K3375" s="4"/>
    </row>
    <row r="3376" spans="3:11" x14ac:dyDescent="0.25">
      <c r="C3376" s="108"/>
      <c r="D3376" s="217"/>
      <c r="E3376" s="217"/>
      <c r="F3376" s="104"/>
      <c r="G3376" s="108"/>
      <c r="J3376" s="174"/>
      <c r="K3376" s="4"/>
    </row>
    <row r="3377" spans="3:11" x14ac:dyDescent="0.25">
      <c r="C3377" s="108"/>
      <c r="D3377" s="217"/>
      <c r="E3377" s="217"/>
      <c r="F3377" s="104"/>
      <c r="G3377" s="108"/>
      <c r="J3377" s="174"/>
      <c r="K3377" s="4"/>
    </row>
    <row r="3378" spans="3:11" x14ac:dyDescent="0.25">
      <c r="C3378" s="108"/>
      <c r="D3378" s="217"/>
      <c r="E3378" s="217"/>
      <c r="F3378" s="104"/>
      <c r="G3378" s="108"/>
      <c r="J3378" s="174"/>
      <c r="K3378" s="4"/>
    </row>
    <row r="3379" spans="3:11" x14ac:dyDescent="0.25">
      <c r="C3379" s="108"/>
      <c r="D3379" s="217"/>
      <c r="E3379" s="217"/>
      <c r="F3379" s="104"/>
      <c r="G3379" s="108"/>
      <c r="J3379" s="174"/>
      <c r="K3379" s="4"/>
    </row>
    <row r="3380" spans="3:11" x14ac:dyDescent="0.25">
      <c r="C3380" s="108"/>
      <c r="D3380" s="217"/>
      <c r="E3380" s="217"/>
      <c r="F3380" s="104"/>
      <c r="G3380" s="108"/>
      <c r="J3380" s="174"/>
      <c r="K3380" s="4"/>
    </row>
    <row r="3381" spans="3:11" x14ac:dyDescent="0.25">
      <c r="C3381" s="108"/>
      <c r="D3381" s="217"/>
      <c r="E3381" s="217"/>
      <c r="F3381" s="104"/>
      <c r="G3381" s="108"/>
      <c r="J3381" s="174"/>
      <c r="K3381" s="4"/>
    </row>
    <row r="3382" spans="3:11" x14ac:dyDescent="0.25">
      <c r="C3382" s="108"/>
      <c r="D3382" s="217"/>
      <c r="E3382" s="217"/>
      <c r="F3382" s="104"/>
      <c r="G3382" s="108"/>
      <c r="J3382" s="174"/>
      <c r="K3382" s="4"/>
    </row>
    <row r="3383" spans="3:11" x14ac:dyDescent="0.25">
      <c r="C3383" s="108"/>
      <c r="D3383" s="217"/>
      <c r="E3383" s="217"/>
      <c r="F3383" s="104"/>
      <c r="G3383" s="108"/>
      <c r="J3383" s="174"/>
      <c r="K3383" s="4"/>
    </row>
    <row r="3384" spans="3:11" x14ac:dyDescent="0.25">
      <c r="C3384" s="108"/>
      <c r="D3384" s="217"/>
      <c r="E3384" s="217"/>
      <c r="F3384" s="104"/>
      <c r="G3384" s="108"/>
      <c r="J3384" s="174"/>
      <c r="K3384" s="4"/>
    </row>
    <row r="3385" spans="3:11" x14ac:dyDescent="0.25">
      <c r="C3385" s="108"/>
      <c r="D3385" s="217"/>
      <c r="E3385" s="217"/>
      <c r="F3385" s="104"/>
      <c r="G3385" s="108"/>
      <c r="J3385" s="174"/>
      <c r="K3385" s="4"/>
    </row>
    <row r="3386" spans="3:11" x14ac:dyDescent="0.25">
      <c r="C3386" s="108"/>
      <c r="D3386" s="217"/>
      <c r="E3386" s="217"/>
      <c r="F3386" s="104"/>
      <c r="G3386" s="108"/>
      <c r="J3386" s="174"/>
      <c r="K3386" s="4"/>
    </row>
    <row r="3387" spans="3:11" x14ac:dyDescent="0.25">
      <c r="C3387" s="108"/>
      <c r="D3387" s="217"/>
      <c r="E3387" s="217"/>
      <c r="F3387" s="104"/>
      <c r="G3387" s="108"/>
      <c r="J3387" s="174"/>
      <c r="K3387" s="4"/>
    </row>
    <row r="3388" spans="3:11" x14ac:dyDescent="0.25">
      <c r="C3388" s="108"/>
      <c r="D3388" s="217"/>
      <c r="E3388" s="217"/>
      <c r="F3388" s="104"/>
      <c r="G3388" s="108"/>
      <c r="J3388" s="174"/>
      <c r="K3388" s="4"/>
    </row>
    <row r="3389" spans="3:11" x14ac:dyDescent="0.25">
      <c r="C3389" s="108"/>
      <c r="D3389" s="217"/>
      <c r="E3389" s="217"/>
      <c r="F3389" s="104"/>
      <c r="G3389" s="108"/>
      <c r="J3389" s="174"/>
      <c r="K3389" s="4"/>
    </row>
    <row r="3390" spans="3:11" x14ac:dyDescent="0.25">
      <c r="C3390" s="108"/>
      <c r="D3390" s="217"/>
      <c r="E3390" s="217"/>
      <c r="F3390" s="104"/>
      <c r="G3390" s="108"/>
      <c r="J3390" s="174"/>
      <c r="K3390" s="4"/>
    </row>
    <row r="3391" spans="3:11" x14ac:dyDescent="0.25">
      <c r="C3391" s="108"/>
      <c r="D3391" s="217"/>
      <c r="E3391" s="217"/>
      <c r="F3391" s="104"/>
      <c r="G3391" s="108"/>
      <c r="J3391" s="174"/>
      <c r="K3391" s="4"/>
    </row>
    <row r="3392" spans="3:11" x14ac:dyDescent="0.25">
      <c r="C3392" s="108"/>
      <c r="D3392" s="217"/>
      <c r="E3392" s="217"/>
      <c r="F3392" s="104"/>
      <c r="G3392" s="108"/>
      <c r="J3392" s="174"/>
      <c r="K3392" s="4"/>
    </row>
    <row r="3393" spans="3:11" x14ac:dyDescent="0.25">
      <c r="C3393" s="108"/>
      <c r="D3393" s="217"/>
      <c r="E3393" s="217"/>
      <c r="F3393" s="104"/>
      <c r="G3393" s="108"/>
      <c r="J3393" s="174"/>
      <c r="K3393" s="4"/>
    </row>
    <row r="3394" spans="3:11" x14ac:dyDescent="0.25">
      <c r="C3394" s="108"/>
      <c r="D3394" s="217"/>
      <c r="E3394" s="217"/>
      <c r="F3394" s="104"/>
      <c r="G3394" s="108"/>
      <c r="J3394" s="174"/>
      <c r="K3394" s="4"/>
    </row>
    <row r="3395" spans="3:11" x14ac:dyDescent="0.25">
      <c r="C3395" s="108"/>
      <c r="D3395" s="217"/>
      <c r="E3395" s="217"/>
      <c r="F3395" s="104"/>
      <c r="G3395" s="108"/>
      <c r="J3395" s="174"/>
      <c r="K3395" s="4"/>
    </row>
    <row r="3396" spans="3:11" x14ac:dyDescent="0.25">
      <c r="C3396" s="108"/>
      <c r="D3396" s="217"/>
      <c r="E3396" s="217"/>
      <c r="F3396" s="104"/>
      <c r="G3396" s="108"/>
      <c r="J3396" s="174"/>
      <c r="K3396" s="4"/>
    </row>
    <row r="3397" spans="3:11" x14ac:dyDescent="0.25">
      <c r="C3397" s="108"/>
      <c r="D3397" s="217"/>
      <c r="E3397" s="217"/>
      <c r="F3397" s="104"/>
      <c r="G3397" s="108"/>
      <c r="J3397" s="174"/>
      <c r="K3397" s="4"/>
    </row>
    <row r="3398" spans="3:11" x14ac:dyDescent="0.25">
      <c r="C3398" s="108"/>
      <c r="D3398" s="217"/>
      <c r="E3398" s="217"/>
      <c r="F3398" s="104"/>
      <c r="G3398" s="108"/>
      <c r="J3398" s="174"/>
      <c r="K3398" s="4"/>
    </row>
    <row r="3399" spans="3:11" x14ac:dyDescent="0.25">
      <c r="C3399" s="108"/>
      <c r="D3399" s="217"/>
      <c r="E3399" s="217"/>
      <c r="F3399" s="104"/>
      <c r="G3399" s="108"/>
      <c r="J3399" s="174"/>
      <c r="K3399" s="4"/>
    </row>
    <row r="3400" spans="3:11" x14ac:dyDescent="0.25">
      <c r="C3400" s="108"/>
      <c r="D3400" s="217"/>
      <c r="E3400" s="217"/>
      <c r="F3400" s="104"/>
      <c r="G3400" s="108"/>
      <c r="J3400" s="174"/>
      <c r="K3400" s="4"/>
    </row>
    <row r="3401" spans="3:11" x14ac:dyDescent="0.25">
      <c r="C3401" s="108"/>
      <c r="D3401" s="217"/>
      <c r="E3401" s="217"/>
      <c r="F3401" s="104"/>
      <c r="G3401" s="108"/>
      <c r="J3401" s="174"/>
      <c r="K3401" s="4"/>
    </row>
    <row r="3402" spans="3:11" x14ac:dyDescent="0.25">
      <c r="C3402" s="108"/>
      <c r="D3402" s="217"/>
      <c r="E3402" s="217"/>
      <c r="F3402" s="104"/>
      <c r="G3402" s="108"/>
      <c r="J3402" s="174"/>
      <c r="K3402" s="4"/>
    </row>
    <row r="3403" spans="3:11" x14ac:dyDescent="0.25">
      <c r="C3403" s="108"/>
      <c r="D3403" s="217"/>
      <c r="E3403" s="217"/>
      <c r="F3403" s="104"/>
      <c r="G3403" s="108"/>
      <c r="J3403" s="174"/>
      <c r="K3403" s="4"/>
    </row>
    <row r="3404" spans="3:11" x14ac:dyDescent="0.25">
      <c r="C3404" s="108"/>
      <c r="D3404" s="217"/>
      <c r="E3404" s="217"/>
      <c r="F3404" s="104"/>
      <c r="G3404" s="108"/>
      <c r="J3404" s="174"/>
      <c r="K3404" s="4"/>
    </row>
    <row r="3405" spans="3:11" x14ac:dyDescent="0.25">
      <c r="C3405" s="108"/>
      <c r="D3405" s="217"/>
      <c r="E3405" s="217"/>
      <c r="F3405" s="104"/>
      <c r="G3405" s="108"/>
      <c r="J3405" s="174"/>
      <c r="K3405" s="4"/>
    </row>
    <row r="3406" spans="3:11" x14ac:dyDescent="0.25">
      <c r="C3406" s="108"/>
      <c r="D3406" s="217"/>
      <c r="E3406" s="217"/>
      <c r="F3406" s="104"/>
      <c r="G3406" s="108"/>
      <c r="J3406" s="174"/>
      <c r="K3406" s="4"/>
    </row>
    <row r="3407" spans="3:11" x14ac:dyDescent="0.25">
      <c r="C3407" s="108"/>
      <c r="D3407" s="217"/>
      <c r="E3407" s="217"/>
      <c r="F3407" s="104"/>
      <c r="G3407" s="108"/>
      <c r="J3407" s="174"/>
      <c r="K3407" s="4"/>
    </row>
    <row r="3408" spans="3:11" x14ac:dyDescent="0.25">
      <c r="C3408" s="108"/>
      <c r="D3408" s="217"/>
      <c r="E3408" s="217"/>
      <c r="F3408" s="104"/>
      <c r="G3408" s="108"/>
      <c r="J3408" s="174"/>
      <c r="K3408" s="4"/>
    </row>
    <row r="3409" spans="3:11" x14ac:dyDescent="0.25">
      <c r="C3409" s="108"/>
      <c r="D3409" s="217"/>
      <c r="E3409" s="217"/>
      <c r="F3409" s="104"/>
      <c r="G3409" s="108"/>
      <c r="J3409" s="174"/>
      <c r="K3409" s="4"/>
    </row>
    <row r="3410" spans="3:11" x14ac:dyDescent="0.25">
      <c r="C3410" s="108"/>
      <c r="D3410" s="217"/>
      <c r="E3410" s="217"/>
      <c r="F3410" s="104"/>
      <c r="G3410" s="108"/>
      <c r="J3410" s="174"/>
      <c r="K3410" s="4"/>
    </row>
    <row r="3411" spans="3:11" x14ac:dyDescent="0.25">
      <c r="C3411" s="108"/>
      <c r="D3411" s="217"/>
      <c r="E3411" s="217"/>
      <c r="F3411" s="104"/>
      <c r="G3411" s="108"/>
      <c r="J3411" s="174"/>
      <c r="K3411" s="4"/>
    </row>
    <row r="3412" spans="3:11" x14ac:dyDescent="0.25">
      <c r="C3412" s="108"/>
      <c r="D3412" s="217"/>
      <c r="E3412" s="217"/>
      <c r="F3412" s="104"/>
      <c r="G3412" s="108"/>
      <c r="J3412" s="174"/>
      <c r="K3412" s="4"/>
    </row>
    <row r="3413" spans="3:11" x14ac:dyDescent="0.25">
      <c r="C3413" s="108"/>
      <c r="D3413" s="217"/>
      <c r="E3413" s="217"/>
      <c r="F3413" s="104"/>
      <c r="G3413" s="108"/>
      <c r="J3413" s="174"/>
      <c r="K3413" s="4"/>
    </row>
    <row r="3414" spans="3:11" x14ac:dyDescent="0.25">
      <c r="C3414" s="108"/>
      <c r="D3414" s="217"/>
      <c r="E3414" s="217"/>
      <c r="F3414" s="104"/>
      <c r="G3414" s="108"/>
      <c r="J3414" s="174"/>
      <c r="K3414" s="4"/>
    </row>
    <row r="3415" spans="3:11" x14ac:dyDescent="0.25">
      <c r="C3415" s="108"/>
      <c r="D3415" s="217"/>
      <c r="E3415" s="217"/>
      <c r="F3415" s="104"/>
      <c r="G3415" s="108"/>
      <c r="J3415" s="174"/>
      <c r="K3415" s="4"/>
    </row>
    <row r="3416" spans="3:11" x14ac:dyDescent="0.25">
      <c r="C3416" s="108"/>
      <c r="D3416" s="217"/>
      <c r="E3416" s="217"/>
      <c r="F3416" s="104"/>
      <c r="G3416" s="108"/>
      <c r="J3416" s="174"/>
      <c r="K3416" s="4"/>
    </row>
    <row r="3417" spans="3:11" x14ac:dyDescent="0.25">
      <c r="C3417" s="108"/>
      <c r="D3417" s="217"/>
      <c r="E3417" s="217"/>
      <c r="F3417" s="104"/>
      <c r="G3417" s="108"/>
      <c r="J3417" s="174"/>
      <c r="K3417" s="4"/>
    </row>
    <row r="3418" spans="3:11" x14ac:dyDescent="0.25">
      <c r="C3418" s="108"/>
      <c r="D3418" s="217"/>
      <c r="E3418" s="217"/>
      <c r="F3418" s="104"/>
      <c r="G3418" s="108"/>
      <c r="J3418" s="174"/>
      <c r="K3418" s="4"/>
    </row>
    <row r="3419" spans="3:11" x14ac:dyDescent="0.25">
      <c r="C3419" s="108"/>
      <c r="D3419" s="217"/>
      <c r="E3419" s="217"/>
      <c r="F3419" s="104"/>
      <c r="G3419" s="108"/>
      <c r="J3419" s="174"/>
      <c r="K3419" s="4"/>
    </row>
    <row r="3420" spans="3:11" x14ac:dyDescent="0.25">
      <c r="C3420" s="108"/>
      <c r="D3420" s="217"/>
      <c r="E3420" s="217"/>
      <c r="F3420" s="104"/>
      <c r="G3420" s="108"/>
      <c r="J3420" s="174"/>
      <c r="K3420" s="4"/>
    </row>
    <row r="3421" spans="3:11" x14ac:dyDescent="0.25">
      <c r="C3421" s="108"/>
      <c r="D3421" s="217"/>
      <c r="E3421" s="217"/>
      <c r="F3421" s="104"/>
      <c r="G3421" s="108"/>
      <c r="J3421" s="174"/>
      <c r="K3421" s="4"/>
    </row>
    <row r="3422" spans="3:11" x14ac:dyDescent="0.25">
      <c r="C3422" s="108"/>
      <c r="D3422" s="217"/>
      <c r="E3422" s="217"/>
      <c r="F3422" s="104"/>
      <c r="G3422" s="108"/>
      <c r="J3422" s="174"/>
      <c r="K3422" s="4"/>
    </row>
    <row r="3423" spans="3:11" x14ac:dyDescent="0.25">
      <c r="C3423" s="108"/>
      <c r="D3423" s="217"/>
      <c r="E3423" s="217"/>
      <c r="F3423" s="104"/>
      <c r="G3423" s="108"/>
      <c r="J3423" s="174"/>
      <c r="K3423" s="4"/>
    </row>
    <row r="3424" spans="3:11" x14ac:dyDescent="0.25">
      <c r="C3424" s="108"/>
      <c r="D3424" s="217"/>
      <c r="E3424" s="217"/>
      <c r="F3424" s="104"/>
      <c r="G3424" s="108"/>
      <c r="J3424" s="174"/>
      <c r="K3424" s="4"/>
    </row>
    <row r="3425" spans="3:11" x14ac:dyDescent="0.25">
      <c r="C3425" s="108"/>
      <c r="D3425" s="217"/>
      <c r="E3425" s="217"/>
      <c r="F3425" s="104"/>
      <c r="G3425" s="108"/>
      <c r="J3425" s="174"/>
      <c r="K3425" s="4"/>
    </row>
    <row r="3426" spans="3:11" x14ac:dyDescent="0.25">
      <c r="C3426" s="108"/>
      <c r="D3426" s="217"/>
      <c r="E3426" s="217"/>
      <c r="F3426" s="104"/>
      <c r="G3426" s="108"/>
      <c r="J3426" s="174"/>
      <c r="K3426" s="4"/>
    </row>
    <row r="3427" spans="3:11" x14ac:dyDescent="0.25">
      <c r="C3427" s="108"/>
      <c r="D3427" s="217"/>
      <c r="E3427" s="217"/>
      <c r="F3427" s="104"/>
      <c r="G3427" s="108"/>
      <c r="J3427" s="174"/>
      <c r="K3427" s="4"/>
    </row>
    <row r="3428" spans="3:11" x14ac:dyDescent="0.25">
      <c r="C3428" s="108"/>
      <c r="D3428" s="217"/>
      <c r="E3428" s="217"/>
      <c r="F3428" s="104"/>
      <c r="G3428" s="108"/>
      <c r="J3428" s="174"/>
      <c r="K3428" s="4"/>
    </row>
    <row r="3429" spans="3:11" x14ac:dyDescent="0.25">
      <c r="C3429" s="108"/>
      <c r="D3429" s="217"/>
      <c r="E3429" s="217"/>
      <c r="F3429" s="104"/>
      <c r="G3429" s="108"/>
      <c r="J3429" s="174"/>
      <c r="K3429" s="4"/>
    </row>
    <row r="3430" spans="3:11" x14ac:dyDescent="0.25">
      <c r="C3430" s="108"/>
      <c r="D3430" s="217"/>
      <c r="E3430" s="217"/>
      <c r="F3430" s="104"/>
      <c r="G3430" s="108"/>
      <c r="J3430" s="174"/>
      <c r="K3430" s="4"/>
    </row>
    <row r="3431" spans="3:11" x14ac:dyDescent="0.25">
      <c r="C3431" s="108"/>
      <c r="D3431" s="217"/>
      <c r="E3431" s="217"/>
      <c r="F3431" s="104"/>
      <c r="G3431" s="108"/>
      <c r="J3431" s="174"/>
      <c r="K3431" s="4"/>
    </row>
    <row r="3432" spans="3:11" x14ac:dyDescent="0.25">
      <c r="C3432" s="108"/>
      <c r="D3432" s="217"/>
      <c r="E3432" s="217"/>
      <c r="F3432" s="104"/>
      <c r="G3432" s="108"/>
      <c r="J3432" s="174"/>
      <c r="K3432" s="4"/>
    </row>
    <row r="3433" spans="3:11" x14ac:dyDescent="0.25">
      <c r="C3433" s="108"/>
      <c r="D3433" s="217"/>
      <c r="E3433" s="217"/>
      <c r="F3433" s="104"/>
      <c r="G3433" s="108"/>
      <c r="J3433" s="174"/>
      <c r="K3433" s="4"/>
    </row>
    <row r="3434" spans="3:11" x14ac:dyDescent="0.25">
      <c r="C3434" s="108"/>
      <c r="D3434" s="217"/>
      <c r="E3434" s="217"/>
      <c r="F3434" s="104"/>
      <c r="G3434" s="108"/>
      <c r="J3434" s="174"/>
      <c r="K3434" s="4"/>
    </row>
    <row r="3435" spans="3:11" x14ac:dyDescent="0.25">
      <c r="C3435" s="108"/>
      <c r="D3435" s="217"/>
      <c r="E3435" s="217"/>
      <c r="F3435" s="104"/>
      <c r="G3435" s="108"/>
      <c r="J3435" s="174"/>
      <c r="K3435" s="4"/>
    </row>
    <row r="3436" spans="3:11" x14ac:dyDescent="0.25">
      <c r="C3436" s="108"/>
      <c r="D3436" s="217"/>
      <c r="E3436" s="217"/>
      <c r="F3436" s="104"/>
      <c r="G3436" s="108"/>
      <c r="J3436" s="174"/>
      <c r="K3436" s="4"/>
    </row>
    <row r="3437" spans="3:11" x14ac:dyDescent="0.25">
      <c r="C3437" s="108"/>
      <c r="D3437" s="217"/>
      <c r="E3437" s="217"/>
      <c r="F3437" s="104"/>
      <c r="G3437" s="108"/>
      <c r="J3437" s="174"/>
      <c r="K3437" s="4"/>
    </row>
    <row r="3438" spans="3:11" x14ac:dyDescent="0.25">
      <c r="C3438" s="108"/>
      <c r="D3438" s="217"/>
      <c r="E3438" s="217"/>
      <c r="F3438" s="104"/>
      <c r="G3438" s="108"/>
      <c r="J3438" s="174"/>
      <c r="K3438" s="4"/>
    </row>
    <row r="3439" spans="3:11" x14ac:dyDescent="0.25">
      <c r="C3439" s="108"/>
      <c r="D3439" s="217"/>
      <c r="E3439" s="217"/>
      <c r="F3439" s="104"/>
      <c r="G3439" s="108"/>
      <c r="J3439" s="174"/>
      <c r="K3439" s="4"/>
    </row>
    <row r="3440" spans="3:11" x14ac:dyDescent="0.25">
      <c r="C3440" s="108"/>
      <c r="D3440" s="217"/>
      <c r="E3440" s="217"/>
      <c r="F3440" s="104"/>
      <c r="G3440" s="108"/>
      <c r="J3440" s="174"/>
      <c r="K3440" s="4"/>
    </row>
    <row r="3441" spans="3:11" x14ac:dyDescent="0.25">
      <c r="C3441" s="108"/>
      <c r="D3441" s="217"/>
      <c r="E3441" s="217"/>
      <c r="F3441" s="104"/>
      <c r="G3441" s="108"/>
      <c r="J3441" s="174"/>
      <c r="K3441" s="4"/>
    </row>
    <row r="3442" spans="3:11" x14ac:dyDescent="0.25">
      <c r="C3442" s="108"/>
      <c r="D3442" s="217"/>
      <c r="E3442" s="217"/>
      <c r="F3442" s="104"/>
      <c r="G3442" s="108"/>
      <c r="J3442" s="174"/>
      <c r="K3442" s="4"/>
    </row>
    <row r="3443" spans="3:11" x14ac:dyDescent="0.25">
      <c r="C3443" s="108"/>
      <c r="D3443" s="217"/>
      <c r="E3443" s="217"/>
      <c r="F3443" s="104"/>
      <c r="G3443" s="108"/>
      <c r="J3443" s="174"/>
      <c r="K3443" s="4"/>
    </row>
    <row r="3444" spans="3:11" x14ac:dyDescent="0.25">
      <c r="C3444" s="108"/>
      <c r="D3444" s="217"/>
      <c r="E3444" s="217"/>
      <c r="F3444" s="104"/>
      <c r="G3444" s="108"/>
      <c r="J3444" s="174"/>
      <c r="K3444" s="4"/>
    </row>
    <row r="3445" spans="3:11" x14ac:dyDescent="0.25">
      <c r="C3445" s="108"/>
      <c r="D3445" s="217"/>
      <c r="E3445" s="217"/>
      <c r="F3445" s="104"/>
      <c r="G3445" s="108"/>
      <c r="J3445" s="174"/>
      <c r="K3445" s="4"/>
    </row>
    <row r="3446" spans="3:11" x14ac:dyDescent="0.25">
      <c r="C3446" s="108"/>
      <c r="D3446" s="217"/>
      <c r="E3446" s="217"/>
      <c r="F3446" s="104"/>
      <c r="G3446" s="108"/>
      <c r="J3446" s="174"/>
      <c r="K3446" s="4"/>
    </row>
    <row r="3447" spans="3:11" x14ac:dyDescent="0.25">
      <c r="C3447" s="108"/>
      <c r="D3447" s="217"/>
      <c r="E3447" s="217"/>
      <c r="F3447" s="104"/>
      <c r="G3447" s="108"/>
      <c r="J3447" s="174"/>
      <c r="K3447" s="4"/>
    </row>
    <row r="3448" spans="3:11" x14ac:dyDescent="0.25">
      <c r="C3448" s="108"/>
      <c r="D3448" s="217"/>
      <c r="E3448" s="217"/>
      <c r="F3448" s="104"/>
      <c r="G3448" s="108"/>
      <c r="J3448" s="174"/>
      <c r="K3448" s="4"/>
    </row>
    <row r="3449" spans="3:11" x14ac:dyDescent="0.25">
      <c r="C3449" s="108"/>
      <c r="D3449" s="217"/>
      <c r="E3449" s="217"/>
      <c r="F3449" s="104"/>
      <c r="G3449" s="108"/>
      <c r="J3449" s="174"/>
      <c r="K3449" s="4"/>
    </row>
    <row r="3450" spans="3:11" x14ac:dyDescent="0.25">
      <c r="C3450" s="108"/>
      <c r="D3450" s="217"/>
      <c r="E3450" s="217"/>
      <c r="F3450" s="104"/>
      <c r="G3450" s="108"/>
      <c r="J3450" s="174"/>
      <c r="K3450" s="4"/>
    </row>
    <row r="3451" spans="3:11" x14ac:dyDescent="0.25">
      <c r="C3451" s="108"/>
      <c r="D3451" s="217"/>
      <c r="E3451" s="217"/>
      <c r="F3451" s="104"/>
      <c r="G3451" s="108"/>
      <c r="J3451" s="174"/>
      <c r="K3451" s="4"/>
    </row>
    <row r="3452" spans="3:11" x14ac:dyDescent="0.25">
      <c r="C3452" s="108"/>
      <c r="D3452" s="217"/>
      <c r="E3452" s="217"/>
      <c r="F3452" s="104"/>
      <c r="G3452" s="108"/>
      <c r="J3452" s="174"/>
      <c r="K3452" s="4"/>
    </row>
    <row r="3453" spans="3:11" x14ac:dyDescent="0.25">
      <c r="C3453" s="108"/>
      <c r="D3453" s="217"/>
      <c r="E3453" s="217"/>
      <c r="F3453" s="104"/>
      <c r="G3453" s="108"/>
      <c r="J3453" s="174"/>
      <c r="K3453" s="4"/>
    </row>
    <row r="3454" spans="3:11" x14ac:dyDescent="0.25">
      <c r="C3454" s="108"/>
      <c r="D3454" s="217"/>
      <c r="E3454" s="217"/>
      <c r="F3454" s="104"/>
      <c r="G3454" s="108"/>
      <c r="J3454" s="174"/>
      <c r="K3454" s="4"/>
    </row>
    <row r="3455" spans="3:11" x14ac:dyDescent="0.25">
      <c r="C3455" s="108"/>
      <c r="D3455" s="217"/>
      <c r="E3455" s="217"/>
      <c r="F3455" s="104"/>
      <c r="G3455" s="108"/>
      <c r="J3455" s="174"/>
      <c r="K3455" s="4"/>
    </row>
    <row r="3456" spans="3:11" x14ac:dyDescent="0.25">
      <c r="C3456" s="108"/>
      <c r="D3456" s="217"/>
      <c r="E3456" s="217"/>
      <c r="F3456" s="104"/>
      <c r="G3456" s="108"/>
      <c r="J3456" s="174"/>
      <c r="K3456" s="4"/>
    </row>
    <row r="3457" spans="3:11" x14ac:dyDescent="0.25">
      <c r="C3457" s="108"/>
      <c r="D3457" s="217"/>
      <c r="E3457" s="217"/>
      <c r="F3457" s="104"/>
      <c r="G3457" s="108"/>
      <c r="J3457" s="174"/>
      <c r="K3457" s="4"/>
    </row>
    <row r="3458" spans="3:11" x14ac:dyDescent="0.25">
      <c r="C3458" s="108"/>
      <c r="D3458" s="217"/>
      <c r="E3458" s="217"/>
      <c r="F3458" s="104"/>
      <c r="G3458" s="108"/>
      <c r="J3458" s="174"/>
      <c r="K3458" s="4"/>
    </row>
    <row r="3459" spans="3:11" x14ac:dyDescent="0.25">
      <c r="C3459" s="108"/>
      <c r="D3459" s="217"/>
      <c r="E3459" s="217"/>
      <c r="F3459" s="104"/>
      <c r="G3459" s="108"/>
      <c r="J3459" s="174"/>
      <c r="K3459" s="4"/>
    </row>
    <row r="3460" spans="3:11" x14ac:dyDescent="0.25">
      <c r="C3460" s="108"/>
      <c r="D3460" s="217"/>
      <c r="E3460" s="217"/>
      <c r="F3460" s="104"/>
      <c r="G3460" s="108"/>
      <c r="J3460" s="174"/>
      <c r="K3460" s="4"/>
    </row>
    <row r="3461" spans="3:11" x14ac:dyDescent="0.25">
      <c r="C3461" s="108"/>
      <c r="D3461" s="217"/>
      <c r="E3461" s="217"/>
      <c r="F3461" s="104"/>
      <c r="G3461" s="108"/>
      <c r="J3461" s="174"/>
      <c r="K3461" s="4"/>
    </row>
    <row r="3462" spans="3:11" x14ac:dyDescent="0.25">
      <c r="C3462" s="108"/>
      <c r="D3462" s="217"/>
      <c r="E3462" s="217"/>
      <c r="F3462" s="104"/>
      <c r="G3462" s="108"/>
      <c r="J3462" s="174"/>
      <c r="K3462" s="4"/>
    </row>
    <row r="3463" spans="3:11" x14ac:dyDescent="0.25">
      <c r="C3463" s="108"/>
      <c r="D3463" s="217"/>
      <c r="E3463" s="217"/>
      <c r="F3463" s="104"/>
      <c r="G3463" s="108"/>
      <c r="J3463" s="174"/>
      <c r="K3463" s="4"/>
    </row>
    <row r="3464" spans="3:11" x14ac:dyDescent="0.25">
      <c r="C3464" s="108"/>
      <c r="D3464" s="217"/>
      <c r="E3464" s="217"/>
      <c r="F3464" s="104"/>
      <c r="G3464" s="108"/>
      <c r="J3464" s="174"/>
      <c r="K3464" s="4"/>
    </row>
    <row r="3465" spans="3:11" x14ac:dyDescent="0.25">
      <c r="C3465" s="108"/>
      <c r="D3465" s="217"/>
      <c r="E3465" s="217"/>
      <c r="F3465" s="104"/>
      <c r="G3465" s="108"/>
      <c r="J3465" s="174"/>
      <c r="K3465" s="4"/>
    </row>
    <row r="3466" spans="3:11" x14ac:dyDescent="0.25">
      <c r="C3466" s="108"/>
      <c r="D3466" s="217"/>
      <c r="E3466" s="217"/>
      <c r="F3466" s="104"/>
      <c r="G3466" s="108"/>
      <c r="J3466" s="174"/>
      <c r="K3466" s="4"/>
    </row>
    <row r="3467" spans="3:11" x14ac:dyDescent="0.25">
      <c r="C3467" s="108"/>
      <c r="D3467" s="217"/>
      <c r="E3467" s="217"/>
      <c r="F3467" s="104"/>
      <c r="G3467" s="108"/>
      <c r="J3467" s="174"/>
      <c r="K3467" s="4"/>
    </row>
    <row r="3468" spans="3:11" x14ac:dyDescent="0.25">
      <c r="C3468" s="108"/>
      <c r="D3468" s="217"/>
      <c r="E3468" s="217"/>
      <c r="F3468" s="104"/>
      <c r="G3468" s="108"/>
      <c r="J3468" s="174"/>
      <c r="K3468" s="4"/>
    </row>
    <row r="3469" spans="3:11" x14ac:dyDescent="0.25">
      <c r="C3469" s="108"/>
      <c r="D3469" s="217"/>
      <c r="E3469" s="217"/>
      <c r="F3469" s="104"/>
      <c r="G3469" s="108"/>
      <c r="J3469" s="174"/>
      <c r="K3469" s="4"/>
    </row>
    <row r="3470" spans="3:11" x14ac:dyDescent="0.25">
      <c r="C3470" s="108"/>
      <c r="D3470" s="217"/>
      <c r="E3470" s="217"/>
      <c r="F3470" s="104"/>
      <c r="G3470" s="108"/>
      <c r="J3470" s="174"/>
      <c r="K3470" s="4"/>
    </row>
    <row r="3471" spans="3:11" x14ac:dyDescent="0.25">
      <c r="C3471" s="108"/>
      <c r="D3471" s="217"/>
      <c r="E3471" s="217"/>
      <c r="F3471" s="104"/>
      <c r="G3471" s="108"/>
      <c r="J3471" s="174"/>
      <c r="K3471" s="4"/>
    </row>
    <row r="3472" spans="3:11" x14ac:dyDescent="0.25">
      <c r="C3472" s="108"/>
      <c r="D3472" s="217"/>
      <c r="E3472" s="217"/>
      <c r="F3472" s="104"/>
      <c r="G3472" s="108"/>
      <c r="J3472" s="174"/>
      <c r="K3472" s="4"/>
    </row>
    <row r="3473" spans="3:11" x14ac:dyDescent="0.25">
      <c r="C3473" s="108"/>
      <c r="D3473" s="217"/>
      <c r="E3473" s="217"/>
      <c r="F3473" s="104"/>
      <c r="G3473" s="108"/>
      <c r="J3473" s="174"/>
      <c r="K3473" s="4"/>
    </row>
    <row r="3474" spans="3:11" x14ac:dyDescent="0.25">
      <c r="C3474" s="108"/>
      <c r="D3474" s="217"/>
      <c r="E3474" s="217"/>
      <c r="F3474" s="104"/>
      <c r="G3474" s="108"/>
      <c r="J3474" s="174"/>
      <c r="K3474" s="4"/>
    </row>
    <row r="3475" spans="3:11" x14ac:dyDescent="0.25">
      <c r="C3475" s="108"/>
      <c r="D3475" s="217"/>
      <c r="E3475" s="217"/>
      <c r="F3475" s="104"/>
      <c r="G3475" s="108"/>
      <c r="J3475" s="174"/>
      <c r="K3475" s="4"/>
    </row>
    <row r="3476" spans="3:11" x14ac:dyDescent="0.25">
      <c r="C3476" s="108"/>
      <c r="D3476" s="217"/>
      <c r="E3476" s="217"/>
      <c r="F3476" s="104"/>
      <c r="G3476" s="108"/>
      <c r="J3476" s="174"/>
      <c r="K3476" s="4"/>
    </row>
    <row r="3477" spans="3:11" x14ac:dyDescent="0.25">
      <c r="C3477" s="108"/>
      <c r="D3477" s="217"/>
      <c r="E3477" s="217"/>
      <c r="F3477" s="104"/>
      <c r="G3477" s="108"/>
      <c r="J3477" s="174"/>
      <c r="K3477" s="4"/>
    </row>
    <row r="3478" spans="3:11" x14ac:dyDescent="0.25">
      <c r="C3478" s="108"/>
      <c r="D3478" s="217"/>
      <c r="E3478" s="217"/>
      <c r="F3478" s="104"/>
      <c r="G3478" s="108"/>
      <c r="J3478" s="174"/>
      <c r="K3478" s="4"/>
    </row>
    <row r="3479" spans="3:11" x14ac:dyDescent="0.25">
      <c r="C3479" s="108"/>
      <c r="D3479" s="217"/>
      <c r="E3479" s="217"/>
      <c r="F3479" s="104"/>
      <c r="G3479" s="108"/>
      <c r="J3479" s="174"/>
      <c r="K3479" s="4"/>
    </row>
    <row r="3480" spans="3:11" x14ac:dyDescent="0.25">
      <c r="C3480" s="108"/>
      <c r="D3480" s="217"/>
      <c r="E3480" s="217"/>
      <c r="F3480" s="104"/>
      <c r="G3480" s="108"/>
      <c r="J3480" s="174"/>
      <c r="K3480" s="4"/>
    </row>
    <row r="3481" spans="3:11" x14ac:dyDescent="0.25">
      <c r="C3481" s="108"/>
      <c r="D3481" s="217"/>
      <c r="E3481" s="217"/>
      <c r="F3481" s="104"/>
      <c r="G3481" s="108"/>
      <c r="J3481" s="174"/>
      <c r="K3481" s="4"/>
    </row>
    <row r="3482" spans="3:11" x14ac:dyDescent="0.25">
      <c r="C3482" s="108"/>
      <c r="D3482" s="217"/>
      <c r="E3482" s="217"/>
      <c r="F3482" s="104"/>
      <c r="G3482" s="108"/>
      <c r="J3482" s="174"/>
      <c r="K3482" s="4"/>
    </row>
    <row r="3483" spans="3:11" x14ac:dyDescent="0.25">
      <c r="C3483" s="108"/>
      <c r="D3483" s="217"/>
      <c r="E3483" s="217"/>
      <c r="F3483" s="104"/>
      <c r="G3483" s="108"/>
      <c r="J3483" s="174"/>
      <c r="K3483" s="4"/>
    </row>
    <row r="3484" spans="3:11" x14ac:dyDescent="0.25">
      <c r="C3484" s="108"/>
      <c r="D3484" s="217"/>
      <c r="E3484" s="217"/>
      <c r="F3484" s="104"/>
      <c r="G3484" s="108"/>
      <c r="J3484" s="174"/>
      <c r="K3484" s="4"/>
    </row>
    <row r="3485" spans="3:11" x14ac:dyDescent="0.25">
      <c r="C3485" s="108"/>
      <c r="D3485" s="217"/>
      <c r="E3485" s="217"/>
      <c r="F3485" s="104"/>
      <c r="G3485" s="108"/>
      <c r="J3485" s="174"/>
      <c r="K3485" s="4"/>
    </row>
    <row r="3486" spans="3:11" x14ac:dyDescent="0.25">
      <c r="C3486" s="108"/>
      <c r="D3486" s="217"/>
      <c r="E3486" s="217"/>
      <c r="F3486" s="104"/>
      <c r="G3486" s="108"/>
      <c r="J3486" s="174"/>
      <c r="K3486" s="4"/>
    </row>
    <row r="3487" spans="3:11" x14ac:dyDescent="0.25">
      <c r="C3487" s="108"/>
      <c r="D3487" s="217"/>
      <c r="E3487" s="217"/>
      <c r="F3487" s="104"/>
      <c r="G3487" s="108"/>
      <c r="J3487" s="174"/>
      <c r="K3487" s="4"/>
    </row>
    <row r="3488" spans="3:11" x14ac:dyDescent="0.25">
      <c r="C3488" s="108"/>
      <c r="D3488" s="217"/>
      <c r="E3488" s="217"/>
      <c r="F3488" s="104"/>
      <c r="G3488" s="108"/>
      <c r="J3488" s="174"/>
      <c r="K3488" s="4"/>
    </row>
    <row r="3489" spans="3:11" x14ac:dyDescent="0.25">
      <c r="C3489" s="108"/>
      <c r="D3489" s="217"/>
      <c r="E3489" s="217"/>
      <c r="F3489" s="104"/>
      <c r="G3489" s="108"/>
      <c r="J3489" s="174"/>
      <c r="K3489" s="4"/>
    </row>
    <row r="3490" spans="3:11" x14ac:dyDescent="0.25">
      <c r="C3490" s="108"/>
      <c r="D3490" s="217"/>
      <c r="E3490" s="217"/>
      <c r="F3490" s="104"/>
      <c r="G3490" s="108"/>
      <c r="J3490" s="174"/>
      <c r="K3490" s="4"/>
    </row>
    <row r="3491" spans="3:11" x14ac:dyDescent="0.25">
      <c r="C3491" s="108"/>
      <c r="D3491" s="217"/>
      <c r="E3491" s="217"/>
      <c r="F3491" s="104"/>
      <c r="G3491" s="108"/>
      <c r="J3491" s="174"/>
      <c r="K3491" s="4"/>
    </row>
    <row r="3492" spans="3:11" x14ac:dyDescent="0.25">
      <c r="C3492" s="108"/>
      <c r="D3492" s="217"/>
      <c r="E3492" s="217"/>
      <c r="F3492" s="104"/>
      <c r="G3492" s="108"/>
      <c r="J3492" s="174"/>
      <c r="K3492" s="4"/>
    </row>
    <row r="3493" spans="3:11" x14ac:dyDescent="0.25">
      <c r="C3493" s="108"/>
      <c r="D3493" s="217"/>
      <c r="E3493" s="217"/>
      <c r="F3493" s="104"/>
      <c r="G3493" s="108"/>
      <c r="J3493" s="174"/>
      <c r="K3493" s="4"/>
    </row>
    <row r="3494" spans="3:11" x14ac:dyDescent="0.25">
      <c r="C3494" s="108"/>
      <c r="D3494" s="217"/>
      <c r="E3494" s="217"/>
      <c r="F3494" s="104"/>
      <c r="G3494" s="108"/>
      <c r="J3494" s="174"/>
      <c r="K3494" s="4"/>
    </row>
    <row r="3495" spans="3:11" x14ac:dyDescent="0.25">
      <c r="C3495" s="108"/>
      <c r="D3495" s="217"/>
      <c r="E3495" s="217"/>
      <c r="F3495" s="104"/>
      <c r="G3495" s="108"/>
      <c r="J3495" s="174"/>
      <c r="K3495" s="4"/>
    </row>
    <row r="3496" spans="3:11" x14ac:dyDescent="0.25">
      <c r="C3496" s="108"/>
      <c r="D3496" s="217"/>
      <c r="E3496" s="217"/>
      <c r="F3496" s="104"/>
      <c r="G3496" s="108"/>
      <c r="J3496" s="174"/>
      <c r="K3496" s="4"/>
    </row>
    <row r="3497" spans="3:11" x14ac:dyDescent="0.25">
      <c r="C3497" s="108"/>
      <c r="D3497" s="217"/>
      <c r="E3497" s="217"/>
      <c r="F3497" s="104"/>
      <c r="G3497" s="108"/>
      <c r="J3497" s="174"/>
      <c r="K3497" s="4"/>
    </row>
    <row r="3498" spans="3:11" x14ac:dyDescent="0.25">
      <c r="C3498" s="108"/>
      <c r="D3498" s="217"/>
      <c r="E3498" s="217"/>
      <c r="F3498" s="104"/>
      <c r="G3498" s="108"/>
      <c r="J3498" s="174"/>
      <c r="K3498" s="4"/>
    </row>
    <row r="3499" spans="3:11" x14ac:dyDescent="0.25">
      <c r="C3499" s="108"/>
      <c r="D3499" s="217"/>
      <c r="E3499" s="217"/>
      <c r="F3499" s="104"/>
      <c r="G3499" s="108"/>
      <c r="J3499" s="174"/>
      <c r="K3499" s="4"/>
    </row>
    <row r="3500" spans="3:11" x14ac:dyDescent="0.25">
      <c r="C3500" s="108"/>
      <c r="D3500" s="217"/>
      <c r="E3500" s="217"/>
      <c r="F3500" s="104"/>
      <c r="G3500" s="108"/>
      <c r="J3500" s="174"/>
      <c r="K3500" s="4"/>
    </row>
    <row r="3501" spans="3:11" x14ac:dyDescent="0.25">
      <c r="C3501" s="108"/>
      <c r="D3501" s="217"/>
      <c r="E3501" s="217"/>
      <c r="F3501" s="104"/>
      <c r="G3501" s="108"/>
      <c r="J3501" s="174"/>
      <c r="K3501" s="4"/>
    </row>
    <row r="3502" spans="3:11" x14ac:dyDescent="0.25">
      <c r="C3502" s="108"/>
      <c r="D3502" s="217"/>
      <c r="E3502" s="217"/>
      <c r="F3502" s="104"/>
      <c r="G3502" s="108"/>
      <c r="J3502" s="174"/>
      <c r="K3502" s="4"/>
    </row>
    <row r="3503" spans="3:11" x14ac:dyDescent="0.25">
      <c r="C3503" s="108"/>
      <c r="D3503" s="217"/>
      <c r="E3503" s="217"/>
      <c r="F3503" s="104"/>
      <c r="G3503" s="108"/>
      <c r="J3503" s="174"/>
      <c r="K3503" s="4"/>
    </row>
    <row r="3504" spans="3:11" x14ac:dyDescent="0.25">
      <c r="C3504" s="108"/>
      <c r="D3504" s="217"/>
      <c r="E3504" s="217"/>
      <c r="F3504" s="104"/>
      <c r="G3504" s="108"/>
      <c r="J3504" s="174"/>
      <c r="K3504" s="4"/>
    </row>
    <row r="3505" spans="3:11" x14ac:dyDescent="0.25">
      <c r="C3505" s="108"/>
      <c r="D3505" s="217"/>
      <c r="E3505" s="217"/>
      <c r="F3505" s="104"/>
      <c r="G3505" s="108"/>
      <c r="J3505" s="174"/>
      <c r="K3505" s="4"/>
    </row>
    <row r="3506" spans="3:11" x14ac:dyDescent="0.25">
      <c r="C3506" s="108"/>
      <c r="D3506" s="217"/>
      <c r="E3506" s="217"/>
      <c r="F3506" s="104"/>
      <c r="G3506" s="108"/>
      <c r="J3506" s="174"/>
      <c r="K3506" s="4"/>
    </row>
    <row r="3507" spans="3:11" x14ac:dyDescent="0.25">
      <c r="C3507" s="108"/>
      <c r="D3507" s="217"/>
      <c r="E3507" s="217"/>
      <c r="F3507" s="104"/>
      <c r="G3507" s="108"/>
      <c r="J3507" s="174"/>
      <c r="K3507" s="4"/>
    </row>
    <row r="3508" spans="3:11" x14ac:dyDescent="0.25">
      <c r="C3508" s="108"/>
      <c r="D3508" s="217"/>
      <c r="E3508" s="217"/>
      <c r="F3508" s="104"/>
      <c r="G3508" s="108"/>
      <c r="J3508" s="174"/>
      <c r="K3508" s="4"/>
    </row>
    <row r="3509" spans="3:11" x14ac:dyDescent="0.25">
      <c r="C3509" s="108"/>
      <c r="D3509" s="217"/>
      <c r="E3509" s="217"/>
      <c r="F3509" s="104"/>
      <c r="G3509" s="108"/>
      <c r="J3509" s="174"/>
      <c r="K3509" s="4"/>
    </row>
    <row r="3510" spans="3:11" x14ac:dyDescent="0.25">
      <c r="C3510" s="108"/>
      <c r="D3510" s="217"/>
      <c r="E3510" s="217"/>
      <c r="F3510" s="104"/>
      <c r="G3510" s="108"/>
      <c r="J3510" s="174"/>
      <c r="K3510" s="4"/>
    </row>
    <row r="3511" spans="3:11" x14ac:dyDescent="0.25">
      <c r="C3511" s="108"/>
      <c r="D3511" s="217"/>
      <c r="E3511" s="217"/>
      <c r="F3511" s="104"/>
      <c r="G3511" s="108"/>
      <c r="J3511" s="174"/>
      <c r="K3511" s="4"/>
    </row>
    <row r="3512" spans="3:11" x14ac:dyDescent="0.25">
      <c r="C3512" s="108"/>
      <c r="D3512" s="217"/>
      <c r="E3512" s="217"/>
      <c r="F3512" s="104"/>
      <c r="G3512" s="108"/>
      <c r="J3512" s="174"/>
      <c r="K3512" s="4"/>
    </row>
    <row r="3513" spans="3:11" x14ac:dyDescent="0.25">
      <c r="C3513" s="108"/>
      <c r="D3513" s="217"/>
      <c r="E3513" s="217"/>
      <c r="F3513" s="104"/>
      <c r="G3513" s="108"/>
      <c r="J3513" s="174"/>
      <c r="K3513" s="4"/>
    </row>
    <row r="3514" spans="3:11" x14ac:dyDescent="0.25">
      <c r="C3514" s="108"/>
      <c r="D3514" s="217"/>
      <c r="E3514" s="217"/>
      <c r="F3514" s="104"/>
      <c r="G3514" s="108"/>
      <c r="J3514" s="174"/>
      <c r="K3514" s="4"/>
    </row>
    <row r="3515" spans="3:11" x14ac:dyDescent="0.25">
      <c r="C3515" s="108"/>
      <c r="D3515" s="217"/>
      <c r="E3515" s="217"/>
      <c r="F3515" s="104"/>
      <c r="G3515" s="108"/>
      <c r="J3515" s="174"/>
      <c r="K3515" s="4"/>
    </row>
    <row r="3516" spans="3:11" x14ac:dyDescent="0.25">
      <c r="C3516" s="108"/>
      <c r="D3516" s="217"/>
      <c r="E3516" s="217"/>
      <c r="F3516" s="104"/>
      <c r="G3516" s="108"/>
      <c r="J3516" s="174"/>
      <c r="K3516" s="4"/>
    </row>
    <row r="3517" spans="3:11" x14ac:dyDescent="0.25">
      <c r="C3517" s="108"/>
      <c r="D3517" s="217"/>
      <c r="E3517" s="217"/>
      <c r="F3517" s="104"/>
      <c r="G3517" s="108"/>
      <c r="J3517" s="174"/>
      <c r="K3517" s="4"/>
    </row>
    <row r="3518" spans="3:11" x14ac:dyDescent="0.25">
      <c r="C3518" s="108"/>
      <c r="D3518" s="217"/>
      <c r="E3518" s="217"/>
      <c r="F3518" s="104"/>
      <c r="G3518" s="108"/>
      <c r="J3518" s="174"/>
      <c r="K3518" s="4"/>
    </row>
    <row r="3519" spans="3:11" x14ac:dyDescent="0.25">
      <c r="C3519" s="108"/>
      <c r="D3519" s="217"/>
      <c r="E3519" s="217"/>
      <c r="F3519" s="104"/>
      <c r="G3519" s="108"/>
      <c r="J3519" s="174"/>
      <c r="K3519" s="4"/>
    </row>
    <row r="3520" spans="3:11" x14ac:dyDescent="0.25">
      <c r="C3520" s="108"/>
      <c r="D3520" s="217"/>
      <c r="E3520" s="217"/>
      <c r="F3520" s="104"/>
      <c r="G3520" s="108"/>
      <c r="J3520" s="174"/>
      <c r="K3520" s="4"/>
    </row>
    <row r="3521" spans="3:11" x14ac:dyDescent="0.25">
      <c r="C3521" s="108"/>
      <c r="D3521" s="217"/>
      <c r="E3521" s="217"/>
      <c r="F3521" s="104"/>
      <c r="G3521" s="108"/>
      <c r="J3521" s="174"/>
      <c r="K3521" s="4"/>
    </row>
    <row r="3522" spans="3:11" x14ac:dyDescent="0.25">
      <c r="C3522" s="108"/>
      <c r="D3522" s="217"/>
      <c r="E3522" s="217"/>
      <c r="F3522" s="104"/>
      <c r="G3522" s="108"/>
      <c r="J3522" s="174"/>
      <c r="K3522" s="4"/>
    </row>
    <row r="3523" spans="3:11" x14ac:dyDescent="0.25">
      <c r="C3523" s="108"/>
      <c r="D3523" s="217"/>
      <c r="E3523" s="217"/>
      <c r="F3523" s="104"/>
      <c r="G3523" s="108"/>
      <c r="J3523" s="174"/>
      <c r="K3523" s="4"/>
    </row>
    <row r="3524" spans="3:11" x14ac:dyDescent="0.25">
      <c r="C3524" s="108"/>
      <c r="D3524" s="217"/>
      <c r="E3524" s="217"/>
      <c r="F3524" s="104"/>
      <c r="G3524" s="108"/>
      <c r="J3524" s="174"/>
      <c r="K3524" s="4"/>
    </row>
    <row r="3525" spans="3:11" x14ac:dyDescent="0.25">
      <c r="C3525" s="108"/>
      <c r="D3525" s="217"/>
      <c r="E3525" s="217"/>
      <c r="F3525" s="104"/>
      <c r="G3525" s="108"/>
      <c r="J3525" s="174"/>
      <c r="K3525" s="4"/>
    </row>
    <row r="3526" spans="3:11" x14ac:dyDescent="0.25">
      <c r="C3526" s="108"/>
      <c r="D3526" s="217"/>
      <c r="E3526" s="217"/>
      <c r="F3526" s="104"/>
      <c r="G3526" s="108"/>
      <c r="J3526" s="174"/>
      <c r="K3526" s="4"/>
    </row>
    <row r="3527" spans="3:11" x14ac:dyDescent="0.25">
      <c r="C3527" s="108"/>
      <c r="D3527" s="217"/>
      <c r="E3527" s="217"/>
      <c r="F3527" s="104"/>
      <c r="G3527" s="108"/>
      <c r="J3527" s="174"/>
      <c r="K3527" s="4"/>
    </row>
    <row r="3528" spans="3:11" x14ac:dyDescent="0.25">
      <c r="C3528" s="108"/>
      <c r="D3528" s="217"/>
      <c r="E3528" s="217"/>
      <c r="F3528" s="104"/>
      <c r="G3528" s="108"/>
      <c r="J3528" s="174"/>
      <c r="K3528" s="4"/>
    </row>
    <row r="3529" spans="3:11" x14ac:dyDescent="0.25">
      <c r="C3529" s="108"/>
      <c r="D3529" s="217"/>
      <c r="E3529" s="217"/>
      <c r="F3529" s="104"/>
      <c r="G3529" s="108"/>
      <c r="J3529" s="174"/>
      <c r="K3529" s="4"/>
    </row>
    <row r="3530" spans="3:11" x14ac:dyDescent="0.25">
      <c r="C3530" s="108"/>
      <c r="D3530" s="217"/>
      <c r="E3530" s="217"/>
      <c r="F3530" s="104"/>
      <c r="G3530" s="108"/>
      <c r="J3530" s="174"/>
      <c r="K3530" s="4"/>
    </row>
    <row r="3531" spans="3:11" x14ac:dyDescent="0.25">
      <c r="C3531" s="108"/>
      <c r="D3531" s="217"/>
      <c r="E3531" s="217"/>
      <c r="F3531" s="104"/>
      <c r="G3531" s="108"/>
      <c r="J3531" s="174"/>
      <c r="K3531" s="4"/>
    </row>
    <row r="3532" spans="3:11" x14ac:dyDescent="0.25">
      <c r="C3532" s="108"/>
      <c r="D3532" s="217"/>
      <c r="E3532" s="217"/>
      <c r="F3532" s="104"/>
      <c r="G3532" s="108"/>
      <c r="J3532" s="174"/>
      <c r="K3532" s="4"/>
    </row>
    <row r="3533" spans="3:11" x14ac:dyDescent="0.25">
      <c r="C3533" s="108"/>
      <c r="D3533" s="217"/>
      <c r="E3533" s="217"/>
      <c r="F3533" s="104"/>
      <c r="G3533" s="108"/>
      <c r="J3533" s="174"/>
      <c r="K3533" s="4"/>
    </row>
    <row r="3534" spans="3:11" x14ac:dyDescent="0.25">
      <c r="C3534" s="108"/>
      <c r="D3534" s="217"/>
      <c r="E3534" s="217"/>
      <c r="F3534" s="104"/>
      <c r="G3534" s="108"/>
      <c r="J3534" s="174"/>
      <c r="K3534" s="4"/>
    </row>
    <row r="3535" spans="3:11" x14ac:dyDescent="0.25">
      <c r="C3535" s="108"/>
      <c r="D3535" s="217"/>
      <c r="E3535" s="217"/>
      <c r="F3535" s="104"/>
      <c r="G3535" s="108"/>
      <c r="J3535" s="174"/>
      <c r="K3535" s="4"/>
    </row>
    <row r="3536" spans="3:11" x14ac:dyDescent="0.25">
      <c r="C3536" s="108"/>
      <c r="D3536" s="217"/>
      <c r="E3536" s="217"/>
      <c r="F3536" s="104"/>
      <c r="G3536" s="108"/>
      <c r="J3536" s="174"/>
      <c r="K3536" s="4"/>
    </row>
    <row r="3537" spans="3:11" x14ac:dyDescent="0.25">
      <c r="C3537" s="108"/>
      <c r="D3537" s="217"/>
      <c r="E3537" s="217"/>
      <c r="F3537" s="104"/>
      <c r="G3537" s="108"/>
      <c r="J3537" s="174"/>
      <c r="K3537" s="4"/>
    </row>
    <row r="3538" spans="3:11" x14ac:dyDescent="0.25">
      <c r="C3538" s="108"/>
      <c r="D3538" s="217"/>
      <c r="E3538" s="217"/>
      <c r="F3538" s="104"/>
      <c r="G3538" s="108"/>
      <c r="J3538" s="174"/>
      <c r="K3538" s="4"/>
    </row>
    <row r="3539" spans="3:11" x14ac:dyDescent="0.25">
      <c r="C3539" s="108"/>
      <c r="D3539" s="217"/>
      <c r="E3539" s="217"/>
      <c r="F3539" s="104"/>
      <c r="G3539" s="108"/>
      <c r="J3539" s="174"/>
      <c r="K3539" s="4"/>
    </row>
    <row r="3540" spans="3:11" x14ac:dyDescent="0.25">
      <c r="C3540" s="108"/>
      <c r="D3540" s="217"/>
      <c r="E3540" s="217"/>
      <c r="F3540" s="104"/>
      <c r="G3540" s="108"/>
      <c r="J3540" s="174"/>
      <c r="K3540" s="4"/>
    </row>
    <row r="3541" spans="3:11" x14ac:dyDescent="0.25">
      <c r="C3541" s="108"/>
      <c r="D3541" s="217"/>
      <c r="E3541" s="217"/>
      <c r="F3541" s="104"/>
      <c r="G3541" s="108"/>
      <c r="J3541" s="174"/>
      <c r="K3541" s="4"/>
    </row>
    <row r="3542" spans="3:11" x14ac:dyDescent="0.25">
      <c r="C3542" s="108"/>
      <c r="D3542" s="217"/>
      <c r="E3542" s="217"/>
      <c r="F3542" s="104"/>
      <c r="G3542" s="108"/>
      <c r="J3542" s="174"/>
      <c r="K3542" s="4"/>
    </row>
    <row r="3543" spans="3:11" x14ac:dyDescent="0.25">
      <c r="C3543" s="108"/>
      <c r="D3543" s="217"/>
      <c r="E3543" s="217"/>
      <c r="F3543" s="104"/>
      <c r="G3543" s="108"/>
      <c r="J3543" s="174"/>
      <c r="K3543" s="4"/>
    </row>
    <row r="3544" spans="3:11" x14ac:dyDescent="0.25">
      <c r="C3544" s="108"/>
      <c r="D3544" s="217"/>
      <c r="E3544" s="217"/>
      <c r="F3544" s="104"/>
      <c r="G3544" s="108"/>
      <c r="J3544" s="174"/>
      <c r="K3544" s="4"/>
    </row>
    <row r="3545" spans="3:11" x14ac:dyDescent="0.25">
      <c r="C3545" s="108"/>
      <c r="D3545" s="217"/>
      <c r="E3545" s="217"/>
      <c r="F3545" s="104"/>
      <c r="G3545" s="108"/>
      <c r="J3545" s="174"/>
      <c r="K3545" s="4"/>
    </row>
    <row r="3546" spans="3:11" x14ac:dyDescent="0.25">
      <c r="C3546" s="108"/>
      <c r="D3546" s="217"/>
      <c r="E3546" s="217"/>
      <c r="F3546" s="104"/>
      <c r="G3546" s="108"/>
      <c r="J3546" s="174"/>
      <c r="K3546" s="4"/>
    </row>
    <row r="3547" spans="3:11" x14ac:dyDescent="0.25">
      <c r="C3547" s="108"/>
      <c r="D3547" s="217"/>
      <c r="E3547" s="217"/>
      <c r="F3547" s="104"/>
      <c r="G3547" s="108"/>
      <c r="J3547" s="174"/>
      <c r="K3547" s="4"/>
    </row>
    <row r="3548" spans="3:11" x14ac:dyDescent="0.25">
      <c r="C3548" s="108"/>
      <c r="D3548" s="217"/>
      <c r="E3548" s="217"/>
      <c r="F3548" s="104"/>
      <c r="G3548" s="108"/>
      <c r="J3548" s="174"/>
      <c r="K3548" s="4"/>
    </row>
    <row r="3549" spans="3:11" x14ac:dyDescent="0.25">
      <c r="C3549" s="108"/>
      <c r="D3549" s="217"/>
      <c r="E3549" s="217"/>
      <c r="F3549" s="104"/>
      <c r="G3549" s="108"/>
      <c r="J3549" s="174"/>
      <c r="K3549" s="4"/>
    </row>
    <row r="3550" spans="3:11" x14ac:dyDescent="0.25">
      <c r="C3550" s="108"/>
      <c r="D3550" s="217"/>
      <c r="E3550" s="217"/>
      <c r="F3550" s="104"/>
      <c r="G3550" s="108"/>
      <c r="J3550" s="174"/>
      <c r="K3550" s="4"/>
    </row>
    <row r="3551" spans="3:11" x14ac:dyDescent="0.25">
      <c r="C3551" s="108"/>
      <c r="D3551" s="217"/>
      <c r="E3551" s="217"/>
      <c r="F3551" s="104"/>
      <c r="G3551" s="108"/>
      <c r="J3551" s="174"/>
      <c r="K3551" s="4"/>
    </row>
    <row r="3552" spans="3:11" x14ac:dyDescent="0.25">
      <c r="C3552" s="108"/>
      <c r="D3552" s="217"/>
      <c r="E3552" s="217"/>
      <c r="F3552" s="104"/>
      <c r="G3552" s="108"/>
      <c r="J3552" s="174"/>
      <c r="K3552" s="4"/>
    </row>
    <row r="3553" spans="3:11" x14ac:dyDescent="0.25">
      <c r="C3553" s="108"/>
      <c r="D3553" s="217"/>
      <c r="E3553" s="217"/>
      <c r="F3553" s="104"/>
      <c r="G3553" s="108"/>
      <c r="J3553" s="174"/>
      <c r="K3553" s="4"/>
    </row>
    <row r="3554" spans="3:11" x14ac:dyDescent="0.25">
      <c r="C3554" s="108"/>
      <c r="D3554" s="217"/>
      <c r="E3554" s="217"/>
      <c r="F3554" s="104"/>
      <c r="G3554" s="108"/>
      <c r="J3554" s="174"/>
      <c r="K3554" s="4"/>
    </row>
    <row r="3555" spans="3:11" x14ac:dyDescent="0.25">
      <c r="C3555" s="108"/>
      <c r="D3555" s="217"/>
      <c r="E3555" s="217"/>
      <c r="F3555" s="104"/>
      <c r="G3555" s="108"/>
      <c r="J3555" s="174"/>
      <c r="K3555" s="4"/>
    </row>
    <row r="3556" spans="3:11" x14ac:dyDescent="0.25">
      <c r="C3556" s="108"/>
      <c r="D3556" s="217"/>
      <c r="E3556" s="217"/>
      <c r="F3556" s="104"/>
      <c r="G3556" s="108"/>
      <c r="J3556" s="174"/>
      <c r="K3556" s="4"/>
    </row>
    <row r="3557" spans="3:11" x14ac:dyDescent="0.25">
      <c r="C3557" s="108"/>
      <c r="D3557" s="217"/>
      <c r="E3557" s="217"/>
      <c r="F3557" s="104"/>
      <c r="G3557" s="108"/>
      <c r="J3557" s="174"/>
      <c r="K3557" s="4"/>
    </row>
    <row r="3558" spans="3:11" x14ac:dyDescent="0.25">
      <c r="C3558" s="108"/>
      <c r="D3558" s="217"/>
      <c r="E3558" s="217"/>
      <c r="F3558" s="104"/>
      <c r="G3558" s="108"/>
      <c r="J3558" s="174"/>
      <c r="K3558" s="4"/>
    </row>
    <row r="3559" spans="3:11" x14ac:dyDescent="0.25">
      <c r="C3559" s="108"/>
      <c r="D3559" s="217"/>
      <c r="E3559" s="217"/>
      <c r="F3559" s="104"/>
      <c r="G3559" s="108"/>
      <c r="J3559" s="174"/>
      <c r="K3559" s="4"/>
    </row>
    <row r="3560" spans="3:11" x14ac:dyDescent="0.25">
      <c r="C3560" s="108"/>
      <c r="D3560" s="217"/>
      <c r="E3560" s="217"/>
      <c r="F3560" s="104"/>
      <c r="G3560" s="108"/>
      <c r="J3560" s="174"/>
      <c r="K3560" s="4"/>
    </row>
    <row r="3561" spans="3:11" x14ac:dyDescent="0.25">
      <c r="C3561" s="108"/>
      <c r="D3561" s="217"/>
      <c r="E3561" s="217"/>
      <c r="F3561" s="104"/>
      <c r="G3561" s="108"/>
      <c r="J3561" s="174"/>
      <c r="K3561" s="4"/>
    </row>
    <row r="3562" spans="3:11" x14ac:dyDescent="0.25">
      <c r="C3562" s="108"/>
      <c r="D3562" s="217"/>
      <c r="E3562" s="217"/>
      <c r="F3562" s="104"/>
      <c r="G3562" s="108"/>
      <c r="J3562" s="174"/>
      <c r="K3562" s="4"/>
    </row>
    <row r="3563" spans="3:11" x14ac:dyDescent="0.25">
      <c r="C3563" s="108"/>
      <c r="D3563" s="217"/>
      <c r="E3563" s="217"/>
      <c r="F3563" s="104"/>
      <c r="G3563" s="108"/>
      <c r="J3563" s="174"/>
      <c r="K3563" s="4"/>
    </row>
    <row r="3564" spans="3:11" x14ac:dyDescent="0.25">
      <c r="C3564" s="108"/>
      <c r="D3564" s="217"/>
      <c r="E3564" s="217"/>
      <c r="F3564" s="104"/>
      <c r="G3564" s="108"/>
      <c r="J3564" s="174"/>
      <c r="K3564" s="4"/>
    </row>
    <row r="3565" spans="3:11" x14ac:dyDescent="0.25">
      <c r="C3565" s="108"/>
      <c r="D3565" s="217"/>
      <c r="E3565" s="217"/>
      <c r="F3565" s="104"/>
      <c r="G3565" s="108"/>
      <c r="J3565" s="174"/>
      <c r="K3565" s="4"/>
    </row>
    <row r="3566" spans="3:11" x14ac:dyDescent="0.25">
      <c r="C3566" s="108"/>
      <c r="D3566" s="217"/>
      <c r="E3566" s="217"/>
      <c r="F3566" s="104"/>
      <c r="G3566" s="108"/>
      <c r="J3566" s="174"/>
      <c r="K3566" s="4"/>
    </row>
    <row r="3567" spans="3:11" x14ac:dyDescent="0.25">
      <c r="C3567" s="108"/>
      <c r="D3567" s="217"/>
      <c r="E3567" s="217"/>
      <c r="F3567" s="104"/>
      <c r="G3567" s="108"/>
      <c r="J3567" s="174"/>
      <c r="K3567" s="4"/>
    </row>
    <row r="3568" spans="3:11" x14ac:dyDescent="0.25">
      <c r="C3568" s="108"/>
      <c r="D3568" s="217"/>
      <c r="E3568" s="217"/>
      <c r="F3568" s="104"/>
      <c r="G3568" s="108"/>
      <c r="J3568" s="174"/>
      <c r="K3568" s="4"/>
    </row>
    <row r="3569" spans="3:11" x14ac:dyDescent="0.25">
      <c r="C3569" s="108"/>
      <c r="D3569" s="217"/>
      <c r="E3569" s="217"/>
      <c r="F3569" s="104"/>
      <c r="G3569" s="108"/>
      <c r="J3569" s="174"/>
      <c r="K3569" s="4"/>
    </row>
    <row r="3570" spans="3:11" x14ac:dyDescent="0.25">
      <c r="C3570" s="108"/>
      <c r="D3570" s="217"/>
      <c r="E3570" s="217"/>
      <c r="F3570" s="104"/>
      <c r="G3570" s="108"/>
      <c r="J3570" s="174"/>
      <c r="K3570" s="4"/>
    </row>
    <row r="3571" spans="3:11" x14ac:dyDescent="0.25">
      <c r="C3571" s="108"/>
      <c r="D3571" s="217"/>
      <c r="E3571" s="217"/>
      <c r="F3571" s="104"/>
      <c r="G3571" s="108"/>
      <c r="J3571" s="174"/>
      <c r="K3571" s="4"/>
    </row>
    <row r="3572" spans="3:11" x14ac:dyDescent="0.25">
      <c r="C3572" s="108"/>
      <c r="D3572" s="217"/>
      <c r="E3572" s="217"/>
      <c r="F3572" s="104"/>
      <c r="G3572" s="108"/>
      <c r="J3572" s="174"/>
      <c r="K3572" s="4"/>
    </row>
    <row r="3573" spans="3:11" x14ac:dyDescent="0.25">
      <c r="C3573" s="108"/>
      <c r="D3573" s="217"/>
      <c r="E3573" s="217"/>
      <c r="F3573" s="104"/>
      <c r="G3573" s="108"/>
      <c r="J3573" s="174"/>
      <c r="K3573" s="4"/>
    </row>
    <row r="3574" spans="3:11" x14ac:dyDescent="0.25">
      <c r="C3574" s="108"/>
      <c r="D3574" s="217"/>
      <c r="E3574" s="217"/>
      <c r="F3574" s="104"/>
      <c r="G3574" s="108"/>
      <c r="J3574" s="174"/>
      <c r="K3574" s="4"/>
    </row>
    <row r="3575" spans="3:11" x14ac:dyDescent="0.25">
      <c r="C3575" s="108"/>
      <c r="D3575" s="217"/>
      <c r="E3575" s="217"/>
      <c r="F3575" s="104"/>
      <c r="G3575" s="108"/>
      <c r="J3575" s="174"/>
      <c r="K3575" s="4"/>
    </row>
    <row r="3576" spans="3:11" x14ac:dyDescent="0.25">
      <c r="C3576" s="108"/>
      <c r="D3576" s="217"/>
      <c r="E3576" s="217"/>
      <c r="F3576" s="104"/>
      <c r="G3576" s="108"/>
      <c r="J3576" s="174"/>
      <c r="K3576" s="4"/>
    </row>
    <row r="3577" spans="3:11" x14ac:dyDescent="0.25">
      <c r="C3577" s="108"/>
      <c r="D3577" s="217"/>
      <c r="E3577" s="217"/>
      <c r="F3577" s="104"/>
      <c r="G3577" s="108"/>
      <c r="J3577" s="174"/>
      <c r="K3577" s="4"/>
    </row>
    <row r="3578" spans="3:11" x14ac:dyDescent="0.25">
      <c r="C3578" s="108"/>
      <c r="D3578" s="217"/>
      <c r="E3578" s="217"/>
      <c r="F3578" s="104"/>
      <c r="G3578" s="108"/>
      <c r="J3578" s="174"/>
      <c r="K3578" s="4"/>
    </row>
    <row r="3579" spans="3:11" x14ac:dyDescent="0.25">
      <c r="C3579" s="108"/>
      <c r="D3579" s="217"/>
      <c r="E3579" s="217"/>
      <c r="F3579" s="104"/>
      <c r="G3579" s="108"/>
      <c r="J3579" s="174"/>
      <c r="K3579" s="4"/>
    </row>
    <row r="3580" spans="3:11" x14ac:dyDescent="0.25">
      <c r="C3580" s="108"/>
      <c r="D3580" s="217"/>
      <c r="E3580" s="217"/>
      <c r="F3580" s="104"/>
      <c r="G3580" s="108"/>
      <c r="J3580" s="174"/>
      <c r="K3580" s="4"/>
    </row>
    <row r="3581" spans="3:11" x14ac:dyDescent="0.25">
      <c r="C3581" s="108"/>
      <c r="D3581" s="217"/>
      <c r="E3581" s="217"/>
      <c r="F3581" s="104"/>
      <c r="G3581" s="108"/>
      <c r="J3581" s="174"/>
      <c r="K3581" s="4"/>
    </row>
    <row r="3582" spans="3:11" x14ac:dyDescent="0.25">
      <c r="C3582" s="108"/>
      <c r="D3582" s="217"/>
      <c r="E3582" s="217"/>
      <c r="F3582" s="104"/>
      <c r="G3582" s="108"/>
      <c r="J3582" s="174"/>
      <c r="K3582" s="4"/>
    </row>
    <row r="3583" spans="3:11" x14ac:dyDescent="0.25">
      <c r="C3583" s="108"/>
      <c r="D3583" s="217"/>
      <c r="E3583" s="217"/>
      <c r="F3583" s="104"/>
      <c r="G3583" s="108"/>
      <c r="J3583" s="174"/>
      <c r="K3583" s="4"/>
    </row>
    <row r="3584" spans="3:11" x14ac:dyDescent="0.25">
      <c r="C3584" s="108"/>
      <c r="D3584" s="217"/>
      <c r="E3584" s="217"/>
      <c r="F3584" s="104"/>
      <c r="G3584" s="108"/>
      <c r="J3584" s="174"/>
      <c r="K3584" s="4"/>
    </row>
    <row r="3585" spans="3:11" x14ac:dyDescent="0.25">
      <c r="C3585" s="108"/>
      <c r="D3585" s="217"/>
      <c r="E3585" s="217"/>
      <c r="F3585" s="104"/>
      <c r="G3585" s="108"/>
      <c r="J3585" s="174"/>
      <c r="K3585" s="4"/>
    </row>
    <row r="3586" spans="3:11" x14ac:dyDescent="0.25">
      <c r="C3586" s="108"/>
      <c r="D3586" s="217"/>
      <c r="E3586" s="217"/>
      <c r="F3586" s="104"/>
      <c r="G3586" s="108"/>
      <c r="J3586" s="174"/>
      <c r="K3586" s="4"/>
    </row>
    <row r="3587" spans="3:11" x14ac:dyDescent="0.25">
      <c r="C3587" s="108"/>
      <c r="D3587" s="217"/>
      <c r="E3587" s="217"/>
      <c r="F3587" s="104"/>
      <c r="G3587" s="108"/>
      <c r="J3587" s="174"/>
      <c r="K3587" s="4"/>
    </row>
    <row r="3588" spans="3:11" x14ac:dyDescent="0.25">
      <c r="C3588" s="108"/>
      <c r="D3588" s="217"/>
      <c r="E3588" s="217"/>
      <c r="F3588" s="104"/>
      <c r="G3588" s="108"/>
      <c r="J3588" s="174"/>
      <c r="K3588" s="4"/>
    </row>
    <row r="3589" spans="3:11" x14ac:dyDescent="0.25">
      <c r="C3589" s="108"/>
      <c r="D3589" s="217"/>
      <c r="E3589" s="217"/>
      <c r="F3589" s="104"/>
      <c r="G3589" s="108"/>
      <c r="J3589" s="174"/>
      <c r="K3589" s="4"/>
    </row>
    <row r="3590" spans="3:11" x14ac:dyDescent="0.25">
      <c r="C3590" s="108"/>
      <c r="D3590" s="217"/>
      <c r="E3590" s="217"/>
      <c r="F3590" s="104"/>
      <c r="G3590" s="108"/>
      <c r="J3590" s="174"/>
      <c r="K3590" s="4"/>
    </row>
    <row r="3591" spans="3:11" x14ac:dyDescent="0.25">
      <c r="C3591" s="108"/>
      <c r="D3591" s="217"/>
      <c r="E3591" s="217"/>
      <c r="F3591" s="104"/>
      <c r="G3591" s="108"/>
      <c r="J3591" s="174"/>
      <c r="K3591" s="4"/>
    </row>
    <row r="3592" spans="3:11" x14ac:dyDescent="0.25">
      <c r="C3592" s="108"/>
      <c r="D3592" s="217"/>
      <c r="E3592" s="217"/>
      <c r="F3592" s="104"/>
      <c r="G3592" s="108"/>
      <c r="J3592" s="174"/>
      <c r="K3592" s="4"/>
    </row>
    <row r="3593" spans="3:11" x14ac:dyDescent="0.25">
      <c r="C3593" s="108"/>
      <c r="D3593" s="217"/>
      <c r="E3593" s="217"/>
      <c r="F3593" s="104"/>
      <c r="G3593" s="108"/>
      <c r="J3593" s="174"/>
      <c r="K3593" s="4"/>
    </row>
    <row r="3594" spans="3:11" x14ac:dyDescent="0.25">
      <c r="C3594" s="108"/>
      <c r="D3594" s="217"/>
      <c r="E3594" s="217"/>
      <c r="F3594" s="104"/>
      <c r="G3594" s="108"/>
      <c r="J3594" s="174"/>
      <c r="K3594" s="4"/>
    </row>
    <row r="3595" spans="3:11" x14ac:dyDescent="0.25">
      <c r="C3595" s="108"/>
      <c r="D3595" s="217"/>
      <c r="E3595" s="217"/>
      <c r="F3595" s="104"/>
      <c r="G3595" s="108"/>
      <c r="J3595" s="174"/>
      <c r="K3595" s="4"/>
    </row>
    <row r="3596" spans="3:11" x14ac:dyDescent="0.25">
      <c r="C3596" s="108"/>
      <c r="D3596" s="217"/>
      <c r="E3596" s="217"/>
      <c r="F3596" s="104"/>
      <c r="G3596" s="108"/>
      <c r="J3596" s="174"/>
      <c r="K3596" s="4"/>
    </row>
    <row r="3597" spans="3:11" x14ac:dyDescent="0.25">
      <c r="C3597" s="108"/>
      <c r="D3597" s="217"/>
      <c r="E3597" s="217"/>
      <c r="F3597" s="104"/>
      <c r="G3597" s="108"/>
      <c r="J3597" s="174"/>
      <c r="K3597" s="4"/>
    </row>
    <row r="3598" spans="3:11" x14ac:dyDescent="0.25">
      <c r="C3598" s="108"/>
      <c r="D3598" s="217"/>
      <c r="E3598" s="217"/>
      <c r="F3598" s="104"/>
      <c r="G3598" s="108"/>
      <c r="J3598" s="174"/>
      <c r="K3598" s="4"/>
    </row>
    <row r="3599" spans="3:11" x14ac:dyDescent="0.25">
      <c r="C3599" s="108"/>
      <c r="D3599" s="217"/>
      <c r="E3599" s="217"/>
      <c r="F3599" s="104"/>
      <c r="G3599" s="108"/>
      <c r="J3599" s="174"/>
      <c r="K3599" s="4"/>
    </row>
    <row r="3600" spans="3:11" x14ac:dyDescent="0.25">
      <c r="C3600" s="108"/>
      <c r="D3600" s="217"/>
      <c r="E3600" s="217"/>
      <c r="F3600" s="104"/>
      <c r="G3600" s="108"/>
      <c r="J3600" s="174"/>
      <c r="K3600" s="4"/>
    </row>
    <row r="3601" spans="3:11" x14ac:dyDescent="0.25">
      <c r="C3601" s="108"/>
      <c r="D3601" s="217"/>
      <c r="E3601" s="217"/>
      <c r="F3601" s="104"/>
      <c r="G3601" s="108"/>
      <c r="J3601" s="174"/>
      <c r="K3601" s="4"/>
    </row>
    <row r="3602" spans="3:11" x14ac:dyDescent="0.25">
      <c r="C3602" s="108"/>
      <c r="D3602" s="217"/>
      <c r="E3602" s="217"/>
      <c r="F3602" s="104"/>
      <c r="G3602" s="108"/>
      <c r="J3602" s="174"/>
      <c r="K3602" s="4"/>
    </row>
    <row r="3603" spans="3:11" x14ac:dyDescent="0.25">
      <c r="C3603" s="108"/>
      <c r="D3603" s="217"/>
      <c r="E3603" s="217"/>
      <c r="F3603" s="104"/>
      <c r="G3603" s="108"/>
      <c r="J3603" s="174"/>
      <c r="K3603" s="4"/>
    </row>
    <row r="3604" spans="3:11" x14ac:dyDescent="0.25">
      <c r="C3604" s="108"/>
      <c r="D3604" s="217"/>
      <c r="E3604" s="217"/>
      <c r="F3604" s="104"/>
      <c r="G3604" s="108"/>
      <c r="J3604" s="174"/>
      <c r="K3604" s="4"/>
    </row>
    <row r="3605" spans="3:11" x14ac:dyDescent="0.25">
      <c r="C3605" s="108"/>
      <c r="D3605" s="217"/>
      <c r="E3605" s="217"/>
      <c r="F3605" s="104"/>
      <c r="G3605" s="108"/>
      <c r="J3605" s="174"/>
      <c r="K3605" s="4"/>
    </row>
    <row r="3606" spans="3:11" x14ac:dyDescent="0.25">
      <c r="C3606" s="108"/>
      <c r="D3606" s="217"/>
      <c r="E3606" s="217"/>
      <c r="F3606" s="104"/>
      <c r="G3606" s="108"/>
      <c r="J3606" s="174"/>
      <c r="K3606" s="4"/>
    </row>
    <row r="3607" spans="3:11" x14ac:dyDescent="0.25">
      <c r="C3607" s="108"/>
      <c r="D3607" s="217"/>
      <c r="E3607" s="217"/>
      <c r="F3607" s="104"/>
      <c r="G3607" s="108"/>
      <c r="J3607" s="174"/>
      <c r="K3607" s="4"/>
    </row>
    <row r="3608" spans="3:11" x14ac:dyDescent="0.25">
      <c r="C3608" s="108"/>
      <c r="D3608" s="217"/>
      <c r="E3608" s="217"/>
      <c r="F3608" s="104"/>
      <c r="G3608" s="108"/>
      <c r="J3608" s="174"/>
      <c r="K3608" s="4"/>
    </row>
    <row r="3609" spans="3:11" x14ac:dyDescent="0.25">
      <c r="C3609" s="108"/>
      <c r="D3609" s="217"/>
      <c r="E3609" s="217"/>
      <c r="F3609" s="104"/>
      <c r="G3609" s="108"/>
      <c r="J3609" s="174"/>
      <c r="K3609" s="4"/>
    </row>
    <row r="3610" spans="3:11" x14ac:dyDescent="0.25">
      <c r="C3610" s="108"/>
      <c r="D3610" s="217"/>
      <c r="E3610" s="217"/>
      <c r="F3610" s="104"/>
      <c r="G3610" s="108"/>
      <c r="J3610" s="174"/>
      <c r="K3610" s="4"/>
    </row>
    <row r="3611" spans="3:11" x14ac:dyDescent="0.25">
      <c r="C3611" s="108"/>
      <c r="D3611" s="217"/>
      <c r="E3611" s="217"/>
      <c r="F3611" s="104"/>
      <c r="G3611" s="108"/>
      <c r="J3611" s="174"/>
      <c r="K3611" s="4"/>
    </row>
    <row r="3612" spans="3:11" x14ac:dyDescent="0.25">
      <c r="C3612" s="108"/>
      <c r="D3612" s="217"/>
      <c r="E3612" s="217"/>
      <c r="F3612" s="104"/>
      <c r="G3612" s="108"/>
      <c r="J3612" s="174"/>
      <c r="K3612" s="4"/>
    </row>
    <row r="3613" spans="3:11" x14ac:dyDescent="0.25">
      <c r="C3613" s="108"/>
      <c r="D3613" s="217"/>
      <c r="E3613" s="217"/>
      <c r="F3613" s="104"/>
      <c r="G3613" s="108"/>
      <c r="J3613" s="174"/>
      <c r="K3613" s="4"/>
    </row>
    <row r="3614" spans="3:11" x14ac:dyDescent="0.25">
      <c r="C3614" s="108"/>
      <c r="D3614" s="217"/>
      <c r="E3614" s="217"/>
      <c r="F3614" s="104"/>
      <c r="G3614" s="108"/>
      <c r="J3614" s="174"/>
      <c r="K3614" s="4"/>
    </row>
    <row r="3615" spans="3:11" x14ac:dyDescent="0.25">
      <c r="C3615" s="108"/>
      <c r="D3615" s="217"/>
      <c r="E3615" s="217"/>
      <c r="F3615" s="104"/>
      <c r="G3615" s="108"/>
      <c r="J3615" s="174"/>
      <c r="K3615" s="4"/>
    </row>
    <row r="3616" spans="3:11" x14ac:dyDescent="0.25">
      <c r="C3616" s="108"/>
      <c r="D3616" s="217"/>
      <c r="E3616" s="217"/>
      <c r="F3616" s="104"/>
      <c r="G3616" s="108"/>
      <c r="J3616" s="174"/>
      <c r="K3616" s="4"/>
    </row>
    <row r="3617" spans="3:11" x14ac:dyDescent="0.25">
      <c r="C3617" s="108"/>
      <c r="D3617" s="217"/>
      <c r="E3617" s="217"/>
      <c r="F3617" s="104"/>
      <c r="G3617" s="108"/>
      <c r="J3617" s="174"/>
      <c r="K3617" s="4"/>
    </row>
    <row r="3618" spans="3:11" x14ac:dyDescent="0.25">
      <c r="C3618" s="108"/>
      <c r="D3618" s="217"/>
      <c r="E3618" s="217"/>
      <c r="F3618" s="104"/>
      <c r="G3618" s="108"/>
      <c r="J3618" s="174"/>
      <c r="K3618" s="4"/>
    </row>
    <row r="3619" spans="3:11" x14ac:dyDescent="0.25">
      <c r="C3619" s="108"/>
      <c r="D3619" s="217"/>
      <c r="E3619" s="217"/>
      <c r="F3619" s="104"/>
      <c r="G3619" s="108"/>
      <c r="J3619" s="174"/>
      <c r="K3619" s="4"/>
    </row>
    <row r="3620" spans="3:11" x14ac:dyDescent="0.25">
      <c r="C3620" s="108"/>
      <c r="D3620" s="217"/>
      <c r="E3620" s="217"/>
      <c r="F3620" s="104"/>
      <c r="G3620" s="108"/>
      <c r="J3620" s="174"/>
      <c r="K3620" s="4"/>
    </row>
    <row r="3621" spans="3:11" x14ac:dyDescent="0.25">
      <c r="C3621" s="108"/>
      <c r="D3621" s="217"/>
      <c r="E3621" s="217"/>
      <c r="F3621" s="104"/>
      <c r="G3621" s="108"/>
      <c r="J3621" s="174"/>
      <c r="K3621" s="4"/>
    </row>
    <row r="3622" spans="3:11" x14ac:dyDescent="0.25">
      <c r="C3622" s="108"/>
      <c r="D3622" s="217"/>
      <c r="E3622" s="217"/>
      <c r="F3622" s="104"/>
      <c r="G3622" s="108"/>
      <c r="J3622" s="174"/>
      <c r="K3622" s="4"/>
    </row>
    <row r="3623" spans="3:11" x14ac:dyDescent="0.25">
      <c r="C3623" s="108"/>
      <c r="D3623" s="217"/>
      <c r="E3623" s="217"/>
      <c r="F3623" s="104"/>
      <c r="G3623" s="108"/>
      <c r="J3623" s="174"/>
      <c r="K3623" s="4"/>
    </row>
    <row r="3624" spans="3:11" x14ac:dyDescent="0.25">
      <c r="C3624" s="108"/>
      <c r="D3624" s="217"/>
      <c r="E3624" s="217"/>
      <c r="F3624" s="104"/>
      <c r="G3624" s="108"/>
      <c r="J3624" s="174"/>
      <c r="K3624" s="4"/>
    </row>
    <row r="3625" spans="3:11" x14ac:dyDescent="0.25">
      <c r="C3625" s="108"/>
      <c r="D3625" s="217"/>
      <c r="E3625" s="217"/>
      <c r="F3625" s="104"/>
      <c r="G3625" s="108"/>
      <c r="J3625" s="174"/>
      <c r="K3625" s="4"/>
    </row>
    <row r="3626" spans="3:11" x14ac:dyDescent="0.25">
      <c r="C3626" s="108"/>
      <c r="D3626" s="217"/>
      <c r="E3626" s="217"/>
      <c r="F3626" s="104"/>
      <c r="G3626" s="108"/>
      <c r="J3626" s="174"/>
      <c r="K3626" s="4"/>
    </row>
    <row r="3627" spans="3:11" x14ac:dyDescent="0.25">
      <c r="C3627" s="108"/>
      <c r="D3627" s="217"/>
      <c r="E3627" s="217"/>
      <c r="F3627" s="104"/>
      <c r="G3627" s="108"/>
      <c r="J3627" s="174"/>
      <c r="K3627" s="4"/>
    </row>
    <row r="3628" spans="3:11" x14ac:dyDescent="0.25">
      <c r="C3628" s="108"/>
      <c r="D3628" s="217"/>
      <c r="E3628" s="217"/>
      <c r="F3628" s="104"/>
      <c r="G3628" s="108"/>
      <c r="J3628" s="174"/>
      <c r="K3628" s="4"/>
    </row>
    <row r="3629" spans="3:11" x14ac:dyDescent="0.25">
      <c r="C3629" s="108"/>
      <c r="D3629" s="217"/>
      <c r="E3629" s="217"/>
      <c r="F3629" s="104"/>
      <c r="G3629" s="108"/>
      <c r="J3629" s="174"/>
      <c r="K3629" s="4"/>
    </row>
    <row r="3630" spans="3:11" x14ac:dyDescent="0.25">
      <c r="C3630" s="108"/>
      <c r="D3630" s="217"/>
      <c r="E3630" s="217"/>
      <c r="F3630" s="104"/>
      <c r="G3630" s="108"/>
      <c r="J3630" s="174"/>
      <c r="K3630" s="4"/>
    </row>
    <row r="3631" spans="3:11" x14ac:dyDescent="0.25">
      <c r="C3631" s="108"/>
      <c r="D3631" s="217"/>
      <c r="E3631" s="217"/>
      <c r="F3631" s="104"/>
      <c r="G3631" s="108"/>
      <c r="J3631" s="174"/>
      <c r="K3631" s="4"/>
    </row>
    <row r="3632" spans="3:11" x14ac:dyDescent="0.25">
      <c r="C3632" s="108"/>
      <c r="D3632" s="217"/>
      <c r="E3632" s="217"/>
      <c r="F3632" s="104"/>
      <c r="G3632" s="108"/>
      <c r="J3632" s="174"/>
      <c r="K3632" s="4"/>
    </row>
    <row r="3633" spans="3:11" x14ac:dyDescent="0.25">
      <c r="C3633" s="108"/>
      <c r="D3633" s="217"/>
      <c r="E3633" s="217"/>
      <c r="F3633" s="104"/>
      <c r="G3633" s="108"/>
      <c r="J3633" s="174"/>
      <c r="K3633" s="4"/>
    </row>
    <row r="3634" spans="3:11" x14ac:dyDescent="0.25">
      <c r="C3634" s="108"/>
      <c r="D3634" s="217"/>
      <c r="E3634" s="217"/>
      <c r="F3634" s="104"/>
      <c r="G3634" s="108"/>
      <c r="J3634" s="174"/>
      <c r="K3634" s="4"/>
    </row>
    <row r="3635" spans="3:11" x14ac:dyDescent="0.25">
      <c r="C3635" s="108"/>
      <c r="D3635" s="217"/>
      <c r="E3635" s="217"/>
      <c r="F3635" s="104"/>
      <c r="G3635" s="108"/>
      <c r="J3635" s="174"/>
      <c r="K3635" s="4"/>
    </row>
    <row r="3636" spans="3:11" x14ac:dyDescent="0.25">
      <c r="C3636" s="108"/>
      <c r="D3636" s="217"/>
      <c r="E3636" s="217"/>
      <c r="F3636" s="104"/>
      <c r="G3636" s="108"/>
      <c r="J3636" s="174"/>
      <c r="K3636" s="4"/>
    </row>
    <row r="3637" spans="3:11" x14ac:dyDescent="0.25">
      <c r="C3637" s="108"/>
      <c r="D3637" s="217"/>
      <c r="E3637" s="217"/>
      <c r="F3637" s="104"/>
      <c r="G3637" s="108"/>
      <c r="J3637" s="174"/>
      <c r="K3637" s="4"/>
    </row>
    <row r="3638" spans="3:11" x14ac:dyDescent="0.25">
      <c r="C3638" s="108"/>
      <c r="D3638" s="217"/>
      <c r="E3638" s="217"/>
      <c r="F3638" s="104"/>
      <c r="G3638" s="108"/>
      <c r="J3638" s="174"/>
      <c r="K3638" s="4"/>
    </row>
    <row r="3639" spans="3:11" x14ac:dyDescent="0.25">
      <c r="C3639" s="108"/>
      <c r="D3639" s="217"/>
      <c r="E3639" s="217"/>
      <c r="F3639" s="104"/>
      <c r="G3639" s="108"/>
      <c r="J3639" s="174"/>
      <c r="K3639" s="4"/>
    </row>
    <row r="3640" spans="3:11" x14ac:dyDescent="0.25">
      <c r="C3640" s="108"/>
      <c r="D3640" s="217"/>
      <c r="E3640" s="217"/>
      <c r="F3640" s="104"/>
      <c r="G3640" s="108"/>
      <c r="J3640" s="174"/>
      <c r="K3640" s="4"/>
    </row>
    <row r="3641" spans="3:11" x14ac:dyDescent="0.25">
      <c r="C3641" s="108"/>
      <c r="D3641" s="217"/>
      <c r="E3641" s="217"/>
      <c r="F3641" s="104"/>
      <c r="G3641" s="108"/>
      <c r="J3641" s="174"/>
      <c r="K3641" s="4"/>
    </row>
    <row r="3642" spans="3:11" x14ac:dyDescent="0.25">
      <c r="C3642" s="108"/>
      <c r="D3642" s="217"/>
      <c r="E3642" s="217"/>
      <c r="F3642" s="104"/>
      <c r="G3642" s="108"/>
      <c r="J3642" s="174"/>
      <c r="K3642" s="4"/>
    </row>
    <row r="3643" spans="3:11" x14ac:dyDescent="0.25">
      <c r="C3643" s="108"/>
      <c r="D3643" s="217"/>
      <c r="E3643" s="217"/>
      <c r="F3643" s="104"/>
      <c r="G3643" s="108"/>
      <c r="J3643" s="174"/>
      <c r="K3643" s="4"/>
    </row>
    <row r="3644" spans="3:11" x14ac:dyDescent="0.25">
      <c r="C3644" s="108"/>
      <c r="D3644" s="217"/>
      <c r="E3644" s="217"/>
      <c r="F3644" s="104"/>
      <c r="G3644" s="108"/>
      <c r="J3644" s="174"/>
      <c r="K3644" s="4"/>
    </row>
    <row r="3645" spans="3:11" x14ac:dyDescent="0.25">
      <c r="C3645" s="108"/>
      <c r="D3645" s="217"/>
      <c r="E3645" s="217"/>
      <c r="F3645" s="104"/>
      <c r="G3645" s="108"/>
      <c r="J3645" s="174"/>
      <c r="K3645" s="4"/>
    </row>
    <row r="3646" spans="3:11" x14ac:dyDescent="0.25">
      <c r="C3646" s="108"/>
      <c r="D3646" s="217"/>
      <c r="E3646" s="217"/>
      <c r="F3646" s="104"/>
      <c r="G3646" s="108"/>
      <c r="J3646" s="174"/>
      <c r="K3646" s="4"/>
    </row>
    <row r="3647" spans="3:11" x14ac:dyDescent="0.25">
      <c r="C3647" s="108"/>
      <c r="D3647" s="217"/>
      <c r="E3647" s="217"/>
      <c r="F3647" s="104"/>
      <c r="G3647" s="108"/>
      <c r="J3647" s="174"/>
      <c r="K3647" s="4"/>
    </row>
    <row r="3648" spans="3:11" x14ac:dyDescent="0.25">
      <c r="C3648" s="108"/>
      <c r="D3648" s="217"/>
      <c r="E3648" s="217"/>
      <c r="F3648" s="104"/>
      <c r="G3648" s="108"/>
      <c r="J3648" s="174"/>
      <c r="K3648" s="4"/>
    </row>
    <row r="3649" spans="3:11" x14ac:dyDescent="0.25">
      <c r="C3649" s="108"/>
      <c r="D3649" s="217"/>
      <c r="E3649" s="217"/>
      <c r="F3649" s="104"/>
      <c r="G3649" s="108"/>
      <c r="J3649" s="174"/>
      <c r="K3649" s="4"/>
    </row>
    <row r="3650" spans="3:11" x14ac:dyDescent="0.25">
      <c r="C3650" s="108"/>
      <c r="D3650" s="217"/>
      <c r="E3650" s="217"/>
      <c r="F3650" s="104"/>
      <c r="G3650" s="108"/>
      <c r="J3650" s="174"/>
      <c r="K3650" s="4"/>
    </row>
    <row r="3651" spans="3:11" x14ac:dyDescent="0.25">
      <c r="C3651" s="108"/>
      <c r="D3651" s="217"/>
      <c r="E3651" s="217"/>
      <c r="F3651" s="104"/>
      <c r="G3651" s="108"/>
      <c r="J3651" s="174"/>
      <c r="K3651" s="4"/>
    </row>
    <row r="3652" spans="3:11" x14ac:dyDescent="0.25">
      <c r="C3652" s="108"/>
      <c r="D3652" s="217"/>
      <c r="E3652" s="217"/>
      <c r="F3652" s="104"/>
      <c r="G3652" s="108"/>
      <c r="J3652" s="174"/>
      <c r="K3652" s="4"/>
    </row>
    <row r="3653" spans="3:11" x14ac:dyDescent="0.25">
      <c r="C3653" s="108"/>
      <c r="D3653" s="217"/>
      <c r="E3653" s="217"/>
      <c r="F3653" s="104"/>
      <c r="G3653" s="108"/>
      <c r="J3653" s="174"/>
      <c r="K3653" s="4"/>
    </row>
    <row r="3654" spans="3:11" x14ac:dyDescent="0.25">
      <c r="C3654" s="108"/>
      <c r="D3654" s="217"/>
      <c r="E3654" s="217"/>
      <c r="F3654" s="104"/>
      <c r="G3654" s="108"/>
      <c r="J3654" s="174"/>
      <c r="K3654" s="4"/>
    </row>
    <row r="3655" spans="3:11" x14ac:dyDescent="0.25">
      <c r="C3655" s="108"/>
      <c r="D3655" s="217"/>
      <c r="E3655" s="217"/>
      <c r="F3655" s="104"/>
      <c r="G3655" s="108"/>
      <c r="J3655" s="174"/>
      <c r="K3655" s="4"/>
    </row>
    <row r="3656" spans="3:11" x14ac:dyDescent="0.25">
      <c r="C3656" s="108"/>
      <c r="D3656" s="217"/>
      <c r="E3656" s="217"/>
      <c r="F3656" s="104"/>
      <c r="G3656" s="108"/>
      <c r="J3656" s="174"/>
      <c r="K3656" s="4"/>
    </row>
    <row r="3657" spans="3:11" x14ac:dyDescent="0.25">
      <c r="C3657" s="108"/>
      <c r="D3657" s="217"/>
      <c r="E3657" s="217"/>
      <c r="F3657" s="104"/>
      <c r="G3657" s="108"/>
      <c r="J3657" s="174"/>
      <c r="K3657" s="4"/>
    </row>
    <row r="3658" spans="3:11" x14ac:dyDescent="0.25">
      <c r="C3658" s="108"/>
      <c r="D3658" s="217"/>
      <c r="E3658" s="217"/>
      <c r="F3658" s="104"/>
      <c r="G3658" s="108"/>
      <c r="J3658" s="174"/>
      <c r="K3658" s="4"/>
    </row>
    <row r="3659" spans="3:11" x14ac:dyDescent="0.25">
      <c r="C3659" s="108"/>
      <c r="D3659" s="217"/>
      <c r="E3659" s="217"/>
      <c r="F3659" s="104"/>
      <c r="G3659" s="108"/>
      <c r="J3659" s="174"/>
      <c r="K3659" s="4"/>
    </row>
    <row r="3660" spans="3:11" x14ac:dyDescent="0.25">
      <c r="C3660" s="108"/>
      <c r="D3660" s="217"/>
      <c r="E3660" s="217"/>
      <c r="F3660" s="104"/>
      <c r="G3660" s="108"/>
      <c r="J3660" s="174"/>
      <c r="K3660" s="4"/>
    </row>
    <row r="3661" spans="3:11" x14ac:dyDescent="0.25">
      <c r="C3661" s="108"/>
      <c r="D3661" s="217"/>
      <c r="E3661" s="217"/>
      <c r="F3661" s="104"/>
      <c r="G3661" s="108"/>
      <c r="J3661" s="174"/>
      <c r="K3661" s="4"/>
    </row>
    <row r="3662" spans="3:11" x14ac:dyDescent="0.25">
      <c r="C3662" s="108"/>
      <c r="D3662" s="217"/>
      <c r="E3662" s="217"/>
      <c r="F3662" s="104"/>
      <c r="G3662" s="108"/>
      <c r="J3662" s="174"/>
      <c r="K3662" s="4"/>
    </row>
    <row r="3663" spans="3:11" x14ac:dyDescent="0.25">
      <c r="C3663" s="108"/>
      <c r="D3663" s="217"/>
      <c r="E3663" s="217"/>
      <c r="F3663" s="104"/>
      <c r="G3663" s="108"/>
      <c r="J3663" s="174"/>
      <c r="K3663" s="4"/>
    </row>
    <row r="3664" spans="3:11" x14ac:dyDescent="0.25">
      <c r="C3664" s="108"/>
      <c r="D3664" s="217"/>
      <c r="E3664" s="217"/>
      <c r="F3664" s="104"/>
      <c r="G3664" s="108"/>
      <c r="J3664" s="174"/>
      <c r="K3664" s="4"/>
    </row>
    <row r="3665" spans="3:11" x14ac:dyDescent="0.25">
      <c r="C3665" s="108"/>
      <c r="D3665" s="217"/>
      <c r="E3665" s="217"/>
      <c r="F3665" s="104"/>
      <c r="G3665" s="108"/>
      <c r="J3665" s="174"/>
      <c r="K3665" s="4"/>
    </row>
    <row r="3666" spans="3:11" x14ac:dyDescent="0.25">
      <c r="C3666" s="108"/>
      <c r="D3666" s="217"/>
      <c r="E3666" s="217"/>
      <c r="F3666" s="104"/>
      <c r="G3666" s="108"/>
      <c r="J3666" s="174"/>
      <c r="K3666" s="4"/>
    </row>
    <row r="3667" spans="3:11" x14ac:dyDescent="0.25">
      <c r="C3667" s="108"/>
      <c r="D3667" s="217"/>
      <c r="E3667" s="217"/>
      <c r="F3667" s="104"/>
      <c r="G3667" s="108"/>
      <c r="J3667" s="174"/>
      <c r="K3667" s="4"/>
    </row>
    <row r="3668" spans="3:11" x14ac:dyDescent="0.25">
      <c r="C3668" s="108"/>
      <c r="D3668" s="217"/>
      <c r="E3668" s="217"/>
      <c r="F3668" s="104"/>
      <c r="G3668" s="108"/>
      <c r="J3668" s="174"/>
      <c r="K3668" s="4"/>
    </row>
    <row r="3669" spans="3:11" x14ac:dyDescent="0.25">
      <c r="C3669" s="108"/>
      <c r="D3669" s="217"/>
      <c r="E3669" s="217"/>
      <c r="F3669" s="104"/>
      <c r="G3669" s="108"/>
      <c r="J3669" s="174"/>
      <c r="K3669" s="4"/>
    </row>
    <row r="3670" spans="3:11" x14ac:dyDescent="0.25">
      <c r="C3670" s="108"/>
      <c r="D3670" s="217"/>
      <c r="E3670" s="217"/>
      <c r="F3670" s="104"/>
      <c r="G3670" s="108"/>
      <c r="J3670" s="174"/>
      <c r="K3670" s="4"/>
    </row>
    <row r="3671" spans="3:11" x14ac:dyDescent="0.25">
      <c r="C3671" s="108"/>
      <c r="D3671" s="217"/>
      <c r="E3671" s="217"/>
      <c r="F3671" s="104"/>
      <c r="G3671" s="108"/>
      <c r="J3671" s="174"/>
      <c r="K3671" s="4"/>
    </row>
    <row r="3672" spans="3:11" x14ac:dyDescent="0.25">
      <c r="C3672" s="108"/>
      <c r="D3672" s="217"/>
      <c r="E3672" s="217"/>
      <c r="F3672" s="104"/>
      <c r="G3672" s="108"/>
      <c r="J3672" s="174"/>
      <c r="K3672" s="4"/>
    </row>
    <row r="3673" spans="3:11" x14ac:dyDescent="0.25">
      <c r="C3673" s="108"/>
      <c r="D3673" s="217"/>
      <c r="E3673" s="217"/>
      <c r="F3673" s="104"/>
      <c r="G3673" s="108"/>
      <c r="J3673" s="174"/>
      <c r="K3673" s="4"/>
    </row>
    <row r="3674" spans="3:11" x14ac:dyDescent="0.25">
      <c r="C3674" s="108"/>
      <c r="D3674" s="217"/>
      <c r="E3674" s="217"/>
      <c r="F3674" s="104"/>
      <c r="G3674" s="108"/>
      <c r="J3674" s="174"/>
      <c r="K3674" s="4"/>
    </row>
    <row r="3675" spans="3:11" x14ac:dyDescent="0.25">
      <c r="C3675" s="108"/>
      <c r="D3675" s="217"/>
      <c r="E3675" s="217"/>
      <c r="F3675" s="104"/>
      <c r="G3675" s="108"/>
      <c r="J3675" s="174"/>
      <c r="K3675" s="4"/>
    </row>
    <row r="3676" spans="3:11" x14ac:dyDescent="0.25">
      <c r="C3676" s="108"/>
      <c r="D3676" s="217"/>
      <c r="E3676" s="217"/>
      <c r="F3676" s="104"/>
      <c r="G3676" s="108"/>
      <c r="J3676" s="174"/>
      <c r="K3676" s="4"/>
    </row>
    <row r="3677" spans="3:11" x14ac:dyDescent="0.25">
      <c r="C3677" s="108"/>
      <c r="D3677" s="217"/>
      <c r="E3677" s="217"/>
      <c r="F3677" s="104"/>
      <c r="G3677" s="108"/>
      <c r="J3677" s="174"/>
      <c r="K3677" s="4"/>
    </row>
    <row r="3678" spans="3:11" x14ac:dyDescent="0.25">
      <c r="C3678" s="108"/>
      <c r="D3678" s="217"/>
      <c r="E3678" s="217"/>
      <c r="F3678" s="104"/>
      <c r="G3678" s="108"/>
      <c r="J3678" s="174"/>
      <c r="K3678" s="4"/>
    </row>
    <row r="3679" spans="3:11" x14ac:dyDescent="0.25">
      <c r="C3679" s="108"/>
      <c r="D3679" s="217"/>
      <c r="E3679" s="217"/>
      <c r="F3679" s="104"/>
      <c r="G3679" s="108"/>
      <c r="J3679" s="174"/>
      <c r="K3679" s="4"/>
    </row>
    <row r="3680" spans="3:11" x14ac:dyDescent="0.25">
      <c r="C3680" s="108"/>
      <c r="D3680" s="217"/>
      <c r="E3680" s="217"/>
      <c r="F3680" s="104"/>
      <c r="G3680" s="108"/>
      <c r="J3680" s="174"/>
      <c r="K3680" s="4"/>
    </row>
    <row r="3681" spans="3:11" x14ac:dyDescent="0.25">
      <c r="C3681" s="108"/>
      <c r="D3681" s="217"/>
      <c r="E3681" s="217"/>
      <c r="F3681" s="104"/>
      <c r="G3681" s="108"/>
      <c r="J3681" s="174"/>
      <c r="K3681" s="4"/>
    </row>
    <row r="3682" spans="3:11" x14ac:dyDescent="0.25">
      <c r="C3682" s="108"/>
      <c r="D3682" s="217"/>
      <c r="E3682" s="217"/>
      <c r="F3682" s="104"/>
      <c r="G3682" s="108"/>
      <c r="J3682" s="174"/>
      <c r="K3682" s="4"/>
    </row>
    <row r="3683" spans="3:11" x14ac:dyDescent="0.25">
      <c r="C3683" s="108"/>
      <c r="D3683" s="217"/>
      <c r="E3683" s="217"/>
      <c r="F3683" s="104"/>
      <c r="G3683" s="108"/>
      <c r="J3683" s="174"/>
      <c r="K3683" s="4"/>
    </row>
    <row r="3684" spans="3:11" x14ac:dyDescent="0.25">
      <c r="C3684" s="108"/>
      <c r="D3684" s="217"/>
      <c r="E3684" s="217"/>
      <c r="F3684" s="104"/>
      <c r="G3684" s="108"/>
      <c r="J3684" s="174"/>
      <c r="K3684" s="4"/>
    </row>
    <row r="3685" spans="3:11" x14ac:dyDescent="0.25">
      <c r="C3685" s="108"/>
      <c r="D3685" s="217"/>
      <c r="E3685" s="217"/>
      <c r="F3685" s="104"/>
      <c r="G3685" s="108"/>
      <c r="J3685" s="174"/>
      <c r="K3685" s="4"/>
    </row>
    <row r="3686" spans="3:11" x14ac:dyDescent="0.25">
      <c r="C3686" s="108"/>
      <c r="D3686" s="217"/>
      <c r="E3686" s="217"/>
      <c r="F3686" s="104"/>
      <c r="G3686" s="108"/>
      <c r="J3686" s="174"/>
      <c r="K3686" s="4"/>
    </row>
    <row r="3687" spans="3:11" x14ac:dyDescent="0.25">
      <c r="C3687" s="108"/>
      <c r="D3687" s="217"/>
      <c r="E3687" s="217"/>
      <c r="F3687" s="104"/>
      <c r="G3687" s="108"/>
      <c r="J3687" s="174"/>
      <c r="K3687" s="4"/>
    </row>
    <row r="3688" spans="3:11" x14ac:dyDescent="0.25">
      <c r="C3688" s="108"/>
      <c r="D3688" s="217"/>
      <c r="E3688" s="217"/>
      <c r="F3688" s="104"/>
      <c r="G3688" s="108"/>
      <c r="J3688" s="174"/>
      <c r="K3688" s="4"/>
    </row>
    <row r="3689" spans="3:11" x14ac:dyDescent="0.25">
      <c r="C3689" s="108"/>
      <c r="D3689" s="217"/>
      <c r="E3689" s="217"/>
      <c r="F3689" s="104"/>
      <c r="G3689" s="108"/>
      <c r="J3689" s="174"/>
      <c r="K3689" s="4"/>
    </row>
    <row r="3690" spans="3:11" x14ac:dyDescent="0.25">
      <c r="C3690" s="108"/>
      <c r="D3690" s="217"/>
      <c r="E3690" s="217"/>
      <c r="F3690" s="104"/>
      <c r="G3690" s="108"/>
      <c r="J3690" s="174"/>
      <c r="K3690" s="4"/>
    </row>
    <row r="3691" spans="3:11" x14ac:dyDescent="0.25">
      <c r="C3691" s="108"/>
      <c r="D3691" s="217"/>
      <c r="E3691" s="217"/>
      <c r="F3691" s="104"/>
      <c r="G3691" s="108"/>
      <c r="J3691" s="174"/>
      <c r="K3691" s="4"/>
    </row>
    <row r="3692" spans="3:11" x14ac:dyDescent="0.25">
      <c r="C3692" s="108"/>
      <c r="D3692" s="217"/>
      <c r="E3692" s="217"/>
      <c r="F3692" s="104"/>
      <c r="G3692" s="108"/>
      <c r="J3692" s="174"/>
      <c r="K3692" s="4"/>
    </row>
    <row r="3693" spans="3:11" x14ac:dyDescent="0.25">
      <c r="C3693" s="108"/>
      <c r="D3693" s="217"/>
      <c r="E3693" s="217"/>
      <c r="F3693" s="104"/>
      <c r="G3693" s="108"/>
      <c r="J3693" s="174"/>
      <c r="K3693" s="4"/>
    </row>
    <row r="3694" spans="3:11" x14ac:dyDescent="0.25">
      <c r="C3694" s="108"/>
      <c r="D3694" s="217"/>
      <c r="E3694" s="217"/>
      <c r="F3694" s="104"/>
      <c r="G3694" s="108"/>
      <c r="J3694" s="174"/>
      <c r="K3694" s="4"/>
    </row>
    <row r="3695" spans="3:11" x14ac:dyDescent="0.25">
      <c r="C3695" s="108"/>
      <c r="D3695" s="217"/>
      <c r="E3695" s="217"/>
      <c r="F3695" s="104"/>
      <c r="G3695" s="108"/>
      <c r="J3695" s="174"/>
      <c r="K3695" s="4"/>
    </row>
    <row r="3696" spans="3:11" x14ac:dyDescent="0.25">
      <c r="C3696" s="108"/>
      <c r="D3696" s="217"/>
      <c r="E3696" s="217"/>
      <c r="F3696" s="104"/>
      <c r="G3696" s="108"/>
      <c r="J3696" s="174"/>
      <c r="K3696" s="4"/>
    </row>
    <row r="3697" spans="3:11" x14ac:dyDescent="0.25">
      <c r="C3697" s="108"/>
      <c r="D3697" s="217"/>
      <c r="E3697" s="217"/>
      <c r="F3697" s="104"/>
      <c r="G3697" s="108"/>
      <c r="J3697" s="174"/>
      <c r="K3697" s="4"/>
    </row>
    <row r="3698" spans="3:11" x14ac:dyDescent="0.25">
      <c r="C3698" s="108"/>
      <c r="D3698" s="217"/>
      <c r="E3698" s="217"/>
      <c r="F3698" s="104"/>
      <c r="G3698" s="108"/>
      <c r="J3698" s="174"/>
      <c r="K3698" s="4"/>
    </row>
    <row r="3699" spans="3:11" x14ac:dyDescent="0.25">
      <c r="C3699" s="108"/>
      <c r="D3699" s="217"/>
      <c r="E3699" s="217"/>
      <c r="F3699" s="104"/>
      <c r="G3699" s="108"/>
      <c r="J3699" s="174"/>
      <c r="K3699" s="4"/>
    </row>
    <row r="3700" spans="3:11" x14ac:dyDescent="0.25">
      <c r="C3700" s="108"/>
      <c r="D3700" s="217"/>
      <c r="E3700" s="217"/>
      <c r="F3700" s="104"/>
      <c r="G3700" s="108"/>
      <c r="J3700" s="174"/>
      <c r="K3700" s="4"/>
    </row>
    <row r="3701" spans="3:11" x14ac:dyDescent="0.25">
      <c r="C3701" s="108"/>
      <c r="D3701" s="217"/>
      <c r="E3701" s="217"/>
      <c r="F3701" s="104"/>
      <c r="G3701" s="108"/>
      <c r="J3701" s="174"/>
      <c r="K3701" s="4"/>
    </row>
    <row r="3702" spans="3:11" x14ac:dyDescent="0.25">
      <c r="C3702" s="108"/>
      <c r="D3702" s="217"/>
      <c r="E3702" s="217"/>
      <c r="F3702" s="104"/>
      <c r="G3702" s="108"/>
      <c r="J3702" s="174"/>
      <c r="K3702" s="4"/>
    </row>
    <row r="3703" spans="3:11" x14ac:dyDescent="0.25">
      <c r="C3703" s="108"/>
      <c r="D3703" s="217"/>
      <c r="E3703" s="217"/>
      <c r="F3703" s="104"/>
      <c r="G3703" s="108"/>
      <c r="J3703" s="174"/>
      <c r="K3703" s="4"/>
    </row>
    <row r="3704" spans="3:11" x14ac:dyDescent="0.25">
      <c r="C3704" s="108"/>
      <c r="D3704" s="217"/>
      <c r="E3704" s="217"/>
      <c r="F3704" s="104"/>
      <c r="G3704" s="108"/>
      <c r="J3704" s="174"/>
      <c r="K3704" s="4"/>
    </row>
    <row r="3705" spans="3:11" x14ac:dyDescent="0.25">
      <c r="C3705" s="108"/>
      <c r="D3705" s="217"/>
      <c r="E3705" s="217"/>
      <c r="F3705" s="104"/>
      <c r="G3705" s="108"/>
      <c r="J3705" s="174"/>
      <c r="K3705" s="4"/>
    </row>
    <row r="3706" spans="3:11" x14ac:dyDescent="0.25">
      <c r="C3706" s="108"/>
      <c r="D3706" s="217"/>
      <c r="E3706" s="217"/>
      <c r="F3706" s="104"/>
      <c r="G3706" s="108"/>
      <c r="J3706" s="174"/>
      <c r="K3706" s="4"/>
    </row>
    <row r="3707" spans="3:11" x14ac:dyDescent="0.25">
      <c r="C3707" s="108"/>
      <c r="D3707" s="217"/>
      <c r="E3707" s="217"/>
      <c r="F3707" s="104"/>
      <c r="G3707" s="108"/>
      <c r="J3707" s="174"/>
      <c r="K3707" s="4"/>
    </row>
    <row r="3708" spans="3:11" x14ac:dyDescent="0.25">
      <c r="C3708" s="108"/>
      <c r="D3708" s="217"/>
      <c r="E3708" s="217"/>
      <c r="F3708" s="104"/>
      <c r="G3708" s="108"/>
      <c r="J3708" s="174"/>
      <c r="K3708" s="4"/>
    </row>
    <row r="3709" spans="3:11" x14ac:dyDescent="0.25">
      <c r="C3709" s="108"/>
      <c r="D3709" s="217"/>
      <c r="E3709" s="217"/>
      <c r="F3709" s="104"/>
      <c r="G3709" s="108"/>
      <c r="J3709" s="174"/>
      <c r="K3709" s="4"/>
    </row>
    <row r="3710" spans="3:11" x14ac:dyDescent="0.25">
      <c r="C3710" s="108"/>
      <c r="D3710" s="217"/>
      <c r="E3710" s="217"/>
      <c r="F3710" s="104"/>
      <c r="G3710" s="108"/>
      <c r="J3710" s="174"/>
      <c r="K3710" s="4"/>
    </row>
    <row r="3711" spans="3:11" x14ac:dyDescent="0.25">
      <c r="C3711" s="108"/>
      <c r="D3711" s="217"/>
      <c r="E3711" s="217"/>
      <c r="F3711" s="104"/>
      <c r="G3711" s="108"/>
      <c r="J3711" s="174"/>
      <c r="K3711" s="4"/>
    </row>
    <row r="3712" spans="3:11" x14ac:dyDescent="0.25">
      <c r="C3712" s="108"/>
      <c r="D3712" s="217"/>
      <c r="E3712" s="217"/>
      <c r="F3712" s="104"/>
      <c r="G3712" s="108"/>
      <c r="J3712" s="174"/>
      <c r="K3712" s="4"/>
    </row>
    <row r="3713" spans="3:11" x14ac:dyDescent="0.25">
      <c r="C3713" s="108"/>
      <c r="D3713" s="217"/>
      <c r="E3713" s="217"/>
      <c r="F3713" s="104"/>
      <c r="G3713" s="108"/>
      <c r="J3713" s="174"/>
      <c r="K3713" s="4"/>
    </row>
    <row r="3714" spans="3:11" x14ac:dyDescent="0.25">
      <c r="C3714" s="108"/>
      <c r="D3714" s="217"/>
      <c r="E3714" s="217"/>
      <c r="F3714" s="104"/>
      <c r="G3714" s="108"/>
      <c r="J3714" s="174"/>
      <c r="K3714" s="4"/>
    </row>
    <row r="3715" spans="3:11" x14ac:dyDescent="0.25">
      <c r="C3715" s="108"/>
      <c r="D3715" s="217"/>
      <c r="E3715" s="217"/>
      <c r="F3715" s="104"/>
      <c r="G3715" s="108"/>
      <c r="J3715" s="174"/>
      <c r="K3715" s="4"/>
    </row>
    <row r="3716" spans="3:11" x14ac:dyDescent="0.25">
      <c r="C3716" s="108"/>
      <c r="D3716" s="217"/>
      <c r="E3716" s="217"/>
      <c r="F3716" s="104"/>
      <c r="G3716" s="108"/>
      <c r="J3716" s="174"/>
      <c r="K3716" s="4"/>
    </row>
    <row r="3717" spans="3:11" x14ac:dyDescent="0.25">
      <c r="C3717" s="108"/>
      <c r="D3717" s="217"/>
      <c r="E3717" s="217"/>
      <c r="F3717" s="104"/>
      <c r="G3717" s="108"/>
      <c r="J3717" s="174"/>
      <c r="K3717" s="4"/>
    </row>
    <row r="3718" spans="3:11" x14ac:dyDescent="0.25">
      <c r="C3718" s="108"/>
      <c r="D3718" s="217"/>
      <c r="E3718" s="217"/>
      <c r="F3718" s="104"/>
      <c r="G3718" s="108"/>
      <c r="J3718" s="174"/>
      <c r="K3718" s="4"/>
    </row>
    <row r="3719" spans="3:11" x14ac:dyDescent="0.25">
      <c r="C3719" s="108"/>
      <c r="D3719" s="217"/>
      <c r="E3719" s="217"/>
      <c r="F3719" s="104"/>
      <c r="G3719" s="108"/>
      <c r="J3719" s="174"/>
      <c r="K3719" s="4"/>
    </row>
    <row r="3720" spans="3:11" x14ac:dyDescent="0.25">
      <c r="C3720" s="108"/>
      <c r="D3720" s="217"/>
      <c r="E3720" s="217"/>
      <c r="F3720" s="104"/>
      <c r="G3720" s="108"/>
      <c r="J3720" s="174"/>
      <c r="K3720" s="4"/>
    </row>
    <row r="3721" spans="3:11" x14ac:dyDescent="0.25">
      <c r="C3721" s="108"/>
      <c r="D3721" s="217"/>
      <c r="E3721" s="217"/>
      <c r="F3721" s="104"/>
      <c r="G3721" s="108"/>
      <c r="J3721" s="174"/>
      <c r="K3721" s="4"/>
    </row>
    <row r="3722" spans="3:11" x14ac:dyDescent="0.25">
      <c r="C3722" s="108"/>
      <c r="D3722" s="217"/>
      <c r="E3722" s="217"/>
      <c r="F3722" s="104"/>
      <c r="G3722" s="108"/>
      <c r="J3722" s="174"/>
      <c r="K3722" s="4"/>
    </row>
    <row r="3723" spans="3:11" x14ac:dyDescent="0.25">
      <c r="C3723" s="108"/>
      <c r="D3723" s="217"/>
      <c r="E3723" s="217"/>
      <c r="F3723" s="104"/>
      <c r="G3723" s="108"/>
      <c r="J3723" s="174"/>
      <c r="K3723" s="4"/>
    </row>
    <row r="3724" spans="3:11" x14ac:dyDescent="0.25">
      <c r="C3724" s="108"/>
      <c r="D3724" s="217"/>
      <c r="E3724" s="217"/>
      <c r="F3724" s="104"/>
      <c r="G3724" s="108"/>
      <c r="J3724" s="174"/>
      <c r="K3724" s="4"/>
    </row>
    <row r="3725" spans="3:11" x14ac:dyDescent="0.25">
      <c r="C3725" s="108"/>
      <c r="D3725" s="217"/>
      <c r="E3725" s="217"/>
      <c r="F3725" s="104"/>
      <c r="G3725" s="108"/>
      <c r="J3725" s="174"/>
      <c r="K3725" s="4"/>
    </row>
    <row r="3726" spans="3:11" x14ac:dyDescent="0.25">
      <c r="C3726" s="108"/>
      <c r="D3726" s="217"/>
      <c r="E3726" s="217"/>
      <c r="F3726" s="104"/>
      <c r="G3726" s="108"/>
      <c r="J3726" s="174"/>
      <c r="K3726" s="4"/>
    </row>
    <row r="3727" spans="3:11" x14ac:dyDescent="0.25">
      <c r="C3727" s="108"/>
      <c r="D3727" s="217"/>
      <c r="E3727" s="217"/>
      <c r="F3727" s="104"/>
      <c r="G3727" s="108"/>
      <c r="J3727" s="174"/>
      <c r="K3727" s="4"/>
    </row>
    <row r="3728" spans="3:11" x14ac:dyDescent="0.25">
      <c r="C3728" s="108"/>
      <c r="D3728" s="217"/>
      <c r="E3728" s="217"/>
      <c r="F3728" s="104"/>
      <c r="G3728" s="108"/>
      <c r="J3728" s="174"/>
      <c r="K3728" s="4"/>
    </row>
    <row r="3729" spans="3:11" x14ac:dyDescent="0.25">
      <c r="C3729" s="108"/>
      <c r="D3729" s="217"/>
      <c r="E3729" s="217"/>
      <c r="F3729" s="104"/>
      <c r="G3729" s="108"/>
      <c r="J3729" s="174"/>
      <c r="K3729" s="4"/>
    </row>
    <row r="3730" spans="3:11" x14ac:dyDescent="0.25">
      <c r="C3730" s="108"/>
      <c r="D3730" s="217"/>
      <c r="E3730" s="217"/>
      <c r="F3730" s="104"/>
      <c r="G3730" s="108"/>
      <c r="J3730" s="174"/>
      <c r="K3730" s="4"/>
    </row>
    <row r="3731" spans="3:11" x14ac:dyDescent="0.25">
      <c r="C3731" s="108"/>
      <c r="D3731" s="217"/>
      <c r="E3731" s="217"/>
      <c r="F3731" s="104"/>
      <c r="G3731" s="108"/>
      <c r="J3731" s="174"/>
      <c r="K3731" s="4"/>
    </row>
    <row r="3732" spans="3:11" x14ac:dyDescent="0.25">
      <c r="C3732" s="108"/>
      <c r="D3732" s="217"/>
      <c r="E3732" s="217"/>
      <c r="F3732" s="104"/>
      <c r="G3732" s="108"/>
      <c r="J3732" s="174"/>
      <c r="K3732" s="4"/>
    </row>
    <row r="3733" spans="3:11" x14ac:dyDescent="0.25">
      <c r="C3733" s="108"/>
      <c r="D3733" s="217"/>
      <c r="E3733" s="217"/>
      <c r="F3733" s="104"/>
      <c r="G3733" s="108"/>
      <c r="J3733" s="174"/>
      <c r="K3733" s="4"/>
    </row>
    <row r="3734" spans="3:11" x14ac:dyDescent="0.25">
      <c r="C3734" s="108"/>
      <c r="D3734" s="217"/>
      <c r="E3734" s="217"/>
      <c r="F3734" s="104"/>
      <c r="G3734" s="108"/>
      <c r="J3734" s="174"/>
      <c r="K3734" s="4"/>
    </row>
    <row r="3735" spans="3:11" x14ac:dyDescent="0.25">
      <c r="C3735" s="108"/>
      <c r="D3735" s="217"/>
      <c r="E3735" s="217"/>
      <c r="F3735" s="104"/>
      <c r="G3735" s="108"/>
      <c r="J3735" s="174"/>
      <c r="K3735" s="4"/>
    </row>
    <row r="3736" spans="3:11" x14ac:dyDescent="0.25">
      <c r="C3736" s="108"/>
      <c r="D3736" s="217"/>
      <c r="E3736" s="217"/>
      <c r="F3736" s="104"/>
      <c r="G3736" s="108"/>
      <c r="J3736" s="174"/>
      <c r="K3736" s="4"/>
    </row>
    <row r="3737" spans="3:11" x14ac:dyDescent="0.25">
      <c r="C3737" s="108"/>
      <c r="D3737" s="217"/>
      <c r="E3737" s="217"/>
      <c r="F3737" s="104"/>
      <c r="G3737" s="108"/>
      <c r="J3737" s="174"/>
      <c r="K3737" s="4"/>
    </row>
    <row r="3738" spans="3:11" x14ac:dyDescent="0.25">
      <c r="C3738" s="108"/>
      <c r="D3738" s="217"/>
      <c r="E3738" s="217"/>
      <c r="F3738" s="104"/>
      <c r="G3738" s="108"/>
      <c r="J3738" s="174"/>
      <c r="K3738" s="4"/>
    </row>
    <row r="3739" spans="3:11" x14ac:dyDescent="0.25">
      <c r="C3739" s="108"/>
      <c r="D3739" s="217"/>
      <c r="E3739" s="217"/>
      <c r="F3739" s="104"/>
      <c r="G3739" s="108"/>
      <c r="J3739" s="174"/>
      <c r="K3739" s="4"/>
    </row>
    <row r="3740" spans="3:11" x14ac:dyDescent="0.25">
      <c r="C3740" s="108"/>
      <c r="D3740" s="217"/>
      <c r="E3740" s="217"/>
      <c r="F3740" s="104"/>
      <c r="G3740" s="108"/>
      <c r="J3740" s="174"/>
      <c r="K3740" s="4"/>
    </row>
    <row r="3741" spans="3:11" x14ac:dyDescent="0.25">
      <c r="C3741" s="108"/>
      <c r="D3741" s="217"/>
      <c r="E3741" s="217"/>
      <c r="F3741" s="104"/>
      <c r="G3741" s="108"/>
      <c r="J3741" s="174"/>
      <c r="K3741" s="4"/>
    </row>
    <row r="3742" spans="3:11" x14ac:dyDescent="0.25">
      <c r="C3742" s="108"/>
      <c r="D3742" s="217"/>
      <c r="E3742" s="217"/>
      <c r="F3742" s="104"/>
      <c r="G3742" s="108"/>
      <c r="J3742" s="174"/>
      <c r="K3742" s="4"/>
    </row>
    <row r="3743" spans="3:11" x14ac:dyDescent="0.25">
      <c r="C3743" s="108"/>
      <c r="D3743" s="217"/>
      <c r="E3743" s="217"/>
      <c r="F3743" s="104"/>
      <c r="G3743" s="108"/>
      <c r="J3743" s="174"/>
      <c r="K3743" s="4"/>
    </row>
    <row r="3744" spans="3:11" x14ac:dyDescent="0.25">
      <c r="C3744" s="108"/>
      <c r="D3744" s="217"/>
      <c r="E3744" s="217"/>
      <c r="F3744" s="104"/>
      <c r="G3744" s="108"/>
      <c r="J3744" s="174"/>
      <c r="K3744" s="4"/>
    </row>
    <row r="3745" spans="3:11" x14ac:dyDescent="0.25">
      <c r="C3745" s="108"/>
      <c r="D3745" s="217"/>
      <c r="E3745" s="217"/>
      <c r="F3745" s="104"/>
      <c r="G3745" s="108"/>
      <c r="J3745" s="174"/>
      <c r="K3745" s="4"/>
    </row>
    <row r="3746" spans="3:11" x14ac:dyDescent="0.25">
      <c r="C3746" s="108"/>
      <c r="D3746" s="217"/>
      <c r="E3746" s="217"/>
      <c r="F3746" s="104"/>
      <c r="G3746" s="108"/>
      <c r="J3746" s="174"/>
      <c r="K3746" s="4"/>
    </row>
    <row r="3747" spans="3:11" x14ac:dyDescent="0.25">
      <c r="C3747" s="108"/>
      <c r="D3747" s="217"/>
      <c r="E3747" s="217"/>
      <c r="F3747" s="104"/>
      <c r="G3747" s="108"/>
      <c r="J3747" s="174"/>
      <c r="K3747" s="4"/>
    </row>
    <row r="3748" spans="3:11" x14ac:dyDescent="0.25">
      <c r="C3748" s="108"/>
      <c r="D3748" s="217"/>
      <c r="E3748" s="217"/>
      <c r="F3748" s="104"/>
      <c r="G3748" s="108"/>
      <c r="J3748" s="174"/>
      <c r="K3748" s="4"/>
    </row>
    <row r="3749" spans="3:11" x14ac:dyDescent="0.25">
      <c r="C3749" s="108"/>
      <c r="D3749" s="217"/>
      <c r="E3749" s="217"/>
      <c r="F3749" s="104"/>
      <c r="G3749" s="108"/>
      <c r="J3749" s="174"/>
      <c r="K3749" s="4"/>
    </row>
    <row r="3750" spans="3:11" x14ac:dyDescent="0.25">
      <c r="C3750" s="108"/>
      <c r="D3750" s="217"/>
      <c r="E3750" s="217"/>
      <c r="F3750" s="104"/>
      <c r="G3750" s="108"/>
      <c r="J3750" s="174"/>
      <c r="K3750" s="4"/>
    </row>
    <row r="3751" spans="3:11" x14ac:dyDescent="0.25">
      <c r="C3751" s="108"/>
      <c r="D3751" s="217"/>
      <c r="E3751" s="217"/>
      <c r="F3751" s="104"/>
      <c r="G3751" s="108"/>
      <c r="J3751" s="174"/>
      <c r="K3751" s="4"/>
    </row>
    <row r="3752" spans="3:11" x14ac:dyDescent="0.25">
      <c r="C3752" s="108"/>
      <c r="D3752" s="217"/>
      <c r="E3752" s="217"/>
      <c r="F3752" s="104"/>
      <c r="G3752" s="108"/>
      <c r="J3752" s="174"/>
      <c r="K3752" s="4"/>
    </row>
    <row r="3753" spans="3:11" x14ac:dyDescent="0.25">
      <c r="C3753" s="108"/>
      <c r="D3753" s="217"/>
      <c r="E3753" s="217"/>
      <c r="F3753" s="104"/>
      <c r="G3753" s="108"/>
      <c r="J3753" s="174"/>
      <c r="K3753" s="4"/>
    </row>
    <row r="3754" spans="3:11" x14ac:dyDescent="0.25">
      <c r="C3754" s="108"/>
      <c r="D3754" s="217"/>
      <c r="E3754" s="217"/>
      <c r="F3754" s="104"/>
      <c r="G3754" s="108"/>
      <c r="J3754" s="174"/>
      <c r="K3754" s="4"/>
    </row>
    <row r="3755" spans="3:11" x14ac:dyDescent="0.25">
      <c r="C3755" s="108"/>
      <c r="D3755" s="217"/>
      <c r="E3755" s="217"/>
      <c r="F3755" s="104"/>
      <c r="G3755" s="108"/>
      <c r="J3755" s="174"/>
      <c r="K3755" s="4"/>
    </row>
    <row r="3756" spans="3:11" x14ac:dyDescent="0.25">
      <c r="C3756" s="108"/>
      <c r="D3756" s="217"/>
      <c r="E3756" s="217"/>
      <c r="F3756" s="104"/>
      <c r="G3756" s="108"/>
      <c r="J3756" s="174"/>
      <c r="K3756" s="4"/>
    </row>
    <row r="3757" spans="3:11" x14ac:dyDescent="0.25">
      <c r="C3757" s="108"/>
      <c r="D3757" s="217"/>
      <c r="E3757" s="217"/>
      <c r="F3757" s="104"/>
      <c r="G3757" s="108"/>
      <c r="J3757" s="174"/>
      <c r="K3757" s="4"/>
    </row>
    <row r="3758" spans="3:11" x14ac:dyDescent="0.25">
      <c r="C3758" s="108"/>
      <c r="D3758" s="217"/>
      <c r="E3758" s="217"/>
      <c r="F3758" s="104"/>
      <c r="G3758" s="108"/>
      <c r="J3758" s="174"/>
      <c r="K3758" s="4"/>
    </row>
    <row r="3759" spans="3:11" x14ac:dyDescent="0.25">
      <c r="C3759" s="108"/>
      <c r="D3759" s="217"/>
      <c r="E3759" s="217"/>
      <c r="F3759" s="104"/>
      <c r="G3759" s="108"/>
      <c r="J3759" s="174"/>
      <c r="K3759" s="4"/>
    </row>
    <row r="3760" spans="3:11" x14ac:dyDescent="0.25">
      <c r="C3760" s="108"/>
      <c r="D3760" s="217"/>
      <c r="E3760" s="217"/>
      <c r="F3760" s="104"/>
      <c r="G3760" s="108"/>
      <c r="J3760" s="174"/>
      <c r="K3760" s="4"/>
    </row>
    <row r="3761" spans="3:11" x14ac:dyDescent="0.25">
      <c r="C3761" s="108"/>
      <c r="D3761" s="217"/>
      <c r="E3761" s="217"/>
      <c r="F3761" s="104"/>
      <c r="G3761" s="108"/>
      <c r="J3761" s="174"/>
      <c r="K3761" s="4"/>
    </row>
    <row r="3762" spans="3:11" x14ac:dyDescent="0.25">
      <c r="C3762" s="108"/>
      <c r="D3762" s="217"/>
      <c r="E3762" s="217"/>
      <c r="F3762" s="104"/>
      <c r="G3762" s="108"/>
      <c r="J3762" s="174"/>
      <c r="K3762" s="4"/>
    </row>
    <row r="3763" spans="3:11" x14ac:dyDescent="0.25">
      <c r="C3763" s="108"/>
      <c r="D3763" s="217"/>
      <c r="E3763" s="217"/>
      <c r="F3763" s="104"/>
      <c r="G3763" s="108"/>
      <c r="J3763" s="174"/>
      <c r="K3763" s="4"/>
    </row>
    <row r="3764" spans="3:11" x14ac:dyDescent="0.25">
      <c r="C3764" s="108"/>
      <c r="D3764" s="217"/>
      <c r="E3764" s="217"/>
      <c r="F3764" s="104"/>
      <c r="G3764" s="108"/>
      <c r="J3764" s="174"/>
      <c r="K3764" s="4"/>
    </row>
    <row r="3765" spans="3:11" x14ac:dyDescent="0.25">
      <c r="C3765" s="108"/>
      <c r="D3765" s="217"/>
      <c r="E3765" s="217"/>
      <c r="F3765" s="104"/>
      <c r="G3765" s="108"/>
      <c r="J3765" s="174"/>
      <c r="K3765" s="4"/>
    </row>
    <row r="3766" spans="3:11" x14ac:dyDescent="0.25">
      <c r="C3766" s="108"/>
      <c r="D3766" s="217"/>
      <c r="E3766" s="217"/>
      <c r="F3766" s="104"/>
      <c r="G3766" s="108"/>
      <c r="J3766" s="174"/>
      <c r="K3766" s="4"/>
    </row>
    <row r="3767" spans="3:11" x14ac:dyDescent="0.25">
      <c r="C3767" s="108"/>
      <c r="D3767" s="217"/>
      <c r="E3767" s="217"/>
      <c r="F3767" s="104"/>
      <c r="G3767" s="108"/>
      <c r="J3767" s="174"/>
      <c r="K3767" s="4"/>
    </row>
    <row r="3768" spans="3:11" x14ac:dyDescent="0.25">
      <c r="C3768" s="108"/>
      <c r="D3768" s="217"/>
      <c r="E3768" s="217"/>
      <c r="F3768" s="104"/>
      <c r="G3768" s="108"/>
      <c r="J3768" s="174"/>
      <c r="K3768" s="4"/>
    </row>
    <row r="3769" spans="3:11" x14ac:dyDescent="0.25">
      <c r="C3769" s="108"/>
      <c r="D3769" s="217"/>
      <c r="E3769" s="217"/>
      <c r="F3769" s="104"/>
      <c r="G3769" s="108"/>
      <c r="J3769" s="174"/>
      <c r="K3769" s="4"/>
    </row>
    <row r="3770" spans="3:11" x14ac:dyDescent="0.25">
      <c r="C3770" s="108"/>
      <c r="D3770" s="217"/>
      <c r="E3770" s="217"/>
      <c r="F3770" s="104"/>
      <c r="G3770" s="108"/>
      <c r="J3770" s="174"/>
      <c r="K3770" s="4"/>
    </row>
    <row r="3771" spans="3:11" x14ac:dyDescent="0.25">
      <c r="C3771" s="108"/>
      <c r="D3771" s="217"/>
      <c r="E3771" s="217"/>
      <c r="F3771" s="104"/>
      <c r="G3771" s="108"/>
      <c r="J3771" s="174"/>
      <c r="K3771" s="4"/>
    </row>
    <row r="3772" spans="3:11" x14ac:dyDescent="0.25">
      <c r="C3772" s="108"/>
      <c r="D3772" s="217"/>
      <c r="E3772" s="217"/>
      <c r="F3772" s="104"/>
      <c r="G3772" s="108"/>
      <c r="J3772" s="174"/>
      <c r="K3772" s="4"/>
    </row>
    <row r="3773" spans="3:11" x14ac:dyDescent="0.25">
      <c r="C3773" s="108"/>
      <c r="D3773" s="217"/>
      <c r="E3773" s="217"/>
      <c r="F3773" s="104"/>
      <c r="G3773" s="108"/>
      <c r="J3773" s="174"/>
      <c r="K3773" s="4"/>
    </row>
    <row r="3774" spans="3:11" x14ac:dyDescent="0.25">
      <c r="C3774" s="108"/>
      <c r="D3774" s="217"/>
      <c r="E3774" s="217"/>
      <c r="F3774" s="104"/>
      <c r="G3774" s="108"/>
      <c r="J3774" s="174"/>
      <c r="K3774" s="4"/>
    </row>
    <row r="3775" spans="3:11" x14ac:dyDescent="0.25">
      <c r="C3775" s="108"/>
      <c r="D3775" s="217"/>
      <c r="E3775" s="217"/>
      <c r="F3775" s="104"/>
      <c r="G3775" s="108"/>
      <c r="J3775" s="174"/>
      <c r="K3775" s="4"/>
    </row>
    <row r="3776" spans="3:11" x14ac:dyDescent="0.25">
      <c r="C3776" s="108"/>
      <c r="D3776" s="217"/>
      <c r="E3776" s="217"/>
      <c r="F3776" s="104"/>
      <c r="G3776" s="108"/>
      <c r="J3776" s="174"/>
      <c r="K3776" s="4"/>
    </row>
    <row r="3777" spans="3:11" x14ac:dyDescent="0.25">
      <c r="C3777" s="108"/>
      <c r="D3777" s="217"/>
      <c r="E3777" s="217"/>
      <c r="F3777" s="104"/>
      <c r="G3777" s="108"/>
      <c r="J3777" s="174"/>
      <c r="K3777" s="4"/>
    </row>
    <row r="3778" spans="3:11" x14ac:dyDescent="0.25">
      <c r="C3778" s="108"/>
      <c r="D3778" s="217"/>
      <c r="E3778" s="217"/>
      <c r="F3778" s="104"/>
      <c r="G3778" s="108"/>
      <c r="J3778" s="174"/>
      <c r="K3778" s="4"/>
    </row>
    <row r="3779" spans="3:11" x14ac:dyDescent="0.25">
      <c r="C3779" s="108"/>
      <c r="D3779" s="217"/>
      <c r="E3779" s="217"/>
      <c r="F3779" s="104"/>
      <c r="G3779" s="108"/>
      <c r="J3779" s="174"/>
      <c r="K3779" s="4"/>
    </row>
    <row r="3780" spans="3:11" x14ac:dyDescent="0.25">
      <c r="C3780" s="108"/>
      <c r="D3780" s="217"/>
      <c r="E3780" s="217"/>
      <c r="F3780" s="104"/>
      <c r="G3780" s="108"/>
      <c r="J3780" s="174"/>
      <c r="K3780" s="4"/>
    </row>
    <row r="3781" spans="3:11" x14ac:dyDescent="0.25">
      <c r="C3781" s="108"/>
      <c r="D3781" s="217"/>
      <c r="E3781" s="217"/>
      <c r="F3781" s="104"/>
      <c r="G3781" s="108"/>
      <c r="J3781" s="174"/>
      <c r="K3781" s="4"/>
    </row>
    <row r="3782" spans="3:11" x14ac:dyDescent="0.25">
      <c r="C3782" s="108"/>
      <c r="D3782" s="217"/>
      <c r="E3782" s="217"/>
      <c r="F3782" s="104"/>
      <c r="G3782" s="108"/>
      <c r="J3782" s="174"/>
      <c r="K3782" s="4"/>
    </row>
    <row r="3783" spans="3:11" x14ac:dyDescent="0.25">
      <c r="C3783" s="108"/>
      <c r="D3783" s="217"/>
      <c r="E3783" s="217"/>
      <c r="F3783" s="104"/>
      <c r="G3783" s="108"/>
      <c r="J3783" s="174"/>
      <c r="K3783" s="4"/>
    </row>
    <row r="3784" spans="3:11" x14ac:dyDescent="0.25">
      <c r="C3784" s="108"/>
      <c r="D3784" s="217"/>
      <c r="E3784" s="217"/>
      <c r="F3784" s="104"/>
      <c r="G3784" s="108"/>
      <c r="J3784" s="174"/>
      <c r="K3784" s="4"/>
    </row>
    <row r="3785" spans="3:11" x14ac:dyDescent="0.25">
      <c r="C3785" s="108"/>
      <c r="D3785" s="217"/>
      <c r="E3785" s="217"/>
      <c r="F3785" s="104"/>
      <c r="G3785" s="108"/>
      <c r="J3785" s="174"/>
      <c r="K3785" s="4"/>
    </row>
    <row r="3786" spans="3:11" x14ac:dyDescent="0.25">
      <c r="C3786" s="108"/>
      <c r="D3786" s="217"/>
      <c r="E3786" s="217"/>
      <c r="F3786" s="104"/>
      <c r="G3786" s="108"/>
      <c r="J3786" s="174"/>
      <c r="K3786" s="4"/>
    </row>
    <row r="3787" spans="3:11" x14ac:dyDescent="0.25">
      <c r="C3787" s="108"/>
      <c r="D3787" s="217"/>
      <c r="E3787" s="217"/>
      <c r="F3787" s="104"/>
      <c r="G3787" s="108"/>
      <c r="J3787" s="174"/>
      <c r="K3787" s="4"/>
    </row>
    <row r="3788" spans="3:11" x14ac:dyDescent="0.25">
      <c r="C3788" s="108"/>
      <c r="D3788" s="217"/>
      <c r="E3788" s="217"/>
      <c r="F3788" s="104"/>
      <c r="G3788" s="108"/>
      <c r="J3788" s="174"/>
      <c r="K3788" s="4"/>
    </row>
    <row r="3789" spans="3:11" x14ac:dyDescent="0.25">
      <c r="C3789" s="108"/>
      <c r="D3789" s="217"/>
      <c r="E3789" s="217"/>
      <c r="F3789" s="104"/>
      <c r="G3789" s="108"/>
      <c r="J3789" s="174"/>
      <c r="K3789" s="4"/>
    </row>
    <row r="3790" spans="3:11" x14ac:dyDescent="0.25">
      <c r="C3790" s="108"/>
      <c r="D3790" s="217"/>
      <c r="E3790" s="217"/>
      <c r="F3790" s="104"/>
      <c r="G3790" s="108"/>
      <c r="J3790" s="174"/>
      <c r="K3790" s="4"/>
    </row>
    <row r="3791" spans="3:11" x14ac:dyDescent="0.25">
      <c r="C3791" s="108"/>
      <c r="D3791" s="217"/>
      <c r="E3791" s="217"/>
      <c r="F3791" s="104"/>
      <c r="G3791" s="108"/>
      <c r="J3791" s="174"/>
      <c r="K3791" s="4"/>
    </row>
    <row r="3792" spans="3:11" x14ac:dyDescent="0.25">
      <c r="C3792" s="108"/>
      <c r="D3792" s="217"/>
      <c r="E3792" s="217"/>
      <c r="F3792" s="104"/>
      <c r="G3792" s="108"/>
      <c r="J3792" s="174"/>
      <c r="K3792" s="4"/>
    </row>
    <row r="3793" spans="3:11" x14ac:dyDescent="0.25">
      <c r="C3793" s="108"/>
      <c r="D3793" s="217"/>
      <c r="E3793" s="217"/>
      <c r="F3793" s="104"/>
      <c r="G3793" s="108"/>
      <c r="J3793" s="174"/>
      <c r="K3793" s="4"/>
    </row>
    <row r="3794" spans="3:11" x14ac:dyDescent="0.25">
      <c r="C3794" s="108"/>
      <c r="D3794" s="217"/>
      <c r="E3794" s="217"/>
      <c r="F3794" s="104"/>
      <c r="G3794" s="108"/>
      <c r="J3794" s="174"/>
      <c r="K3794" s="4"/>
    </row>
    <row r="3795" spans="3:11" x14ac:dyDescent="0.25">
      <c r="C3795" s="108"/>
      <c r="D3795" s="217"/>
      <c r="E3795" s="217"/>
      <c r="F3795" s="104"/>
      <c r="G3795" s="108"/>
      <c r="J3795" s="174"/>
      <c r="K3795" s="4"/>
    </row>
    <row r="3796" spans="3:11" x14ac:dyDescent="0.25">
      <c r="C3796" s="108"/>
      <c r="D3796" s="217"/>
      <c r="E3796" s="217"/>
      <c r="F3796" s="104"/>
      <c r="G3796" s="108"/>
      <c r="J3796" s="174"/>
      <c r="K3796" s="4"/>
    </row>
    <row r="3797" spans="3:11" x14ac:dyDescent="0.25">
      <c r="C3797" s="108"/>
      <c r="D3797" s="217"/>
      <c r="E3797" s="217"/>
      <c r="F3797" s="104"/>
      <c r="G3797" s="108"/>
      <c r="J3797" s="174"/>
      <c r="K3797" s="4"/>
    </row>
    <row r="3798" spans="3:11" x14ac:dyDescent="0.25">
      <c r="C3798" s="108"/>
      <c r="D3798" s="217"/>
      <c r="E3798" s="217"/>
      <c r="F3798" s="104"/>
      <c r="G3798" s="108"/>
      <c r="J3798" s="174"/>
      <c r="K3798" s="4"/>
    </row>
    <row r="3799" spans="3:11" x14ac:dyDescent="0.25">
      <c r="C3799" s="108"/>
      <c r="D3799" s="217"/>
      <c r="E3799" s="217"/>
      <c r="F3799" s="104"/>
      <c r="G3799" s="108"/>
      <c r="J3799" s="174"/>
      <c r="K3799" s="4"/>
    </row>
    <row r="3800" spans="3:11" x14ac:dyDescent="0.25">
      <c r="C3800" s="108"/>
      <c r="D3800" s="217"/>
      <c r="E3800" s="217"/>
      <c r="F3800" s="104"/>
      <c r="G3800" s="108"/>
      <c r="J3800" s="174"/>
      <c r="K3800" s="4"/>
    </row>
    <row r="3801" spans="3:11" x14ac:dyDescent="0.25">
      <c r="C3801" s="108"/>
      <c r="D3801" s="217"/>
      <c r="E3801" s="217"/>
      <c r="F3801" s="104"/>
      <c r="G3801" s="108"/>
      <c r="J3801" s="174"/>
      <c r="K3801" s="4"/>
    </row>
    <row r="3802" spans="3:11" x14ac:dyDescent="0.25">
      <c r="C3802" s="108"/>
      <c r="D3802" s="217"/>
      <c r="E3802" s="217"/>
      <c r="F3802" s="104"/>
      <c r="G3802" s="108"/>
      <c r="J3802" s="174"/>
      <c r="K3802" s="4"/>
    </row>
    <row r="3803" spans="3:11" x14ac:dyDescent="0.25">
      <c r="C3803" s="108"/>
      <c r="D3803" s="217"/>
      <c r="E3803" s="217"/>
      <c r="F3803" s="104"/>
      <c r="G3803" s="108"/>
      <c r="J3803" s="174"/>
      <c r="K3803" s="4"/>
    </row>
    <row r="3804" spans="3:11" x14ac:dyDescent="0.25">
      <c r="C3804" s="108"/>
      <c r="D3804" s="217"/>
      <c r="E3804" s="217"/>
      <c r="F3804" s="104"/>
      <c r="G3804" s="108"/>
      <c r="J3804" s="174"/>
      <c r="K3804" s="4"/>
    </row>
    <row r="3805" spans="3:11" x14ac:dyDescent="0.25">
      <c r="C3805" s="108"/>
      <c r="D3805" s="217"/>
      <c r="E3805" s="217"/>
      <c r="F3805" s="104"/>
      <c r="G3805" s="108"/>
      <c r="J3805" s="174"/>
      <c r="K3805" s="4"/>
    </row>
    <row r="3806" spans="3:11" x14ac:dyDescent="0.25">
      <c r="C3806" s="108"/>
      <c r="D3806" s="217"/>
      <c r="E3806" s="217"/>
      <c r="F3806" s="104"/>
      <c r="G3806" s="108"/>
      <c r="J3806" s="174"/>
      <c r="K3806" s="4"/>
    </row>
    <row r="3807" spans="3:11" x14ac:dyDescent="0.25">
      <c r="C3807" s="108"/>
      <c r="D3807" s="217"/>
      <c r="E3807" s="217"/>
      <c r="F3807" s="104"/>
      <c r="G3807" s="108"/>
      <c r="J3807" s="174"/>
      <c r="K3807" s="4"/>
    </row>
    <row r="3808" spans="3:11" x14ac:dyDescent="0.25">
      <c r="C3808" s="108"/>
      <c r="D3808" s="217"/>
      <c r="E3808" s="217"/>
      <c r="F3808" s="104"/>
      <c r="G3808" s="108"/>
      <c r="J3808" s="174"/>
      <c r="K3808" s="4"/>
    </row>
    <row r="3809" spans="3:11" x14ac:dyDescent="0.25">
      <c r="C3809" s="108"/>
      <c r="D3809" s="217"/>
      <c r="E3809" s="217"/>
      <c r="F3809" s="104"/>
      <c r="G3809" s="108"/>
      <c r="J3809" s="174"/>
      <c r="K3809" s="4"/>
    </row>
    <row r="3810" spans="3:11" x14ac:dyDescent="0.25">
      <c r="C3810" s="108"/>
      <c r="D3810" s="217"/>
      <c r="E3810" s="217"/>
      <c r="F3810" s="104"/>
      <c r="G3810" s="108"/>
      <c r="J3810" s="174"/>
      <c r="K3810" s="4"/>
    </row>
    <row r="3811" spans="3:11" x14ac:dyDescent="0.25">
      <c r="C3811" s="108"/>
      <c r="D3811" s="217"/>
      <c r="E3811" s="217"/>
      <c r="F3811" s="104"/>
      <c r="G3811" s="108"/>
      <c r="J3811" s="174"/>
      <c r="K3811" s="4"/>
    </row>
    <row r="3812" spans="3:11" x14ac:dyDescent="0.25">
      <c r="C3812" s="108"/>
      <c r="D3812" s="217"/>
      <c r="E3812" s="217"/>
      <c r="F3812" s="104"/>
      <c r="G3812" s="108"/>
      <c r="J3812" s="174"/>
      <c r="K3812" s="4"/>
    </row>
    <row r="3813" spans="3:11" x14ac:dyDescent="0.25">
      <c r="C3813" s="108"/>
      <c r="D3813" s="217"/>
      <c r="E3813" s="217"/>
      <c r="F3813" s="104"/>
      <c r="G3813" s="108"/>
      <c r="J3813" s="174"/>
      <c r="K3813" s="4"/>
    </row>
    <row r="3814" spans="3:11" x14ac:dyDescent="0.25">
      <c r="C3814" s="108"/>
      <c r="D3814" s="217"/>
      <c r="E3814" s="217"/>
      <c r="F3814" s="104"/>
      <c r="G3814" s="108"/>
      <c r="J3814" s="174"/>
      <c r="K3814" s="4"/>
    </row>
    <row r="3815" spans="3:11" x14ac:dyDescent="0.25">
      <c r="C3815" s="108"/>
      <c r="D3815" s="217"/>
      <c r="E3815" s="217"/>
      <c r="F3815" s="104"/>
      <c r="G3815" s="108"/>
      <c r="J3815" s="174"/>
      <c r="K3815" s="4"/>
    </row>
    <row r="3816" spans="3:11" x14ac:dyDescent="0.25">
      <c r="C3816" s="108"/>
      <c r="D3816" s="217"/>
      <c r="E3816" s="217"/>
      <c r="F3816" s="104"/>
      <c r="G3816" s="108"/>
      <c r="J3816" s="174"/>
      <c r="K3816" s="4"/>
    </row>
    <row r="3817" spans="3:11" x14ac:dyDescent="0.25">
      <c r="C3817" s="108"/>
      <c r="D3817" s="217"/>
      <c r="E3817" s="217"/>
      <c r="F3817" s="104"/>
      <c r="G3817" s="108"/>
      <c r="J3817" s="174"/>
      <c r="K3817" s="4"/>
    </row>
    <row r="3818" spans="3:11" x14ac:dyDescent="0.25">
      <c r="C3818" s="108"/>
      <c r="D3818" s="217"/>
      <c r="E3818" s="217"/>
      <c r="F3818" s="104"/>
      <c r="G3818" s="108"/>
      <c r="J3818" s="174"/>
      <c r="K3818" s="4"/>
    </row>
    <row r="3819" spans="3:11" x14ac:dyDescent="0.25">
      <c r="C3819" s="108"/>
      <c r="D3819" s="217"/>
      <c r="E3819" s="217"/>
      <c r="F3819" s="104"/>
      <c r="G3819" s="108"/>
      <c r="J3819" s="174"/>
      <c r="K3819" s="4"/>
    </row>
    <row r="3820" spans="3:11" x14ac:dyDescent="0.25">
      <c r="C3820" s="108"/>
      <c r="D3820" s="217"/>
      <c r="E3820" s="217"/>
      <c r="F3820" s="104"/>
      <c r="G3820" s="108"/>
      <c r="J3820" s="174"/>
      <c r="K3820" s="4"/>
    </row>
    <row r="3821" spans="3:11" x14ac:dyDescent="0.25">
      <c r="C3821" s="108"/>
      <c r="D3821" s="217"/>
      <c r="E3821" s="217"/>
      <c r="F3821" s="104"/>
      <c r="G3821" s="108"/>
      <c r="J3821" s="174"/>
      <c r="K3821" s="4"/>
    </row>
    <row r="3822" spans="3:11" x14ac:dyDescent="0.25">
      <c r="C3822" s="108"/>
      <c r="D3822" s="217"/>
      <c r="E3822" s="217"/>
      <c r="F3822" s="104"/>
      <c r="G3822" s="108"/>
      <c r="J3822" s="174"/>
      <c r="K3822" s="4"/>
    </row>
    <row r="3823" spans="3:11" x14ac:dyDescent="0.25">
      <c r="C3823" s="108"/>
      <c r="D3823" s="217"/>
      <c r="E3823" s="217"/>
      <c r="F3823" s="104"/>
      <c r="G3823" s="108"/>
      <c r="J3823" s="174"/>
      <c r="K3823" s="4"/>
    </row>
    <row r="3824" spans="3:11" x14ac:dyDescent="0.25">
      <c r="C3824" s="108"/>
      <c r="D3824" s="217"/>
      <c r="E3824" s="217"/>
      <c r="F3824" s="104"/>
      <c r="G3824" s="108"/>
      <c r="J3824" s="174"/>
      <c r="K3824" s="4"/>
    </row>
    <row r="3825" spans="3:11" x14ac:dyDescent="0.25">
      <c r="C3825" s="108"/>
      <c r="D3825" s="217"/>
      <c r="E3825" s="217"/>
      <c r="F3825" s="104"/>
      <c r="G3825" s="108"/>
      <c r="J3825" s="174"/>
      <c r="K3825" s="4"/>
    </row>
    <row r="3826" spans="3:11" x14ac:dyDescent="0.25">
      <c r="C3826" s="108"/>
      <c r="D3826" s="217"/>
      <c r="E3826" s="217"/>
      <c r="F3826" s="104"/>
      <c r="G3826" s="108"/>
      <c r="J3826" s="174"/>
      <c r="K3826" s="4"/>
    </row>
    <row r="3827" spans="3:11" x14ac:dyDescent="0.25">
      <c r="C3827" s="108"/>
      <c r="D3827" s="217"/>
      <c r="E3827" s="217"/>
      <c r="F3827" s="104"/>
      <c r="G3827" s="108"/>
      <c r="J3827" s="174"/>
      <c r="K3827" s="4"/>
    </row>
    <row r="3828" spans="3:11" x14ac:dyDescent="0.25">
      <c r="C3828" s="108"/>
      <c r="D3828" s="217"/>
      <c r="E3828" s="217"/>
      <c r="F3828" s="104"/>
      <c r="G3828" s="108"/>
      <c r="J3828" s="174"/>
      <c r="K3828" s="4"/>
    </row>
    <row r="3829" spans="3:11" x14ac:dyDescent="0.25">
      <c r="C3829" s="108"/>
      <c r="D3829" s="217"/>
      <c r="E3829" s="217"/>
      <c r="F3829" s="104"/>
      <c r="G3829" s="108"/>
      <c r="J3829" s="174"/>
      <c r="K3829" s="4"/>
    </row>
    <row r="3830" spans="3:11" x14ac:dyDescent="0.25">
      <c r="C3830" s="108"/>
      <c r="D3830" s="217"/>
      <c r="E3830" s="217"/>
      <c r="F3830" s="104"/>
      <c r="G3830" s="108"/>
      <c r="J3830" s="174"/>
      <c r="K3830" s="4"/>
    </row>
    <row r="3831" spans="3:11" x14ac:dyDescent="0.25">
      <c r="C3831" s="108"/>
      <c r="D3831" s="217"/>
      <c r="E3831" s="217"/>
      <c r="F3831" s="104"/>
      <c r="G3831" s="108"/>
      <c r="J3831" s="174"/>
      <c r="K3831" s="4"/>
    </row>
    <row r="3832" spans="3:11" x14ac:dyDescent="0.25">
      <c r="C3832" s="108"/>
      <c r="D3832" s="217"/>
      <c r="E3832" s="217"/>
      <c r="F3832" s="104"/>
      <c r="G3832" s="108"/>
      <c r="J3832" s="174"/>
      <c r="K3832" s="4"/>
    </row>
    <row r="3833" spans="3:11" x14ac:dyDescent="0.25">
      <c r="C3833" s="108"/>
      <c r="D3833" s="217"/>
      <c r="E3833" s="217"/>
      <c r="F3833" s="104"/>
      <c r="G3833" s="108"/>
      <c r="J3833" s="174"/>
      <c r="K3833" s="4"/>
    </row>
    <row r="3834" spans="3:11" x14ac:dyDescent="0.25">
      <c r="C3834" s="108"/>
      <c r="D3834" s="217"/>
      <c r="E3834" s="217"/>
      <c r="F3834" s="104"/>
      <c r="G3834" s="108"/>
      <c r="J3834" s="174"/>
      <c r="K3834" s="4"/>
    </row>
    <row r="3835" spans="3:11" x14ac:dyDescent="0.25">
      <c r="C3835" s="108"/>
      <c r="D3835" s="217"/>
      <c r="E3835" s="217"/>
      <c r="F3835" s="104"/>
      <c r="G3835" s="108"/>
      <c r="J3835" s="174"/>
      <c r="K3835" s="4"/>
    </row>
    <row r="3836" spans="3:11" x14ac:dyDescent="0.25">
      <c r="C3836" s="108"/>
      <c r="D3836" s="217"/>
      <c r="E3836" s="217"/>
      <c r="F3836" s="104"/>
      <c r="G3836" s="108"/>
      <c r="J3836" s="174"/>
      <c r="K3836" s="4"/>
    </row>
    <row r="3837" spans="3:11" x14ac:dyDescent="0.25">
      <c r="C3837" s="108"/>
      <c r="D3837" s="217"/>
      <c r="E3837" s="217"/>
      <c r="F3837" s="104"/>
      <c r="G3837" s="108"/>
      <c r="J3837" s="174"/>
      <c r="K3837" s="4"/>
    </row>
    <row r="3838" spans="3:11" x14ac:dyDescent="0.25">
      <c r="C3838" s="108"/>
      <c r="D3838" s="217"/>
      <c r="E3838" s="217"/>
      <c r="F3838" s="104"/>
      <c r="G3838" s="108"/>
      <c r="J3838" s="174"/>
      <c r="K3838" s="4"/>
    </row>
    <row r="3839" spans="3:11" x14ac:dyDescent="0.25">
      <c r="C3839" s="108"/>
      <c r="D3839" s="217"/>
      <c r="E3839" s="217"/>
      <c r="F3839" s="104"/>
      <c r="G3839" s="108"/>
      <c r="J3839" s="174"/>
      <c r="K3839" s="4"/>
    </row>
    <row r="3840" spans="3:11" x14ac:dyDescent="0.25">
      <c r="C3840" s="108"/>
      <c r="D3840" s="217"/>
      <c r="E3840" s="217"/>
      <c r="F3840" s="104"/>
      <c r="G3840" s="108"/>
      <c r="J3840" s="174"/>
      <c r="K3840" s="4"/>
    </row>
    <row r="3841" spans="3:11" x14ac:dyDescent="0.25">
      <c r="C3841" s="108"/>
      <c r="D3841" s="217"/>
      <c r="E3841" s="217"/>
      <c r="F3841" s="104"/>
      <c r="G3841" s="108"/>
      <c r="J3841" s="174"/>
      <c r="K3841" s="4"/>
    </row>
    <row r="3842" spans="3:11" x14ac:dyDescent="0.25">
      <c r="C3842" s="108"/>
      <c r="D3842" s="217"/>
      <c r="E3842" s="217"/>
      <c r="F3842" s="104"/>
      <c r="G3842" s="108"/>
      <c r="J3842" s="174"/>
      <c r="K3842" s="4"/>
    </row>
    <row r="3843" spans="3:11" x14ac:dyDescent="0.25">
      <c r="C3843" s="108"/>
      <c r="D3843" s="217"/>
      <c r="E3843" s="217"/>
      <c r="F3843" s="104"/>
      <c r="G3843" s="108"/>
      <c r="J3843" s="174"/>
      <c r="K3843" s="4"/>
    </row>
    <row r="3844" spans="3:11" x14ac:dyDescent="0.25">
      <c r="C3844" s="108"/>
      <c r="D3844" s="217"/>
      <c r="E3844" s="217"/>
      <c r="F3844" s="104"/>
      <c r="G3844" s="108"/>
      <c r="J3844" s="174"/>
      <c r="K3844" s="4"/>
    </row>
    <row r="3845" spans="3:11" x14ac:dyDescent="0.25">
      <c r="C3845" s="108"/>
      <c r="D3845" s="217"/>
      <c r="E3845" s="217"/>
      <c r="F3845" s="104"/>
      <c r="G3845" s="108"/>
      <c r="J3845" s="174"/>
      <c r="K3845" s="4"/>
    </row>
    <row r="3846" spans="3:11" x14ac:dyDescent="0.25">
      <c r="C3846" s="108"/>
      <c r="D3846" s="217"/>
      <c r="E3846" s="217"/>
      <c r="F3846" s="104"/>
      <c r="G3846" s="108"/>
      <c r="J3846" s="174"/>
      <c r="K3846" s="4"/>
    </row>
    <row r="3847" spans="3:11" x14ac:dyDescent="0.25">
      <c r="C3847" s="108"/>
      <c r="D3847" s="217"/>
      <c r="E3847" s="217"/>
      <c r="F3847" s="104"/>
      <c r="G3847" s="108"/>
      <c r="J3847" s="174"/>
      <c r="K3847" s="4"/>
    </row>
    <row r="3848" spans="3:11" x14ac:dyDescent="0.25">
      <c r="C3848" s="108"/>
      <c r="D3848" s="217"/>
      <c r="E3848" s="217"/>
      <c r="F3848" s="104"/>
      <c r="G3848" s="108"/>
      <c r="J3848" s="174"/>
      <c r="K3848" s="4"/>
    </row>
    <row r="3849" spans="3:11" x14ac:dyDescent="0.25">
      <c r="C3849" s="108"/>
      <c r="D3849" s="217"/>
      <c r="E3849" s="217"/>
      <c r="F3849" s="104"/>
      <c r="G3849" s="108"/>
      <c r="J3849" s="174"/>
      <c r="K3849" s="4"/>
    </row>
    <row r="3850" spans="3:11" x14ac:dyDescent="0.25">
      <c r="C3850" s="108"/>
      <c r="D3850" s="217"/>
      <c r="E3850" s="217"/>
      <c r="F3850" s="104"/>
      <c r="G3850" s="108"/>
      <c r="J3850" s="174"/>
      <c r="K3850" s="4"/>
    </row>
    <row r="3851" spans="3:11" x14ac:dyDescent="0.25">
      <c r="C3851" s="108"/>
      <c r="D3851" s="217"/>
      <c r="E3851" s="217"/>
      <c r="F3851" s="104"/>
      <c r="G3851" s="108"/>
      <c r="J3851" s="174"/>
      <c r="K3851" s="4"/>
    </row>
    <row r="3852" spans="3:11" x14ac:dyDescent="0.25">
      <c r="C3852" s="108"/>
      <c r="D3852" s="217"/>
      <c r="E3852" s="217"/>
      <c r="F3852" s="104"/>
      <c r="G3852" s="108"/>
      <c r="J3852" s="174"/>
      <c r="K3852" s="4"/>
    </row>
    <row r="3853" spans="3:11" x14ac:dyDescent="0.25">
      <c r="C3853" s="108"/>
      <c r="D3853" s="217"/>
      <c r="E3853" s="217"/>
      <c r="F3853" s="104"/>
      <c r="G3853" s="108"/>
      <c r="J3853" s="174"/>
      <c r="K3853" s="4"/>
    </row>
    <row r="3854" spans="3:11" x14ac:dyDescent="0.25">
      <c r="C3854" s="108"/>
      <c r="D3854" s="217"/>
      <c r="E3854" s="217"/>
      <c r="F3854" s="104"/>
      <c r="G3854" s="108"/>
      <c r="J3854" s="174"/>
      <c r="K3854" s="4"/>
    </row>
    <row r="3855" spans="3:11" x14ac:dyDescent="0.25">
      <c r="C3855" s="108"/>
      <c r="D3855" s="217"/>
      <c r="E3855" s="217"/>
      <c r="F3855" s="104"/>
      <c r="G3855" s="108"/>
      <c r="J3855" s="174"/>
      <c r="K3855" s="4"/>
    </row>
    <row r="3856" spans="3:11" x14ac:dyDescent="0.25">
      <c r="C3856" s="108"/>
      <c r="D3856" s="217"/>
      <c r="E3856" s="217"/>
      <c r="F3856" s="104"/>
      <c r="G3856" s="108"/>
      <c r="J3856" s="174"/>
      <c r="K3856" s="4"/>
    </row>
    <row r="3857" spans="3:11" x14ac:dyDescent="0.25">
      <c r="C3857" s="108"/>
      <c r="D3857" s="217"/>
      <c r="E3857" s="217"/>
      <c r="F3857" s="104"/>
      <c r="G3857" s="108"/>
      <c r="J3857" s="174"/>
      <c r="K3857" s="4"/>
    </row>
    <row r="3858" spans="3:11" x14ac:dyDescent="0.25">
      <c r="C3858" s="108"/>
      <c r="D3858" s="217"/>
      <c r="E3858" s="217"/>
      <c r="F3858" s="104"/>
      <c r="G3858" s="108"/>
      <c r="J3858" s="174"/>
      <c r="K3858" s="4"/>
    </row>
    <row r="3859" spans="3:11" x14ac:dyDescent="0.25">
      <c r="C3859" s="108"/>
      <c r="D3859" s="217"/>
      <c r="E3859" s="217"/>
      <c r="F3859" s="104"/>
      <c r="G3859" s="108"/>
      <c r="J3859" s="174"/>
      <c r="K3859" s="4"/>
    </row>
    <row r="3860" spans="3:11" x14ac:dyDescent="0.25">
      <c r="C3860" s="108"/>
      <c r="D3860" s="217"/>
      <c r="E3860" s="217"/>
      <c r="F3860" s="104"/>
      <c r="G3860" s="108"/>
      <c r="J3860" s="174"/>
      <c r="K3860" s="4"/>
    </row>
    <row r="3861" spans="3:11" x14ac:dyDescent="0.25">
      <c r="C3861" s="108"/>
      <c r="D3861" s="217"/>
      <c r="E3861" s="217"/>
      <c r="F3861" s="104"/>
      <c r="G3861" s="108"/>
      <c r="J3861" s="174"/>
      <c r="K3861" s="4"/>
    </row>
    <row r="3862" spans="3:11" x14ac:dyDescent="0.25">
      <c r="C3862" s="108"/>
      <c r="D3862" s="217"/>
      <c r="E3862" s="217"/>
      <c r="F3862" s="104"/>
      <c r="G3862" s="108"/>
      <c r="J3862" s="174"/>
      <c r="K3862" s="4"/>
    </row>
    <row r="3863" spans="3:11" x14ac:dyDescent="0.25">
      <c r="C3863" s="108"/>
      <c r="D3863" s="217"/>
      <c r="E3863" s="217"/>
      <c r="F3863" s="104"/>
      <c r="G3863" s="108"/>
      <c r="J3863" s="174"/>
      <c r="K3863" s="4"/>
    </row>
    <row r="3864" spans="3:11" x14ac:dyDescent="0.25">
      <c r="C3864" s="108"/>
      <c r="D3864" s="217"/>
      <c r="E3864" s="217"/>
      <c r="F3864" s="104"/>
      <c r="G3864" s="108"/>
      <c r="J3864" s="174"/>
      <c r="K3864" s="4"/>
    </row>
    <row r="3865" spans="3:11" x14ac:dyDescent="0.25">
      <c r="C3865" s="108"/>
      <c r="D3865" s="217"/>
      <c r="E3865" s="217"/>
      <c r="F3865" s="104"/>
      <c r="G3865" s="108"/>
      <c r="J3865" s="174"/>
      <c r="K3865" s="4"/>
    </row>
    <row r="3866" spans="3:11" x14ac:dyDescent="0.25">
      <c r="C3866" s="108"/>
      <c r="D3866" s="217"/>
      <c r="E3866" s="217"/>
      <c r="F3866" s="104"/>
      <c r="G3866" s="108"/>
      <c r="J3866" s="174"/>
      <c r="K3866" s="4"/>
    </row>
    <row r="3867" spans="3:11" x14ac:dyDescent="0.25">
      <c r="C3867" s="108"/>
      <c r="D3867" s="217"/>
      <c r="E3867" s="217"/>
      <c r="F3867" s="104"/>
      <c r="G3867" s="108"/>
      <c r="J3867" s="174"/>
      <c r="K3867" s="4"/>
    </row>
    <row r="3868" spans="3:11" x14ac:dyDescent="0.25">
      <c r="C3868" s="108"/>
      <c r="D3868" s="217"/>
      <c r="E3868" s="217"/>
      <c r="F3868" s="104"/>
      <c r="G3868" s="108"/>
      <c r="J3868" s="174"/>
      <c r="K3868" s="4"/>
    </row>
    <row r="3869" spans="3:11" x14ac:dyDescent="0.25">
      <c r="C3869" s="108"/>
      <c r="D3869" s="217"/>
      <c r="E3869" s="217"/>
      <c r="F3869" s="104"/>
      <c r="G3869" s="108"/>
      <c r="J3869" s="174"/>
      <c r="K3869" s="4"/>
    </row>
    <row r="3870" spans="3:11" x14ac:dyDescent="0.25">
      <c r="C3870" s="108"/>
      <c r="D3870" s="217"/>
      <c r="E3870" s="217"/>
      <c r="F3870" s="104"/>
      <c r="G3870" s="108"/>
      <c r="J3870" s="174"/>
      <c r="K3870" s="4"/>
    </row>
    <row r="3871" spans="3:11" x14ac:dyDescent="0.25">
      <c r="C3871" s="108"/>
      <c r="D3871" s="217"/>
      <c r="E3871" s="217"/>
      <c r="F3871" s="104"/>
      <c r="G3871" s="108"/>
      <c r="J3871" s="174"/>
      <c r="K3871" s="4"/>
    </row>
    <row r="3872" spans="3:11" x14ac:dyDescent="0.25">
      <c r="C3872" s="108"/>
      <c r="D3872" s="217"/>
      <c r="E3872" s="217"/>
      <c r="F3872" s="104"/>
      <c r="G3872" s="108"/>
      <c r="J3872" s="174"/>
      <c r="K3872" s="4"/>
    </row>
    <row r="3873" spans="3:11" x14ac:dyDescent="0.25">
      <c r="C3873" s="108"/>
      <c r="D3873" s="217"/>
      <c r="E3873" s="217"/>
      <c r="F3873" s="104"/>
      <c r="G3873" s="108"/>
      <c r="J3873" s="174"/>
      <c r="K3873" s="4"/>
    </row>
    <row r="3874" spans="3:11" x14ac:dyDescent="0.25">
      <c r="C3874" s="108"/>
      <c r="D3874" s="217"/>
      <c r="E3874" s="217"/>
      <c r="F3874" s="104"/>
      <c r="G3874" s="108"/>
      <c r="J3874" s="174"/>
      <c r="K3874" s="4"/>
    </row>
    <row r="3875" spans="3:11" x14ac:dyDescent="0.25">
      <c r="C3875" s="108"/>
      <c r="D3875" s="217"/>
      <c r="E3875" s="217"/>
      <c r="F3875" s="104"/>
      <c r="G3875" s="108"/>
      <c r="J3875" s="174"/>
      <c r="K3875" s="4"/>
    </row>
    <row r="3876" spans="3:11" x14ac:dyDescent="0.25">
      <c r="C3876" s="108"/>
      <c r="D3876" s="217"/>
      <c r="E3876" s="217"/>
      <c r="F3876" s="104"/>
      <c r="G3876" s="108"/>
      <c r="J3876" s="174"/>
      <c r="K3876" s="4"/>
    </row>
    <row r="3877" spans="3:11" x14ac:dyDescent="0.25">
      <c r="C3877" s="108"/>
      <c r="D3877" s="217"/>
      <c r="E3877" s="217"/>
      <c r="F3877" s="104"/>
      <c r="G3877" s="108"/>
      <c r="J3877" s="174"/>
      <c r="K3877" s="4"/>
    </row>
    <row r="3878" spans="3:11" x14ac:dyDescent="0.25">
      <c r="C3878" s="108"/>
      <c r="D3878" s="217"/>
      <c r="E3878" s="217"/>
      <c r="F3878" s="104"/>
      <c r="G3878" s="108"/>
      <c r="J3878" s="174"/>
      <c r="K3878" s="4"/>
    </row>
    <row r="3879" spans="3:11" x14ac:dyDescent="0.25">
      <c r="C3879" s="108"/>
      <c r="D3879" s="217"/>
      <c r="E3879" s="217"/>
      <c r="F3879" s="104"/>
      <c r="G3879" s="108"/>
      <c r="J3879" s="174"/>
      <c r="K3879" s="4"/>
    </row>
    <row r="3880" spans="3:11" x14ac:dyDescent="0.25">
      <c r="C3880" s="108"/>
      <c r="D3880" s="217"/>
      <c r="E3880" s="217"/>
      <c r="F3880" s="104"/>
      <c r="G3880" s="108"/>
      <c r="J3880" s="174"/>
      <c r="K3880" s="4"/>
    </row>
    <row r="3881" spans="3:11" x14ac:dyDescent="0.25">
      <c r="C3881" s="108"/>
      <c r="D3881" s="217"/>
      <c r="E3881" s="217"/>
      <c r="F3881" s="104"/>
      <c r="G3881" s="108"/>
      <c r="J3881" s="174"/>
      <c r="K3881" s="4"/>
    </row>
    <row r="3882" spans="3:11" x14ac:dyDescent="0.25">
      <c r="C3882" s="108"/>
      <c r="D3882" s="217"/>
      <c r="E3882" s="217"/>
      <c r="F3882" s="104"/>
      <c r="G3882" s="108"/>
      <c r="J3882" s="174"/>
      <c r="K3882" s="4"/>
    </row>
    <row r="3883" spans="3:11" x14ac:dyDescent="0.25">
      <c r="C3883" s="108"/>
      <c r="D3883" s="217"/>
      <c r="E3883" s="217"/>
      <c r="F3883" s="104"/>
      <c r="G3883" s="108"/>
      <c r="J3883" s="174"/>
      <c r="K3883" s="4"/>
    </row>
    <row r="3884" spans="3:11" x14ac:dyDescent="0.25">
      <c r="C3884" s="108"/>
      <c r="D3884" s="217"/>
      <c r="E3884" s="217"/>
      <c r="F3884" s="104"/>
      <c r="G3884" s="108"/>
      <c r="J3884" s="174"/>
      <c r="K3884" s="4"/>
    </row>
    <row r="3885" spans="3:11" x14ac:dyDescent="0.25">
      <c r="C3885" s="108"/>
      <c r="D3885" s="217"/>
      <c r="E3885" s="217"/>
      <c r="F3885" s="104"/>
      <c r="G3885" s="108"/>
      <c r="J3885" s="174"/>
      <c r="K3885" s="4"/>
    </row>
    <row r="3886" spans="3:11" x14ac:dyDescent="0.25">
      <c r="C3886" s="108"/>
      <c r="D3886" s="217"/>
      <c r="E3886" s="217"/>
      <c r="F3886" s="104"/>
      <c r="G3886" s="108"/>
      <c r="J3886" s="174"/>
      <c r="K3886" s="4"/>
    </row>
    <row r="3887" spans="3:11" x14ac:dyDescent="0.25">
      <c r="C3887" s="108"/>
      <c r="D3887" s="217"/>
      <c r="E3887" s="217"/>
      <c r="F3887" s="104"/>
      <c r="G3887" s="108"/>
      <c r="J3887" s="174"/>
      <c r="K3887" s="4"/>
    </row>
    <row r="3888" spans="3:11" x14ac:dyDescent="0.25">
      <c r="C3888" s="108"/>
      <c r="D3888" s="217"/>
      <c r="E3888" s="217"/>
      <c r="F3888" s="104"/>
      <c r="G3888" s="108"/>
      <c r="J3888" s="174"/>
      <c r="K3888" s="4"/>
    </row>
    <row r="3889" spans="3:11" x14ac:dyDescent="0.25">
      <c r="C3889" s="108"/>
      <c r="D3889" s="217"/>
      <c r="E3889" s="217"/>
      <c r="F3889" s="104"/>
      <c r="G3889" s="108"/>
      <c r="J3889" s="174"/>
      <c r="K3889" s="4"/>
    </row>
    <row r="3890" spans="3:11" x14ac:dyDescent="0.25">
      <c r="C3890" s="108"/>
      <c r="D3890" s="217"/>
      <c r="E3890" s="217"/>
      <c r="F3890" s="104"/>
      <c r="G3890" s="108"/>
      <c r="J3890" s="174"/>
      <c r="K3890" s="4"/>
    </row>
    <row r="3891" spans="3:11" x14ac:dyDescent="0.25">
      <c r="C3891" s="108"/>
      <c r="D3891" s="217"/>
      <c r="E3891" s="217"/>
      <c r="F3891" s="104"/>
      <c r="G3891" s="108"/>
      <c r="J3891" s="174"/>
      <c r="K3891" s="4"/>
    </row>
    <row r="3892" spans="3:11" x14ac:dyDescent="0.25">
      <c r="C3892" s="108"/>
      <c r="D3892" s="217"/>
      <c r="E3892" s="217"/>
      <c r="F3892" s="104"/>
      <c r="G3892" s="108"/>
      <c r="J3892" s="174"/>
      <c r="K3892" s="4"/>
    </row>
    <row r="3893" spans="3:11" x14ac:dyDescent="0.25">
      <c r="C3893" s="108"/>
      <c r="D3893" s="217"/>
      <c r="E3893" s="217"/>
      <c r="F3893" s="104"/>
      <c r="G3893" s="108"/>
      <c r="J3893" s="174"/>
      <c r="K3893" s="4"/>
    </row>
    <row r="3894" spans="3:11" x14ac:dyDescent="0.25">
      <c r="C3894" s="108"/>
      <c r="D3894" s="217"/>
      <c r="E3894" s="217"/>
      <c r="F3894" s="104"/>
      <c r="G3894" s="108"/>
      <c r="J3894" s="174"/>
      <c r="K3894" s="4"/>
    </row>
    <row r="3895" spans="3:11" x14ac:dyDescent="0.25">
      <c r="C3895" s="108"/>
      <c r="D3895" s="217"/>
      <c r="E3895" s="217"/>
      <c r="F3895" s="104"/>
      <c r="G3895" s="108"/>
      <c r="J3895" s="174"/>
      <c r="K3895" s="4"/>
    </row>
    <row r="3896" spans="3:11" x14ac:dyDescent="0.25">
      <c r="C3896" s="108"/>
      <c r="D3896" s="217"/>
      <c r="E3896" s="217"/>
      <c r="F3896" s="104"/>
      <c r="G3896" s="108"/>
      <c r="J3896" s="174"/>
      <c r="K3896" s="4"/>
    </row>
    <row r="3897" spans="3:11" x14ac:dyDescent="0.25">
      <c r="C3897" s="108"/>
      <c r="D3897" s="217"/>
      <c r="E3897" s="217"/>
      <c r="F3897" s="104"/>
      <c r="G3897" s="108"/>
      <c r="J3897" s="174"/>
      <c r="K3897" s="4"/>
    </row>
    <row r="3898" spans="3:11" x14ac:dyDescent="0.25">
      <c r="C3898" s="108"/>
      <c r="D3898" s="217"/>
      <c r="E3898" s="217"/>
      <c r="F3898" s="104"/>
      <c r="G3898" s="108"/>
      <c r="J3898" s="174"/>
      <c r="K3898" s="4"/>
    </row>
    <row r="3899" spans="3:11" x14ac:dyDescent="0.25">
      <c r="C3899" s="108"/>
      <c r="D3899" s="217"/>
      <c r="E3899" s="217"/>
      <c r="F3899" s="104"/>
      <c r="G3899" s="108"/>
      <c r="J3899" s="174"/>
      <c r="K3899" s="4"/>
    </row>
    <row r="3900" spans="3:11" x14ac:dyDescent="0.25">
      <c r="C3900" s="108"/>
      <c r="D3900" s="217"/>
      <c r="E3900" s="217"/>
      <c r="F3900" s="104"/>
      <c r="G3900" s="108"/>
      <c r="J3900" s="174"/>
      <c r="K3900" s="4"/>
    </row>
    <row r="3901" spans="3:11" x14ac:dyDescent="0.25">
      <c r="C3901" s="108"/>
      <c r="D3901" s="217"/>
      <c r="E3901" s="217"/>
      <c r="F3901" s="104"/>
      <c r="G3901" s="108"/>
      <c r="J3901" s="174"/>
      <c r="K3901" s="4"/>
    </row>
    <row r="3902" spans="3:11" x14ac:dyDescent="0.25">
      <c r="C3902" s="108"/>
      <c r="D3902" s="217"/>
      <c r="E3902" s="217"/>
      <c r="F3902" s="104"/>
      <c r="G3902" s="108"/>
      <c r="J3902" s="174"/>
      <c r="K3902" s="4"/>
    </row>
    <row r="3903" spans="3:11" x14ac:dyDescent="0.25">
      <c r="C3903" s="108"/>
      <c r="D3903" s="217"/>
      <c r="E3903" s="217"/>
      <c r="F3903" s="104"/>
      <c r="G3903" s="108"/>
      <c r="J3903" s="174"/>
      <c r="K3903" s="4"/>
    </row>
    <row r="3904" spans="3:11" x14ac:dyDescent="0.25">
      <c r="C3904" s="108"/>
      <c r="D3904" s="217"/>
      <c r="E3904" s="217"/>
      <c r="F3904" s="104"/>
      <c r="G3904" s="108"/>
      <c r="J3904" s="174"/>
      <c r="K3904" s="4"/>
    </row>
    <row r="3905" spans="3:11" x14ac:dyDescent="0.25">
      <c r="C3905" s="108"/>
      <c r="D3905" s="217"/>
      <c r="E3905" s="217"/>
      <c r="F3905" s="104"/>
      <c r="G3905" s="108"/>
      <c r="J3905" s="174"/>
      <c r="K3905" s="4"/>
    </row>
    <row r="3906" spans="3:11" x14ac:dyDescent="0.25">
      <c r="C3906" s="108"/>
      <c r="D3906" s="217"/>
      <c r="E3906" s="217"/>
      <c r="F3906" s="104"/>
      <c r="G3906" s="108"/>
      <c r="J3906" s="174"/>
      <c r="K3906" s="4"/>
    </row>
    <row r="3907" spans="3:11" x14ac:dyDescent="0.25">
      <c r="C3907" s="108"/>
      <c r="D3907" s="217"/>
      <c r="E3907" s="217"/>
      <c r="F3907" s="104"/>
      <c r="G3907" s="108"/>
      <c r="J3907" s="174"/>
      <c r="K3907" s="4"/>
    </row>
    <row r="3908" spans="3:11" x14ac:dyDescent="0.25">
      <c r="C3908" s="108"/>
      <c r="D3908" s="217"/>
      <c r="E3908" s="217"/>
      <c r="F3908" s="104"/>
      <c r="G3908" s="108"/>
      <c r="J3908" s="174"/>
      <c r="K3908" s="4"/>
    </row>
    <row r="3909" spans="3:11" x14ac:dyDescent="0.25">
      <c r="C3909" s="108"/>
      <c r="D3909" s="217"/>
      <c r="E3909" s="217"/>
      <c r="F3909" s="104"/>
      <c r="G3909" s="108"/>
      <c r="J3909" s="174"/>
      <c r="K3909" s="4"/>
    </row>
    <row r="3910" spans="3:11" x14ac:dyDescent="0.25">
      <c r="C3910" s="108"/>
      <c r="D3910" s="217"/>
      <c r="E3910" s="217"/>
      <c r="F3910" s="104"/>
      <c r="G3910" s="108"/>
      <c r="J3910" s="174"/>
      <c r="K3910" s="4"/>
    </row>
    <row r="3911" spans="3:11" x14ac:dyDescent="0.25">
      <c r="C3911" s="108"/>
      <c r="D3911" s="217"/>
      <c r="E3911" s="217"/>
      <c r="F3911" s="104"/>
      <c r="G3911" s="108"/>
      <c r="J3911" s="174"/>
      <c r="K3911" s="4"/>
    </row>
    <row r="3912" spans="3:11" x14ac:dyDescent="0.25">
      <c r="C3912" s="108"/>
      <c r="D3912" s="217"/>
      <c r="E3912" s="217"/>
      <c r="F3912" s="104"/>
      <c r="G3912" s="108"/>
      <c r="J3912" s="174"/>
      <c r="K3912" s="4"/>
    </row>
    <row r="3913" spans="3:11" x14ac:dyDescent="0.25">
      <c r="C3913" s="108"/>
      <c r="D3913" s="217"/>
      <c r="E3913" s="217"/>
      <c r="F3913" s="104"/>
      <c r="G3913" s="108"/>
      <c r="J3913" s="174"/>
      <c r="K3913" s="4"/>
    </row>
    <row r="3914" spans="3:11" x14ac:dyDescent="0.25">
      <c r="C3914" s="108"/>
      <c r="D3914" s="217"/>
      <c r="E3914" s="217"/>
      <c r="F3914" s="104"/>
      <c r="G3914" s="108"/>
      <c r="J3914" s="174"/>
      <c r="K3914" s="4"/>
    </row>
    <row r="3915" spans="3:11" x14ac:dyDescent="0.25">
      <c r="C3915" s="108"/>
      <c r="D3915" s="217"/>
      <c r="E3915" s="217"/>
      <c r="F3915" s="104"/>
      <c r="G3915" s="108"/>
      <c r="J3915" s="174"/>
      <c r="K3915" s="4"/>
    </row>
    <row r="3916" spans="3:11" x14ac:dyDescent="0.25">
      <c r="C3916" s="108"/>
      <c r="D3916" s="217"/>
      <c r="E3916" s="217"/>
      <c r="F3916" s="104"/>
      <c r="G3916" s="108"/>
      <c r="J3916" s="174"/>
      <c r="K3916" s="4"/>
    </row>
    <row r="3917" spans="3:11" x14ac:dyDescent="0.25">
      <c r="C3917" s="108"/>
      <c r="D3917" s="217"/>
      <c r="E3917" s="217"/>
      <c r="F3917" s="104"/>
      <c r="G3917" s="108"/>
      <c r="J3917" s="174"/>
      <c r="K3917" s="4"/>
    </row>
    <row r="3918" spans="3:11" x14ac:dyDescent="0.25">
      <c r="C3918" s="108"/>
      <c r="D3918" s="217"/>
      <c r="E3918" s="217"/>
      <c r="F3918" s="104"/>
      <c r="G3918" s="108"/>
      <c r="J3918" s="174"/>
      <c r="K3918" s="4"/>
    </row>
    <row r="3919" spans="3:11" x14ac:dyDescent="0.25">
      <c r="C3919" s="108"/>
      <c r="D3919" s="217"/>
      <c r="E3919" s="217"/>
      <c r="F3919" s="104"/>
      <c r="G3919" s="108"/>
      <c r="J3919" s="174"/>
      <c r="K3919" s="4"/>
    </row>
    <row r="3920" spans="3:11" x14ac:dyDescent="0.25">
      <c r="C3920" s="108"/>
      <c r="D3920" s="217"/>
      <c r="E3920" s="217"/>
      <c r="F3920" s="104"/>
      <c r="G3920" s="108"/>
      <c r="J3920" s="174"/>
      <c r="K3920" s="4"/>
    </row>
    <row r="3921" spans="3:11" x14ac:dyDescent="0.25">
      <c r="C3921" s="108"/>
      <c r="D3921" s="217"/>
      <c r="E3921" s="217"/>
      <c r="F3921" s="104"/>
      <c r="G3921" s="108"/>
      <c r="J3921" s="174"/>
      <c r="K3921" s="4"/>
    </row>
    <row r="3922" spans="3:11" x14ac:dyDescent="0.25">
      <c r="C3922" s="108"/>
      <c r="D3922" s="217"/>
      <c r="E3922" s="217"/>
      <c r="F3922" s="104"/>
      <c r="G3922" s="108"/>
      <c r="J3922" s="174"/>
      <c r="K3922" s="4"/>
    </row>
    <row r="3923" spans="3:11" x14ac:dyDescent="0.25">
      <c r="C3923" s="108"/>
      <c r="D3923" s="217"/>
      <c r="E3923" s="217"/>
      <c r="F3923" s="104"/>
      <c r="G3923" s="108"/>
      <c r="J3923" s="174"/>
      <c r="K3923" s="4"/>
    </row>
    <row r="3924" spans="3:11" x14ac:dyDescent="0.25">
      <c r="C3924" s="108"/>
      <c r="D3924" s="217"/>
      <c r="E3924" s="217"/>
      <c r="F3924" s="104"/>
      <c r="G3924" s="108"/>
      <c r="J3924" s="174"/>
      <c r="K3924" s="4"/>
    </row>
    <row r="3925" spans="3:11" x14ac:dyDescent="0.25">
      <c r="C3925" s="108"/>
      <c r="D3925" s="217"/>
      <c r="E3925" s="217"/>
      <c r="F3925" s="104"/>
      <c r="G3925" s="108"/>
      <c r="J3925" s="174"/>
      <c r="K3925" s="4"/>
    </row>
    <row r="3926" spans="3:11" x14ac:dyDescent="0.25">
      <c r="C3926" s="108"/>
      <c r="D3926" s="217"/>
      <c r="E3926" s="217"/>
      <c r="F3926" s="104"/>
      <c r="G3926" s="108"/>
      <c r="J3926" s="174"/>
      <c r="K3926" s="4"/>
    </row>
    <row r="3927" spans="3:11" x14ac:dyDescent="0.25">
      <c r="C3927" s="108"/>
      <c r="D3927" s="217"/>
      <c r="E3927" s="217"/>
      <c r="F3927" s="104"/>
      <c r="G3927" s="108"/>
      <c r="J3927" s="174"/>
      <c r="K3927" s="4"/>
    </row>
    <row r="3928" spans="3:11" x14ac:dyDescent="0.25">
      <c r="C3928" s="108"/>
      <c r="D3928" s="217"/>
      <c r="E3928" s="217"/>
      <c r="F3928" s="104"/>
      <c r="G3928" s="108"/>
      <c r="J3928" s="174"/>
      <c r="K3928" s="4"/>
    </row>
    <row r="3929" spans="3:11" x14ac:dyDescent="0.25">
      <c r="C3929" s="108"/>
      <c r="D3929" s="217"/>
      <c r="E3929" s="217"/>
      <c r="F3929" s="104"/>
      <c r="G3929" s="108"/>
      <c r="J3929" s="174"/>
      <c r="K3929" s="4"/>
    </row>
    <row r="3930" spans="3:11" x14ac:dyDescent="0.25">
      <c r="C3930" s="108"/>
      <c r="D3930" s="217"/>
      <c r="E3930" s="217"/>
      <c r="F3930" s="104"/>
      <c r="G3930" s="108"/>
      <c r="J3930" s="174"/>
      <c r="K3930" s="4"/>
    </row>
    <row r="3931" spans="3:11" x14ac:dyDescent="0.25">
      <c r="C3931" s="108"/>
      <c r="D3931" s="217"/>
      <c r="E3931" s="217"/>
      <c r="F3931" s="104"/>
      <c r="G3931" s="108"/>
      <c r="J3931" s="174"/>
      <c r="K3931" s="4"/>
    </row>
    <row r="3932" spans="3:11" x14ac:dyDescent="0.25">
      <c r="C3932" s="108"/>
      <c r="D3932" s="217"/>
      <c r="E3932" s="217"/>
      <c r="F3932" s="104"/>
      <c r="G3932" s="108"/>
      <c r="J3932" s="174"/>
      <c r="K3932" s="4"/>
    </row>
    <row r="3933" spans="3:11" x14ac:dyDescent="0.25">
      <c r="C3933" s="108"/>
      <c r="D3933" s="217"/>
      <c r="E3933" s="217"/>
      <c r="F3933" s="104"/>
      <c r="G3933" s="108"/>
      <c r="J3933" s="174"/>
      <c r="K3933" s="4"/>
    </row>
    <row r="3934" spans="3:11" x14ac:dyDescent="0.25">
      <c r="C3934" s="108"/>
      <c r="D3934" s="217"/>
      <c r="E3934" s="217"/>
      <c r="F3934" s="104"/>
      <c r="G3934" s="108"/>
      <c r="J3934" s="174"/>
      <c r="K3934" s="4"/>
    </row>
    <row r="3935" spans="3:11" x14ac:dyDescent="0.25">
      <c r="C3935" s="108"/>
      <c r="D3935" s="217"/>
      <c r="E3935" s="217"/>
      <c r="F3935" s="104"/>
      <c r="G3935" s="108"/>
      <c r="J3935" s="174"/>
      <c r="K3935" s="4"/>
    </row>
    <row r="3936" spans="3:11" x14ac:dyDescent="0.25">
      <c r="C3936" s="108"/>
      <c r="D3936" s="217"/>
      <c r="E3936" s="217"/>
      <c r="F3936" s="104"/>
      <c r="G3936" s="108"/>
      <c r="J3936" s="174"/>
      <c r="K3936" s="4"/>
    </row>
    <row r="3937" spans="3:11" x14ac:dyDescent="0.25">
      <c r="C3937" s="108"/>
      <c r="D3937" s="217"/>
      <c r="E3937" s="217"/>
      <c r="F3937" s="104"/>
      <c r="G3937" s="108"/>
      <c r="J3937" s="174"/>
      <c r="K3937" s="4"/>
    </row>
    <row r="3938" spans="3:11" x14ac:dyDescent="0.25">
      <c r="C3938" s="108"/>
      <c r="D3938" s="217"/>
      <c r="E3938" s="217"/>
      <c r="F3938" s="104"/>
      <c r="G3938" s="108"/>
      <c r="J3938" s="174"/>
      <c r="K3938" s="4"/>
    </row>
    <row r="3939" spans="3:11" x14ac:dyDescent="0.25">
      <c r="C3939" s="108"/>
      <c r="D3939" s="217"/>
      <c r="E3939" s="217"/>
      <c r="F3939" s="104"/>
      <c r="G3939" s="108"/>
      <c r="J3939" s="174"/>
      <c r="K3939" s="4"/>
    </row>
    <row r="3940" spans="3:11" x14ac:dyDescent="0.25">
      <c r="C3940" s="108"/>
      <c r="D3940" s="217"/>
      <c r="E3940" s="217"/>
      <c r="F3940" s="104"/>
      <c r="G3940" s="108"/>
      <c r="J3940" s="174"/>
      <c r="K3940" s="4"/>
    </row>
    <row r="3941" spans="3:11" x14ac:dyDescent="0.25">
      <c r="C3941" s="108"/>
      <c r="D3941" s="217"/>
      <c r="E3941" s="217"/>
      <c r="F3941" s="104"/>
      <c r="G3941" s="108"/>
      <c r="J3941" s="174"/>
      <c r="K3941" s="4"/>
    </row>
    <row r="3942" spans="3:11" x14ac:dyDescent="0.25">
      <c r="C3942" s="108"/>
      <c r="D3942" s="217"/>
      <c r="E3942" s="217"/>
      <c r="F3942" s="104"/>
      <c r="G3942" s="108"/>
      <c r="J3942" s="174"/>
      <c r="K3942" s="4"/>
    </row>
    <row r="3943" spans="3:11" x14ac:dyDescent="0.25">
      <c r="C3943" s="108"/>
      <c r="D3943" s="217"/>
      <c r="E3943" s="217"/>
      <c r="F3943" s="104"/>
      <c r="G3943" s="108"/>
      <c r="J3943" s="174"/>
      <c r="K3943" s="4"/>
    </row>
    <row r="3944" spans="3:11" x14ac:dyDescent="0.25">
      <c r="C3944" s="108"/>
      <c r="D3944" s="217"/>
      <c r="E3944" s="217"/>
      <c r="F3944" s="104"/>
      <c r="G3944" s="108"/>
      <c r="J3944" s="174"/>
      <c r="K3944" s="4"/>
    </row>
    <row r="3945" spans="3:11" x14ac:dyDescent="0.25">
      <c r="C3945" s="108"/>
      <c r="D3945" s="217"/>
      <c r="E3945" s="217"/>
      <c r="F3945" s="104"/>
      <c r="G3945" s="108"/>
      <c r="J3945" s="174"/>
      <c r="K3945" s="4"/>
    </row>
    <row r="3946" spans="3:11" x14ac:dyDescent="0.25">
      <c r="C3946" s="108"/>
      <c r="D3946" s="217"/>
      <c r="E3946" s="217"/>
      <c r="F3946" s="104"/>
      <c r="G3946" s="108"/>
      <c r="J3946" s="174"/>
      <c r="K3946" s="4"/>
    </row>
    <row r="3947" spans="3:11" x14ac:dyDescent="0.25">
      <c r="C3947" s="108"/>
      <c r="D3947" s="217"/>
      <c r="E3947" s="217"/>
      <c r="F3947" s="104"/>
      <c r="G3947" s="108"/>
      <c r="J3947" s="174"/>
      <c r="K3947" s="4"/>
    </row>
    <row r="3948" spans="3:11" x14ac:dyDescent="0.25">
      <c r="C3948" s="108"/>
      <c r="D3948" s="217"/>
      <c r="E3948" s="217"/>
      <c r="F3948" s="104"/>
      <c r="G3948" s="108"/>
      <c r="J3948" s="174"/>
      <c r="K3948" s="4"/>
    </row>
    <row r="3949" spans="3:11" x14ac:dyDescent="0.25">
      <c r="C3949" s="108"/>
      <c r="D3949" s="217"/>
      <c r="E3949" s="217"/>
      <c r="F3949" s="104"/>
      <c r="G3949" s="108"/>
      <c r="J3949" s="174"/>
      <c r="K3949" s="4"/>
    </row>
    <row r="3950" spans="3:11" x14ac:dyDescent="0.25">
      <c r="C3950" s="108"/>
      <c r="D3950" s="217"/>
      <c r="E3950" s="217"/>
      <c r="F3950" s="104"/>
      <c r="G3950" s="108"/>
      <c r="J3950" s="174"/>
      <c r="K3950" s="4"/>
    </row>
    <row r="3951" spans="3:11" x14ac:dyDescent="0.25">
      <c r="C3951" s="108"/>
      <c r="D3951" s="217"/>
      <c r="E3951" s="217"/>
      <c r="F3951" s="104"/>
      <c r="G3951" s="108"/>
      <c r="J3951" s="174"/>
      <c r="K3951" s="4"/>
    </row>
    <row r="3952" spans="3:11" x14ac:dyDescent="0.25">
      <c r="C3952" s="108"/>
      <c r="D3952" s="217"/>
      <c r="E3952" s="217"/>
      <c r="F3952" s="104"/>
      <c r="G3952" s="108"/>
      <c r="J3952" s="174"/>
      <c r="K3952" s="4"/>
    </row>
    <row r="3953" spans="3:11" x14ac:dyDescent="0.25">
      <c r="C3953" s="108"/>
      <c r="D3953" s="217"/>
      <c r="E3953" s="217"/>
      <c r="F3953" s="104"/>
      <c r="G3953" s="108"/>
      <c r="J3953" s="174"/>
      <c r="K3953" s="4"/>
    </row>
    <row r="3954" spans="3:11" x14ac:dyDescent="0.25">
      <c r="C3954" s="108"/>
      <c r="D3954" s="217"/>
      <c r="E3954" s="217"/>
      <c r="F3954" s="104"/>
      <c r="G3954" s="108"/>
      <c r="J3954" s="174"/>
      <c r="K3954" s="4"/>
    </row>
    <row r="3955" spans="3:11" x14ac:dyDescent="0.25">
      <c r="C3955" s="108"/>
      <c r="D3955" s="217"/>
      <c r="E3955" s="217"/>
      <c r="F3955" s="104"/>
      <c r="G3955" s="108"/>
      <c r="J3955" s="174"/>
      <c r="K3955" s="4"/>
    </row>
    <row r="3956" spans="3:11" x14ac:dyDescent="0.25">
      <c r="C3956" s="108"/>
      <c r="D3956" s="217"/>
      <c r="E3956" s="217"/>
      <c r="F3956" s="104"/>
      <c r="G3956" s="108"/>
      <c r="J3956" s="174"/>
      <c r="K3956" s="4"/>
    </row>
    <row r="3957" spans="3:11" x14ac:dyDescent="0.25">
      <c r="C3957" s="108"/>
      <c r="D3957" s="217"/>
      <c r="E3957" s="217"/>
      <c r="F3957" s="104"/>
      <c r="G3957" s="108"/>
      <c r="J3957" s="174"/>
      <c r="K3957" s="4"/>
    </row>
    <row r="3958" spans="3:11" x14ac:dyDescent="0.25">
      <c r="C3958" s="108"/>
      <c r="D3958" s="217"/>
      <c r="E3958" s="217"/>
      <c r="F3958" s="104"/>
      <c r="G3958" s="108"/>
      <c r="J3958" s="174"/>
      <c r="K3958" s="4"/>
    </row>
    <row r="3959" spans="3:11" x14ac:dyDescent="0.25">
      <c r="C3959" s="108"/>
      <c r="D3959" s="217"/>
      <c r="E3959" s="217"/>
      <c r="F3959" s="104"/>
      <c r="G3959" s="108"/>
      <c r="J3959" s="174"/>
      <c r="K3959" s="4"/>
    </row>
    <row r="3960" spans="3:11" x14ac:dyDescent="0.25">
      <c r="C3960" s="108"/>
      <c r="D3960" s="217"/>
      <c r="E3960" s="217"/>
      <c r="F3960" s="104"/>
      <c r="G3960" s="108"/>
      <c r="J3960" s="174"/>
      <c r="K3960" s="4"/>
    </row>
    <row r="3961" spans="3:11" x14ac:dyDescent="0.25">
      <c r="C3961" s="108"/>
      <c r="D3961" s="217"/>
      <c r="E3961" s="217"/>
      <c r="F3961" s="104"/>
      <c r="G3961" s="108"/>
      <c r="J3961" s="174"/>
      <c r="K3961" s="4"/>
    </row>
    <row r="3962" spans="3:11" x14ac:dyDescent="0.25">
      <c r="C3962" s="108"/>
      <c r="D3962" s="217"/>
      <c r="E3962" s="217"/>
      <c r="F3962" s="104"/>
      <c r="G3962" s="108"/>
      <c r="J3962" s="174"/>
      <c r="K3962" s="4"/>
    </row>
    <row r="3963" spans="3:11" x14ac:dyDescent="0.25">
      <c r="C3963" s="108"/>
      <c r="D3963" s="217"/>
      <c r="E3963" s="217"/>
      <c r="F3963" s="104"/>
      <c r="G3963" s="108"/>
      <c r="J3963" s="174"/>
      <c r="K3963" s="4"/>
    </row>
    <row r="3964" spans="3:11" x14ac:dyDescent="0.25">
      <c r="C3964" s="108"/>
      <c r="D3964" s="217"/>
      <c r="E3964" s="217"/>
      <c r="F3964" s="104"/>
      <c r="G3964" s="108"/>
      <c r="J3964" s="174"/>
      <c r="K3964" s="4"/>
    </row>
    <row r="3965" spans="3:11" x14ac:dyDescent="0.25">
      <c r="C3965" s="108"/>
      <c r="D3965" s="217"/>
      <c r="E3965" s="217"/>
      <c r="F3965" s="104"/>
      <c r="G3965" s="108"/>
      <c r="J3965" s="174"/>
      <c r="K3965" s="4"/>
    </row>
    <row r="3966" spans="3:11" x14ac:dyDescent="0.25">
      <c r="C3966" s="108"/>
      <c r="D3966" s="217"/>
      <c r="E3966" s="217"/>
      <c r="F3966" s="104"/>
      <c r="G3966" s="108"/>
      <c r="J3966" s="174"/>
      <c r="K3966" s="4"/>
    </row>
    <row r="3967" spans="3:11" x14ac:dyDescent="0.25">
      <c r="C3967" s="108"/>
      <c r="D3967" s="217"/>
      <c r="E3967" s="217"/>
      <c r="F3967" s="104"/>
      <c r="G3967" s="108"/>
      <c r="J3967" s="174"/>
      <c r="K3967" s="4"/>
    </row>
    <row r="3968" spans="3:11" x14ac:dyDescent="0.25">
      <c r="C3968" s="108"/>
      <c r="D3968" s="217"/>
      <c r="E3968" s="217"/>
      <c r="F3968" s="104"/>
      <c r="G3968" s="108"/>
      <c r="J3968" s="174"/>
      <c r="K3968" s="4"/>
    </row>
    <row r="3969" spans="3:11" x14ac:dyDescent="0.25">
      <c r="C3969" s="108"/>
      <c r="D3969" s="217"/>
      <c r="E3969" s="217"/>
      <c r="F3969" s="104"/>
      <c r="G3969" s="108"/>
      <c r="J3969" s="174"/>
      <c r="K3969" s="4"/>
    </row>
    <row r="3970" spans="3:11" x14ac:dyDescent="0.25">
      <c r="C3970" s="108"/>
      <c r="D3970" s="217"/>
      <c r="E3970" s="217"/>
      <c r="F3970" s="104"/>
      <c r="G3970" s="108"/>
      <c r="J3970" s="174"/>
      <c r="K3970" s="4"/>
    </row>
    <row r="3971" spans="3:11" x14ac:dyDescent="0.25">
      <c r="C3971" s="108"/>
      <c r="D3971" s="217"/>
      <c r="E3971" s="217"/>
      <c r="F3971" s="104"/>
      <c r="G3971" s="108"/>
      <c r="J3971" s="174"/>
      <c r="K3971" s="4"/>
    </row>
    <row r="3972" spans="3:11" x14ac:dyDescent="0.25">
      <c r="C3972" s="108"/>
      <c r="D3972" s="217"/>
      <c r="E3972" s="217"/>
      <c r="F3972" s="104"/>
      <c r="G3972" s="108"/>
      <c r="J3972" s="174"/>
      <c r="K3972" s="4"/>
    </row>
    <row r="3973" spans="3:11" x14ac:dyDescent="0.25">
      <c r="C3973" s="108"/>
      <c r="D3973" s="217"/>
      <c r="E3973" s="217"/>
      <c r="F3973" s="104"/>
      <c r="G3973" s="108"/>
      <c r="J3973" s="174"/>
      <c r="K3973" s="4"/>
    </row>
    <row r="3974" spans="3:11" x14ac:dyDescent="0.25">
      <c r="C3974" s="108"/>
      <c r="D3974" s="217"/>
      <c r="E3974" s="217"/>
      <c r="F3974" s="104"/>
      <c r="G3974" s="108"/>
      <c r="J3974" s="174"/>
      <c r="K3974" s="4"/>
    </row>
    <row r="3975" spans="3:11" x14ac:dyDescent="0.25">
      <c r="C3975" s="108"/>
      <c r="D3975" s="217"/>
      <c r="E3975" s="217"/>
      <c r="F3975" s="104"/>
      <c r="G3975" s="108"/>
      <c r="J3975" s="174"/>
      <c r="K3975" s="4"/>
    </row>
    <row r="3976" spans="3:11" x14ac:dyDescent="0.25">
      <c r="C3976" s="108"/>
      <c r="D3976" s="217"/>
      <c r="E3976" s="217"/>
      <c r="F3976" s="104"/>
      <c r="G3976" s="108"/>
      <c r="J3976" s="174"/>
      <c r="K3976" s="4"/>
    </row>
    <row r="3977" spans="3:11" x14ac:dyDescent="0.25">
      <c r="C3977" s="108"/>
      <c r="D3977" s="217"/>
      <c r="E3977" s="217"/>
      <c r="F3977" s="104"/>
      <c r="G3977" s="108"/>
      <c r="J3977" s="174"/>
      <c r="K3977" s="4"/>
    </row>
    <row r="3978" spans="3:11" x14ac:dyDescent="0.25">
      <c r="C3978" s="108"/>
      <c r="D3978" s="217"/>
      <c r="E3978" s="217"/>
      <c r="F3978" s="104"/>
      <c r="G3978" s="108"/>
      <c r="J3978" s="174"/>
      <c r="K3978" s="4"/>
    </row>
    <row r="3979" spans="3:11" x14ac:dyDescent="0.25">
      <c r="C3979" s="108"/>
      <c r="D3979" s="217"/>
      <c r="E3979" s="217"/>
      <c r="F3979" s="104"/>
      <c r="G3979" s="108"/>
      <c r="J3979" s="174"/>
      <c r="K3979" s="4"/>
    </row>
    <row r="3980" spans="3:11" x14ac:dyDescent="0.25">
      <c r="C3980" s="108"/>
      <c r="D3980" s="217"/>
      <c r="E3980" s="217"/>
      <c r="F3980" s="104"/>
      <c r="G3980" s="108"/>
      <c r="J3980" s="174"/>
      <c r="K3980" s="4"/>
    </row>
    <row r="3981" spans="3:11" x14ac:dyDescent="0.25">
      <c r="C3981" s="108"/>
      <c r="D3981" s="217"/>
      <c r="E3981" s="217"/>
      <c r="F3981" s="104"/>
      <c r="G3981" s="108"/>
      <c r="J3981" s="174"/>
      <c r="K3981" s="4"/>
    </row>
    <row r="3982" spans="3:11" x14ac:dyDescent="0.25">
      <c r="C3982" s="108"/>
      <c r="D3982" s="217"/>
      <c r="E3982" s="217"/>
      <c r="F3982" s="104"/>
      <c r="G3982" s="108"/>
      <c r="J3982" s="174"/>
      <c r="K3982" s="4"/>
    </row>
    <row r="3983" spans="3:11" x14ac:dyDescent="0.25">
      <c r="C3983" s="108"/>
      <c r="D3983" s="217"/>
      <c r="E3983" s="217"/>
      <c r="F3983" s="104"/>
      <c r="G3983" s="108"/>
      <c r="J3983" s="174"/>
      <c r="K3983" s="4"/>
    </row>
    <row r="3984" spans="3:11" x14ac:dyDescent="0.25">
      <c r="C3984" s="108"/>
      <c r="D3984" s="217"/>
      <c r="E3984" s="217"/>
      <c r="F3984" s="104"/>
      <c r="G3984" s="108"/>
      <c r="J3984" s="174"/>
      <c r="K3984" s="4"/>
    </row>
    <row r="3985" spans="3:11" x14ac:dyDescent="0.25">
      <c r="C3985" s="108"/>
      <c r="D3985" s="217"/>
      <c r="E3985" s="217"/>
      <c r="F3985" s="104"/>
      <c r="G3985" s="108"/>
      <c r="J3985" s="174"/>
      <c r="K3985" s="4"/>
    </row>
    <row r="3986" spans="3:11" x14ac:dyDescent="0.25">
      <c r="C3986" s="108"/>
      <c r="D3986" s="217"/>
      <c r="E3986" s="217"/>
      <c r="F3986" s="104"/>
      <c r="G3986" s="108"/>
      <c r="J3986" s="174"/>
      <c r="K3986" s="4"/>
    </row>
    <row r="3987" spans="3:11" x14ac:dyDescent="0.25">
      <c r="C3987" s="108"/>
      <c r="D3987" s="217"/>
      <c r="E3987" s="217"/>
      <c r="F3987" s="104"/>
      <c r="G3987" s="108"/>
      <c r="J3987" s="174"/>
      <c r="K3987" s="4"/>
    </row>
    <row r="3988" spans="3:11" x14ac:dyDescent="0.25">
      <c r="C3988" s="108"/>
      <c r="D3988" s="217"/>
      <c r="E3988" s="217"/>
      <c r="F3988" s="104"/>
      <c r="G3988" s="108"/>
      <c r="J3988" s="174"/>
      <c r="K3988" s="4"/>
    </row>
    <row r="3989" spans="3:11" x14ac:dyDescent="0.25">
      <c r="C3989" s="108"/>
      <c r="D3989" s="217"/>
      <c r="E3989" s="217"/>
      <c r="F3989" s="104"/>
      <c r="G3989" s="108"/>
      <c r="J3989" s="174"/>
      <c r="K3989" s="4"/>
    </row>
    <row r="3990" spans="3:11" x14ac:dyDescent="0.25">
      <c r="C3990" s="108"/>
      <c r="D3990" s="217"/>
      <c r="E3990" s="217"/>
      <c r="F3990" s="104"/>
      <c r="G3990" s="108"/>
      <c r="J3990" s="174"/>
      <c r="K3990" s="4"/>
    </row>
    <row r="3991" spans="3:11" x14ac:dyDescent="0.25">
      <c r="C3991" s="108"/>
      <c r="D3991" s="217"/>
      <c r="E3991" s="217"/>
      <c r="F3991" s="104"/>
      <c r="G3991" s="108"/>
      <c r="J3991" s="174"/>
      <c r="K3991" s="4"/>
    </row>
    <row r="3992" spans="3:11" x14ac:dyDescent="0.25">
      <c r="C3992" s="108"/>
      <c r="D3992" s="217"/>
      <c r="E3992" s="217"/>
      <c r="F3992" s="104"/>
      <c r="G3992" s="108"/>
      <c r="J3992" s="174"/>
      <c r="K3992" s="4"/>
    </row>
    <row r="3993" spans="3:11" x14ac:dyDescent="0.25">
      <c r="C3993" s="108"/>
      <c r="D3993" s="217"/>
      <c r="E3993" s="217"/>
      <c r="F3993" s="104"/>
      <c r="G3993" s="108"/>
      <c r="J3993" s="174"/>
      <c r="K3993" s="4"/>
    </row>
    <row r="3994" spans="3:11" x14ac:dyDescent="0.25">
      <c r="C3994" s="108"/>
      <c r="D3994" s="217"/>
      <c r="E3994" s="217"/>
      <c r="F3994" s="104"/>
      <c r="G3994" s="108"/>
      <c r="J3994" s="174"/>
      <c r="K3994" s="4"/>
    </row>
    <row r="3995" spans="3:11" x14ac:dyDescent="0.25">
      <c r="C3995" s="108"/>
      <c r="D3995" s="217"/>
      <c r="E3995" s="217"/>
      <c r="F3995" s="104"/>
      <c r="G3995" s="108"/>
      <c r="J3995" s="174"/>
      <c r="K3995" s="4"/>
    </row>
    <row r="3996" spans="3:11" x14ac:dyDescent="0.25">
      <c r="C3996" s="108"/>
      <c r="D3996" s="217"/>
      <c r="E3996" s="217"/>
      <c r="F3996" s="104"/>
      <c r="G3996" s="108"/>
      <c r="J3996" s="174"/>
      <c r="K3996" s="4"/>
    </row>
    <row r="3997" spans="3:11" x14ac:dyDescent="0.25">
      <c r="C3997" s="108"/>
      <c r="D3997" s="217"/>
      <c r="E3997" s="217"/>
      <c r="F3997" s="104"/>
      <c r="G3997" s="108"/>
      <c r="J3997" s="174"/>
      <c r="K3997" s="4"/>
    </row>
    <row r="3998" spans="3:11" x14ac:dyDescent="0.25">
      <c r="C3998" s="108"/>
      <c r="D3998" s="217"/>
      <c r="E3998" s="217"/>
      <c r="F3998" s="104"/>
      <c r="G3998" s="108"/>
      <c r="J3998" s="174"/>
      <c r="K3998" s="4"/>
    </row>
    <row r="3999" spans="3:11" x14ac:dyDescent="0.25">
      <c r="C3999" s="108"/>
      <c r="D3999" s="217"/>
      <c r="E3999" s="217"/>
      <c r="F3999" s="104"/>
      <c r="G3999" s="108"/>
      <c r="J3999" s="174"/>
      <c r="K3999" s="4"/>
    </row>
    <row r="4000" spans="3:11" x14ac:dyDescent="0.25">
      <c r="C4000" s="108"/>
      <c r="D4000" s="217"/>
      <c r="E4000" s="217"/>
      <c r="F4000" s="104"/>
      <c r="G4000" s="108"/>
      <c r="J4000" s="174"/>
      <c r="K4000" s="4"/>
    </row>
    <row r="4001" spans="3:11" x14ac:dyDescent="0.25">
      <c r="C4001" s="108"/>
      <c r="D4001" s="217"/>
      <c r="E4001" s="217"/>
      <c r="F4001" s="104"/>
      <c r="G4001" s="108"/>
      <c r="J4001" s="174"/>
      <c r="K4001" s="4"/>
    </row>
    <row r="4002" spans="3:11" x14ac:dyDescent="0.25">
      <c r="C4002" s="108"/>
      <c r="D4002" s="217"/>
      <c r="E4002" s="217"/>
      <c r="F4002" s="104"/>
      <c r="G4002" s="108"/>
      <c r="J4002" s="174"/>
      <c r="K4002" s="4"/>
    </row>
    <row r="4003" spans="3:11" x14ac:dyDescent="0.25">
      <c r="C4003" s="108"/>
      <c r="D4003" s="217"/>
      <c r="E4003" s="217"/>
      <c r="F4003" s="104"/>
      <c r="G4003" s="108"/>
      <c r="J4003" s="174"/>
      <c r="K4003" s="4"/>
    </row>
    <row r="4004" spans="3:11" x14ac:dyDescent="0.25">
      <c r="C4004" s="108"/>
      <c r="D4004" s="217"/>
      <c r="E4004" s="217"/>
      <c r="F4004" s="104"/>
      <c r="G4004" s="108"/>
      <c r="J4004" s="174"/>
      <c r="K4004" s="4"/>
    </row>
    <row r="4005" spans="3:11" x14ac:dyDescent="0.25">
      <c r="C4005" s="108"/>
      <c r="D4005" s="217"/>
      <c r="E4005" s="217"/>
      <c r="F4005" s="104"/>
      <c r="G4005" s="108"/>
      <c r="J4005" s="174"/>
      <c r="K4005" s="4"/>
    </row>
    <row r="4006" spans="3:11" x14ac:dyDescent="0.25">
      <c r="C4006" s="108"/>
      <c r="D4006" s="217"/>
      <c r="E4006" s="217"/>
      <c r="F4006" s="104"/>
      <c r="G4006" s="108"/>
      <c r="J4006" s="174"/>
      <c r="K4006" s="4"/>
    </row>
    <row r="4007" spans="3:11" x14ac:dyDescent="0.25">
      <c r="C4007" s="108"/>
      <c r="D4007" s="217"/>
      <c r="E4007" s="217"/>
      <c r="F4007" s="104"/>
      <c r="G4007" s="108"/>
      <c r="J4007" s="174"/>
      <c r="K4007" s="4"/>
    </row>
    <row r="4008" spans="3:11" x14ac:dyDescent="0.25">
      <c r="C4008" s="108"/>
      <c r="D4008" s="217"/>
      <c r="E4008" s="217"/>
      <c r="F4008" s="104"/>
      <c r="G4008" s="108"/>
      <c r="J4008" s="174"/>
      <c r="K4008" s="4"/>
    </row>
    <row r="4009" spans="3:11" x14ac:dyDescent="0.25">
      <c r="C4009" s="108"/>
      <c r="D4009" s="217"/>
      <c r="E4009" s="217"/>
      <c r="F4009" s="104"/>
      <c r="G4009" s="108"/>
      <c r="J4009" s="174"/>
      <c r="K4009" s="4"/>
    </row>
    <row r="4010" spans="3:11" x14ac:dyDescent="0.25">
      <c r="C4010" s="108"/>
      <c r="D4010" s="217"/>
      <c r="E4010" s="217"/>
      <c r="F4010" s="104"/>
      <c r="G4010" s="108"/>
      <c r="J4010" s="174"/>
      <c r="K4010" s="4"/>
    </row>
    <row r="4011" spans="3:11" x14ac:dyDescent="0.25">
      <c r="C4011" s="108"/>
      <c r="D4011" s="217"/>
      <c r="E4011" s="217"/>
      <c r="F4011" s="104"/>
      <c r="G4011" s="108"/>
      <c r="J4011" s="174"/>
      <c r="K4011" s="4"/>
    </row>
    <row r="4012" spans="3:11" x14ac:dyDescent="0.25">
      <c r="C4012" s="108"/>
      <c r="D4012" s="217"/>
      <c r="E4012" s="217"/>
      <c r="F4012" s="104"/>
      <c r="G4012" s="108"/>
      <c r="J4012" s="174"/>
      <c r="K4012" s="4"/>
    </row>
    <row r="4013" spans="3:11" x14ac:dyDescent="0.25">
      <c r="C4013" s="108"/>
      <c r="D4013" s="217"/>
      <c r="E4013" s="217"/>
      <c r="F4013" s="104"/>
      <c r="G4013" s="108"/>
      <c r="J4013" s="174"/>
      <c r="K4013" s="4"/>
    </row>
    <row r="4014" spans="3:11" x14ac:dyDescent="0.25">
      <c r="C4014" s="108"/>
      <c r="D4014" s="217"/>
      <c r="E4014" s="217"/>
      <c r="F4014" s="104"/>
      <c r="G4014" s="108"/>
      <c r="J4014" s="174"/>
      <c r="K4014" s="4"/>
    </row>
    <row r="4015" spans="3:11" x14ac:dyDescent="0.25">
      <c r="C4015" s="108"/>
      <c r="D4015" s="217"/>
      <c r="E4015" s="217"/>
      <c r="F4015" s="104"/>
      <c r="G4015" s="108"/>
      <c r="J4015" s="174"/>
      <c r="K4015" s="4"/>
    </row>
    <row r="4016" spans="3:11" x14ac:dyDescent="0.25">
      <c r="C4016" s="108"/>
      <c r="D4016" s="217"/>
      <c r="E4016" s="217"/>
      <c r="F4016" s="104"/>
      <c r="G4016" s="108"/>
      <c r="J4016" s="174"/>
      <c r="K4016" s="4"/>
    </row>
    <row r="4017" spans="3:11" x14ac:dyDescent="0.25">
      <c r="C4017" s="108"/>
      <c r="D4017" s="217"/>
      <c r="E4017" s="217"/>
      <c r="F4017" s="104"/>
      <c r="G4017" s="108"/>
      <c r="J4017" s="174"/>
      <c r="K4017" s="4"/>
    </row>
    <row r="4018" spans="3:11" x14ac:dyDescent="0.25">
      <c r="C4018" s="108"/>
      <c r="D4018" s="217"/>
      <c r="E4018" s="217"/>
      <c r="F4018" s="104"/>
      <c r="G4018" s="108"/>
      <c r="J4018" s="174"/>
      <c r="K4018" s="4"/>
    </row>
    <row r="4019" spans="3:11" x14ac:dyDescent="0.25">
      <c r="C4019" s="108"/>
      <c r="D4019" s="217"/>
      <c r="E4019" s="217"/>
      <c r="F4019" s="104"/>
      <c r="G4019" s="108"/>
      <c r="J4019" s="174"/>
      <c r="K4019" s="4"/>
    </row>
    <row r="4020" spans="3:11" x14ac:dyDescent="0.25">
      <c r="C4020" s="108"/>
      <c r="D4020" s="217"/>
      <c r="E4020" s="217"/>
      <c r="F4020" s="104"/>
      <c r="G4020" s="108"/>
      <c r="J4020" s="174"/>
      <c r="K4020" s="4"/>
    </row>
    <row r="4021" spans="3:11" x14ac:dyDescent="0.25">
      <c r="C4021" s="108"/>
      <c r="D4021" s="217"/>
      <c r="E4021" s="217"/>
      <c r="F4021" s="104"/>
      <c r="G4021" s="108"/>
      <c r="J4021" s="174"/>
      <c r="K4021" s="4"/>
    </row>
    <row r="4022" spans="3:11" x14ac:dyDescent="0.25">
      <c r="C4022" s="108"/>
      <c r="D4022" s="217"/>
      <c r="E4022" s="217"/>
      <c r="F4022" s="104"/>
      <c r="G4022" s="108"/>
      <c r="J4022" s="174"/>
      <c r="K4022" s="4"/>
    </row>
    <row r="4023" spans="3:11" x14ac:dyDescent="0.25">
      <c r="C4023" s="108"/>
      <c r="D4023" s="217"/>
      <c r="E4023" s="217"/>
      <c r="F4023" s="104"/>
      <c r="G4023" s="108"/>
      <c r="J4023" s="174"/>
      <c r="K4023" s="4"/>
    </row>
    <row r="4024" spans="3:11" x14ac:dyDescent="0.25">
      <c r="C4024" s="108"/>
      <c r="D4024" s="217"/>
      <c r="E4024" s="217"/>
      <c r="F4024" s="104"/>
      <c r="G4024" s="108"/>
      <c r="J4024" s="174"/>
      <c r="K4024" s="4"/>
    </row>
    <row r="4025" spans="3:11" x14ac:dyDescent="0.25">
      <c r="C4025" s="108"/>
      <c r="D4025" s="217"/>
      <c r="E4025" s="217"/>
      <c r="F4025" s="104"/>
      <c r="G4025" s="108"/>
      <c r="J4025" s="174"/>
      <c r="K4025" s="4"/>
    </row>
    <row r="4026" spans="3:11" x14ac:dyDescent="0.25">
      <c r="C4026" s="108"/>
      <c r="D4026" s="217"/>
      <c r="E4026" s="217"/>
      <c r="F4026" s="104"/>
      <c r="G4026" s="108"/>
      <c r="J4026" s="174"/>
      <c r="K4026" s="4"/>
    </row>
    <row r="4027" spans="3:11" x14ac:dyDescent="0.25">
      <c r="C4027" s="108"/>
      <c r="D4027" s="217"/>
      <c r="E4027" s="217"/>
      <c r="F4027" s="104"/>
      <c r="G4027" s="108"/>
      <c r="J4027" s="174"/>
      <c r="K4027" s="4"/>
    </row>
    <row r="4028" spans="3:11" x14ac:dyDescent="0.25">
      <c r="C4028" s="108"/>
      <c r="D4028" s="217"/>
      <c r="E4028" s="217"/>
      <c r="F4028" s="104"/>
      <c r="G4028" s="108"/>
      <c r="J4028" s="174"/>
      <c r="K4028" s="4"/>
    </row>
    <row r="4029" spans="3:11" x14ac:dyDescent="0.25">
      <c r="C4029" s="108"/>
      <c r="D4029" s="217"/>
      <c r="E4029" s="217"/>
      <c r="F4029" s="104"/>
      <c r="G4029" s="108"/>
      <c r="J4029" s="174"/>
      <c r="K4029" s="4"/>
    </row>
    <row r="4030" spans="3:11" x14ac:dyDescent="0.25">
      <c r="C4030" s="108"/>
      <c r="D4030" s="217"/>
      <c r="E4030" s="217"/>
      <c r="F4030" s="104"/>
      <c r="G4030" s="108"/>
      <c r="J4030" s="174"/>
      <c r="K4030" s="4"/>
    </row>
    <row r="4031" spans="3:11" x14ac:dyDescent="0.25">
      <c r="C4031" s="108"/>
      <c r="D4031" s="217"/>
      <c r="E4031" s="217"/>
      <c r="F4031" s="104"/>
      <c r="G4031" s="108"/>
      <c r="J4031" s="174"/>
      <c r="K4031" s="4"/>
    </row>
    <row r="4032" spans="3:11" x14ac:dyDescent="0.25">
      <c r="C4032" s="108"/>
      <c r="D4032" s="217"/>
      <c r="E4032" s="217"/>
      <c r="F4032" s="104"/>
      <c r="G4032" s="108"/>
      <c r="J4032" s="174"/>
      <c r="K4032" s="4"/>
    </row>
    <row r="4033" spans="3:11" x14ac:dyDescent="0.25">
      <c r="C4033" s="108"/>
      <c r="D4033" s="217"/>
      <c r="E4033" s="217"/>
      <c r="F4033" s="104"/>
      <c r="G4033" s="108"/>
      <c r="J4033" s="174"/>
      <c r="K4033" s="4"/>
    </row>
    <row r="4034" spans="3:11" x14ac:dyDescent="0.25">
      <c r="C4034" s="108"/>
      <c r="D4034" s="217"/>
      <c r="E4034" s="217"/>
      <c r="F4034" s="104"/>
      <c r="G4034" s="108"/>
      <c r="J4034" s="174"/>
      <c r="K4034" s="4"/>
    </row>
    <row r="4035" spans="3:11" x14ac:dyDescent="0.25">
      <c r="C4035" s="108"/>
      <c r="D4035" s="217"/>
      <c r="E4035" s="217"/>
      <c r="F4035" s="104"/>
      <c r="G4035" s="108"/>
      <c r="J4035" s="174"/>
      <c r="K4035" s="4"/>
    </row>
    <row r="4036" spans="3:11" x14ac:dyDescent="0.25">
      <c r="C4036" s="108"/>
      <c r="D4036" s="217"/>
      <c r="E4036" s="217"/>
      <c r="F4036" s="104"/>
      <c r="G4036" s="108"/>
      <c r="J4036" s="174"/>
      <c r="K4036" s="4"/>
    </row>
    <row r="4037" spans="3:11" x14ac:dyDescent="0.25">
      <c r="C4037" s="108"/>
      <c r="D4037" s="217"/>
      <c r="E4037" s="217"/>
      <c r="F4037" s="104"/>
      <c r="G4037" s="108"/>
      <c r="J4037" s="174"/>
      <c r="K4037" s="4"/>
    </row>
    <row r="4038" spans="3:11" x14ac:dyDescent="0.25">
      <c r="C4038" s="108"/>
      <c r="D4038" s="217"/>
      <c r="E4038" s="217"/>
      <c r="F4038" s="104"/>
      <c r="G4038" s="108"/>
      <c r="J4038" s="174"/>
      <c r="K4038" s="4"/>
    </row>
    <row r="4039" spans="3:11" x14ac:dyDescent="0.25">
      <c r="C4039" s="108"/>
      <c r="D4039" s="217"/>
      <c r="E4039" s="217"/>
      <c r="F4039" s="104"/>
      <c r="G4039" s="108"/>
      <c r="J4039" s="174"/>
      <c r="K4039" s="4"/>
    </row>
    <row r="4040" spans="3:11" x14ac:dyDescent="0.25">
      <c r="C4040" s="108"/>
      <c r="D4040" s="217"/>
      <c r="E4040" s="217"/>
      <c r="F4040" s="104"/>
      <c r="G4040" s="108"/>
      <c r="J4040" s="174"/>
      <c r="K4040" s="4"/>
    </row>
    <row r="4041" spans="3:11" x14ac:dyDescent="0.25">
      <c r="C4041" s="108"/>
      <c r="D4041" s="217"/>
      <c r="E4041" s="217"/>
      <c r="F4041" s="104"/>
      <c r="G4041" s="108"/>
      <c r="J4041" s="174"/>
      <c r="K4041" s="4"/>
    </row>
    <row r="4042" spans="3:11" x14ac:dyDescent="0.25">
      <c r="C4042" s="108"/>
      <c r="D4042" s="217"/>
      <c r="E4042" s="217"/>
      <c r="F4042" s="104"/>
      <c r="G4042" s="108"/>
      <c r="J4042" s="174"/>
      <c r="K4042" s="4"/>
    </row>
    <row r="4043" spans="3:11" x14ac:dyDescent="0.25">
      <c r="C4043" s="108"/>
      <c r="D4043" s="217"/>
      <c r="E4043" s="217"/>
      <c r="F4043" s="104"/>
      <c r="G4043" s="108"/>
      <c r="J4043" s="174"/>
      <c r="K4043" s="4"/>
    </row>
    <row r="4044" spans="3:11" x14ac:dyDescent="0.25">
      <c r="C4044" s="108"/>
      <c r="D4044" s="217"/>
      <c r="E4044" s="217"/>
      <c r="F4044" s="104"/>
      <c r="G4044" s="108"/>
      <c r="J4044" s="174"/>
      <c r="K4044" s="4"/>
    </row>
    <row r="4045" spans="3:11" x14ac:dyDescent="0.25">
      <c r="C4045" s="108"/>
      <c r="D4045" s="217"/>
      <c r="E4045" s="217"/>
      <c r="F4045" s="104"/>
      <c r="G4045" s="108"/>
      <c r="J4045" s="174"/>
      <c r="K4045" s="4"/>
    </row>
    <row r="4046" spans="3:11" x14ac:dyDescent="0.25">
      <c r="C4046" s="108"/>
      <c r="D4046" s="217"/>
      <c r="E4046" s="217"/>
      <c r="F4046" s="104"/>
      <c r="G4046" s="108"/>
      <c r="J4046" s="174"/>
      <c r="K4046" s="4"/>
    </row>
    <row r="4047" spans="3:11" x14ac:dyDescent="0.25">
      <c r="C4047" s="108"/>
      <c r="D4047" s="217"/>
      <c r="E4047" s="217"/>
      <c r="F4047" s="104"/>
      <c r="G4047" s="108"/>
      <c r="J4047" s="174"/>
      <c r="K4047" s="4"/>
    </row>
    <row r="4048" spans="3:11" x14ac:dyDescent="0.25">
      <c r="C4048" s="108"/>
      <c r="D4048" s="217"/>
      <c r="E4048" s="217"/>
      <c r="F4048" s="104"/>
      <c r="G4048" s="108"/>
      <c r="J4048" s="174"/>
      <c r="K4048" s="4"/>
    </row>
    <row r="4049" spans="3:11" x14ac:dyDescent="0.25">
      <c r="C4049" s="108"/>
      <c r="D4049" s="217"/>
      <c r="E4049" s="217"/>
      <c r="F4049" s="104"/>
      <c r="G4049" s="108"/>
      <c r="J4049" s="174"/>
      <c r="K4049" s="4"/>
    </row>
    <row r="4050" spans="3:11" x14ac:dyDescent="0.25">
      <c r="C4050" s="108"/>
      <c r="D4050" s="217"/>
      <c r="E4050" s="217"/>
      <c r="F4050" s="104"/>
      <c r="G4050" s="108"/>
      <c r="J4050" s="174"/>
      <c r="K4050" s="4"/>
    </row>
    <row r="4051" spans="3:11" x14ac:dyDescent="0.25">
      <c r="C4051" s="108"/>
      <c r="D4051" s="217"/>
      <c r="E4051" s="217"/>
      <c r="F4051" s="104"/>
      <c r="G4051" s="108"/>
      <c r="J4051" s="174"/>
      <c r="K4051" s="4"/>
    </row>
    <row r="4052" spans="3:11" x14ac:dyDescent="0.25">
      <c r="C4052" s="108"/>
      <c r="D4052" s="217"/>
      <c r="E4052" s="217"/>
      <c r="F4052" s="104"/>
      <c r="G4052" s="108"/>
      <c r="J4052" s="174"/>
      <c r="K4052" s="4"/>
    </row>
    <row r="4053" spans="3:11" x14ac:dyDescent="0.25">
      <c r="C4053" s="108"/>
      <c r="D4053" s="217"/>
      <c r="E4053" s="217"/>
      <c r="F4053" s="104"/>
      <c r="G4053" s="108"/>
      <c r="J4053" s="174"/>
      <c r="K4053" s="4"/>
    </row>
    <row r="4054" spans="3:11" x14ac:dyDescent="0.25">
      <c r="C4054" s="108"/>
      <c r="D4054" s="217"/>
      <c r="E4054" s="217"/>
      <c r="F4054" s="104"/>
      <c r="G4054" s="108"/>
      <c r="J4054" s="174"/>
      <c r="K4054" s="4"/>
    </row>
    <row r="4055" spans="3:11" x14ac:dyDescent="0.25">
      <c r="C4055" s="108"/>
      <c r="D4055" s="217"/>
      <c r="E4055" s="217"/>
      <c r="F4055" s="104"/>
      <c r="G4055" s="108"/>
      <c r="J4055" s="174"/>
      <c r="K4055" s="4"/>
    </row>
    <row r="4056" spans="3:11" x14ac:dyDescent="0.25">
      <c r="C4056" s="108"/>
      <c r="D4056" s="217"/>
      <c r="E4056" s="217"/>
      <c r="F4056" s="104"/>
      <c r="G4056" s="108"/>
      <c r="J4056" s="174"/>
      <c r="K4056" s="4"/>
    </row>
    <row r="4057" spans="3:11" x14ac:dyDescent="0.25">
      <c r="C4057" s="108"/>
      <c r="D4057" s="217"/>
      <c r="E4057" s="217"/>
      <c r="F4057" s="104"/>
      <c r="G4057" s="108"/>
      <c r="J4057" s="174"/>
      <c r="K4057" s="4"/>
    </row>
    <row r="4058" spans="3:11" x14ac:dyDescent="0.25">
      <c r="C4058" s="108"/>
      <c r="D4058" s="217"/>
      <c r="E4058" s="217"/>
      <c r="F4058" s="104"/>
      <c r="G4058" s="108"/>
      <c r="J4058" s="174"/>
      <c r="K4058" s="4"/>
    </row>
    <row r="4059" spans="3:11" x14ac:dyDescent="0.25">
      <c r="C4059" s="108"/>
      <c r="D4059" s="217"/>
      <c r="E4059" s="217"/>
      <c r="F4059" s="104"/>
      <c r="G4059" s="108"/>
      <c r="J4059" s="174"/>
      <c r="K4059" s="4"/>
    </row>
    <row r="4060" spans="3:11" x14ac:dyDescent="0.25">
      <c r="C4060" s="108"/>
      <c r="D4060" s="217"/>
      <c r="E4060" s="217"/>
      <c r="F4060" s="104"/>
      <c r="G4060" s="108"/>
      <c r="J4060" s="174"/>
      <c r="K4060" s="4"/>
    </row>
    <row r="4061" spans="3:11" x14ac:dyDescent="0.25">
      <c r="C4061" s="108"/>
      <c r="D4061" s="217"/>
      <c r="E4061" s="217"/>
      <c r="F4061" s="104"/>
      <c r="G4061" s="108"/>
      <c r="J4061" s="174"/>
      <c r="K4061" s="4"/>
    </row>
    <row r="4062" spans="3:11" x14ac:dyDescent="0.25">
      <c r="C4062" s="108"/>
      <c r="D4062" s="217"/>
      <c r="E4062" s="217"/>
      <c r="F4062" s="104"/>
      <c r="G4062" s="108"/>
      <c r="J4062" s="174"/>
      <c r="K4062" s="4"/>
    </row>
    <row r="4063" spans="3:11" x14ac:dyDescent="0.25">
      <c r="C4063" s="108"/>
      <c r="D4063" s="217"/>
      <c r="E4063" s="217"/>
      <c r="F4063" s="104"/>
      <c r="G4063" s="108"/>
      <c r="J4063" s="174"/>
      <c r="K4063" s="4"/>
    </row>
    <row r="4064" spans="3:11" x14ac:dyDescent="0.25">
      <c r="C4064" s="108"/>
      <c r="D4064" s="217"/>
      <c r="E4064" s="217"/>
      <c r="F4064" s="104"/>
      <c r="G4064" s="108"/>
      <c r="J4064" s="174"/>
      <c r="K4064" s="4"/>
    </row>
    <row r="4065" spans="3:11" x14ac:dyDescent="0.25">
      <c r="C4065" s="108"/>
      <c r="D4065" s="217"/>
      <c r="E4065" s="217"/>
      <c r="F4065" s="104"/>
      <c r="G4065" s="108"/>
      <c r="J4065" s="174"/>
      <c r="K4065" s="4"/>
    </row>
    <row r="4066" spans="3:11" x14ac:dyDescent="0.25">
      <c r="C4066" s="108"/>
      <c r="D4066" s="217"/>
      <c r="E4066" s="217"/>
      <c r="F4066" s="104"/>
      <c r="G4066" s="108"/>
      <c r="J4066" s="174"/>
      <c r="K4066" s="4"/>
    </row>
    <row r="4067" spans="3:11" x14ac:dyDescent="0.25">
      <c r="C4067" s="108"/>
      <c r="D4067" s="217"/>
      <c r="E4067" s="217"/>
      <c r="F4067" s="104"/>
      <c r="G4067" s="108"/>
      <c r="J4067" s="174"/>
      <c r="K4067" s="4"/>
    </row>
    <row r="4068" spans="3:11" x14ac:dyDescent="0.25">
      <c r="C4068" s="108"/>
      <c r="D4068" s="217"/>
      <c r="E4068" s="217"/>
      <c r="F4068" s="104"/>
      <c r="G4068" s="108"/>
      <c r="J4068" s="174"/>
      <c r="K4068" s="4"/>
    </row>
    <row r="4069" spans="3:11" x14ac:dyDescent="0.25">
      <c r="C4069" s="108"/>
      <c r="D4069" s="217"/>
      <c r="E4069" s="217"/>
      <c r="F4069" s="104"/>
      <c r="G4069" s="108"/>
      <c r="J4069" s="174"/>
      <c r="K4069" s="4"/>
    </row>
    <row r="4070" spans="3:11" x14ac:dyDescent="0.25">
      <c r="C4070" s="108"/>
      <c r="D4070" s="217"/>
      <c r="E4070" s="217"/>
      <c r="F4070" s="104"/>
      <c r="G4070" s="108"/>
      <c r="J4070" s="174"/>
      <c r="K4070" s="4"/>
    </row>
    <row r="4071" spans="3:11" x14ac:dyDescent="0.25">
      <c r="C4071" s="108"/>
      <c r="D4071" s="217"/>
      <c r="E4071" s="217"/>
      <c r="F4071" s="104"/>
      <c r="G4071" s="108"/>
      <c r="J4071" s="174"/>
      <c r="K4071" s="4"/>
    </row>
    <row r="4072" spans="3:11" x14ac:dyDescent="0.25">
      <c r="C4072" s="108"/>
      <c r="D4072" s="217"/>
      <c r="E4072" s="217"/>
      <c r="F4072" s="104"/>
      <c r="G4072" s="108"/>
      <c r="J4072" s="174"/>
      <c r="K4072" s="4"/>
    </row>
    <row r="4073" spans="3:11" x14ac:dyDescent="0.25">
      <c r="C4073" s="108"/>
      <c r="D4073" s="217"/>
      <c r="E4073" s="217"/>
      <c r="F4073" s="104"/>
      <c r="G4073" s="108"/>
      <c r="J4073" s="174"/>
      <c r="K4073" s="4"/>
    </row>
    <row r="4074" spans="3:11" x14ac:dyDescent="0.25">
      <c r="C4074" s="108"/>
      <c r="D4074" s="217"/>
      <c r="E4074" s="217"/>
      <c r="F4074" s="104"/>
      <c r="G4074" s="108"/>
      <c r="J4074" s="174"/>
      <c r="K4074" s="4"/>
    </row>
    <row r="4075" spans="3:11" x14ac:dyDescent="0.25">
      <c r="C4075" s="108"/>
      <c r="D4075" s="217"/>
      <c r="E4075" s="217"/>
      <c r="F4075" s="104"/>
      <c r="G4075" s="108"/>
      <c r="J4075" s="174"/>
      <c r="K4075" s="4"/>
    </row>
    <row r="4076" spans="3:11" x14ac:dyDescent="0.25">
      <c r="C4076" s="108"/>
      <c r="D4076" s="217"/>
      <c r="E4076" s="217"/>
      <c r="F4076" s="104"/>
      <c r="G4076" s="108"/>
      <c r="J4076" s="174"/>
      <c r="K4076" s="4"/>
    </row>
    <row r="4077" spans="3:11" x14ac:dyDescent="0.25">
      <c r="C4077" s="108"/>
      <c r="D4077" s="217"/>
      <c r="E4077" s="217"/>
      <c r="F4077" s="104"/>
      <c r="G4077" s="108"/>
      <c r="J4077" s="174"/>
      <c r="K4077" s="4"/>
    </row>
    <row r="4078" spans="3:11" x14ac:dyDescent="0.25">
      <c r="C4078" s="108"/>
      <c r="D4078" s="217"/>
      <c r="E4078" s="217"/>
      <c r="F4078" s="104"/>
      <c r="G4078" s="108"/>
      <c r="J4078" s="174"/>
      <c r="K4078" s="4"/>
    </row>
    <row r="4079" spans="3:11" x14ac:dyDescent="0.25">
      <c r="C4079" s="108"/>
      <c r="D4079" s="217"/>
      <c r="E4079" s="217"/>
      <c r="F4079" s="104"/>
      <c r="G4079" s="108"/>
      <c r="J4079" s="174"/>
      <c r="K4079" s="4"/>
    </row>
    <row r="4080" spans="3:11" x14ac:dyDescent="0.25">
      <c r="C4080" s="108"/>
      <c r="D4080" s="217"/>
      <c r="E4080" s="217"/>
      <c r="F4080" s="104"/>
      <c r="G4080" s="108"/>
      <c r="J4080" s="174"/>
      <c r="K4080" s="4"/>
    </row>
    <row r="4081" spans="3:11" x14ac:dyDescent="0.25">
      <c r="C4081" s="108"/>
      <c r="D4081" s="217"/>
      <c r="E4081" s="217"/>
      <c r="F4081" s="104"/>
      <c r="G4081" s="108"/>
      <c r="J4081" s="174"/>
      <c r="K4081" s="4"/>
    </row>
    <row r="4082" spans="3:11" x14ac:dyDescent="0.25">
      <c r="C4082" s="108"/>
      <c r="D4082" s="217"/>
      <c r="E4082" s="217"/>
      <c r="F4082" s="104"/>
      <c r="G4082" s="108"/>
      <c r="J4082" s="174"/>
      <c r="K4082" s="4"/>
    </row>
    <row r="4083" spans="3:11" x14ac:dyDescent="0.25">
      <c r="C4083" s="108"/>
      <c r="D4083" s="217"/>
      <c r="E4083" s="217"/>
      <c r="F4083" s="104"/>
      <c r="G4083" s="108"/>
      <c r="J4083" s="174"/>
      <c r="K4083" s="4"/>
    </row>
    <row r="4084" spans="3:11" x14ac:dyDescent="0.25">
      <c r="C4084" s="108"/>
      <c r="D4084" s="217"/>
      <c r="E4084" s="217"/>
      <c r="F4084" s="104"/>
      <c r="G4084" s="108"/>
      <c r="J4084" s="174"/>
      <c r="K4084" s="4"/>
    </row>
    <row r="4085" spans="3:11" x14ac:dyDescent="0.25">
      <c r="C4085" s="108"/>
      <c r="D4085" s="217"/>
      <c r="E4085" s="217"/>
      <c r="F4085" s="104"/>
      <c r="G4085" s="108"/>
      <c r="J4085" s="174"/>
      <c r="K4085" s="4"/>
    </row>
    <row r="4086" spans="3:11" x14ac:dyDescent="0.25">
      <c r="C4086" s="108"/>
      <c r="D4086" s="217"/>
      <c r="E4086" s="217"/>
      <c r="F4086" s="104"/>
      <c r="G4086" s="108"/>
      <c r="J4086" s="174"/>
      <c r="K4086" s="4"/>
    </row>
    <row r="4087" spans="3:11" x14ac:dyDescent="0.25">
      <c r="C4087" s="108"/>
      <c r="D4087" s="217"/>
      <c r="E4087" s="217"/>
      <c r="F4087" s="104"/>
      <c r="G4087" s="108"/>
      <c r="J4087" s="174"/>
      <c r="K4087" s="4"/>
    </row>
    <row r="4088" spans="3:11" x14ac:dyDescent="0.25">
      <c r="C4088" s="108"/>
      <c r="D4088" s="217"/>
      <c r="E4088" s="217"/>
      <c r="F4088" s="104"/>
      <c r="G4088" s="108"/>
      <c r="J4088" s="174"/>
      <c r="K4088" s="4"/>
    </row>
    <row r="4089" spans="3:11" x14ac:dyDescent="0.25">
      <c r="C4089" s="108"/>
      <c r="D4089" s="217"/>
      <c r="E4089" s="217"/>
      <c r="F4089" s="104"/>
      <c r="G4089" s="108"/>
      <c r="J4089" s="174"/>
      <c r="K4089" s="4"/>
    </row>
    <row r="4090" spans="3:11" x14ac:dyDescent="0.25">
      <c r="C4090" s="108"/>
      <c r="D4090" s="217"/>
      <c r="E4090" s="217"/>
      <c r="F4090" s="104"/>
      <c r="G4090" s="108"/>
      <c r="J4090" s="174"/>
      <c r="K4090" s="4"/>
    </row>
    <row r="4091" spans="3:11" x14ac:dyDescent="0.25">
      <c r="C4091" s="108"/>
      <c r="D4091" s="217"/>
      <c r="E4091" s="217"/>
      <c r="F4091" s="104"/>
      <c r="G4091" s="108"/>
      <c r="J4091" s="174"/>
      <c r="K4091" s="4"/>
    </row>
    <row r="4092" spans="3:11" x14ac:dyDescent="0.25">
      <c r="C4092" s="108"/>
      <c r="D4092" s="217"/>
      <c r="E4092" s="217"/>
      <c r="F4092" s="104"/>
      <c r="G4092" s="108"/>
      <c r="J4092" s="174"/>
      <c r="K4092" s="4"/>
    </row>
    <row r="4093" spans="3:11" x14ac:dyDescent="0.25">
      <c r="C4093" s="108"/>
      <c r="D4093" s="217"/>
      <c r="E4093" s="217"/>
      <c r="F4093" s="104"/>
      <c r="G4093" s="108"/>
      <c r="J4093" s="174"/>
      <c r="K4093" s="4"/>
    </row>
    <row r="4094" spans="3:11" x14ac:dyDescent="0.25">
      <c r="C4094" s="108"/>
      <c r="D4094" s="217"/>
      <c r="E4094" s="217"/>
      <c r="F4094" s="104"/>
      <c r="G4094" s="108"/>
      <c r="J4094" s="174"/>
      <c r="K4094" s="4"/>
    </row>
    <row r="4095" spans="3:11" x14ac:dyDescent="0.25">
      <c r="C4095" s="108"/>
      <c r="D4095" s="217"/>
      <c r="E4095" s="217"/>
      <c r="F4095" s="104"/>
      <c r="G4095" s="108"/>
      <c r="J4095" s="174"/>
      <c r="K4095" s="4"/>
    </row>
    <row r="4096" spans="3:11" x14ac:dyDescent="0.25">
      <c r="C4096" s="108"/>
      <c r="D4096" s="217"/>
      <c r="E4096" s="217"/>
      <c r="F4096" s="104"/>
      <c r="G4096" s="108"/>
      <c r="J4096" s="174"/>
      <c r="K4096" s="4"/>
    </row>
    <row r="4097" spans="3:11" x14ac:dyDescent="0.25">
      <c r="C4097" s="108"/>
      <c r="D4097" s="217"/>
      <c r="E4097" s="217"/>
      <c r="F4097" s="104"/>
      <c r="G4097" s="108"/>
      <c r="J4097" s="174"/>
      <c r="K4097" s="4"/>
    </row>
    <row r="4098" spans="3:11" x14ac:dyDescent="0.25">
      <c r="C4098" s="108"/>
      <c r="D4098" s="217"/>
      <c r="E4098" s="217"/>
      <c r="F4098" s="104"/>
      <c r="G4098" s="108"/>
      <c r="J4098" s="174"/>
      <c r="K4098" s="4"/>
    </row>
    <row r="4099" spans="3:11" x14ac:dyDescent="0.25">
      <c r="C4099" s="108"/>
      <c r="D4099" s="217"/>
      <c r="E4099" s="217"/>
      <c r="F4099" s="104"/>
      <c r="G4099" s="108"/>
      <c r="J4099" s="174"/>
      <c r="K4099" s="4"/>
    </row>
    <row r="4100" spans="3:11" x14ac:dyDescent="0.25">
      <c r="C4100" s="108"/>
      <c r="D4100" s="217"/>
      <c r="E4100" s="217"/>
      <c r="F4100" s="104"/>
      <c r="G4100" s="108"/>
      <c r="J4100" s="174"/>
      <c r="K4100" s="4"/>
    </row>
    <row r="4101" spans="3:11" x14ac:dyDescent="0.25">
      <c r="C4101" s="108"/>
      <c r="D4101" s="217"/>
      <c r="E4101" s="217"/>
      <c r="F4101" s="104"/>
      <c r="G4101" s="108"/>
      <c r="J4101" s="174"/>
      <c r="K4101" s="4"/>
    </row>
    <row r="4102" spans="3:11" x14ac:dyDescent="0.25">
      <c r="C4102" s="108"/>
      <c r="D4102" s="217"/>
      <c r="E4102" s="217"/>
      <c r="F4102" s="104"/>
      <c r="G4102" s="108"/>
      <c r="J4102" s="174"/>
      <c r="K4102" s="4"/>
    </row>
    <row r="4103" spans="3:11" x14ac:dyDescent="0.25">
      <c r="C4103" s="108"/>
      <c r="D4103" s="217"/>
      <c r="E4103" s="217"/>
      <c r="F4103" s="104"/>
      <c r="G4103" s="108"/>
      <c r="J4103" s="174"/>
      <c r="K4103" s="4"/>
    </row>
    <row r="4104" spans="3:11" x14ac:dyDescent="0.25">
      <c r="C4104" s="108"/>
      <c r="D4104" s="217"/>
      <c r="E4104" s="217"/>
      <c r="F4104" s="104"/>
      <c r="G4104" s="108"/>
      <c r="J4104" s="174"/>
      <c r="K4104" s="4"/>
    </row>
    <row r="4105" spans="3:11" x14ac:dyDescent="0.25">
      <c r="C4105" s="108"/>
      <c r="D4105" s="217"/>
      <c r="E4105" s="217"/>
      <c r="F4105" s="104"/>
      <c r="G4105" s="108"/>
      <c r="J4105" s="174"/>
      <c r="K4105" s="4"/>
    </row>
    <row r="4106" spans="3:11" x14ac:dyDescent="0.25">
      <c r="C4106" s="108"/>
      <c r="D4106" s="217"/>
      <c r="E4106" s="217"/>
      <c r="F4106" s="104"/>
      <c r="G4106" s="108"/>
      <c r="J4106" s="174"/>
      <c r="K4106" s="4"/>
    </row>
    <row r="4107" spans="3:11" x14ac:dyDescent="0.25">
      <c r="C4107" s="108"/>
      <c r="D4107" s="217"/>
      <c r="E4107" s="217"/>
      <c r="F4107" s="104"/>
      <c r="G4107" s="108"/>
      <c r="J4107" s="174"/>
      <c r="K4107" s="4"/>
    </row>
    <row r="4108" spans="3:11" x14ac:dyDescent="0.25">
      <c r="C4108" s="108"/>
      <c r="D4108" s="217"/>
      <c r="E4108" s="217"/>
      <c r="F4108" s="104"/>
      <c r="G4108" s="108"/>
      <c r="J4108" s="174"/>
      <c r="K4108" s="4"/>
    </row>
    <row r="4109" spans="3:11" x14ac:dyDescent="0.25">
      <c r="C4109" s="108"/>
      <c r="D4109" s="217"/>
      <c r="E4109" s="217"/>
      <c r="F4109" s="104"/>
      <c r="G4109" s="108"/>
      <c r="J4109" s="174"/>
      <c r="K4109" s="4"/>
    </row>
    <row r="4110" spans="3:11" x14ac:dyDescent="0.25">
      <c r="C4110" s="108"/>
      <c r="D4110" s="217"/>
      <c r="E4110" s="217"/>
      <c r="F4110" s="104"/>
      <c r="G4110" s="108"/>
      <c r="J4110" s="174"/>
      <c r="K4110" s="4"/>
    </row>
    <row r="4111" spans="3:11" x14ac:dyDescent="0.25">
      <c r="C4111" s="108"/>
      <c r="D4111" s="217"/>
      <c r="E4111" s="217"/>
      <c r="F4111" s="104"/>
      <c r="G4111" s="108"/>
      <c r="J4111" s="174"/>
      <c r="K4111" s="4"/>
    </row>
    <row r="4112" spans="3:11" x14ac:dyDescent="0.25">
      <c r="C4112" s="108"/>
      <c r="D4112" s="217"/>
      <c r="E4112" s="217"/>
      <c r="F4112" s="104"/>
      <c r="G4112" s="108"/>
      <c r="J4112" s="174"/>
      <c r="K4112" s="4"/>
    </row>
    <row r="4113" spans="3:11" x14ac:dyDescent="0.25">
      <c r="C4113" s="108"/>
      <c r="D4113" s="217"/>
      <c r="E4113" s="217"/>
      <c r="F4113" s="104"/>
      <c r="G4113" s="108"/>
      <c r="J4113" s="174"/>
      <c r="K4113" s="4"/>
    </row>
    <row r="4114" spans="3:11" x14ac:dyDescent="0.25">
      <c r="C4114" s="108"/>
      <c r="D4114" s="217"/>
      <c r="E4114" s="217"/>
      <c r="F4114" s="104"/>
      <c r="G4114" s="108"/>
      <c r="J4114" s="174"/>
      <c r="K4114" s="4"/>
    </row>
    <row r="4115" spans="3:11" x14ac:dyDescent="0.25">
      <c r="C4115" s="108"/>
      <c r="D4115" s="217"/>
      <c r="E4115" s="217"/>
      <c r="F4115" s="104"/>
      <c r="G4115" s="108"/>
      <c r="J4115" s="174"/>
      <c r="K4115" s="4"/>
    </row>
    <row r="4116" spans="3:11" x14ac:dyDescent="0.25">
      <c r="C4116" s="108"/>
      <c r="D4116" s="217"/>
      <c r="E4116" s="217"/>
      <c r="F4116" s="104"/>
      <c r="G4116" s="108"/>
      <c r="J4116" s="174"/>
      <c r="K4116" s="4"/>
    </row>
    <row r="4117" spans="3:11" x14ac:dyDescent="0.25">
      <c r="C4117" s="108"/>
      <c r="D4117" s="217"/>
      <c r="E4117" s="217"/>
      <c r="F4117" s="104"/>
      <c r="G4117" s="108"/>
      <c r="J4117" s="174"/>
      <c r="K4117" s="4"/>
    </row>
    <row r="4118" spans="3:11" x14ac:dyDescent="0.25">
      <c r="C4118" s="108"/>
      <c r="D4118" s="217"/>
      <c r="E4118" s="217"/>
      <c r="F4118" s="104"/>
      <c r="G4118" s="108"/>
      <c r="J4118" s="174"/>
      <c r="K4118" s="4"/>
    </row>
    <row r="4119" spans="3:11" x14ac:dyDescent="0.25">
      <c r="C4119" s="108"/>
      <c r="D4119" s="217"/>
      <c r="E4119" s="217"/>
      <c r="F4119" s="104"/>
      <c r="G4119" s="108"/>
      <c r="J4119" s="174"/>
      <c r="K4119" s="4"/>
    </row>
    <row r="4120" spans="3:11" x14ac:dyDescent="0.25">
      <c r="C4120" s="108"/>
      <c r="D4120" s="217"/>
      <c r="E4120" s="217"/>
      <c r="F4120" s="104"/>
      <c r="G4120" s="108"/>
      <c r="J4120" s="174"/>
      <c r="K4120" s="4"/>
    </row>
    <row r="4121" spans="3:11" x14ac:dyDescent="0.25">
      <c r="C4121" s="108"/>
      <c r="D4121" s="217"/>
      <c r="E4121" s="217"/>
      <c r="F4121" s="104"/>
      <c r="G4121" s="108"/>
      <c r="J4121" s="174"/>
      <c r="K4121" s="4"/>
    </row>
    <row r="4122" spans="3:11" x14ac:dyDescent="0.25">
      <c r="C4122" s="108"/>
      <c r="D4122" s="217"/>
      <c r="E4122" s="217"/>
      <c r="F4122" s="104"/>
      <c r="G4122" s="108"/>
      <c r="J4122" s="174"/>
      <c r="K4122" s="4"/>
    </row>
    <row r="4123" spans="3:11" x14ac:dyDescent="0.25">
      <c r="C4123" s="108"/>
      <c r="D4123" s="217"/>
      <c r="E4123" s="217"/>
      <c r="F4123" s="104"/>
      <c r="G4123" s="108"/>
      <c r="J4123" s="174"/>
      <c r="K4123" s="4"/>
    </row>
    <row r="4124" spans="3:11" x14ac:dyDescent="0.25">
      <c r="C4124" s="108"/>
      <c r="D4124" s="217"/>
      <c r="E4124" s="217"/>
      <c r="F4124" s="104"/>
      <c r="G4124" s="108"/>
      <c r="J4124" s="174"/>
      <c r="K4124" s="4"/>
    </row>
    <row r="4125" spans="3:11" x14ac:dyDescent="0.25">
      <c r="C4125" s="108"/>
      <c r="D4125" s="217"/>
      <c r="E4125" s="217"/>
      <c r="F4125" s="104"/>
      <c r="G4125" s="108"/>
      <c r="J4125" s="174"/>
      <c r="K4125" s="4"/>
    </row>
    <row r="4126" spans="3:11" x14ac:dyDescent="0.25">
      <c r="C4126" s="108"/>
      <c r="D4126" s="217"/>
      <c r="E4126" s="217"/>
      <c r="F4126" s="104"/>
      <c r="G4126" s="108"/>
      <c r="J4126" s="174"/>
      <c r="K4126" s="4"/>
    </row>
    <row r="4127" spans="3:11" x14ac:dyDescent="0.25">
      <c r="C4127" s="108"/>
      <c r="D4127" s="217"/>
      <c r="E4127" s="217"/>
      <c r="F4127" s="104"/>
      <c r="G4127" s="108"/>
      <c r="J4127" s="174"/>
      <c r="K4127" s="4"/>
    </row>
    <row r="4128" spans="3:11" x14ac:dyDescent="0.25">
      <c r="C4128" s="108"/>
      <c r="D4128" s="217"/>
      <c r="E4128" s="217"/>
      <c r="F4128" s="104"/>
      <c r="G4128" s="108"/>
      <c r="J4128" s="174"/>
      <c r="K4128" s="4"/>
    </row>
    <row r="4129" spans="3:11" x14ac:dyDescent="0.25">
      <c r="C4129" s="108"/>
      <c r="D4129" s="217"/>
      <c r="E4129" s="217"/>
      <c r="F4129" s="104"/>
      <c r="G4129" s="108"/>
      <c r="J4129" s="174"/>
      <c r="K4129" s="4"/>
    </row>
    <row r="4130" spans="3:11" x14ac:dyDescent="0.25">
      <c r="C4130" s="108"/>
      <c r="D4130" s="217"/>
      <c r="E4130" s="217"/>
      <c r="F4130" s="104"/>
      <c r="G4130" s="108"/>
      <c r="J4130" s="174"/>
      <c r="K4130" s="4"/>
    </row>
    <row r="4131" spans="3:11" x14ac:dyDescent="0.25">
      <c r="C4131" s="108"/>
      <c r="D4131" s="217"/>
      <c r="E4131" s="217"/>
      <c r="F4131" s="104"/>
      <c r="G4131" s="108"/>
      <c r="J4131" s="174"/>
      <c r="K4131" s="4"/>
    </row>
    <row r="4132" spans="3:11" x14ac:dyDescent="0.25">
      <c r="C4132" s="108"/>
      <c r="D4132" s="217"/>
      <c r="E4132" s="217"/>
      <c r="F4132" s="104"/>
      <c r="G4132" s="108"/>
      <c r="J4132" s="174"/>
      <c r="K4132" s="4"/>
    </row>
    <row r="4133" spans="3:11" x14ac:dyDescent="0.25">
      <c r="C4133" s="108"/>
      <c r="D4133" s="217"/>
      <c r="E4133" s="217"/>
      <c r="F4133" s="104"/>
      <c r="G4133" s="108"/>
      <c r="J4133" s="174"/>
      <c r="K4133" s="4"/>
    </row>
    <row r="4134" spans="3:11" x14ac:dyDescent="0.25">
      <c r="C4134" s="108"/>
      <c r="D4134" s="217"/>
      <c r="E4134" s="217"/>
      <c r="F4134" s="104"/>
      <c r="G4134" s="108"/>
      <c r="J4134" s="174"/>
      <c r="K4134" s="4"/>
    </row>
    <row r="4135" spans="3:11" x14ac:dyDescent="0.25">
      <c r="C4135" s="108"/>
      <c r="D4135" s="217"/>
      <c r="E4135" s="217"/>
      <c r="F4135" s="104"/>
      <c r="G4135" s="108"/>
      <c r="J4135" s="174"/>
      <c r="K4135" s="4"/>
    </row>
    <row r="4136" spans="3:11" x14ac:dyDescent="0.25">
      <c r="C4136" s="108"/>
      <c r="D4136" s="217"/>
      <c r="E4136" s="217"/>
      <c r="F4136" s="104"/>
      <c r="G4136" s="108"/>
      <c r="J4136" s="174"/>
      <c r="K4136" s="4"/>
    </row>
    <row r="4137" spans="3:11" x14ac:dyDescent="0.25">
      <c r="C4137" s="108"/>
      <c r="D4137" s="217"/>
      <c r="E4137" s="217"/>
      <c r="F4137" s="104"/>
      <c r="G4137" s="108"/>
      <c r="J4137" s="174"/>
      <c r="K4137" s="4"/>
    </row>
    <row r="4138" spans="3:11" x14ac:dyDescent="0.25">
      <c r="C4138" s="108"/>
      <c r="D4138" s="217"/>
      <c r="E4138" s="217"/>
      <c r="F4138" s="104"/>
      <c r="G4138" s="108"/>
      <c r="J4138" s="174"/>
      <c r="K4138" s="4"/>
    </row>
    <row r="4139" spans="3:11" x14ac:dyDescent="0.25">
      <c r="C4139" s="108"/>
      <c r="D4139" s="217"/>
      <c r="E4139" s="217"/>
      <c r="F4139" s="104"/>
      <c r="G4139" s="108"/>
      <c r="J4139" s="174"/>
      <c r="K4139" s="4"/>
    </row>
    <row r="4140" spans="3:11" x14ac:dyDescent="0.25">
      <c r="C4140" s="108"/>
      <c r="D4140" s="217"/>
      <c r="E4140" s="217"/>
      <c r="F4140" s="104"/>
      <c r="G4140" s="108"/>
      <c r="J4140" s="174"/>
      <c r="K4140" s="4"/>
    </row>
    <row r="4141" spans="3:11" x14ac:dyDescent="0.25">
      <c r="C4141" s="108"/>
      <c r="D4141" s="217"/>
      <c r="E4141" s="217"/>
      <c r="F4141" s="104"/>
      <c r="G4141" s="108"/>
      <c r="J4141" s="174"/>
      <c r="K4141" s="4"/>
    </row>
    <row r="4142" spans="3:11" x14ac:dyDescent="0.25">
      <c r="C4142" s="108"/>
      <c r="D4142" s="217"/>
      <c r="E4142" s="217"/>
      <c r="F4142" s="104"/>
      <c r="G4142" s="108"/>
      <c r="J4142" s="174"/>
      <c r="K4142" s="4"/>
    </row>
    <row r="4143" spans="3:11" x14ac:dyDescent="0.25">
      <c r="C4143" s="108"/>
      <c r="D4143" s="217"/>
      <c r="E4143" s="217"/>
      <c r="F4143" s="104"/>
      <c r="G4143" s="108"/>
      <c r="J4143" s="174"/>
      <c r="K4143" s="4"/>
    </row>
    <row r="4144" spans="3:11" x14ac:dyDescent="0.25">
      <c r="C4144" s="108"/>
      <c r="D4144" s="217"/>
      <c r="E4144" s="217"/>
      <c r="F4144" s="104"/>
      <c r="G4144" s="108"/>
      <c r="J4144" s="174"/>
      <c r="K4144" s="4"/>
    </row>
    <row r="4145" spans="3:11" x14ac:dyDescent="0.25">
      <c r="C4145" s="108"/>
      <c r="D4145" s="217"/>
      <c r="E4145" s="217"/>
      <c r="F4145" s="104"/>
      <c r="G4145" s="108"/>
      <c r="J4145" s="174"/>
      <c r="K4145" s="4"/>
    </row>
    <row r="4146" spans="3:11" x14ac:dyDescent="0.25">
      <c r="C4146" s="108"/>
      <c r="D4146" s="217"/>
      <c r="E4146" s="217"/>
      <c r="F4146" s="104"/>
      <c r="G4146" s="108"/>
      <c r="J4146" s="174"/>
      <c r="K4146" s="4"/>
    </row>
    <row r="4147" spans="3:11" x14ac:dyDescent="0.25">
      <c r="C4147" s="108"/>
      <c r="D4147" s="217"/>
      <c r="E4147" s="217"/>
      <c r="F4147" s="104"/>
      <c r="G4147" s="108"/>
      <c r="J4147" s="174"/>
      <c r="K4147" s="4"/>
    </row>
    <row r="4148" spans="3:11" x14ac:dyDescent="0.25">
      <c r="C4148" s="108"/>
      <c r="D4148" s="217"/>
      <c r="E4148" s="217"/>
      <c r="F4148" s="104"/>
      <c r="G4148" s="108"/>
      <c r="J4148" s="174"/>
      <c r="K4148" s="4"/>
    </row>
    <row r="4149" spans="3:11" x14ac:dyDescent="0.25">
      <c r="C4149" s="108"/>
      <c r="D4149" s="217"/>
      <c r="E4149" s="217"/>
      <c r="F4149" s="104"/>
      <c r="G4149" s="108"/>
      <c r="J4149" s="174"/>
      <c r="K4149" s="4"/>
    </row>
    <row r="4150" spans="3:11" x14ac:dyDescent="0.25">
      <c r="C4150" s="108"/>
      <c r="D4150" s="217"/>
      <c r="E4150" s="217"/>
      <c r="F4150" s="104"/>
      <c r="G4150" s="108"/>
      <c r="J4150" s="174"/>
      <c r="K4150" s="4"/>
    </row>
    <row r="4151" spans="3:11" x14ac:dyDescent="0.25">
      <c r="C4151" s="108"/>
      <c r="D4151" s="217"/>
      <c r="E4151" s="217"/>
      <c r="F4151" s="104"/>
      <c r="G4151" s="108"/>
      <c r="J4151" s="174"/>
      <c r="K4151" s="4"/>
    </row>
    <row r="4152" spans="3:11" x14ac:dyDescent="0.25">
      <c r="C4152" s="108"/>
      <c r="D4152" s="217"/>
      <c r="E4152" s="217"/>
      <c r="F4152" s="104"/>
      <c r="G4152" s="108"/>
      <c r="J4152" s="174"/>
      <c r="K4152" s="4"/>
    </row>
    <row r="4153" spans="3:11" x14ac:dyDescent="0.25">
      <c r="C4153" s="108"/>
      <c r="D4153" s="217"/>
      <c r="E4153" s="217"/>
      <c r="F4153" s="104"/>
      <c r="G4153" s="108"/>
      <c r="J4153" s="174"/>
      <c r="K4153" s="4"/>
    </row>
    <row r="4154" spans="3:11" x14ac:dyDescent="0.25">
      <c r="C4154" s="108"/>
      <c r="D4154" s="217"/>
      <c r="E4154" s="217"/>
      <c r="F4154" s="104"/>
      <c r="G4154" s="108"/>
      <c r="J4154" s="174"/>
      <c r="K4154" s="4"/>
    </row>
    <row r="4155" spans="3:11" x14ac:dyDescent="0.25">
      <c r="C4155" s="108"/>
      <c r="D4155" s="217"/>
      <c r="E4155" s="217"/>
      <c r="F4155" s="104"/>
      <c r="G4155" s="108"/>
      <c r="J4155" s="174"/>
      <c r="K4155" s="4"/>
    </row>
    <row r="4156" spans="3:11" x14ac:dyDescent="0.25">
      <c r="C4156" s="108"/>
      <c r="D4156" s="217"/>
      <c r="E4156" s="217"/>
      <c r="F4156" s="104"/>
      <c r="G4156" s="108"/>
      <c r="J4156" s="174"/>
      <c r="K4156" s="4"/>
    </row>
    <row r="4157" spans="3:11" x14ac:dyDescent="0.25">
      <c r="C4157" s="108"/>
      <c r="D4157" s="217"/>
      <c r="E4157" s="217"/>
      <c r="F4157" s="104"/>
      <c r="G4157" s="108"/>
      <c r="J4157" s="174"/>
      <c r="K4157" s="4"/>
    </row>
    <row r="4158" spans="3:11" x14ac:dyDescent="0.25">
      <c r="C4158" s="108"/>
      <c r="D4158" s="217"/>
      <c r="E4158" s="217"/>
      <c r="F4158" s="104"/>
      <c r="G4158" s="108"/>
      <c r="J4158" s="174"/>
      <c r="K4158" s="4"/>
    </row>
    <row r="4159" spans="3:11" x14ac:dyDescent="0.25">
      <c r="C4159" s="108"/>
      <c r="D4159" s="217"/>
      <c r="E4159" s="217"/>
      <c r="F4159" s="104"/>
      <c r="G4159" s="108"/>
      <c r="J4159" s="174"/>
      <c r="K4159" s="4"/>
    </row>
    <row r="4160" spans="3:11" x14ac:dyDescent="0.25">
      <c r="C4160" s="108"/>
      <c r="D4160" s="217"/>
      <c r="E4160" s="217"/>
      <c r="F4160" s="104"/>
      <c r="G4160" s="108"/>
      <c r="J4160" s="174"/>
      <c r="K4160" s="4"/>
    </row>
    <row r="4161" spans="3:11" x14ac:dyDescent="0.25">
      <c r="C4161" s="108"/>
      <c r="D4161" s="217"/>
      <c r="E4161" s="217"/>
      <c r="F4161" s="104"/>
      <c r="G4161" s="108"/>
      <c r="J4161" s="174"/>
      <c r="K4161" s="4"/>
    </row>
    <row r="4162" spans="3:11" x14ac:dyDescent="0.25">
      <c r="C4162" s="108"/>
      <c r="D4162" s="217"/>
      <c r="E4162" s="217"/>
      <c r="F4162" s="104"/>
      <c r="G4162" s="108"/>
      <c r="J4162" s="174"/>
      <c r="K4162" s="4"/>
    </row>
    <row r="4163" spans="3:11" x14ac:dyDescent="0.25">
      <c r="C4163" s="108"/>
      <c r="D4163" s="217"/>
      <c r="E4163" s="217"/>
      <c r="F4163" s="104"/>
      <c r="G4163" s="108"/>
      <c r="J4163" s="174"/>
      <c r="K4163" s="4"/>
    </row>
    <row r="4164" spans="3:11" x14ac:dyDescent="0.25">
      <c r="C4164" s="108"/>
      <c r="D4164" s="217"/>
      <c r="E4164" s="217"/>
      <c r="F4164" s="104"/>
      <c r="G4164" s="108"/>
      <c r="J4164" s="174"/>
      <c r="K4164" s="4"/>
    </row>
    <row r="4165" spans="3:11" x14ac:dyDescent="0.25">
      <c r="C4165" s="108"/>
      <c r="D4165" s="217"/>
      <c r="E4165" s="217"/>
      <c r="F4165" s="104"/>
      <c r="G4165" s="108"/>
      <c r="J4165" s="174"/>
      <c r="K4165" s="4"/>
    </row>
    <row r="4166" spans="3:11" x14ac:dyDescent="0.25">
      <c r="C4166" s="108"/>
      <c r="D4166" s="217"/>
      <c r="E4166" s="217"/>
      <c r="F4166" s="104"/>
      <c r="G4166" s="108"/>
      <c r="J4166" s="174"/>
      <c r="K4166" s="4"/>
    </row>
    <row r="4167" spans="3:11" x14ac:dyDescent="0.25">
      <c r="C4167" s="108"/>
      <c r="D4167" s="217"/>
      <c r="E4167" s="217"/>
      <c r="F4167" s="104"/>
      <c r="G4167" s="108"/>
      <c r="J4167" s="174"/>
      <c r="K4167" s="4"/>
    </row>
    <row r="4168" spans="3:11" x14ac:dyDescent="0.25">
      <c r="C4168" s="108"/>
      <c r="D4168" s="217"/>
      <c r="E4168" s="217"/>
      <c r="F4168" s="104"/>
      <c r="G4168" s="108"/>
      <c r="J4168" s="174"/>
      <c r="K4168" s="4"/>
    </row>
    <row r="4169" spans="3:11" x14ac:dyDescent="0.25">
      <c r="C4169" s="108"/>
      <c r="D4169" s="217"/>
      <c r="E4169" s="217"/>
      <c r="F4169" s="104"/>
      <c r="G4169" s="108"/>
      <c r="J4169" s="174"/>
      <c r="K4169" s="4"/>
    </row>
    <row r="4170" spans="3:11" x14ac:dyDescent="0.25">
      <c r="C4170" s="108"/>
      <c r="D4170" s="217"/>
      <c r="E4170" s="217"/>
      <c r="F4170" s="104"/>
      <c r="G4170" s="108"/>
      <c r="J4170" s="174"/>
      <c r="K4170" s="4"/>
    </row>
    <row r="4171" spans="3:11" x14ac:dyDescent="0.25">
      <c r="C4171" s="108"/>
      <c r="D4171" s="217"/>
      <c r="E4171" s="217"/>
      <c r="F4171" s="104"/>
      <c r="G4171" s="108"/>
      <c r="J4171" s="174"/>
      <c r="K4171" s="4"/>
    </row>
    <row r="4172" spans="3:11" x14ac:dyDescent="0.25">
      <c r="C4172" s="108"/>
      <c r="D4172" s="217"/>
      <c r="E4172" s="217"/>
      <c r="F4172" s="104"/>
      <c r="G4172" s="108"/>
      <c r="J4172" s="174"/>
      <c r="K4172" s="4"/>
    </row>
    <row r="4173" spans="3:11" x14ac:dyDescent="0.25">
      <c r="C4173" s="108"/>
      <c r="D4173" s="217"/>
      <c r="E4173" s="217"/>
      <c r="F4173" s="104"/>
      <c r="G4173" s="108"/>
      <c r="J4173" s="174"/>
      <c r="K4173" s="4"/>
    </row>
    <row r="4174" spans="3:11" x14ac:dyDescent="0.25">
      <c r="C4174" s="108"/>
      <c r="D4174" s="217"/>
      <c r="E4174" s="217"/>
      <c r="F4174" s="104"/>
      <c r="G4174" s="108"/>
      <c r="J4174" s="174"/>
      <c r="K4174" s="4"/>
    </row>
    <row r="4175" spans="3:11" x14ac:dyDescent="0.25">
      <c r="C4175" s="108"/>
      <c r="D4175" s="217"/>
      <c r="E4175" s="217"/>
      <c r="F4175" s="104"/>
      <c r="G4175" s="108"/>
      <c r="J4175" s="174"/>
      <c r="K4175" s="4"/>
    </row>
    <row r="4176" spans="3:11" x14ac:dyDescent="0.25">
      <c r="C4176" s="108"/>
      <c r="D4176" s="217"/>
      <c r="E4176" s="217"/>
      <c r="F4176" s="104"/>
      <c r="G4176" s="108"/>
      <c r="J4176" s="174"/>
      <c r="K4176" s="4"/>
    </row>
    <row r="4177" spans="3:11" x14ac:dyDescent="0.25">
      <c r="C4177" s="108"/>
      <c r="D4177" s="217"/>
      <c r="E4177" s="217"/>
      <c r="F4177" s="104"/>
      <c r="G4177" s="108"/>
      <c r="J4177" s="174"/>
      <c r="K4177" s="4"/>
    </row>
    <row r="4178" spans="3:11" x14ac:dyDescent="0.25">
      <c r="C4178" s="108"/>
      <c r="D4178" s="217"/>
      <c r="E4178" s="217"/>
      <c r="F4178" s="104"/>
      <c r="G4178" s="108"/>
      <c r="J4178" s="174"/>
      <c r="K4178" s="4"/>
    </row>
    <row r="4179" spans="3:11" x14ac:dyDescent="0.25">
      <c r="C4179" s="108"/>
      <c r="D4179" s="217"/>
      <c r="E4179" s="217"/>
      <c r="F4179" s="104"/>
      <c r="G4179" s="108"/>
      <c r="J4179" s="174"/>
      <c r="K4179" s="4"/>
    </row>
    <row r="4180" spans="3:11" x14ac:dyDescent="0.25">
      <c r="C4180" s="108"/>
      <c r="D4180" s="217"/>
      <c r="E4180" s="217"/>
      <c r="F4180" s="104"/>
      <c r="G4180" s="108"/>
      <c r="J4180" s="174"/>
      <c r="K4180" s="4"/>
    </row>
    <row r="4181" spans="3:11" x14ac:dyDescent="0.25">
      <c r="C4181" s="108"/>
      <c r="D4181" s="217"/>
      <c r="E4181" s="217"/>
      <c r="F4181" s="104"/>
      <c r="G4181" s="108"/>
      <c r="J4181" s="174"/>
      <c r="K4181" s="4"/>
    </row>
    <row r="4182" spans="3:11" x14ac:dyDescent="0.25">
      <c r="C4182" s="108"/>
      <c r="D4182" s="217"/>
      <c r="E4182" s="217"/>
      <c r="F4182" s="104"/>
      <c r="G4182" s="108"/>
      <c r="J4182" s="174"/>
      <c r="K4182" s="4"/>
    </row>
    <row r="4183" spans="3:11" x14ac:dyDescent="0.25">
      <c r="C4183" s="108"/>
      <c r="D4183" s="217"/>
      <c r="E4183" s="217"/>
      <c r="F4183" s="104"/>
      <c r="G4183" s="108"/>
      <c r="J4183" s="174"/>
      <c r="K4183" s="4"/>
    </row>
    <row r="4184" spans="3:11" x14ac:dyDescent="0.25">
      <c r="C4184" s="108"/>
      <c r="D4184" s="217"/>
      <c r="E4184" s="217"/>
      <c r="F4184" s="104"/>
      <c r="G4184" s="108"/>
      <c r="J4184" s="174"/>
      <c r="K4184" s="4"/>
    </row>
    <row r="4185" spans="3:11" x14ac:dyDescent="0.25">
      <c r="C4185" s="108"/>
      <c r="D4185" s="217"/>
      <c r="E4185" s="217"/>
      <c r="F4185" s="104"/>
      <c r="G4185" s="108"/>
      <c r="J4185" s="174"/>
      <c r="K4185" s="4"/>
    </row>
    <row r="4186" spans="3:11" x14ac:dyDescent="0.25">
      <c r="C4186" s="108"/>
      <c r="D4186" s="217"/>
      <c r="E4186" s="217"/>
      <c r="F4186" s="104"/>
      <c r="G4186" s="108"/>
      <c r="J4186" s="174"/>
      <c r="K4186" s="4"/>
    </row>
    <row r="4187" spans="3:11" x14ac:dyDescent="0.25">
      <c r="C4187" s="108"/>
      <c r="D4187" s="217"/>
      <c r="E4187" s="217"/>
      <c r="F4187" s="104"/>
      <c r="G4187" s="108"/>
      <c r="J4187" s="174"/>
      <c r="K4187" s="4"/>
    </row>
    <row r="4188" spans="3:11" x14ac:dyDescent="0.25">
      <c r="C4188" s="108"/>
      <c r="D4188" s="217"/>
      <c r="E4188" s="217"/>
      <c r="F4188" s="104"/>
      <c r="G4188" s="108"/>
      <c r="J4188" s="174"/>
      <c r="K4188" s="4"/>
    </row>
    <row r="4189" spans="3:11" x14ac:dyDescent="0.25">
      <c r="C4189" s="108"/>
      <c r="D4189" s="217"/>
      <c r="E4189" s="217"/>
      <c r="F4189" s="104"/>
      <c r="G4189" s="108"/>
      <c r="J4189" s="174"/>
      <c r="K4189" s="4"/>
    </row>
    <row r="4190" spans="3:11" x14ac:dyDescent="0.25">
      <c r="C4190" s="108"/>
      <c r="D4190" s="217"/>
      <c r="E4190" s="217"/>
      <c r="F4190" s="104"/>
      <c r="G4190" s="108"/>
      <c r="J4190" s="174"/>
      <c r="K4190" s="4"/>
    </row>
    <row r="4191" spans="3:11" x14ac:dyDescent="0.25">
      <c r="C4191" s="108"/>
      <c r="D4191" s="217"/>
      <c r="E4191" s="217"/>
      <c r="F4191" s="104"/>
      <c r="G4191" s="108"/>
      <c r="J4191" s="174"/>
      <c r="K4191" s="4"/>
    </row>
    <row r="4192" spans="3:11" x14ac:dyDescent="0.25">
      <c r="C4192" s="108"/>
      <c r="D4192" s="217"/>
      <c r="E4192" s="217"/>
      <c r="F4192" s="104"/>
      <c r="G4192" s="108"/>
      <c r="J4192" s="174"/>
      <c r="K4192" s="4"/>
    </row>
    <row r="4193" spans="3:11" x14ac:dyDescent="0.25">
      <c r="C4193" s="108"/>
      <c r="D4193" s="217"/>
      <c r="E4193" s="217"/>
      <c r="F4193" s="104"/>
      <c r="G4193" s="108"/>
      <c r="J4193" s="174"/>
      <c r="K4193" s="4"/>
    </row>
    <row r="4194" spans="3:11" x14ac:dyDescent="0.25">
      <c r="C4194" s="108"/>
      <c r="D4194" s="217"/>
      <c r="E4194" s="217"/>
      <c r="F4194" s="104"/>
      <c r="G4194" s="108"/>
      <c r="J4194" s="174"/>
      <c r="K4194" s="4"/>
    </row>
    <row r="4195" spans="3:11" x14ac:dyDescent="0.25">
      <c r="C4195" s="108"/>
      <c r="D4195" s="217"/>
      <c r="E4195" s="217"/>
      <c r="F4195" s="104"/>
      <c r="G4195" s="108"/>
      <c r="J4195" s="174"/>
      <c r="K4195" s="4"/>
    </row>
    <row r="4196" spans="3:11" x14ac:dyDescent="0.25">
      <c r="C4196" s="108"/>
      <c r="D4196" s="217"/>
      <c r="E4196" s="217"/>
      <c r="F4196" s="104"/>
      <c r="G4196" s="108"/>
      <c r="J4196" s="174"/>
      <c r="K4196" s="4"/>
    </row>
    <row r="4197" spans="3:11" x14ac:dyDescent="0.25">
      <c r="C4197" s="108"/>
      <c r="D4197" s="217"/>
      <c r="E4197" s="217"/>
      <c r="F4197" s="104"/>
      <c r="G4197" s="108"/>
      <c r="J4197" s="174"/>
      <c r="K4197" s="4"/>
    </row>
    <row r="4198" spans="3:11" x14ac:dyDescent="0.25">
      <c r="C4198" s="108"/>
      <c r="D4198" s="217"/>
      <c r="E4198" s="217"/>
      <c r="F4198" s="104"/>
      <c r="G4198" s="108"/>
      <c r="J4198" s="174"/>
      <c r="K4198" s="4"/>
    </row>
    <row r="4199" spans="3:11" x14ac:dyDescent="0.25">
      <c r="C4199" s="108"/>
      <c r="D4199" s="217"/>
      <c r="E4199" s="217"/>
      <c r="F4199" s="104"/>
      <c r="G4199" s="108"/>
      <c r="J4199" s="174"/>
      <c r="K4199" s="4"/>
    </row>
    <row r="4200" spans="3:11" x14ac:dyDescent="0.25">
      <c r="C4200" s="108"/>
      <c r="D4200" s="217"/>
      <c r="E4200" s="217"/>
      <c r="F4200" s="104"/>
      <c r="G4200" s="108"/>
      <c r="J4200" s="174"/>
      <c r="K4200" s="4"/>
    </row>
    <row r="4201" spans="3:11" x14ac:dyDescent="0.25">
      <c r="C4201" s="108"/>
      <c r="D4201" s="217"/>
      <c r="E4201" s="217"/>
      <c r="F4201" s="104"/>
      <c r="G4201" s="108"/>
      <c r="J4201" s="174"/>
      <c r="K4201" s="4"/>
    </row>
    <row r="4202" spans="3:11" x14ac:dyDescent="0.25">
      <c r="C4202" s="108"/>
      <c r="D4202" s="217"/>
      <c r="E4202" s="217"/>
      <c r="F4202" s="104"/>
      <c r="G4202" s="108"/>
      <c r="J4202" s="174"/>
      <c r="K4202" s="4"/>
    </row>
    <row r="4203" spans="3:11" x14ac:dyDescent="0.25">
      <c r="C4203" s="108"/>
      <c r="D4203" s="217"/>
      <c r="E4203" s="217"/>
      <c r="F4203" s="104"/>
      <c r="G4203" s="108"/>
      <c r="J4203" s="174"/>
      <c r="K4203" s="4"/>
    </row>
    <row r="4204" spans="3:11" x14ac:dyDescent="0.25">
      <c r="C4204" s="108"/>
      <c r="D4204" s="217"/>
      <c r="E4204" s="217"/>
      <c r="F4204" s="104"/>
      <c r="G4204" s="108"/>
      <c r="J4204" s="174"/>
      <c r="K4204" s="4"/>
    </row>
    <row r="4205" spans="3:11" x14ac:dyDescent="0.25">
      <c r="C4205" s="108"/>
      <c r="D4205" s="217"/>
      <c r="E4205" s="217"/>
      <c r="F4205" s="104"/>
      <c r="G4205" s="108"/>
      <c r="J4205" s="174"/>
      <c r="K4205" s="4"/>
    </row>
    <row r="4206" spans="3:11" x14ac:dyDescent="0.25">
      <c r="C4206" s="108"/>
      <c r="D4206" s="217"/>
      <c r="E4206" s="217"/>
      <c r="F4206" s="104"/>
      <c r="G4206" s="108"/>
      <c r="J4206" s="174"/>
      <c r="K4206" s="4"/>
    </row>
    <row r="4207" spans="3:11" x14ac:dyDescent="0.25">
      <c r="C4207" s="108"/>
      <c r="D4207" s="217"/>
      <c r="E4207" s="217"/>
      <c r="F4207" s="104"/>
      <c r="G4207" s="108"/>
      <c r="J4207" s="174"/>
      <c r="K4207" s="4"/>
    </row>
    <row r="4208" spans="3:11" x14ac:dyDescent="0.25">
      <c r="C4208" s="108"/>
      <c r="D4208" s="217"/>
      <c r="E4208" s="217"/>
      <c r="F4208" s="104"/>
      <c r="G4208" s="108"/>
      <c r="J4208" s="174"/>
      <c r="K4208" s="4"/>
    </row>
    <row r="4209" spans="3:11" x14ac:dyDescent="0.25">
      <c r="C4209" s="108"/>
      <c r="D4209" s="217"/>
      <c r="E4209" s="217"/>
      <c r="F4209" s="104"/>
      <c r="G4209" s="108"/>
      <c r="J4209" s="174"/>
      <c r="K4209" s="4"/>
    </row>
    <row r="4210" spans="3:11" x14ac:dyDescent="0.25">
      <c r="C4210" s="108"/>
      <c r="D4210" s="217"/>
      <c r="E4210" s="217"/>
      <c r="F4210" s="104"/>
      <c r="G4210" s="108"/>
      <c r="J4210" s="174"/>
      <c r="K4210" s="4"/>
    </row>
    <row r="4211" spans="3:11" x14ac:dyDescent="0.25">
      <c r="C4211" s="108"/>
      <c r="D4211" s="217"/>
      <c r="E4211" s="217"/>
      <c r="F4211" s="104"/>
      <c r="G4211" s="108"/>
      <c r="J4211" s="174"/>
      <c r="K4211" s="4"/>
    </row>
    <row r="4212" spans="3:11" x14ac:dyDescent="0.25">
      <c r="C4212" s="108"/>
      <c r="D4212" s="217"/>
      <c r="E4212" s="217"/>
      <c r="F4212" s="104"/>
      <c r="G4212" s="108"/>
      <c r="J4212" s="174"/>
      <c r="K4212" s="4"/>
    </row>
    <row r="4213" spans="3:11" x14ac:dyDescent="0.25">
      <c r="C4213" s="108"/>
      <c r="D4213" s="217"/>
      <c r="E4213" s="217"/>
      <c r="F4213" s="104"/>
      <c r="G4213" s="108"/>
      <c r="J4213" s="174"/>
      <c r="K4213" s="4"/>
    </row>
    <row r="4214" spans="3:11" x14ac:dyDescent="0.25">
      <c r="C4214" s="108"/>
      <c r="D4214" s="217"/>
      <c r="E4214" s="217"/>
      <c r="F4214" s="104"/>
      <c r="G4214" s="108"/>
      <c r="J4214" s="174"/>
      <c r="K4214" s="4"/>
    </row>
    <row r="4215" spans="3:11" x14ac:dyDescent="0.25">
      <c r="C4215" s="108"/>
      <c r="D4215" s="217"/>
      <c r="E4215" s="217"/>
      <c r="F4215" s="104"/>
      <c r="G4215" s="108"/>
      <c r="J4215" s="174"/>
      <c r="K4215" s="4"/>
    </row>
    <row r="4216" spans="3:11" x14ac:dyDescent="0.25">
      <c r="C4216" s="108"/>
      <c r="D4216" s="217"/>
      <c r="E4216" s="217"/>
      <c r="F4216" s="104"/>
      <c r="G4216" s="108"/>
      <c r="J4216" s="174"/>
      <c r="K4216" s="4"/>
    </row>
    <row r="4217" spans="3:11" x14ac:dyDescent="0.25">
      <c r="C4217" s="108"/>
      <c r="D4217" s="217"/>
      <c r="E4217" s="217"/>
      <c r="F4217" s="104"/>
      <c r="G4217" s="108"/>
      <c r="J4217" s="174"/>
      <c r="K4217" s="4"/>
    </row>
    <row r="4218" spans="3:11" x14ac:dyDescent="0.25">
      <c r="C4218" s="108"/>
      <c r="D4218" s="217"/>
      <c r="E4218" s="217"/>
      <c r="F4218" s="104"/>
      <c r="G4218" s="108"/>
      <c r="J4218" s="174"/>
      <c r="K4218" s="4"/>
    </row>
    <row r="4219" spans="3:11" x14ac:dyDescent="0.25">
      <c r="C4219" s="108"/>
      <c r="D4219" s="217"/>
      <c r="E4219" s="217"/>
      <c r="F4219" s="104"/>
      <c r="G4219" s="108"/>
      <c r="J4219" s="174"/>
      <c r="K4219" s="4"/>
    </row>
    <row r="4220" spans="3:11" x14ac:dyDescent="0.25">
      <c r="C4220" s="108"/>
      <c r="D4220" s="217"/>
      <c r="E4220" s="217"/>
      <c r="F4220" s="104"/>
      <c r="G4220" s="108"/>
      <c r="J4220" s="174"/>
      <c r="K4220" s="4"/>
    </row>
    <row r="4221" spans="3:11" x14ac:dyDescent="0.25">
      <c r="C4221" s="108"/>
      <c r="D4221" s="217"/>
      <c r="E4221" s="217"/>
      <c r="F4221" s="104"/>
      <c r="G4221" s="108"/>
      <c r="J4221" s="174"/>
      <c r="K4221" s="4"/>
    </row>
    <row r="4222" spans="3:11" x14ac:dyDescent="0.25">
      <c r="C4222" s="108"/>
      <c r="D4222" s="217"/>
      <c r="E4222" s="217"/>
      <c r="F4222" s="104"/>
      <c r="G4222" s="108"/>
      <c r="J4222" s="174"/>
      <c r="K4222" s="4"/>
    </row>
    <row r="4223" spans="3:11" x14ac:dyDescent="0.25">
      <c r="C4223" s="108"/>
      <c r="D4223" s="217"/>
      <c r="E4223" s="217"/>
      <c r="F4223" s="104"/>
      <c r="G4223" s="108"/>
      <c r="J4223" s="174"/>
      <c r="K4223" s="4"/>
    </row>
    <row r="4224" spans="3:11" x14ac:dyDescent="0.25">
      <c r="C4224" s="108"/>
      <c r="D4224" s="217"/>
      <c r="E4224" s="217"/>
      <c r="F4224" s="104"/>
      <c r="G4224" s="108"/>
      <c r="J4224" s="174"/>
      <c r="K4224" s="4"/>
    </row>
    <row r="4225" spans="3:11" x14ac:dyDescent="0.25">
      <c r="C4225" s="108"/>
      <c r="D4225" s="217"/>
      <c r="E4225" s="217"/>
      <c r="F4225" s="104"/>
      <c r="G4225" s="108"/>
      <c r="J4225" s="174"/>
      <c r="K4225" s="4"/>
    </row>
    <row r="4226" spans="3:11" x14ac:dyDescent="0.25">
      <c r="C4226" s="108"/>
      <c r="D4226" s="217"/>
      <c r="E4226" s="217"/>
      <c r="F4226" s="104"/>
      <c r="G4226" s="108"/>
      <c r="J4226" s="174"/>
      <c r="K4226" s="4"/>
    </row>
    <row r="4227" spans="3:11" x14ac:dyDescent="0.25">
      <c r="C4227" s="108"/>
      <c r="D4227" s="217"/>
      <c r="E4227" s="217"/>
      <c r="F4227" s="104"/>
      <c r="G4227" s="108"/>
      <c r="J4227" s="174"/>
      <c r="K4227" s="4"/>
    </row>
    <row r="4228" spans="3:11" x14ac:dyDescent="0.25">
      <c r="C4228" s="108"/>
      <c r="D4228" s="217"/>
      <c r="E4228" s="217"/>
      <c r="F4228" s="104"/>
      <c r="G4228" s="108"/>
      <c r="J4228" s="174"/>
      <c r="K4228" s="4"/>
    </row>
    <row r="4229" spans="3:11" x14ac:dyDescent="0.25">
      <c r="C4229" s="108"/>
      <c r="D4229" s="217"/>
      <c r="E4229" s="217"/>
      <c r="F4229" s="104"/>
      <c r="G4229" s="108"/>
      <c r="J4229" s="174"/>
      <c r="K4229" s="4"/>
    </row>
    <row r="4230" spans="3:11" x14ac:dyDescent="0.25">
      <c r="C4230" s="108"/>
      <c r="D4230" s="217"/>
      <c r="E4230" s="217"/>
      <c r="F4230" s="104"/>
      <c r="G4230" s="108"/>
      <c r="J4230" s="174"/>
      <c r="K4230" s="4"/>
    </row>
    <row r="4231" spans="3:11" x14ac:dyDescent="0.25">
      <c r="C4231" s="108"/>
      <c r="D4231" s="217"/>
      <c r="E4231" s="217"/>
      <c r="F4231" s="104"/>
      <c r="G4231" s="108"/>
      <c r="J4231" s="174"/>
      <c r="K4231" s="4"/>
    </row>
    <row r="4232" spans="3:11" x14ac:dyDescent="0.25">
      <c r="C4232" s="108"/>
      <c r="D4232" s="217"/>
      <c r="E4232" s="217"/>
      <c r="F4232" s="104"/>
      <c r="G4232" s="108"/>
      <c r="J4232" s="174"/>
      <c r="K4232" s="4"/>
    </row>
    <row r="4233" spans="3:11" x14ac:dyDescent="0.25">
      <c r="C4233" s="108"/>
      <c r="D4233" s="217"/>
      <c r="E4233" s="217"/>
      <c r="F4233" s="104"/>
      <c r="G4233" s="108"/>
      <c r="J4233" s="174"/>
      <c r="K4233" s="4"/>
    </row>
    <row r="4234" spans="3:11" x14ac:dyDescent="0.25">
      <c r="C4234" s="108"/>
      <c r="D4234" s="217"/>
      <c r="E4234" s="217"/>
      <c r="F4234" s="104"/>
      <c r="G4234" s="108"/>
      <c r="J4234" s="174"/>
      <c r="K4234" s="4"/>
    </row>
    <row r="4235" spans="3:11" x14ac:dyDescent="0.25">
      <c r="C4235" s="108"/>
      <c r="D4235" s="217"/>
      <c r="E4235" s="217"/>
      <c r="F4235" s="104"/>
      <c r="G4235" s="108"/>
      <c r="J4235" s="174"/>
      <c r="K4235" s="4"/>
    </row>
    <row r="4236" spans="3:11" x14ac:dyDescent="0.25">
      <c r="C4236" s="108"/>
      <c r="D4236" s="217"/>
      <c r="E4236" s="217"/>
      <c r="F4236" s="104"/>
      <c r="G4236" s="108"/>
      <c r="J4236" s="174"/>
      <c r="K4236" s="4"/>
    </row>
    <row r="4237" spans="3:11" x14ac:dyDescent="0.25">
      <c r="C4237" s="108"/>
      <c r="D4237" s="217"/>
      <c r="E4237" s="217"/>
      <c r="F4237" s="104"/>
      <c r="G4237" s="108"/>
      <c r="J4237" s="174"/>
      <c r="K4237" s="4"/>
    </row>
    <row r="4238" spans="3:11" x14ac:dyDescent="0.25">
      <c r="C4238" s="108"/>
      <c r="D4238" s="217"/>
      <c r="E4238" s="217"/>
      <c r="F4238" s="104"/>
      <c r="G4238" s="108"/>
      <c r="J4238" s="174"/>
      <c r="K4238" s="4"/>
    </row>
    <row r="4239" spans="3:11" x14ac:dyDescent="0.25">
      <c r="C4239" s="108"/>
      <c r="D4239" s="217"/>
      <c r="E4239" s="217"/>
      <c r="F4239" s="104"/>
      <c r="G4239" s="108"/>
      <c r="J4239" s="174"/>
      <c r="K4239" s="4"/>
    </row>
    <row r="4240" spans="3:11" x14ac:dyDescent="0.25">
      <c r="C4240" s="108"/>
      <c r="D4240" s="217"/>
      <c r="E4240" s="217"/>
      <c r="F4240" s="104"/>
      <c r="G4240" s="108"/>
      <c r="J4240" s="174"/>
      <c r="K4240" s="4"/>
    </row>
    <row r="4241" spans="3:11" x14ac:dyDescent="0.25">
      <c r="C4241" s="108"/>
      <c r="D4241" s="217"/>
      <c r="E4241" s="217"/>
      <c r="F4241" s="104"/>
      <c r="G4241" s="108"/>
      <c r="J4241" s="174"/>
      <c r="K4241" s="4"/>
    </row>
    <row r="4242" spans="3:11" x14ac:dyDescent="0.25">
      <c r="C4242" s="108"/>
      <c r="D4242" s="217"/>
      <c r="E4242" s="217"/>
      <c r="F4242" s="104"/>
      <c r="G4242" s="108"/>
      <c r="J4242" s="174"/>
      <c r="K4242" s="4"/>
    </row>
    <row r="4243" spans="3:11" x14ac:dyDescent="0.25">
      <c r="C4243" s="108"/>
      <c r="D4243" s="217"/>
      <c r="E4243" s="217"/>
      <c r="F4243" s="104"/>
      <c r="G4243" s="108"/>
      <c r="J4243" s="174"/>
      <c r="K4243" s="4"/>
    </row>
    <row r="4244" spans="3:11" x14ac:dyDescent="0.25">
      <c r="C4244" s="108"/>
      <c r="D4244" s="217"/>
      <c r="E4244" s="217"/>
      <c r="F4244" s="104"/>
      <c r="G4244" s="108"/>
      <c r="J4244" s="174"/>
      <c r="K4244" s="4"/>
    </row>
    <row r="4245" spans="3:11" x14ac:dyDescent="0.25">
      <c r="C4245" s="108"/>
      <c r="D4245" s="217"/>
      <c r="E4245" s="217"/>
      <c r="F4245" s="104"/>
      <c r="G4245" s="108"/>
      <c r="J4245" s="174"/>
      <c r="K4245" s="4"/>
    </row>
    <row r="4246" spans="3:11" x14ac:dyDescent="0.25">
      <c r="C4246" s="108"/>
      <c r="D4246" s="217"/>
      <c r="E4246" s="217"/>
      <c r="F4246" s="104"/>
      <c r="G4246" s="108"/>
      <c r="J4246" s="174"/>
      <c r="K4246" s="4"/>
    </row>
    <row r="4247" spans="3:11" x14ac:dyDescent="0.25">
      <c r="C4247" s="108"/>
      <c r="D4247" s="217"/>
      <c r="E4247" s="217"/>
      <c r="F4247" s="104"/>
      <c r="G4247" s="108"/>
      <c r="J4247" s="174"/>
      <c r="K4247" s="4"/>
    </row>
    <row r="4248" spans="3:11" x14ac:dyDescent="0.25">
      <c r="C4248" s="108"/>
      <c r="D4248" s="217"/>
      <c r="E4248" s="217"/>
      <c r="F4248" s="104"/>
      <c r="G4248" s="108"/>
      <c r="J4248" s="174"/>
      <c r="K4248" s="4"/>
    </row>
    <row r="4249" spans="3:11" x14ac:dyDescent="0.25">
      <c r="C4249" s="108"/>
      <c r="D4249" s="217"/>
      <c r="E4249" s="217"/>
      <c r="F4249" s="104"/>
      <c r="G4249" s="108"/>
      <c r="J4249" s="174"/>
      <c r="K4249" s="4"/>
    </row>
    <row r="4250" spans="3:11" x14ac:dyDescent="0.25">
      <c r="C4250" s="108"/>
      <c r="D4250" s="217"/>
      <c r="E4250" s="217"/>
      <c r="F4250" s="104"/>
      <c r="G4250" s="108"/>
      <c r="J4250" s="174"/>
      <c r="K4250" s="4"/>
    </row>
    <row r="4251" spans="3:11" x14ac:dyDescent="0.25">
      <c r="C4251" s="108"/>
      <c r="D4251" s="217"/>
      <c r="E4251" s="217"/>
      <c r="F4251" s="104"/>
      <c r="G4251" s="108"/>
      <c r="J4251" s="174"/>
      <c r="K4251" s="4"/>
    </row>
    <row r="4252" spans="3:11" x14ac:dyDescent="0.25">
      <c r="C4252" s="108"/>
      <c r="D4252" s="217"/>
      <c r="E4252" s="217"/>
      <c r="F4252" s="104"/>
      <c r="G4252" s="108"/>
      <c r="J4252" s="174"/>
      <c r="K4252" s="4"/>
    </row>
    <row r="4253" spans="3:11" x14ac:dyDescent="0.25">
      <c r="C4253" s="108"/>
      <c r="D4253" s="217"/>
      <c r="E4253" s="217"/>
      <c r="F4253" s="104"/>
      <c r="G4253" s="108"/>
      <c r="J4253" s="174"/>
      <c r="K4253" s="4"/>
    </row>
    <row r="4254" spans="3:11" x14ac:dyDescent="0.25">
      <c r="C4254" s="108"/>
      <c r="D4254" s="217"/>
      <c r="E4254" s="217"/>
      <c r="F4254" s="104"/>
      <c r="G4254" s="108"/>
      <c r="J4254" s="174"/>
      <c r="K4254" s="4"/>
    </row>
    <row r="4255" spans="3:11" x14ac:dyDescent="0.25">
      <c r="C4255" s="108"/>
      <c r="D4255" s="217"/>
      <c r="E4255" s="217"/>
      <c r="F4255" s="104"/>
      <c r="G4255" s="108"/>
      <c r="J4255" s="174"/>
      <c r="K4255" s="4"/>
    </row>
    <row r="4256" spans="3:11" x14ac:dyDescent="0.25">
      <c r="C4256" s="108"/>
      <c r="D4256" s="217"/>
      <c r="E4256" s="217"/>
      <c r="F4256" s="104"/>
      <c r="G4256" s="108"/>
      <c r="J4256" s="174"/>
      <c r="K4256" s="4"/>
    </row>
    <row r="4257" spans="3:11" x14ac:dyDescent="0.25">
      <c r="C4257" s="108"/>
      <c r="D4257" s="217"/>
      <c r="E4257" s="217"/>
      <c r="F4257" s="104"/>
      <c r="G4257" s="108"/>
      <c r="J4257" s="174"/>
      <c r="K4257" s="4"/>
    </row>
    <row r="4258" spans="3:11" x14ac:dyDescent="0.25">
      <c r="C4258" s="108"/>
      <c r="D4258" s="217"/>
      <c r="E4258" s="217"/>
      <c r="F4258" s="104"/>
      <c r="G4258" s="108"/>
      <c r="J4258" s="174"/>
      <c r="K4258" s="4"/>
    </row>
    <row r="4259" spans="3:11" x14ac:dyDescent="0.25">
      <c r="C4259" s="108"/>
      <c r="D4259" s="217"/>
      <c r="E4259" s="217"/>
      <c r="F4259" s="104"/>
      <c r="G4259" s="108"/>
      <c r="J4259" s="174"/>
      <c r="K4259" s="4"/>
    </row>
    <row r="4260" spans="3:11" x14ac:dyDescent="0.25">
      <c r="C4260" s="108"/>
      <c r="D4260" s="217"/>
      <c r="E4260" s="217"/>
      <c r="F4260" s="104"/>
      <c r="G4260" s="108"/>
      <c r="J4260" s="174"/>
      <c r="K4260" s="4"/>
    </row>
    <row r="4261" spans="3:11" x14ac:dyDescent="0.25">
      <c r="C4261" s="108"/>
      <c r="D4261" s="217"/>
      <c r="E4261" s="217"/>
      <c r="F4261" s="104"/>
      <c r="G4261" s="108"/>
      <c r="J4261" s="174"/>
      <c r="K4261" s="4"/>
    </row>
    <row r="4262" spans="3:11" x14ac:dyDescent="0.25">
      <c r="C4262" s="108"/>
      <c r="D4262" s="217"/>
      <c r="E4262" s="217"/>
      <c r="F4262" s="104"/>
      <c r="G4262" s="108"/>
      <c r="J4262" s="174"/>
      <c r="K4262" s="4"/>
    </row>
    <row r="4263" spans="3:11" x14ac:dyDescent="0.25">
      <c r="C4263" s="108"/>
      <c r="D4263" s="217"/>
      <c r="E4263" s="217"/>
      <c r="F4263" s="104"/>
      <c r="G4263" s="108"/>
      <c r="J4263" s="174"/>
      <c r="K4263" s="4"/>
    </row>
    <row r="4264" spans="3:11" x14ac:dyDescent="0.25">
      <c r="C4264" s="108"/>
      <c r="D4264" s="217"/>
      <c r="E4264" s="217"/>
      <c r="F4264" s="104"/>
      <c r="G4264" s="108"/>
      <c r="J4264" s="174"/>
      <c r="K4264" s="4"/>
    </row>
    <row r="4265" spans="3:11" x14ac:dyDescent="0.25">
      <c r="C4265" s="108"/>
      <c r="D4265" s="217"/>
      <c r="E4265" s="217"/>
      <c r="F4265" s="104"/>
      <c r="G4265" s="108"/>
      <c r="J4265" s="174"/>
      <c r="K4265" s="4"/>
    </row>
    <row r="4266" spans="3:11" x14ac:dyDescent="0.25">
      <c r="C4266" s="108"/>
      <c r="D4266" s="217"/>
      <c r="E4266" s="217"/>
      <c r="F4266" s="104"/>
      <c r="G4266" s="108"/>
      <c r="J4266" s="174"/>
      <c r="K4266" s="4"/>
    </row>
    <row r="4267" spans="3:11" x14ac:dyDescent="0.25">
      <c r="C4267" s="108"/>
      <c r="D4267" s="217"/>
      <c r="E4267" s="217"/>
      <c r="F4267" s="104"/>
      <c r="G4267" s="108"/>
      <c r="J4267" s="174"/>
      <c r="K4267" s="4"/>
    </row>
    <row r="4268" spans="3:11" x14ac:dyDescent="0.25">
      <c r="C4268" s="108"/>
      <c r="D4268" s="217"/>
      <c r="E4268" s="217"/>
      <c r="F4268" s="104"/>
      <c r="G4268" s="108"/>
      <c r="J4268" s="174"/>
      <c r="K4268" s="4"/>
    </row>
    <row r="4269" spans="3:11" x14ac:dyDescent="0.25">
      <c r="C4269" s="108"/>
      <c r="D4269" s="217"/>
      <c r="E4269" s="217"/>
      <c r="F4269" s="104"/>
      <c r="G4269" s="108"/>
      <c r="J4269" s="174"/>
      <c r="K4269" s="4"/>
    </row>
    <row r="4270" spans="3:11" x14ac:dyDescent="0.25">
      <c r="C4270" s="108"/>
      <c r="D4270" s="217"/>
      <c r="E4270" s="217"/>
      <c r="F4270" s="104"/>
      <c r="G4270" s="108"/>
      <c r="J4270" s="174"/>
      <c r="K4270" s="4"/>
    </row>
    <row r="4271" spans="3:11" x14ac:dyDescent="0.25">
      <c r="C4271" s="108"/>
      <c r="D4271" s="217"/>
      <c r="E4271" s="217"/>
      <c r="F4271" s="104"/>
      <c r="G4271" s="108"/>
      <c r="J4271" s="174"/>
      <c r="K4271" s="4"/>
    </row>
    <row r="4272" spans="3:11" x14ac:dyDescent="0.25">
      <c r="C4272" s="108"/>
      <c r="D4272" s="217"/>
      <c r="E4272" s="217"/>
      <c r="F4272" s="104"/>
      <c r="G4272" s="108"/>
      <c r="J4272" s="174"/>
      <c r="K4272" s="4"/>
    </row>
    <row r="4273" spans="3:11" x14ac:dyDescent="0.25">
      <c r="C4273" s="108"/>
      <c r="D4273" s="217"/>
      <c r="E4273" s="217"/>
      <c r="F4273" s="104"/>
      <c r="G4273" s="108"/>
      <c r="J4273" s="174"/>
      <c r="K4273" s="4"/>
    </row>
    <row r="4274" spans="3:11" x14ac:dyDescent="0.25">
      <c r="C4274" s="108"/>
      <c r="D4274" s="217"/>
      <c r="E4274" s="217"/>
      <c r="F4274" s="104"/>
      <c r="G4274" s="108"/>
      <c r="J4274" s="174"/>
      <c r="K4274" s="4"/>
    </row>
    <row r="4275" spans="3:11" x14ac:dyDescent="0.25">
      <c r="C4275" s="108"/>
      <c r="D4275" s="217"/>
      <c r="E4275" s="217"/>
      <c r="F4275" s="104"/>
      <c r="G4275" s="108"/>
      <c r="J4275" s="174"/>
      <c r="K4275" s="4"/>
    </row>
    <row r="4276" spans="3:11" x14ac:dyDescent="0.25">
      <c r="C4276" s="108"/>
      <c r="D4276" s="217"/>
      <c r="E4276" s="217"/>
      <c r="F4276" s="104"/>
      <c r="G4276" s="108"/>
      <c r="J4276" s="174"/>
      <c r="K4276" s="4"/>
    </row>
    <row r="4277" spans="3:11" x14ac:dyDescent="0.25">
      <c r="C4277" s="108"/>
      <c r="D4277" s="217"/>
      <c r="E4277" s="217"/>
      <c r="F4277" s="104"/>
      <c r="G4277" s="108"/>
      <c r="J4277" s="174"/>
      <c r="K4277" s="4"/>
    </row>
    <row r="4278" spans="3:11" x14ac:dyDescent="0.25">
      <c r="C4278" s="108"/>
      <c r="D4278" s="217"/>
      <c r="E4278" s="217"/>
      <c r="F4278" s="104"/>
      <c r="G4278" s="108"/>
      <c r="J4278" s="174"/>
      <c r="K4278" s="4"/>
    </row>
    <row r="4279" spans="3:11" x14ac:dyDescent="0.25">
      <c r="C4279" s="108"/>
      <c r="D4279" s="217"/>
      <c r="E4279" s="217"/>
      <c r="F4279" s="104"/>
      <c r="G4279" s="108"/>
      <c r="J4279" s="174"/>
      <c r="K4279" s="4"/>
    </row>
    <row r="4280" spans="3:11" x14ac:dyDescent="0.25">
      <c r="C4280" s="108"/>
      <c r="D4280" s="217"/>
      <c r="E4280" s="217"/>
      <c r="F4280" s="104"/>
      <c r="G4280" s="108"/>
      <c r="J4280" s="174"/>
      <c r="K4280" s="4"/>
    </row>
    <row r="4281" spans="3:11" x14ac:dyDescent="0.25">
      <c r="C4281" s="108"/>
      <c r="D4281" s="217"/>
      <c r="E4281" s="217"/>
      <c r="F4281" s="104"/>
      <c r="G4281" s="108"/>
      <c r="J4281" s="174"/>
      <c r="K4281" s="4"/>
    </row>
    <row r="4282" spans="3:11" x14ac:dyDescent="0.25">
      <c r="C4282" s="108"/>
      <c r="D4282" s="217"/>
      <c r="E4282" s="217"/>
      <c r="F4282" s="104"/>
      <c r="G4282" s="108"/>
      <c r="J4282" s="174"/>
      <c r="K4282" s="4"/>
    </row>
    <row r="4283" spans="3:11" x14ac:dyDescent="0.25">
      <c r="C4283" s="108"/>
      <c r="D4283" s="217"/>
      <c r="E4283" s="217"/>
      <c r="F4283" s="104"/>
      <c r="G4283" s="108"/>
      <c r="J4283" s="174"/>
      <c r="K4283" s="4"/>
    </row>
    <row r="4284" spans="3:11" x14ac:dyDescent="0.25">
      <c r="C4284" s="108"/>
      <c r="D4284" s="217"/>
      <c r="E4284" s="217"/>
      <c r="F4284" s="104"/>
      <c r="G4284" s="108"/>
      <c r="J4284" s="174"/>
      <c r="K4284" s="4"/>
    </row>
    <row r="4285" spans="3:11" x14ac:dyDescent="0.25">
      <c r="C4285" s="108"/>
      <c r="D4285" s="217"/>
      <c r="E4285" s="217"/>
      <c r="F4285" s="104"/>
      <c r="G4285" s="108"/>
      <c r="J4285" s="174"/>
      <c r="K4285" s="4"/>
    </row>
    <row r="4286" spans="3:11" x14ac:dyDescent="0.25">
      <c r="C4286" s="108"/>
      <c r="D4286" s="217"/>
      <c r="E4286" s="217"/>
      <c r="F4286" s="104"/>
      <c r="G4286" s="108"/>
      <c r="J4286" s="174"/>
      <c r="K4286" s="4"/>
    </row>
    <row r="4287" spans="3:11" x14ac:dyDescent="0.25">
      <c r="C4287" s="108"/>
      <c r="D4287" s="217"/>
      <c r="E4287" s="217"/>
      <c r="F4287" s="104"/>
      <c r="G4287" s="108"/>
      <c r="J4287" s="174"/>
      <c r="K4287" s="4"/>
    </row>
    <row r="4288" spans="3:11" x14ac:dyDescent="0.25">
      <c r="C4288" s="108"/>
      <c r="D4288" s="217"/>
      <c r="E4288" s="217"/>
      <c r="F4288" s="104"/>
      <c r="G4288" s="108"/>
      <c r="J4288" s="174"/>
      <c r="K4288" s="4"/>
    </row>
    <row r="4289" spans="3:11" x14ac:dyDescent="0.25">
      <c r="C4289" s="108"/>
      <c r="D4289" s="217"/>
      <c r="E4289" s="217"/>
      <c r="F4289" s="104"/>
      <c r="G4289" s="108"/>
      <c r="J4289" s="174"/>
      <c r="K4289" s="4"/>
    </row>
    <row r="4290" spans="3:11" x14ac:dyDescent="0.25">
      <c r="C4290" s="108"/>
      <c r="D4290" s="217"/>
      <c r="E4290" s="217"/>
      <c r="F4290" s="104"/>
      <c r="G4290" s="108"/>
      <c r="J4290" s="174"/>
      <c r="K4290" s="4"/>
    </row>
    <row r="4291" spans="3:11" x14ac:dyDescent="0.25">
      <c r="C4291" s="108"/>
      <c r="D4291" s="217"/>
      <c r="E4291" s="217"/>
      <c r="F4291" s="104"/>
      <c r="G4291" s="108"/>
      <c r="J4291" s="174"/>
      <c r="K4291" s="4"/>
    </row>
    <row r="4292" spans="3:11" x14ac:dyDescent="0.25">
      <c r="C4292" s="108"/>
      <c r="D4292" s="217"/>
      <c r="E4292" s="217"/>
      <c r="F4292" s="104"/>
      <c r="G4292" s="108"/>
      <c r="J4292" s="174"/>
      <c r="K4292" s="4"/>
    </row>
    <row r="4293" spans="3:11" x14ac:dyDescent="0.25">
      <c r="C4293" s="108"/>
      <c r="D4293" s="217"/>
      <c r="E4293" s="217"/>
      <c r="F4293" s="104"/>
      <c r="G4293" s="108"/>
      <c r="J4293" s="174"/>
      <c r="K4293" s="4"/>
    </row>
    <row r="4294" spans="3:11" x14ac:dyDescent="0.25">
      <c r="C4294" s="108"/>
      <c r="D4294" s="217"/>
      <c r="E4294" s="217"/>
      <c r="F4294" s="104"/>
      <c r="G4294" s="108"/>
      <c r="J4294" s="174"/>
      <c r="K4294" s="4"/>
    </row>
    <row r="4295" spans="3:11" x14ac:dyDescent="0.25">
      <c r="C4295" s="108"/>
      <c r="D4295" s="217"/>
      <c r="E4295" s="217"/>
      <c r="F4295" s="104"/>
      <c r="G4295" s="108"/>
      <c r="J4295" s="174"/>
      <c r="K4295" s="4"/>
    </row>
    <row r="4296" spans="3:11" x14ac:dyDescent="0.25">
      <c r="C4296" s="108"/>
      <c r="D4296" s="217"/>
      <c r="E4296" s="217"/>
      <c r="F4296" s="104"/>
      <c r="G4296" s="108"/>
      <c r="J4296" s="174"/>
      <c r="K4296" s="4"/>
    </row>
    <row r="4297" spans="3:11" x14ac:dyDescent="0.25">
      <c r="C4297" s="108"/>
      <c r="D4297" s="217"/>
      <c r="E4297" s="217"/>
      <c r="F4297" s="104"/>
      <c r="G4297" s="108"/>
      <c r="J4297" s="174"/>
      <c r="K4297" s="4"/>
    </row>
    <row r="4298" spans="3:11" x14ac:dyDescent="0.25">
      <c r="C4298" s="108"/>
      <c r="D4298" s="217"/>
      <c r="E4298" s="217"/>
      <c r="F4298" s="104"/>
      <c r="G4298" s="108"/>
      <c r="J4298" s="174"/>
      <c r="K4298" s="4"/>
    </row>
    <row r="4299" spans="3:11" x14ac:dyDescent="0.25">
      <c r="C4299" s="108"/>
      <c r="D4299" s="217"/>
      <c r="E4299" s="217"/>
      <c r="F4299" s="104"/>
      <c r="G4299" s="108"/>
      <c r="J4299" s="174"/>
      <c r="K4299" s="4"/>
    </row>
    <row r="4300" spans="3:11" x14ac:dyDescent="0.25">
      <c r="C4300" s="108"/>
      <c r="D4300" s="217"/>
      <c r="E4300" s="217"/>
      <c r="F4300" s="104"/>
      <c r="G4300" s="108"/>
      <c r="J4300" s="174"/>
      <c r="K4300" s="4"/>
    </row>
    <row r="4301" spans="3:11" x14ac:dyDescent="0.25">
      <c r="C4301" s="108"/>
      <c r="D4301" s="217"/>
      <c r="E4301" s="217"/>
      <c r="F4301" s="104"/>
      <c r="G4301" s="108"/>
      <c r="J4301" s="174"/>
      <c r="K4301" s="4"/>
    </row>
    <row r="4302" spans="3:11" x14ac:dyDescent="0.25">
      <c r="C4302" s="108"/>
      <c r="D4302" s="217"/>
      <c r="E4302" s="217"/>
      <c r="F4302" s="104"/>
      <c r="G4302" s="108"/>
      <c r="J4302" s="174"/>
      <c r="K4302" s="4"/>
    </row>
    <row r="4303" spans="3:11" x14ac:dyDescent="0.25">
      <c r="C4303" s="108"/>
      <c r="D4303" s="217"/>
      <c r="E4303" s="217"/>
      <c r="F4303" s="104"/>
      <c r="G4303" s="108"/>
      <c r="J4303" s="174"/>
      <c r="K4303" s="4"/>
    </row>
    <row r="4304" spans="3:11" x14ac:dyDescent="0.25">
      <c r="C4304" s="108"/>
      <c r="D4304" s="217"/>
      <c r="E4304" s="217"/>
      <c r="F4304" s="104"/>
      <c r="G4304" s="108"/>
      <c r="J4304" s="174"/>
      <c r="K4304" s="4"/>
    </row>
    <row r="4305" spans="3:11" x14ac:dyDescent="0.25">
      <c r="C4305" s="108"/>
      <c r="D4305" s="217"/>
      <c r="E4305" s="217"/>
      <c r="F4305" s="104"/>
      <c r="G4305" s="108"/>
      <c r="J4305" s="174"/>
      <c r="K4305" s="4"/>
    </row>
    <row r="4306" spans="3:11" x14ac:dyDescent="0.25">
      <c r="C4306" s="108"/>
      <c r="D4306" s="217"/>
      <c r="E4306" s="217"/>
      <c r="F4306" s="104"/>
      <c r="G4306" s="108"/>
      <c r="J4306" s="174"/>
      <c r="K4306" s="4"/>
    </row>
    <row r="4307" spans="3:11" x14ac:dyDescent="0.25">
      <c r="C4307" s="108"/>
      <c r="D4307" s="217"/>
      <c r="E4307" s="217"/>
      <c r="F4307" s="104"/>
      <c r="G4307" s="108"/>
      <c r="J4307" s="174"/>
      <c r="K4307" s="4"/>
    </row>
    <row r="4308" spans="3:11" x14ac:dyDescent="0.25">
      <c r="C4308" s="108"/>
      <c r="D4308" s="217"/>
      <c r="E4308" s="217"/>
      <c r="F4308" s="104"/>
      <c r="G4308" s="108"/>
      <c r="J4308" s="174"/>
      <c r="K4308" s="4"/>
    </row>
    <row r="4309" spans="3:11" x14ac:dyDescent="0.25">
      <c r="C4309" s="108"/>
      <c r="D4309" s="217"/>
      <c r="E4309" s="217"/>
      <c r="F4309" s="104"/>
      <c r="G4309" s="108"/>
      <c r="J4309" s="174"/>
      <c r="K4309" s="4"/>
    </row>
    <row r="4310" spans="3:11" x14ac:dyDescent="0.25">
      <c r="C4310" s="108"/>
      <c r="D4310" s="217"/>
      <c r="E4310" s="217"/>
      <c r="F4310" s="104"/>
      <c r="G4310" s="108"/>
      <c r="J4310" s="174"/>
      <c r="K4310" s="4"/>
    </row>
    <row r="4311" spans="3:11" x14ac:dyDescent="0.25">
      <c r="C4311" s="108"/>
      <c r="D4311" s="217"/>
      <c r="E4311" s="217"/>
      <c r="F4311" s="104"/>
      <c r="G4311" s="108"/>
      <c r="J4311" s="174"/>
      <c r="K4311" s="4"/>
    </row>
    <row r="4312" spans="3:11" x14ac:dyDescent="0.25">
      <c r="C4312" s="108"/>
      <c r="D4312" s="217"/>
      <c r="E4312" s="217"/>
      <c r="F4312" s="104"/>
      <c r="G4312" s="108"/>
      <c r="J4312" s="174"/>
      <c r="K4312" s="4"/>
    </row>
    <row r="4313" spans="3:11" x14ac:dyDescent="0.25">
      <c r="C4313" s="108"/>
      <c r="D4313" s="217"/>
      <c r="E4313" s="217"/>
      <c r="F4313" s="104"/>
      <c r="G4313" s="108"/>
      <c r="J4313" s="174"/>
      <c r="K4313" s="4"/>
    </row>
    <row r="4314" spans="3:11" x14ac:dyDescent="0.25">
      <c r="C4314" s="108"/>
      <c r="D4314" s="217"/>
      <c r="E4314" s="217"/>
      <c r="F4314" s="104"/>
      <c r="G4314" s="108"/>
      <c r="J4314" s="174"/>
      <c r="K4314" s="4"/>
    </row>
    <row r="4315" spans="3:11" x14ac:dyDescent="0.25">
      <c r="C4315" s="108"/>
      <c r="D4315" s="217"/>
      <c r="E4315" s="217"/>
      <c r="F4315" s="104"/>
      <c r="G4315" s="108"/>
      <c r="J4315" s="174"/>
      <c r="K4315" s="4"/>
    </row>
    <row r="4316" spans="3:11" x14ac:dyDescent="0.25">
      <c r="C4316" s="108"/>
      <c r="D4316" s="217"/>
      <c r="E4316" s="217"/>
      <c r="F4316" s="104"/>
      <c r="G4316" s="108"/>
      <c r="J4316" s="174"/>
      <c r="K4316" s="4"/>
    </row>
    <row r="4317" spans="3:11" x14ac:dyDescent="0.25">
      <c r="C4317" s="108"/>
      <c r="D4317" s="217"/>
      <c r="E4317" s="217"/>
      <c r="F4317" s="104"/>
      <c r="G4317" s="108"/>
      <c r="J4317" s="174"/>
      <c r="K4317" s="4"/>
    </row>
    <row r="4318" spans="3:11" x14ac:dyDescent="0.25">
      <c r="C4318" s="108"/>
      <c r="D4318" s="217"/>
      <c r="E4318" s="217"/>
      <c r="F4318" s="104"/>
      <c r="G4318" s="108"/>
      <c r="J4318" s="174"/>
      <c r="K4318" s="4"/>
    </row>
    <row r="4319" spans="3:11" x14ac:dyDescent="0.25">
      <c r="C4319" s="108"/>
      <c r="D4319" s="217"/>
      <c r="E4319" s="217"/>
      <c r="F4319" s="104"/>
      <c r="G4319" s="108"/>
      <c r="J4319" s="174"/>
      <c r="K4319" s="4"/>
    </row>
    <row r="4320" spans="3:11" x14ac:dyDescent="0.25">
      <c r="C4320" s="108"/>
      <c r="D4320" s="217"/>
      <c r="E4320" s="217"/>
      <c r="F4320" s="104"/>
      <c r="G4320" s="108"/>
      <c r="J4320" s="174"/>
      <c r="K4320" s="4"/>
    </row>
    <row r="4321" spans="3:11" x14ac:dyDescent="0.25">
      <c r="C4321" s="108"/>
      <c r="D4321" s="217"/>
      <c r="E4321" s="217"/>
      <c r="F4321" s="104"/>
      <c r="G4321" s="108"/>
      <c r="J4321" s="174"/>
      <c r="K4321" s="4"/>
    </row>
    <row r="4322" spans="3:11" x14ac:dyDescent="0.25">
      <c r="C4322" s="108"/>
      <c r="D4322" s="217"/>
      <c r="E4322" s="217"/>
      <c r="F4322" s="104"/>
      <c r="G4322" s="108"/>
      <c r="J4322" s="174"/>
      <c r="K4322" s="4"/>
    </row>
    <row r="4323" spans="3:11" x14ac:dyDescent="0.25">
      <c r="C4323" s="108"/>
      <c r="D4323" s="217"/>
      <c r="E4323" s="217"/>
      <c r="F4323" s="104"/>
      <c r="G4323" s="108"/>
      <c r="J4323" s="174"/>
      <c r="K4323" s="4"/>
    </row>
    <row r="4324" spans="3:11" x14ac:dyDescent="0.25">
      <c r="C4324" s="108"/>
      <c r="D4324" s="217"/>
      <c r="E4324" s="217"/>
      <c r="F4324" s="104"/>
      <c r="G4324" s="108"/>
      <c r="J4324" s="174"/>
      <c r="K4324" s="4"/>
    </row>
    <row r="4325" spans="3:11" x14ac:dyDescent="0.25">
      <c r="C4325" s="108"/>
      <c r="D4325" s="217"/>
      <c r="E4325" s="217"/>
      <c r="F4325" s="104"/>
      <c r="G4325" s="108"/>
      <c r="J4325" s="174"/>
      <c r="K4325" s="4"/>
    </row>
    <row r="4326" spans="3:11" x14ac:dyDescent="0.25">
      <c r="C4326" s="108"/>
      <c r="D4326" s="217"/>
      <c r="E4326" s="217"/>
      <c r="F4326" s="104"/>
      <c r="G4326" s="108"/>
      <c r="J4326" s="174"/>
      <c r="K4326" s="4"/>
    </row>
    <row r="4327" spans="3:11" x14ac:dyDescent="0.25">
      <c r="C4327" s="108"/>
      <c r="D4327" s="217"/>
      <c r="E4327" s="217"/>
      <c r="F4327" s="104"/>
      <c r="G4327" s="108"/>
      <c r="J4327" s="174"/>
      <c r="K4327" s="4"/>
    </row>
    <row r="4328" spans="3:11" x14ac:dyDescent="0.25">
      <c r="C4328" s="108"/>
      <c r="D4328" s="217"/>
      <c r="E4328" s="217"/>
      <c r="F4328" s="104"/>
      <c r="G4328" s="108"/>
      <c r="J4328" s="174"/>
      <c r="K4328" s="4"/>
    </row>
    <row r="4329" spans="3:11" x14ac:dyDescent="0.25">
      <c r="C4329" s="108"/>
      <c r="D4329" s="217"/>
      <c r="E4329" s="217"/>
      <c r="F4329" s="104"/>
      <c r="G4329" s="108"/>
      <c r="J4329" s="174"/>
      <c r="K4329" s="4"/>
    </row>
    <row r="4330" spans="3:11" x14ac:dyDescent="0.25">
      <c r="C4330" s="108"/>
      <c r="D4330" s="217"/>
      <c r="E4330" s="217"/>
      <c r="F4330" s="104"/>
      <c r="G4330" s="108"/>
      <c r="J4330" s="174"/>
      <c r="K4330" s="4"/>
    </row>
    <row r="4331" spans="3:11" x14ac:dyDescent="0.25">
      <c r="C4331" s="108"/>
      <c r="D4331" s="217"/>
      <c r="E4331" s="217"/>
      <c r="F4331" s="104"/>
      <c r="G4331" s="108"/>
      <c r="J4331" s="174"/>
      <c r="K4331" s="4"/>
    </row>
    <row r="4332" spans="3:11" x14ac:dyDescent="0.25">
      <c r="C4332" s="108"/>
      <c r="D4332" s="217"/>
      <c r="E4332" s="217"/>
      <c r="F4332" s="104"/>
      <c r="G4332" s="108"/>
      <c r="J4332" s="174"/>
      <c r="K4332" s="4"/>
    </row>
    <row r="4333" spans="3:11" x14ac:dyDescent="0.25">
      <c r="C4333" s="108"/>
      <c r="D4333" s="217"/>
      <c r="E4333" s="217"/>
      <c r="F4333" s="104"/>
      <c r="G4333" s="108"/>
      <c r="J4333" s="174"/>
      <c r="K4333" s="4"/>
    </row>
    <row r="4334" spans="3:11" x14ac:dyDescent="0.25">
      <c r="C4334" s="108"/>
      <c r="D4334" s="217"/>
      <c r="E4334" s="217"/>
      <c r="F4334" s="104"/>
      <c r="G4334" s="108"/>
      <c r="J4334" s="174"/>
      <c r="K4334" s="4"/>
    </row>
    <row r="4335" spans="3:11" x14ac:dyDescent="0.25">
      <c r="C4335" s="108"/>
      <c r="D4335" s="217"/>
      <c r="E4335" s="217"/>
      <c r="F4335" s="104"/>
      <c r="G4335" s="108"/>
      <c r="J4335" s="174"/>
      <c r="K4335" s="4"/>
    </row>
    <row r="4336" spans="3:11" x14ac:dyDescent="0.25">
      <c r="C4336" s="108"/>
      <c r="D4336" s="217"/>
      <c r="E4336" s="217"/>
      <c r="F4336" s="104"/>
      <c r="G4336" s="108"/>
      <c r="J4336" s="174"/>
      <c r="K4336" s="4"/>
    </row>
    <row r="4337" spans="3:11" x14ac:dyDescent="0.25">
      <c r="C4337" s="108"/>
      <c r="D4337" s="217"/>
      <c r="E4337" s="217"/>
      <c r="F4337" s="104"/>
      <c r="G4337" s="108"/>
      <c r="J4337" s="174"/>
      <c r="K4337" s="4"/>
    </row>
    <row r="4338" spans="3:11" x14ac:dyDescent="0.25">
      <c r="C4338" s="108"/>
      <c r="D4338" s="217"/>
      <c r="E4338" s="217"/>
      <c r="F4338" s="104"/>
      <c r="G4338" s="108"/>
      <c r="J4338" s="174"/>
      <c r="K4338" s="4"/>
    </row>
    <row r="4339" spans="3:11" x14ac:dyDescent="0.25">
      <c r="C4339" s="108"/>
      <c r="D4339" s="217"/>
      <c r="E4339" s="217"/>
      <c r="F4339" s="104"/>
      <c r="G4339" s="108"/>
      <c r="J4339" s="174"/>
      <c r="K4339" s="4"/>
    </row>
    <row r="4340" spans="3:11" x14ac:dyDescent="0.25">
      <c r="C4340" s="108"/>
      <c r="D4340" s="217"/>
      <c r="E4340" s="217"/>
      <c r="F4340" s="104"/>
      <c r="G4340" s="108"/>
      <c r="J4340" s="174"/>
      <c r="K4340" s="4"/>
    </row>
    <row r="4341" spans="3:11" x14ac:dyDescent="0.25">
      <c r="C4341" s="108"/>
      <c r="D4341" s="217"/>
      <c r="E4341" s="217"/>
      <c r="F4341" s="104"/>
      <c r="G4341" s="108"/>
      <c r="J4341" s="174"/>
      <c r="K4341" s="4"/>
    </row>
    <row r="4342" spans="3:11" x14ac:dyDescent="0.25">
      <c r="C4342" s="108"/>
      <c r="D4342" s="217"/>
      <c r="E4342" s="217"/>
      <c r="F4342" s="104"/>
      <c r="G4342" s="108"/>
      <c r="J4342" s="174"/>
      <c r="K4342" s="4"/>
    </row>
    <row r="4343" spans="3:11" x14ac:dyDescent="0.25">
      <c r="C4343" s="108"/>
      <c r="D4343" s="217"/>
      <c r="E4343" s="217"/>
      <c r="F4343" s="104"/>
      <c r="G4343" s="108"/>
      <c r="J4343" s="174"/>
      <c r="K4343" s="4"/>
    </row>
    <row r="4344" spans="3:11" x14ac:dyDescent="0.25">
      <c r="C4344" s="108"/>
      <c r="D4344" s="217"/>
      <c r="E4344" s="217"/>
      <c r="F4344" s="104"/>
      <c r="G4344" s="108"/>
      <c r="J4344" s="174"/>
      <c r="K4344" s="4"/>
    </row>
    <row r="4345" spans="3:11" x14ac:dyDescent="0.25">
      <c r="C4345" s="108"/>
      <c r="D4345" s="217"/>
      <c r="E4345" s="217"/>
      <c r="F4345" s="104"/>
      <c r="G4345" s="108"/>
      <c r="J4345" s="174"/>
      <c r="K4345" s="4"/>
    </row>
    <row r="4346" spans="3:11" x14ac:dyDescent="0.25">
      <c r="C4346" s="108"/>
      <c r="D4346" s="217"/>
      <c r="E4346" s="217"/>
      <c r="F4346" s="104"/>
      <c r="G4346" s="108"/>
      <c r="J4346" s="174"/>
      <c r="K4346" s="4"/>
    </row>
    <row r="4347" spans="3:11" x14ac:dyDescent="0.25">
      <c r="C4347" s="108"/>
      <c r="D4347" s="217"/>
      <c r="E4347" s="217"/>
      <c r="F4347" s="104"/>
      <c r="G4347" s="108"/>
      <c r="J4347" s="174"/>
      <c r="K4347" s="4"/>
    </row>
    <row r="4348" spans="3:11" x14ac:dyDescent="0.25">
      <c r="C4348" s="108"/>
      <c r="D4348" s="217"/>
      <c r="E4348" s="217"/>
      <c r="F4348" s="104"/>
      <c r="G4348" s="108"/>
      <c r="J4348" s="174"/>
      <c r="K4348" s="4"/>
    </row>
    <row r="4349" spans="3:11" x14ac:dyDescent="0.25">
      <c r="C4349" s="108"/>
      <c r="D4349" s="217"/>
      <c r="E4349" s="217"/>
      <c r="F4349" s="104"/>
      <c r="G4349" s="108"/>
      <c r="J4349" s="174"/>
      <c r="K4349" s="4"/>
    </row>
    <row r="4350" spans="3:11" x14ac:dyDescent="0.25">
      <c r="C4350" s="108"/>
      <c r="D4350" s="217"/>
      <c r="E4350" s="217"/>
      <c r="F4350" s="104"/>
      <c r="G4350" s="108"/>
      <c r="J4350" s="174"/>
      <c r="K4350" s="4"/>
    </row>
    <row r="4351" spans="3:11" x14ac:dyDescent="0.25">
      <c r="C4351" s="108"/>
      <c r="D4351" s="217"/>
      <c r="E4351" s="217"/>
      <c r="F4351" s="104"/>
      <c r="G4351" s="108"/>
      <c r="J4351" s="174"/>
      <c r="K4351" s="4"/>
    </row>
    <row r="4352" spans="3:11" x14ac:dyDescent="0.25">
      <c r="C4352" s="108"/>
      <c r="D4352" s="217"/>
      <c r="E4352" s="217"/>
      <c r="F4352" s="104"/>
      <c r="G4352" s="108"/>
      <c r="J4352" s="174"/>
      <c r="K4352" s="4"/>
    </row>
    <row r="4353" spans="3:11" x14ac:dyDescent="0.25">
      <c r="C4353" s="108"/>
      <c r="D4353" s="217"/>
      <c r="E4353" s="217"/>
      <c r="F4353" s="104"/>
      <c r="G4353" s="108"/>
      <c r="J4353" s="174"/>
      <c r="K4353" s="4"/>
    </row>
    <row r="4354" spans="3:11" x14ac:dyDescent="0.25">
      <c r="C4354" s="108"/>
      <c r="D4354" s="217"/>
      <c r="E4354" s="217"/>
      <c r="F4354" s="104"/>
      <c r="G4354" s="108"/>
      <c r="J4354" s="174"/>
      <c r="K4354" s="4"/>
    </row>
    <row r="4355" spans="3:11" x14ac:dyDescent="0.25">
      <c r="C4355" s="108"/>
      <c r="D4355" s="217"/>
      <c r="E4355" s="217"/>
      <c r="F4355" s="104"/>
      <c r="G4355" s="108"/>
      <c r="J4355" s="174"/>
      <c r="K4355" s="4"/>
    </row>
    <row r="4356" spans="3:11" x14ac:dyDescent="0.25">
      <c r="C4356" s="108"/>
      <c r="D4356" s="217"/>
      <c r="E4356" s="217"/>
      <c r="F4356" s="104"/>
      <c r="G4356" s="108"/>
      <c r="J4356" s="174"/>
      <c r="K4356" s="4"/>
    </row>
    <row r="4357" spans="3:11" x14ac:dyDescent="0.25">
      <c r="C4357" s="108"/>
      <c r="D4357" s="217"/>
      <c r="E4357" s="217"/>
      <c r="F4357" s="104"/>
      <c r="G4357" s="108"/>
      <c r="J4357" s="174"/>
      <c r="K4357" s="4"/>
    </row>
    <row r="4358" spans="3:11" x14ac:dyDescent="0.25">
      <c r="C4358" s="108"/>
      <c r="D4358" s="217"/>
      <c r="E4358" s="217"/>
      <c r="F4358" s="104"/>
      <c r="G4358" s="108"/>
      <c r="J4358" s="174"/>
      <c r="K4358" s="4"/>
    </row>
    <row r="4359" spans="3:11" x14ac:dyDescent="0.25">
      <c r="C4359" s="108"/>
      <c r="D4359" s="217"/>
      <c r="E4359" s="217"/>
      <c r="F4359" s="104"/>
      <c r="G4359" s="108"/>
      <c r="J4359" s="174"/>
      <c r="K4359" s="4"/>
    </row>
    <row r="4360" spans="3:11" x14ac:dyDescent="0.25">
      <c r="C4360" s="108"/>
      <c r="D4360" s="217"/>
      <c r="E4360" s="217"/>
      <c r="F4360" s="104"/>
      <c r="G4360" s="108"/>
      <c r="J4360" s="174"/>
      <c r="K4360" s="4"/>
    </row>
    <row r="4361" spans="3:11" x14ac:dyDescent="0.25">
      <c r="C4361" s="108"/>
      <c r="D4361" s="217"/>
      <c r="E4361" s="217"/>
      <c r="F4361" s="104"/>
      <c r="G4361" s="108"/>
      <c r="J4361" s="174"/>
      <c r="K4361" s="4"/>
    </row>
    <row r="4362" spans="3:11" x14ac:dyDescent="0.25">
      <c r="C4362" s="108"/>
      <c r="D4362" s="217"/>
      <c r="E4362" s="217"/>
      <c r="F4362" s="104"/>
      <c r="G4362" s="108"/>
      <c r="J4362" s="174"/>
      <c r="K4362" s="4"/>
    </row>
    <row r="4363" spans="3:11" x14ac:dyDescent="0.25">
      <c r="C4363" s="108"/>
      <c r="D4363" s="217"/>
      <c r="E4363" s="217"/>
      <c r="F4363" s="104"/>
      <c r="G4363" s="108"/>
      <c r="J4363" s="174"/>
      <c r="K4363" s="4"/>
    </row>
    <row r="4364" spans="3:11" x14ac:dyDescent="0.25">
      <c r="C4364" s="108"/>
      <c r="D4364" s="217"/>
      <c r="E4364" s="217"/>
      <c r="F4364" s="104"/>
      <c r="G4364" s="108"/>
      <c r="J4364" s="174"/>
      <c r="K4364" s="4"/>
    </row>
    <row r="4365" spans="3:11" x14ac:dyDescent="0.25">
      <c r="C4365" s="108"/>
      <c r="D4365" s="217"/>
      <c r="E4365" s="217"/>
      <c r="F4365" s="104"/>
      <c r="G4365" s="108"/>
      <c r="J4365" s="174"/>
      <c r="K4365" s="4"/>
    </row>
    <row r="4366" spans="3:11" x14ac:dyDescent="0.25">
      <c r="C4366" s="108"/>
      <c r="D4366" s="217"/>
      <c r="E4366" s="217"/>
      <c r="F4366" s="104"/>
      <c r="G4366" s="108"/>
      <c r="J4366" s="174"/>
      <c r="K4366" s="4"/>
    </row>
    <row r="4367" spans="3:11" x14ac:dyDescent="0.25">
      <c r="C4367" s="108"/>
      <c r="D4367" s="217"/>
      <c r="E4367" s="217"/>
      <c r="F4367" s="104"/>
      <c r="G4367" s="108"/>
      <c r="J4367" s="174"/>
      <c r="K4367" s="4"/>
    </row>
    <row r="4368" spans="3:11" x14ac:dyDescent="0.25">
      <c r="C4368" s="108"/>
      <c r="D4368" s="217"/>
      <c r="E4368" s="217"/>
      <c r="F4368" s="104"/>
      <c r="G4368" s="108"/>
      <c r="J4368" s="174"/>
      <c r="K4368" s="4"/>
    </row>
    <row r="4369" spans="3:11" x14ac:dyDescent="0.25">
      <c r="C4369" s="108"/>
      <c r="D4369" s="217"/>
      <c r="E4369" s="217"/>
      <c r="F4369" s="104"/>
      <c r="G4369" s="108"/>
      <c r="J4369" s="174"/>
      <c r="K4369" s="4"/>
    </row>
    <row r="4370" spans="3:11" x14ac:dyDescent="0.25">
      <c r="C4370" s="108"/>
      <c r="D4370" s="217"/>
      <c r="E4370" s="217"/>
      <c r="F4370" s="104"/>
      <c r="G4370" s="108"/>
      <c r="J4370" s="174"/>
      <c r="K4370" s="4"/>
    </row>
    <row r="4371" spans="3:11" x14ac:dyDescent="0.25">
      <c r="C4371" s="108"/>
      <c r="D4371" s="217"/>
      <c r="E4371" s="217"/>
      <c r="F4371" s="104"/>
      <c r="G4371" s="108"/>
      <c r="J4371" s="174"/>
      <c r="K4371" s="4"/>
    </row>
    <row r="4372" spans="3:11" x14ac:dyDescent="0.25">
      <c r="C4372" s="108"/>
      <c r="D4372" s="217"/>
      <c r="E4372" s="217"/>
      <c r="F4372" s="104"/>
      <c r="G4372" s="108"/>
      <c r="J4372" s="174"/>
      <c r="K4372" s="4"/>
    </row>
    <row r="4373" spans="3:11" x14ac:dyDescent="0.25">
      <c r="C4373" s="108"/>
      <c r="D4373" s="217"/>
      <c r="E4373" s="217"/>
      <c r="F4373" s="104"/>
      <c r="G4373" s="108"/>
      <c r="J4373" s="174"/>
      <c r="K4373" s="4"/>
    </row>
    <row r="4374" spans="3:11" x14ac:dyDescent="0.25">
      <c r="C4374" s="108"/>
      <c r="D4374" s="217"/>
      <c r="E4374" s="217"/>
      <c r="F4374" s="104"/>
      <c r="G4374" s="108"/>
      <c r="J4374" s="174"/>
      <c r="K4374" s="4"/>
    </row>
    <row r="4375" spans="3:11" x14ac:dyDescent="0.25">
      <c r="C4375" s="108"/>
      <c r="D4375" s="217"/>
      <c r="E4375" s="217"/>
      <c r="F4375" s="104"/>
      <c r="G4375" s="108"/>
      <c r="J4375" s="174"/>
      <c r="K4375" s="4"/>
    </row>
    <row r="4376" spans="3:11" x14ac:dyDescent="0.25">
      <c r="C4376" s="108"/>
      <c r="D4376" s="217"/>
      <c r="E4376" s="217"/>
      <c r="F4376" s="104"/>
      <c r="G4376" s="108"/>
      <c r="J4376" s="174"/>
      <c r="K4376" s="4"/>
    </row>
    <row r="4377" spans="3:11" x14ac:dyDescent="0.25">
      <c r="C4377" s="108"/>
      <c r="D4377" s="217"/>
      <c r="E4377" s="217"/>
      <c r="F4377" s="104"/>
      <c r="G4377" s="108"/>
      <c r="J4377" s="174"/>
      <c r="K4377" s="4"/>
    </row>
    <row r="4378" spans="3:11" x14ac:dyDescent="0.25">
      <c r="C4378" s="108"/>
      <c r="D4378" s="217"/>
      <c r="E4378" s="217"/>
      <c r="F4378" s="104"/>
      <c r="G4378" s="108"/>
      <c r="J4378" s="174"/>
      <c r="K4378" s="4"/>
    </row>
    <row r="4379" spans="3:11" x14ac:dyDescent="0.25">
      <c r="C4379" s="108"/>
      <c r="D4379" s="217"/>
      <c r="E4379" s="217"/>
      <c r="F4379" s="104"/>
      <c r="G4379" s="108"/>
      <c r="J4379" s="174"/>
      <c r="K4379" s="4"/>
    </row>
    <row r="4380" spans="3:11" x14ac:dyDescent="0.25">
      <c r="C4380" s="108"/>
      <c r="D4380" s="217"/>
      <c r="E4380" s="217"/>
      <c r="F4380" s="104"/>
      <c r="G4380" s="108"/>
      <c r="J4380" s="174"/>
      <c r="K4380" s="4"/>
    </row>
    <row r="4381" spans="3:11" x14ac:dyDescent="0.25">
      <c r="C4381" s="108"/>
      <c r="D4381" s="217"/>
      <c r="E4381" s="217"/>
      <c r="F4381" s="104"/>
      <c r="G4381" s="108"/>
      <c r="J4381" s="174"/>
      <c r="K4381" s="4"/>
    </row>
    <row r="4382" spans="3:11" x14ac:dyDescent="0.25">
      <c r="C4382" s="108"/>
      <c r="D4382" s="217"/>
      <c r="E4382" s="217"/>
      <c r="F4382" s="104"/>
      <c r="G4382" s="108"/>
      <c r="J4382" s="174"/>
      <c r="K4382" s="4"/>
    </row>
    <row r="4383" spans="3:11" x14ac:dyDescent="0.25">
      <c r="C4383" s="108"/>
      <c r="D4383" s="217"/>
      <c r="E4383" s="217"/>
      <c r="F4383" s="104"/>
      <c r="G4383" s="108"/>
      <c r="J4383" s="174"/>
      <c r="K4383" s="4"/>
    </row>
    <row r="4384" spans="3:11" x14ac:dyDescent="0.25">
      <c r="C4384" s="108"/>
      <c r="D4384" s="217"/>
      <c r="E4384" s="217"/>
      <c r="F4384" s="104"/>
      <c r="G4384" s="108"/>
      <c r="J4384" s="174"/>
      <c r="K4384" s="4"/>
    </row>
    <row r="4385" spans="3:11" x14ac:dyDescent="0.25">
      <c r="C4385" s="108"/>
      <c r="D4385" s="217"/>
      <c r="E4385" s="217"/>
      <c r="F4385" s="104"/>
      <c r="G4385" s="108"/>
      <c r="J4385" s="174"/>
      <c r="K4385" s="4"/>
    </row>
    <row r="4386" spans="3:11" x14ac:dyDescent="0.25">
      <c r="C4386" s="108"/>
      <c r="D4386" s="217"/>
      <c r="E4386" s="217"/>
      <c r="F4386" s="104"/>
      <c r="G4386" s="108"/>
      <c r="J4386" s="174"/>
      <c r="K4386" s="4"/>
    </row>
    <row r="4387" spans="3:11" x14ac:dyDescent="0.25">
      <c r="C4387" s="108"/>
      <c r="D4387" s="217"/>
      <c r="E4387" s="217"/>
      <c r="F4387" s="104"/>
      <c r="G4387" s="108"/>
      <c r="J4387" s="174"/>
      <c r="K4387" s="4"/>
    </row>
    <row r="4388" spans="3:11" x14ac:dyDescent="0.25">
      <c r="C4388" s="108"/>
      <c r="D4388" s="217"/>
      <c r="E4388" s="217"/>
      <c r="F4388" s="104"/>
      <c r="G4388" s="108"/>
      <c r="J4388" s="174"/>
      <c r="K4388" s="4"/>
    </row>
    <row r="4389" spans="3:11" x14ac:dyDescent="0.25">
      <c r="C4389" s="108"/>
      <c r="D4389" s="217"/>
      <c r="E4389" s="217"/>
      <c r="F4389" s="104"/>
      <c r="G4389" s="108"/>
      <c r="J4389" s="174"/>
      <c r="K4389" s="4"/>
    </row>
    <row r="4390" spans="3:11" x14ac:dyDescent="0.25">
      <c r="C4390" s="108"/>
      <c r="D4390" s="217"/>
      <c r="E4390" s="217"/>
      <c r="F4390" s="104"/>
      <c r="G4390" s="108"/>
      <c r="J4390" s="174"/>
      <c r="K4390" s="4"/>
    </row>
    <row r="4391" spans="3:11" x14ac:dyDescent="0.25">
      <c r="C4391" s="108"/>
      <c r="D4391" s="217"/>
      <c r="E4391" s="217"/>
      <c r="F4391" s="104"/>
      <c r="G4391" s="108"/>
      <c r="J4391" s="174"/>
      <c r="K4391" s="4"/>
    </row>
    <row r="4392" spans="3:11" x14ac:dyDescent="0.25">
      <c r="C4392" s="108"/>
      <c r="D4392" s="217"/>
      <c r="E4392" s="217"/>
      <c r="F4392" s="104"/>
      <c r="G4392" s="108"/>
      <c r="J4392" s="174"/>
      <c r="K4392" s="4"/>
    </row>
    <row r="4393" spans="3:11" x14ac:dyDescent="0.25">
      <c r="C4393" s="108"/>
      <c r="D4393" s="217"/>
      <c r="E4393" s="217"/>
      <c r="F4393" s="104"/>
      <c r="G4393" s="108"/>
      <c r="J4393" s="174"/>
      <c r="K4393" s="4"/>
    </row>
    <row r="4394" spans="3:11" x14ac:dyDescent="0.25">
      <c r="C4394" s="108"/>
      <c r="D4394" s="217"/>
      <c r="E4394" s="217"/>
      <c r="F4394" s="104"/>
      <c r="G4394" s="108"/>
      <c r="J4394" s="174"/>
      <c r="K4394" s="4"/>
    </row>
    <row r="4395" spans="3:11" x14ac:dyDescent="0.25">
      <c r="C4395" s="108"/>
      <c r="D4395" s="217"/>
      <c r="E4395" s="217"/>
      <c r="F4395" s="104"/>
      <c r="G4395" s="108"/>
      <c r="J4395" s="174"/>
      <c r="K4395" s="4"/>
    </row>
    <row r="4396" spans="3:11" x14ac:dyDescent="0.25">
      <c r="C4396" s="108"/>
      <c r="D4396" s="217"/>
      <c r="E4396" s="217"/>
      <c r="F4396" s="104"/>
      <c r="G4396" s="108"/>
      <c r="J4396" s="174"/>
      <c r="K4396" s="4"/>
    </row>
    <row r="4397" spans="3:11" x14ac:dyDescent="0.25">
      <c r="C4397" s="108"/>
      <c r="D4397" s="217"/>
      <c r="E4397" s="217"/>
      <c r="F4397" s="104"/>
      <c r="G4397" s="108"/>
      <c r="J4397" s="174"/>
      <c r="K4397" s="4"/>
    </row>
    <row r="4398" spans="3:11" x14ac:dyDescent="0.25">
      <c r="C4398" s="108"/>
      <c r="D4398" s="217"/>
      <c r="E4398" s="217"/>
      <c r="F4398" s="104"/>
      <c r="G4398" s="108"/>
      <c r="J4398" s="174"/>
      <c r="K4398" s="4"/>
    </row>
    <row r="4399" spans="3:11" x14ac:dyDescent="0.25">
      <c r="C4399" s="108"/>
      <c r="D4399" s="217"/>
      <c r="E4399" s="217"/>
      <c r="F4399" s="104"/>
      <c r="G4399" s="108"/>
      <c r="J4399" s="174"/>
      <c r="K4399" s="4"/>
    </row>
    <row r="4400" spans="3:11" x14ac:dyDescent="0.25">
      <c r="C4400" s="108"/>
      <c r="D4400" s="217"/>
      <c r="E4400" s="217"/>
      <c r="F4400" s="104"/>
      <c r="G4400" s="108"/>
      <c r="J4400" s="174"/>
      <c r="K4400" s="4"/>
    </row>
    <row r="4401" spans="3:11" x14ac:dyDescent="0.25">
      <c r="C4401" s="108"/>
      <c r="D4401" s="217"/>
      <c r="E4401" s="217"/>
      <c r="F4401" s="104"/>
      <c r="G4401" s="108"/>
      <c r="J4401" s="174"/>
      <c r="K4401" s="4"/>
    </row>
    <row r="4402" spans="3:11" x14ac:dyDescent="0.25">
      <c r="C4402" s="108"/>
      <c r="D4402" s="217"/>
      <c r="E4402" s="217"/>
      <c r="F4402" s="104"/>
      <c r="G4402" s="108"/>
      <c r="J4402" s="174"/>
      <c r="K4402" s="4"/>
    </row>
    <row r="4403" spans="3:11" x14ac:dyDescent="0.25">
      <c r="C4403" s="108"/>
      <c r="D4403" s="217"/>
      <c r="E4403" s="217"/>
      <c r="F4403" s="104"/>
      <c r="G4403" s="108"/>
      <c r="J4403" s="174"/>
      <c r="K4403" s="4"/>
    </row>
    <row r="4404" spans="3:11" x14ac:dyDescent="0.25">
      <c r="C4404" s="108"/>
      <c r="D4404" s="217"/>
      <c r="E4404" s="217"/>
      <c r="F4404" s="104"/>
      <c r="G4404" s="108"/>
      <c r="J4404" s="174"/>
      <c r="K4404" s="4"/>
    </row>
    <row r="4405" spans="3:11" x14ac:dyDescent="0.25">
      <c r="C4405" s="108"/>
      <c r="D4405" s="217"/>
      <c r="E4405" s="217"/>
      <c r="F4405" s="104"/>
      <c r="G4405" s="108"/>
      <c r="J4405" s="174"/>
      <c r="K4405" s="4"/>
    </row>
    <row r="4406" spans="3:11" x14ac:dyDescent="0.25">
      <c r="C4406" s="108"/>
      <c r="D4406" s="217"/>
      <c r="E4406" s="217"/>
      <c r="F4406" s="104"/>
      <c r="G4406" s="108"/>
      <c r="J4406" s="174"/>
      <c r="K4406" s="4"/>
    </row>
    <row r="4407" spans="3:11" x14ac:dyDescent="0.25">
      <c r="C4407" s="108"/>
      <c r="D4407" s="217"/>
      <c r="E4407" s="217"/>
      <c r="F4407" s="104"/>
      <c r="G4407" s="108"/>
      <c r="J4407" s="174"/>
      <c r="K4407" s="4"/>
    </row>
    <row r="4408" spans="3:11" x14ac:dyDescent="0.25">
      <c r="C4408" s="108"/>
      <c r="D4408" s="217"/>
      <c r="E4408" s="217"/>
      <c r="F4408" s="104"/>
      <c r="G4408" s="108"/>
      <c r="J4408" s="174"/>
      <c r="K4408" s="4"/>
    </row>
    <row r="4409" spans="3:11" x14ac:dyDescent="0.25">
      <c r="C4409" s="108"/>
      <c r="D4409" s="217"/>
      <c r="E4409" s="217"/>
      <c r="F4409" s="104"/>
      <c r="G4409" s="108"/>
      <c r="J4409" s="174"/>
      <c r="K4409" s="4"/>
    </row>
    <row r="4410" spans="3:11" x14ac:dyDescent="0.25">
      <c r="C4410" s="108"/>
      <c r="D4410" s="217"/>
      <c r="E4410" s="217"/>
      <c r="F4410" s="104"/>
      <c r="G4410" s="108"/>
      <c r="J4410" s="174"/>
      <c r="K4410" s="4"/>
    </row>
    <row r="4411" spans="3:11" x14ac:dyDescent="0.25">
      <c r="C4411" s="108"/>
      <c r="D4411" s="217"/>
      <c r="E4411" s="217"/>
      <c r="F4411" s="104"/>
      <c r="G4411" s="108"/>
      <c r="J4411" s="174"/>
      <c r="K4411" s="4"/>
    </row>
    <row r="4412" spans="3:11" x14ac:dyDescent="0.25">
      <c r="C4412" s="108"/>
      <c r="D4412" s="217"/>
      <c r="E4412" s="217"/>
      <c r="F4412" s="104"/>
      <c r="G4412" s="108"/>
      <c r="J4412" s="174"/>
      <c r="K4412" s="4"/>
    </row>
    <row r="4413" spans="3:11" x14ac:dyDescent="0.25">
      <c r="C4413" s="108"/>
      <c r="D4413" s="217"/>
      <c r="E4413" s="217"/>
      <c r="F4413" s="104"/>
      <c r="G4413" s="108"/>
      <c r="J4413" s="174"/>
      <c r="K4413" s="4"/>
    </row>
    <row r="4414" spans="3:11" x14ac:dyDescent="0.25">
      <c r="C4414" s="108"/>
      <c r="D4414" s="217"/>
      <c r="E4414" s="217"/>
      <c r="F4414" s="104"/>
      <c r="G4414" s="108"/>
      <c r="J4414" s="174"/>
      <c r="K4414" s="4"/>
    </row>
    <row r="4415" spans="3:11" x14ac:dyDescent="0.25">
      <c r="C4415" s="108"/>
      <c r="D4415" s="217"/>
      <c r="E4415" s="217"/>
      <c r="F4415" s="104"/>
      <c r="G4415" s="108"/>
      <c r="J4415" s="174"/>
      <c r="K4415" s="4"/>
    </row>
    <row r="4416" spans="3:11" x14ac:dyDescent="0.25">
      <c r="C4416" s="108"/>
      <c r="D4416" s="217"/>
      <c r="E4416" s="217"/>
      <c r="F4416" s="104"/>
      <c r="G4416" s="108"/>
      <c r="J4416" s="174"/>
      <c r="K4416" s="4"/>
    </row>
    <row r="4417" spans="3:11" x14ac:dyDescent="0.25">
      <c r="C4417" s="108"/>
      <c r="D4417" s="217"/>
      <c r="E4417" s="217"/>
      <c r="F4417" s="104"/>
      <c r="G4417" s="108"/>
      <c r="J4417" s="174"/>
      <c r="K4417" s="4"/>
    </row>
    <row r="4418" spans="3:11" x14ac:dyDescent="0.25">
      <c r="C4418" s="108"/>
      <c r="D4418" s="217"/>
      <c r="E4418" s="217"/>
      <c r="F4418" s="104"/>
      <c r="G4418" s="108"/>
      <c r="J4418" s="174"/>
      <c r="K4418" s="4"/>
    </row>
    <row r="4419" spans="3:11" x14ac:dyDescent="0.25">
      <c r="C4419" s="108"/>
      <c r="D4419" s="217"/>
      <c r="E4419" s="217"/>
      <c r="F4419" s="104"/>
      <c r="G4419" s="108"/>
      <c r="J4419" s="174"/>
      <c r="K4419" s="4"/>
    </row>
    <row r="4420" spans="3:11" x14ac:dyDescent="0.25">
      <c r="C4420" s="108"/>
      <c r="D4420" s="217"/>
      <c r="E4420" s="217"/>
      <c r="F4420" s="104"/>
      <c r="G4420" s="108"/>
      <c r="J4420" s="174"/>
      <c r="K4420" s="4"/>
    </row>
    <row r="4421" spans="3:11" x14ac:dyDescent="0.25">
      <c r="C4421" s="108"/>
      <c r="D4421" s="217"/>
      <c r="E4421" s="217"/>
      <c r="F4421" s="104"/>
      <c r="G4421" s="108"/>
      <c r="J4421" s="174"/>
      <c r="K4421" s="4"/>
    </row>
    <row r="4422" spans="3:11" x14ac:dyDescent="0.25">
      <c r="C4422" s="108"/>
      <c r="D4422" s="217"/>
      <c r="E4422" s="217"/>
      <c r="F4422" s="104"/>
      <c r="G4422" s="108"/>
      <c r="J4422" s="174"/>
      <c r="K4422" s="4"/>
    </row>
    <row r="4423" spans="3:11" x14ac:dyDescent="0.25">
      <c r="C4423" s="108"/>
      <c r="D4423" s="217"/>
      <c r="E4423" s="217"/>
      <c r="F4423" s="104"/>
      <c r="G4423" s="108"/>
      <c r="J4423" s="174"/>
      <c r="K4423" s="4"/>
    </row>
    <row r="4424" spans="3:11" x14ac:dyDescent="0.25">
      <c r="C4424" s="108"/>
      <c r="D4424" s="217"/>
      <c r="E4424" s="217"/>
      <c r="F4424" s="104"/>
      <c r="G4424" s="108"/>
      <c r="J4424" s="174"/>
      <c r="K4424" s="4"/>
    </row>
    <row r="4425" spans="3:11" x14ac:dyDescent="0.25">
      <c r="C4425" s="108"/>
      <c r="D4425" s="217"/>
      <c r="E4425" s="217"/>
      <c r="F4425" s="104"/>
      <c r="G4425" s="108"/>
      <c r="J4425" s="174"/>
      <c r="K4425" s="4"/>
    </row>
    <row r="4426" spans="3:11" x14ac:dyDescent="0.25">
      <c r="C4426" s="108"/>
      <c r="D4426" s="217"/>
      <c r="E4426" s="217"/>
      <c r="F4426" s="104"/>
      <c r="G4426" s="108"/>
      <c r="J4426" s="174"/>
      <c r="K4426" s="4"/>
    </row>
    <row r="4427" spans="3:11" x14ac:dyDescent="0.25">
      <c r="C4427" s="108"/>
      <c r="D4427" s="217"/>
      <c r="E4427" s="217"/>
      <c r="F4427" s="104"/>
      <c r="G4427" s="108"/>
      <c r="J4427" s="174"/>
      <c r="K4427" s="4"/>
    </row>
    <row r="4428" spans="3:11" x14ac:dyDescent="0.25">
      <c r="C4428" s="108"/>
      <c r="D4428" s="217"/>
      <c r="E4428" s="217"/>
      <c r="F4428" s="104"/>
      <c r="G4428" s="108"/>
      <c r="J4428" s="174"/>
      <c r="K4428" s="4"/>
    </row>
    <row r="4429" spans="3:11" x14ac:dyDescent="0.25">
      <c r="C4429" s="108"/>
      <c r="D4429" s="217"/>
      <c r="E4429" s="217"/>
      <c r="F4429" s="104"/>
      <c r="G4429" s="108"/>
      <c r="J4429" s="174"/>
      <c r="K4429" s="4"/>
    </row>
    <row r="4430" spans="3:11" x14ac:dyDescent="0.25">
      <c r="C4430" s="108"/>
      <c r="D4430" s="217"/>
      <c r="E4430" s="217"/>
      <c r="F4430" s="104"/>
      <c r="G4430" s="108"/>
      <c r="J4430" s="174"/>
      <c r="K4430" s="4"/>
    </row>
    <row r="4431" spans="3:11" x14ac:dyDescent="0.25">
      <c r="C4431" s="108"/>
      <c r="D4431" s="217"/>
      <c r="E4431" s="217"/>
      <c r="F4431" s="104"/>
      <c r="G4431" s="108"/>
      <c r="J4431" s="174"/>
      <c r="K4431" s="4"/>
    </row>
    <row r="4432" spans="3:11" x14ac:dyDescent="0.25">
      <c r="C4432" s="108"/>
      <c r="D4432" s="217"/>
      <c r="E4432" s="217"/>
      <c r="F4432" s="104"/>
      <c r="G4432" s="108"/>
      <c r="J4432" s="174"/>
      <c r="K4432" s="4"/>
    </row>
    <row r="4433" spans="3:11" x14ac:dyDescent="0.25">
      <c r="C4433" s="108"/>
      <c r="D4433" s="217"/>
      <c r="E4433" s="217"/>
      <c r="F4433" s="104"/>
      <c r="G4433" s="108"/>
      <c r="J4433" s="174"/>
      <c r="K4433" s="4"/>
    </row>
    <row r="4434" spans="3:11" x14ac:dyDescent="0.25">
      <c r="C4434" s="108"/>
      <c r="D4434" s="217"/>
      <c r="E4434" s="217"/>
      <c r="F4434" s="104"/>
      <c r="G4434" s="108"/>
      <c r="J4434" s="174"/>
      <c r="K4434" s="4"/>
    </row>
    <row r="4435" spans="3:11" x14ac:dyDescent="0.25">
      <c r="C4435" s="108"/>
      <c r="D4435" s="217"/>
      <c r="E4435" s="217"/>
      <c r="F4435" s="104"/>
      <c r="G4435" s="108"/>
      <c r="J4435" s="174"/>
      <c r="K4435" s="4"/>
    </row>
    <row r="4436" spans="3:11" x14ac:dyDescent="0.25">
      <c r="C4436" s="108"/>
      <c r="D4436" s="217"/>
      <c r="E4436" s="217"/>
      <c r="F4436" s="104"/>
      <c r="G4436" s="108"/>
      <c r="J4436" s="174"/>
      <c r="K4436" s="4"/>
    </row>
    <row r="4437" spans="3:11" x14ac:dyDescent="0.25">
      <c r="C4437" s="108"/>
      <c r="D4437" s="217"/>
      <c r="E4437" s="217"/>
      <c r="F4437" s="104"/>
      <c r="G4437" s="108"/>
      <c r="J4437" s="174"/>
      <c r="K4437" s="4"/>
    </row>
    <row r="4438" spans="3:11" x14ac:dyDescent="0.25">
      <c r="C4438" s="108"/>
      <c r="D4438" s="217"/>
      <c r="E4438" s="217"/>
      <c r="F4438" s="104"/>
      <c r="G4438" s="108"/>
      <c r="J4438" s="174"/>
      <c r="K4438" s="4"/>
    </row>
    <row r="4439" spans="3:11" x14ac:dyDescent="0.25">
      <c r="C4439" s="108"/>
      <c r="D4439" s="217"/>
      <c r="E4439" s="217"/>
      <c r="F4439" s="104"/>
      <c r="G4439" s="108"/>
      <c r="J4439" s="174"/>
      <c r="K4439" s="4"/>
    </row>
    <row r="4440" spans="3:11" x14ac:dyDescent="0.25">
      <c r="C4440" s="108"/>
      <c r="D4440" s="217"/>
      <c r="E4440" s="217"/>
      <c r="F4440" s="104"/>
      <c r="G4440" s="108"/>
      <c r="J4440" s="174"/>
      <c r="K4440" s="4"/>
    </row>
    <row r="4441" spans="3:11" x14ac:dyDescent="0.25">
      <c r="C4441" s="108"/>
      <c r="D4441" s="217"/>
      <c r="E4441" s="217"/>
      <c r="F4441" s="104"/>
      <c r="G4441" s="108"/>
      <c r="J4441" s="174"/>
      <c r="K4441" s="4"/>
    </row>
    <row r="4442" spans="3:11" x14ac:dyDescent="0.25">
      <c r="C4442" s="108"/>
      <c r="D4442" s="217"/>
      <c r="E4442" s="217"/>
      <c r="F4442" s="104"/>
      <c r="G4442" s="108"/>
      <c r="J4442" s="174"/>
      <c r="K4442" s="4"/>
    </row>
    <row r="4443" spans="3:11" x14ac:dyDescent="0.25">
      <c r="C4443" s="108"/>
      <c r="D4443" s="217"/>
      <c r="E4443" s="217"/>
      <c r="F4443" s="104"/>
      <c r="G4443" s="108"/>
      <c r="J4443" s="174"/>
      <c r="K4443" s="4"/>
    </row>
    <row r="4444" spans="3:11" x14ac:dyDescent="0.25">
      <c r="C4444" s="108"/>
      <c r="D4444" s="217"/>
      <c r="E4444" s="217"/>
      <c r="F4444" s="104"/>
      <c r="G4444" s="108"/>
      <c r="J4444" s="174"/>
      <c r="K4444" s="4"/>
    </row>
    <row r="4445" spans="3:11" x14ac:dyDescent="0.25">
      <c r="C4445" s="108"/>
      <c r="D4445" s="217"/>
      <c r="E4445" s="217"/>
      <c r="F4445" s="104"/>
      <c r="G4445" s="108"/>
      <c r="J4445" s="174"/>
      <c r="K4445" s="4"/>
    </row>
    <row r="4446" spans="3:11" x14ac:dyDescent="0.25">
      <c r="C4446" s="108"/>
      <c r="D4446" s="217"/>
      <c r="E4446" s="217"/>
      <c r="F4446" s="104"/>
      <c r="G4446" s="108"/>
      <c r="J4446" s="174"/>
      <c r="K4446" s="4"/>
    </row>
    <row r="4447" spans="3:11" x14ac:dyDescent="0.25">
      <c r="C4447" s="108"/>
      <c r="D4447" s="217"/>
      <c r="E4447" s="217"/>
      <c r="F4447" s="104"/>
      <c r="G4447" s="108"/>
      <c r="J4447" s="174"/>
      <c r="K4447" s="4"/>
    </row>
    <row r="4448" spans="3:11" x14ac:dyDescent="0.25">
      <c r="C4448" s="108"/>
      <c r="D4448" s="217"/>
      <c r="E4448" s="217"/>
      <c r="F4448" s="104"/>
      <c r="G4448" s="108"/>
      <c r="J4448" s="174"/>
      <c r="K4448" s="4"/>
    </row>
    <row r="4449" spans="3:11" x14ac:dyDescent="0.25">
      <c r="C4449" s="108"/>
      <c r="D4449" s="217"/>
      <c r="E4449" s="217"/>
      <c r="F4449" s="104"/>
      <c r="G4449" s="108"/>
      <c r="J4449" s="174"/>
      <c r="K4449" s="4"/>
    </row>
    <row r="4450" spans="3:11" x14ac:dyDescent="0.25">
      <c r="C4450" s="108"/>
      <c r="D4450" s="217"/>
      <c r="E4450" s="217"/>
      <c r="F4450" s="104"/>
      <c r="G4450" s="108"/>
      <c r="J4450" s="174"/>
      <c r="K4450" s="4"/>
    </row>
    <row r="4451" spans="3:11" x14ac:dyDescent="0.25">
      <c r="C4451" s="108"/>
      <c r="D4451" s="217"/>
      <c r="E4451" s="217"/>
      <c r="F4451" s="104"/>
      <c r="G4451" s="108"/>
      <c r="J4451" s="174"/>
      <c r="K4451" s="4"/>
    </row>
    <row r="4452" spans="3:11" x14ac:dyDescent="0.25">
      <c r="C4452" s="108"/>
      <c r="D4452" s="217"/>
      <c r="E4452" s="217"/>
      <c r="F4452" s="104"/>
      <c r="G4452" s="108"/>
      <c r="J4452" s="174"/>
      <c r="K4452" s="4"/>
    </row>
    <row r="4453" spans="3:11" x14ac:dyDescent="0.25">
      <c r="C4453" s="108"/>
      <c r="D4453" s="217"/>
      <c r="E4453" s="217"/>
      <c r="F4453" s="104"/>
      <c r="G4453" s="108"/>
      <c r="J4453" s="174"/>
      <c r="K4453" s="4"/>
    </row>
    <row r="4454" spans="3:11" x14ac:dyDescent="0.25">
      <c r="C4454" s="108"/>
      <c r="D4454" s="217"/>
      <c r="E4454" s="217"/>
      <c r="F4454" s="104"/>
      <c r="G4454" s="108"/>
      <c r="J4454" s="174"/>
      <c r="K4454" s="4"/>
    </row>
    <row r="4455" spans="3:11" x14ac:dyDescent="0.25">
      <c r="C4455" s="108"/>
      <c r="D4455" s="217"/>
      <c r="E4455" s="217"/>
      <c r="F4455" s="104"/>
      <c r="G4455" s="108"/>
      <c r="J4455" s="174"/>
      <c r="K4455" s="4"/>
    </row>
    <row r="4456" spans="3:11" x14ac:dyDescent="0.25">
      <c r="C4456" s="108"/>
      <c r="D4456" s="217"/>
      <c r="E4456" s="217"/>
      <c r="F4456" s="104"/>
      <c r="G4456" s="108"/>
      <c r="J4456" s="174"/>
      <c r="K4456" s="4"/>
    </row>
    <row r="4457" spans="3:11" x14ac:dyDescent="0.25">
      <c r="C4457" s="108"/>
      <c r="D4457" s="217"/>
      <c r="E4457" s="217"/>
      <c r="F4457" s="104"/>
      <c r="G4457" s="108"/>
      <c r="J4457" s="174"/>
      <c r="K4457" s="4"/>
    </row>
    <row r="4458" spans="3:11" x14ac:dyDescent="0.25">
      <c r="C4458" s="108"/>
      <c r="D4458" s="217"/>
      <c r="E4458" s="217"/>
      <c r="F4458" s="104"/>
      <c r="G4458" s="108"/>
      <c r="J4458" s="174"/>
      <c r="K4458" s="4"/>
    </row>
    <row r="4459" spans="3:11" x14ac:dyDescent="0.25">
      <c r="C4459" s="108"/>
      <c r="D4459" s="217"/>
      <c r="E4459" s="217"/>
      <c r="F4459" s="104"/>
      <c r="G4459" s="108"/>
      <c r="J4459" s="174"/>
      <c r="K4459" s="4"/>
    </row>
    <row r="4460" spans="3:11" x14ac:dyDescent="0.25">
      <c r="C4460" s="108"/>
      <c r="D4460" s="217"/>
      <c r="E4460" s="217"/>
      <c r="F4460" s="104"/>
      <c r="G4460" s="108"/>
      <c r="J4460" s="174"/>
      <c r="K4460" s="4"/>
    </row>
    <row r="4461" spans="3:11" x14ac:dyDescent="0.25">
      <c r="C4461" s="108"/>
      <c r="D4461" s="217"/>
      <c r="E4461" s="217"/>
      <c r="F4461" s="104"/>
      <c r="G4461" s="108"/>
      <c r="J4461" s="174"/>
      <c r="K4461" s="4"/>
    </row>
    <row r="4462" spans="3:11" x14ac:dyDescent="0.25">
      <c r="C4462" s="108"/>
      <c r="D4462" s="217"/>
      <c r="E4462" s="217"/>
      <c r="F4462" s="104"/>
      <c r="G4462" s="108"/>
      <c r="J4462" s="174"/>
      <c r="K4462" s="4"/>
    </row>
    <row r="4463" spans="3:11" x14ac:dyDescent="0.25">
      <c r="C4463" s="108"/>
      <c r="D4463" s="217"/>
      <c r="E4463" s="217"/>
      <c r="F4463" s="104"/>
      <c r="G4463" s="108"/>
      <c r="J4463" s="174"/>
      <c r="K4463" s="4"/>
    </row>
    <row r="4464" spans="3:11" x14ac:dyDescent="0.25">
      <c r="C4464" s="108"/>
      <c r="D4464" s="217"/>
      <c r="E4464" s="217"/>
      <c r="F4464" s="104"/>
      <c r="G4464" s="108"/>
      <c r="J4464" s="174"/>
      <c r="K4464" s="4"/>
    </row>
    <row r="4465" spans="3:11" x14ac:dyDescent="0.25">
      <c r="C4465" s="108"/>
      <c r="D4465" s="217"/>
      <c r="E4465" s="217"/>
      <c r="F4465" s="104"/>
      <c r="G4465" s="108"/>
      <c r="J4465" s="174"/>
      <c r="K4465" s="4"/>
    </row>
    <row r="4466" spans="3:11" x14ac:dyDescent="0.25">
      <c r="C4466" s="108"/>
      <c r="D4466" s="217"/>
      <c r="E4466" s="217"/>
      <c r="F4466" s="104"/>
      <c r="G4466" s="108"/>
      <c r="J4466" s="174"/>
      <c r="K4466" s="4"/>
    </row>
    <row r="4467" spans="3:11" x14ac:dyDescent="0.25">
      <c r="C4467" s="108"/>
      <c r="D4467" s="217"/>
      <c r="E4467" s="217"/>
      <c r="F4467" s="104"/>
      <c r="G4467" s="108"/>
      <c r="J4467" s="174"/>
      <c r="K4467" s="4"/>
    </row>
    <row r="4468" spans="3:11" x14ac:dyDescent="0.25">
      <c r="C4468" s="108"/>
      <c r="D4468" s="217"/>
      <c r="E4468" s="217"/>
      <c r="F4468" s="104"/>
      <c r="G4468" s="108"/>
      <c r="J4468" s="174"/>
      <c r="K4468" s="4"/>
    </row>
    <row r="4469" spans="3:11" x14ac:dyDescent="0.25">
      <c r="C4469" s="108"/>
      <c r="D4469" s="217"/>
      <c r="E4469" s="217"/>
      <c r="F4469" s="104"/>
      <c r="G4469" s="108"/>
      <c r="J4469" s="174"/>
      <c r="K4469" s="4"/>
    </row>
    <row r="4470" spans="3:11" x14ac:dyDescent="0.25">
      <c r="C4470" s="108"/>
      <c r="D4470" s="217"/>
      <c r="E4470" s="217"/>
      <c r="F4470" s="104"/>
      <c r="G4470" s="108"/>
      <c r="J4470" s="174"/>
      <c r="K4470" s="4"/>
    </row>
    <row r="4471" spans="3:11" x14ac:dyDescent="0.25">
      <c r="C4471" s="108"/>
      <c r="D4471" s="217"/>
      <c r="E4471" s="217"/>
      <c r="F4471" s="104"/>
      <c r="G4471" s="108"/>
      <c r="J4471" s="174"/>
      <c r="K4471" s="4"/>
    </row>
    <row r="4472" spans="3:11" x14ac:dyDescent="0.25">
      <c r="C4472" s="108"/>
      <c r="D4472" s="217"/>
      <c r="E4472" s="217"/>
      <c r="F4472" s="104"/>
      <c r="G4472" s="108"/>
      <c r="J4472" s="174"/>
      <c r="K4472" s="4"/>
    </row>
    <row r="4473" spans="3:11" x14ac:dyDescent="0.25">
      <c r="C4473" s="108"/>
      <c r="D4473" s="217"/>
      <c r="E4473" s="217"/>
      <c r="F4473" s="104"/>
      <c r="G4473" s="108"/>
      <c r="J4473" s="174"/>
      <c r="K4473" s="4"/>
    </row>
    <row r="4474" spans="3:11" x14ac:dyDescent="0.25">
      <c r="C4474" s="108"/>
      <c r="D4474" s="217"/>
      <c r="E4474" s="217"/>
      <c r="F4474" s="104"/>
      <c r="G4474" s="108"/>
      <c r="J4474" s="174"/>
      <c r="K4474" s="4"/>
    </row>
    <row r="4475" spans="3:11" x14ac:dyDescent="0.25">
      <c r="C4475" s="108"/>
      <c r="D4475" s="217"/>
      <c r="E4475" s="217"/>
      <c r="F4475" s="104"/>
      <c r="G4475" s="108"/>
      <c r="J4475" s="174"/>
      <c r="K4475" s="4"/>
    </row>
    <row r="4476" spans="3:11" x14ac:dyDescent="0.25">
      <c r="C4476" s="108"/>
      <c r="D4476" s="217"/>
      <c r="E4476" s="217"/>
      <c r="F4476" s="104"/>
      <c r="G4476" s="108"/>
      <c r="J4476" s="174"/>
      <c r="K4476" s="4"/>
    </row>
    <row r="4477" spans="3:11" x14ac:dyDescent="0.25">
      <c r="C4477" s="108"/>
      <c r="D4477" s="217"/>
      <c r="E4477" s="217"/>
      <c r="F4477" s="104"/>
      <c r="G4477" s="108"/>
      <c r="J4477" s="174"/>
      <c r="K4477" s="4"/>
    </row>
    <row r="4478" spans="3:11" x14ac:dyDescent="0.25">
      <c r="C4478" s="108"/>
      <c r="D4478" s="217"/>
      <c r="E4478" s="217"/>
      <c r="F4478" s="104"/>
      <c r="G4478" s="108"/>
      <c r="J4478" s="174"/>
      <c r="K4478" s="4"/>
    </row>
    <row r="4479" spans="3:11" x14ac:dyDescent="0.25">
      <c r="C4479" s="108"/>
      <c r="D4479" s="217"/>
      <c r="E4479" s="217"/>
      <c r="F4479" s="104"/>
      <c r="G4479" s="108"/>
      <c r="J4479" s="174"/>
      <c r="K4479" s="4"/>
    </row>
    <row r="4480" spans="3:11" x14ac:dyDescent="0.25">
      <c r="C4480" s="108"/>
      <c r="D4480" s="217"/>
      <c r="E4480" s="217"/>
      <c r="F4480" s="104"/>
      <c r="G4480" s="108"/>
      <c r="J4480" s="174"/>
      <c r="K4480" s="4"/>
    </row>
    <row r="4481" spans="3:11" x14ac:dyDescent="0.25">
      <c r="C4481" s="108"/>
      <c r="D4481" s="217"/>
      <c r="E4481" s="217"/>
      <c r="F4481" s="104"/>
      <c r="G4481" s="108"/>
      <c r="J4481" s="174"/>
      <c r="K4481" s="4"/>
    </row>
    <row r="4482" spans="3:11" x14ac:dyDescent="0.25">
      <c r="C4482" s="108"/>
      <c r="D4482" s="217"/>
      <c r="E4482" s="217"/>
      <c r="F4482" s="104"/>
      <c r="G4482" s="108"/>
      <c r="J4482" s="174"/>
      <c r="K4482" s="4"/>
    </row>
    <row r="4483" spans="3:11" x14ac:dyDescent="0.25">
      <c r="C4483" s="108"/>
      <c r="D4483" s="217"/>
      <c r="E4483" s="217"/>
      <c r="F4483" s="104"/>
      <c r="G4483" s="108"/>
      <c r="J4483" s="174"/>
      <c r="K4483" s="4"/>
    </row>
    <row r="4484" spans="3:11" x14ac:dyDescent="0.25">
      <c r="C4484" s="108"/>
      <c r="D4484" s="217"/>
      <c r="E4484" s="217"/>
      <c r="F4484" s="104"/>
      <c r="G4484" s="108"/>
      <c r="J4484" s="174"/>
      <c r="K4484" s="4"/>
    </row>
    <row r="4485" spans="3:11" x14ac:dyDescent="0.25">
      <c r="C4485" s="108"/>
      <c r="D4485" s="217"/>
      <c r="E4485" s="217"/>
      <c r="F4485" s="104"/>
      <c r="G4485" s="108"/>
      <c r="J4485" s="174"/>
      <c r="K4485" s="4"/>
    </row>
    <row r="4486" spans="3:11" x14ac:dyDescent="0.25">
      <c r="C4486" s="108"/>
      <c r="D4486" s="217"/>
      <c r="E4486" s="217"/>
      <c r="F4486" s="104"/>
      <c r="G4486" s="108"/>
      <c r="J4486" s="174"/>
      <c r="K4486" s="4"/>
    </row>
    <row r="4487" spans="3:11" x14ac:dyDescent="0.25">
      <c r="C4487" s="108"/>
      <c r="D4487" s="217"/>
      <c r="E4487" s="217"/>
      <c r="F4487" s="104"/>
      <c r="G4487" s="108"/>
      <c r="J4487" s="174"/>
      <c r="K4487" s="4"/>
    </row>
    <row r="4488" spans="3:11" x14ac:dyDescent="0.25">
      <c r="C4488" s="108"/>
      <c r="D4488" s="217"/>
      <c r="E4488" s="217"/>
      <c r="F4488" s="104"/>
      <c r="G4488" s="108"/>
      <c r="J4488" s="174"/>
      <c r="K4488" s="4"/>
    </row>
    <row r="4489" spans="3:11" x14ac:dyDescent="0.25">
      <c r="C4489" s="108"/>
      <c r="D4489" s="217"/>
      <c r="E4489" s="217"/>
      <c r="F4489" s="104"/>
      <c r="G4489" s="108"/>
      <c r="J4489" s="174"/>
      <c r="K4489" s="4"/>
    </row>
    <row r="4490" spans="3:11" x14ac:dyDescent="0.25">
      <c r="C4490" s="108"/>
      <c r="D4490" s="217"/>
      <c r="E4490" s="217"/>
      <c r="F4490" s="104"/>
      <c r="G4490" s="108"/>
      <c r="J4490" s="174"/>
      <c r="K4490" s="4"/>
    </row>
    <row r="4491" spans="3:11" x14ac:dyDescent="0.25">
      <c r="C4491" s="108"/>
      <c r="D4491" s="217"/>
      <c r="E4491" s="217"/>
      <c r="F4491" s="104"/>
      <c r="G4491" s="108"/>
      <c r="J4491" s="174"/>
      <c r="K4491" s="4"/>
    </row>
    <row r="4492" spans="3:11" x14ac:dyDescent="0.25">
      <c r="C4492" s="108"/>
      <c r="D4492" s="217"/>
      <c r="E4492" s="217"/>
      <c r="F4492" s="104"/>
      <c r="G4492" s="108"/>
      <c r="J4492" s="174"/>
      <c r="K4492" s="4"/>
    </row>
    <row r="4493" spans="3:11" x14ac:dyDescent="0.25">
      <c r="C4493" s="108"/>
      <c r="D4493" s="217"/>
      <c r="E4493" s="217"/>
      <c r="F4493" s="104"/>
      <c r="G4493" s="108"/>
      <c r="J4493" s="174"/>
      <c r="K4493" s="4"/>
    </row>
    <row r="4494" spans="3:11" x14ac:dyDescent="0.25">
      <c r="C4494" s="108"/>
      <c r="D4494" s="217"/>
      <c r="E4494" s="217"/>
      <c r="F4494" s="104"/>
      <c r="G4494" s="108"/>
      <c r="J4494" s="174"/>
      <c r="K4494" s="4"/>
    </row>
    <row r="4495" spans="3:11" x14ac:dyDescent="0.25">
      <c r="C4495" s="108"/>
      <c r="D4495" s="217"/>
      <c r="E4495" s="217"/>
      <c r="F4495" s="104"/>
      <c r="G4495" s="108"/>
      <c r="J4495" s="174"/>
      <c r="K4495" s="4"/>
    </row>
    <row r="4496" spans="3:11" x14ac:dyDescent="0.25">
      <c r="C4496" s="108"/>
      <c r="D4496" s="217"/>
      <c r="E4496" s="217"/>
      <c r="F4496" s="104"/>
      <c r="G4496" s="108"/>
      <c r="J4496" s="174"/>
      <c r="K4496" s="4"/>
    </row>
    <row r="4497" spans="3:11" x14ac:dyDescent="0.25">
      <c r="C4497" s="108"/>
      <c r="D4497" s="217"/>
      <c r="E4497" s="217"/>
      <c r="F4497" s="104"/>
      <c r="G4497" s="108"/>
      <c r="J4497" s="174"/>
      <c r="K4497" s="4"/>
    </row>
    <row r="4498" spans="3:11" x14ac:dyDescent="0.25">
      <c r="C4498" s="108"/>
      <c r="D4498" s="217"/>
      <c r="E4498" s="217"/>
      <c r="F4498" s="104"/>
      <c r="G4498" s="108"/>
      <c r="J4498" s="174"/>
      <c r="K4498" s="4"/>
    </row>
    <row r="4499" spans="3:11" x14ac:dyDescent="0.25">
      <c r="C4499" s="108"/>
      <c r="D4499" s="217"/>
      <c r="E4499" s="217"/>
      <c r="F4499" s="104"/>
      <c r="G4499" s="108"/>
      <c r="J4499" s="174"/>
      <c r="K4499" s="4"/>
    </row>
    <row r="4500" spans="3:11" x14ac:dyDescent="0.25">
      <c r="C4500" s="108"/>
      <c r="D4500" s="217"/>
      <c r="E4500" s="217"/>
      <c r="F4500" s="104"/>
      <c r="G4500" s="108"/>
      <c r="J4500" s="174"/>
      <c r="K4500" s="4"/>
    </row>
    <row r="4501" spans="3:11" x14ac:dyDescent="0.25">
      <c r="C4501" s="108"/>
      <c r="D4501" s="217"/>
      <c r="E4501" s="217"/>
      <c r="F4501" s="104"/>
      <c r="G4501" s="108"/>
      <c r="J4501" s="174"/>
      <c r="K4501" s="4"/>
    </row>
    <row r="4502" spans="3:11" x14ac:dyDescent="0.25">
      <c r="C4502" s="108"/>
      <c r="D4502" s="217"/>
      <c r="E4502" s="217"/>
      <c r="F4502" s="104"/>
      <c r="G4502" s="108"/>
      <c r="J4502" s="174"/>
      <c r="K4502" s="4"/>
    </row>
    <row r="4503" spans="3:11" x14ac:dyDescent="0.25">
      <c r="C4503" s="108"/>
      <c r="D4503" s="217"/>
      <c r="E4503" s="217"/>
      <c r="F4503" s="104"/>
      <c r="G4503" s="108"/>
      <c r="J4503" s="174"/>
      <c r="K4503" s="4"/>
    </row>
    <row r="4504" spans="3:11" x14ac:dyDescent="0.25">
      <c r="C4504" s="108"/>
      <c r="D4504" s="217"/>
      <c r="E4504" s="217"/>
      <c r="F4504" s="104"/>
      <c r="G4504" s="108"/>
      <c r="J4504" s="174"/>
      <c r="K4504" s="4"/>
    </row>
    <row r="4505" spans="3:11" x14ac:dyDescent="0.25">
      <c r="C4505" s="108"/>
      <c r="D4505" s="217"/>
      <c r="E4505" s="217"/>
      <c r="F4505" s="104"/>
      <c r="G4505" s="108"/>
      <c r="J4505" s="174"/>
      <c r="K4505" s="4"/>
    </row>
    <row r="4506" spans="3:11" x14ac:dyDescent="0.25">
      <c r="C4506" s="108"/>
      <c r="D4506" s="217"/>
      <c r="E4506" s="217"/>
      <c r="F4506" s="104"/>
      <c r="G4506" s="108"/>
      <c r="J4506" s="174"/>
      <c r="K4506" s="4"/>
    </row>
    <row r="4507" spans="3:11" x14ac:dyDescent="0.25">
      <c r="C4507" s="108"/>
      <c r="D4507" s="217"/>
      <c r="E4507" s="217"/>
      <c r="F4507" s="104"/>
      <c r="G4507" s="108"/>
      <c r="J4507" s="174"/>
      <c r="K4507" s="4"/>
    </row>
    <row r="4508" spans="3:11" x14ac:dyDescent="0.25">
      <c r="C4508" s="108"/>
      <c r="D4508" s="217"/>
      <c r="E4508" s="217"/>
      <c r="F4508" s="104"/>
      <c r="G4508" s="108"/>
      <c r="J4508" s="174"/>
      <c r="K4508" s="4"/>
    </row>
    <row r="4509" spans="3:11" x14ac:dyDescent="0.25">
      <c r="C4509" s="108"/>
      <c r="D4509" s="217"/>
      <c r="E4509" s="217"/>
      <c r="F4509" s="104"/>
      <c r="G4509" s="108"/>
      <c r="J4509" s="174"/>
      <c r="K4509" s="4"/>
    </row>
    <row r="4510" spans="3:11" x14ac:dyDescent="0.25">
      <c r="C4510" s="108"/>
      <c r="D4510" s="217"/>
      <c r="E4510" s="217"/>
      <c r="F4510" s="104"/>
      <c r="G4510" s="108"/>
      <c r="J4510" s="174"/>
      <c r="K4510" s="4"/>
    </row>
    <row r="4511" spans="3:11" x14ac:dyDescent="0.25">
      <c r="C4511" s="108"/>
      <c r="D4511" s="217"/>
      <c r="E4511" s="217"/>
      <c r="F4511" s="104"/>
      <c r="G4511" s="108"/>
      <c r="J4511" s="174"/>
      <c r="K4511" s="4"/>
    </row>
    <row r="4512" spans="3:11" x14ac:dyDescent="0.25">
      <c r="C4512" s="108"/>
      <c r="D4512" s="217"/>
      <c r="E4512" s="217"/>
      <c r="F4512" s="104"/>
      <c r="G4512" s="108"/>
      <c r="J4512" s="174"/>
      <c r="K4512" s="4"/>
    </row>
    <row r="4513" spans="3:11" x14ac:dyDescent="0.25">
      <c r="C4513" s="108"/>
      <c r="D4513" s="217"/>
      <c r="E4513" s="217"/>
      <c r="F4513" s="104"/>
      <c r="G4513" s="108"/>
      <c r="J4513" s="174"/>
      <c r="K4513" s="4"/>
    </row>
    <row r="4514" spans="3:11" x14ac:dyDescent="0.25">
      <c r="C4514" s="108"/>
      <c r="D4514" s="217"/>
      <c r="E4514" s="217"/>
      <c r="F4514" s="104"/>
      <c r="G4514" s="108"/>
      <c r="J4514" s="174"/>
      <c r="K4514" s="4"/>
    </row>
    <row r="4515" spans="3:11" x14ac:dyDescent="0.25">
      <c r="C4515" s="108"/>
      <c r="D4515" s="217"/>
      <c r="E4515" s="217"/>
      <c r="F4515" s="104"/>
      <c r="G4515" s="108"/>
      <c r="J4515" s="174"/>
      <c r="K4515" s="4"/>
    </row>
    <row r="4516" spans="3:11" x14ac:dyDescent="0.25">
      <c r="C4516" s="108"/>
      <c r="D4516" s="217"/>
      <c r="E4516" s="217"/>
      <c r="F4516" s="104"/>
      <c r="G4516" s="108"/>
      <c r="J4516" s="174"/>
      <c r="K4516" s="4"/>
    </row>
    <row r="4517" spans="3:11" x14ac:dyDescent="0.25">
      <c r="C4517" s="108"/>
      <c r="D4517" s="217"/>
      <c r="E4517" s="217"/>
      <c r="F4517" s="104"/>
      <c r="G4517" s="108"/>
      <c r="J4517" s="174"/>
      <c r="K4517" s="4"/>
    </row>
    <row r="4518" spans="3:11" x14ac:dyDescent="0.25">
      <c r="C4518" s="108"/>
      <c r="D4518" s="217"/>
      <c r="E4518" s="217"/>
      <c r="F4518" s="104"/>
      <c r="G4518" s="108"/>
      <c r="J4518" s="174"/>
      <c r="K4518" s="4"/>
    </row>
    <row r="4519" spans="3:11" x14ac:dyDescent="0.25">
      <c r="C4519" s="108"/>
      <c r="D4519" s="217"/>
      <c r="E4519" s="217"/>
      <c r="F4519" s="104"/>
      <c r="G4519" s="108"/>
      <c r="J4519" s="174"/>
      <c r="K4519" s="4"/>
    </row>
    <row r="4520" spans="3:11" x14ac:dyDescent="0.25">
      <c r="C4520" s="108"/>
      <c r="D4520" s="217"/>
      <c r="E4520" s="217"/>
      <c r="F4520" s="104"/>
      <c r="G4520" s="108"/>
      <c r="J4520" s="174"/>
      <c r="K4520" s="4"/>
    </row>
    <row r="4521" spans="3:11" x14ac:dyDescent="0.25">
      <c r="C4521" s="108"/>
      <c r="D4521" s="217"/>
      <c r="E4521" s="217"/>
      <c r="F4521" s="104"/>
      <c r="G4521" s="108"/>
      <c r="J4521" s="174"/>
      <c r="K4521" s="4"/>
    </row>
    <row r="4522" spans="3:11" x14ac:dyDescent="0.25">
      <c r="C4522" s="108"/>
      <c r="D4522" s="217"/>
      <c r="E4522" s="217"/>
      <c r="F4522" s="104"/>
      <c r="G4522" s="108"/>
      <c r="J4522" s="174"/>
      <c r="K4522" s="4"/>
    </row>
    <row r="4523" spans="3:11" x14ac:dyDescent="0.25">
      <c r="C4523" s="108"/>
      <c r="D4523" s="217"/>
      <c r="E4523" s="217"/>
      <c r="F4523" s="104"/>
      <c r="G4523" s="108"/>
      <c r="J4523" s="174"/>
      <c r="K4523" s="4"/>
    </row>
    <row r="4524" spans="3:11" x14ac:dyDescent="0.25">
      <c r="C4524" s="108"/>
      <c r="D4524" s="217"/>
      <c r="E4524" s="217"/>
      <c r="F4524" s="104"/>
      <c r="G4524" s="108"/>
      <c r="J4524" s="174"/>
      <c r="K4524" s="4"/>
    </row>
    <row r="4525" spans="3:11" x14ac:dyDescent="0.25">
      <c r="C4525" s="108"/>
      <c r="D4525" s="217"/>
      <c r="E4525" s="217"/>
      <c r="F4525" s="104"/>
      <c r="G4525" s="108"/>
      <c r="J4525" s="174"/>
      <c r="K4525" s="4"/>
    </row>
    <row r="4526" spans="3:11" x14ac:dyDescent="0.25">
      <c r="C4526" s="108"/>
      <c r="D4526" s="217"/>
      <c r="E4526" s="217"/>
      <c r="F4526" s="104"/>
      <c r="G4526" s="108"/>
      <c r="J4526" s="174"/>
      <c r="K4526" s="4"/>
    </row>
    <row r="4527" spans="3:11" x14ac:dyDescent="0.25">
      <c r="C4527" s="108"/>
      <c r="D4527" s="217"/>
      <c r="E4527" s="217"/>
      <c r="F4527" s="104"/>
      <c r="G4527" s="108"/>
      <c r="J4527" s="174"/>
      <c r="K4527" s="4"/>
    </row>
    <row r="4528" spans="3:11" x14ac:dyDescent="0.25">
      <c r="C4528" s="108"/>
      <c r="D4528" s="217"/>
      <c r="E4528" s="217"/>
      <c r="F4528" s="104"/>
      <c r="G4528" s="108"/>
      <c r="J4528" s="174"/>
      <c r="K4528" s="4"/>
    </row>
    <row r="4529" spans="3:11" x14ac:dyDescent="0.25">
      <c r="C4529" s="108"/>
      <c r="D4529" s="217"/>
      <c r="E4529" s="217"/>
      <c r="F4529" s="104"/>
      <c r="G4529" s="108"/>
      <c r="J4529" s="174"/>
      <c r="K4529" s="4"/>
    </row>
    <row r="4530" spans="3:11" x14ac:dyDescent="0.25">
      <c r="C4530" s="108"/>
      <c r="D4530" s="217"/>
      <c r="E4530" s="217"/>
      <c r="F4530" s="104"/>
      <c r="G4530" s="108"/>
      <c r="J4530" s="174"/>
      <c r="K4530" s="4"/>
    </row>
    <row r="4531" spans="3:11" x14ac:dyDescent="0.25">
      <c r="C4531" s="108"/>
      <c r="D4531" s="217"/>
      <c r="E4531" s="217"/>
      <c r="F4531" s="104"/>
      <c r="G4531" s="108"/>
      <c r="J4531" s="174"/>
      <c r="K4531" s="4"/>
    </row>
    <row r="4532" spans="3:11" x14ac:dyDescent="0.25">
      <c r="C4532" s="108"/>
      <c r="D4532" s="217"/>
      <c r="E4532" s="217"/>
      <c r="F4532" s="104"/>
      <c r="G4532" s="108"/>
      <c r="J4532" s="174"/>
      <c r="K4532" s="4"/>
    </row>
    <row r="4533" spans="3:11" x14ac:dyDescent="0.25">
      <c r="C4533" s="108"/>
      <c r="D4533" s="217"/>
      <c r="E4533" s="217"/>
      <c r="F4533" s="104"/>
      <c r="G4533" s="108"/>
      <c r="J4533" s="174"/>
      <c r="K4533" s="4"/>
    </row>
    <row r="4534" spans="3:11" x14ac:dyDescent="0.25">
      <c r="C4534" s="108"/>
      <c r="D4534" s="217"/>
      <c r="E4534" s="217"/>
      <c r="F4534" s="104"/>
      <c r="G4534" s="108"/>
      <c r="J4534" s="174"/>
      <c r="K4534" s="4"/>
    </row>
    <row r="4535" spans="3:11" x14ac:dyDescent="0.25">
      <c r="C4535" s="108"/>
      <c r="D4535" s="217"/>
      <c r="E4535" s="217"/>
      <c r="F4535" s="104"/>
      <c r="G4535" s="108"/>
      <c r="J4535" s="174"/>
      <c r="K4535" s="4"/>
    </row>
    <row r="4536" spans="3:11" x14ac:dyDescent="0.25">
      <c r="C4536" s="108"/>
      <c r="D4536" s="217"/>
      <c r="E4536" s="217"/>
      <c r="F4536" s="104"/>
      <c r="G4536" s="108"/>
      <c r="J4536" s="174"/>
      <c r="K4536" s="4"/>
    </row>
    <row r="4537" spans="3:11" x14ac:dyDescent="0.25">
      <c r="C4537" s="108"/>
      <c r="D4537" s="217"/>
      <c r="E4537" s="217"/>
      <c r="F4537" s="104"/>
      <c r="G4537" s="108"/>
      <c r="J4537" s="174"/>
      <c r="K4537" s="4"/>
    </row>
    <row r="4538" spans="3:11" x14ac:dyDescent="0.25">
      <c r="C4538" s="108"/>
      <c r="D4538" s="217"/>
      <c r="E4538" s="217"/>
      <c r="F4538" s="104"/>
      <c r="G4538" s="108"/>
      <c r="J4538" s="174"/>
      <c r="K4538" s="4"/>
    </row>
    <row r="4539" spans="3:11" x14ac:dyDescent="0.25">
      <c r="C4539" s="108"/>
      <c r="D4539" s="217"/>
      <c r="E4539" s="217"/>
      <c r="F4539" s="104"/>
      <c r="G4539" s="108"/>
      <c r="J4539" s="174"/>
      <c r="K4539" s="4"/>
    </row>
    <row r="4540" spans="3:11" x14ac:dyDescent="0.25">
      <c r="C4540" s="108"/>
      <c r="D4540" s="217"/>
      <c r="E4540" s="217"/>
      <c r="F4540" s="104"/>
      <c r="G4540" s="108"/>
      <c r="J4540" s="174"/>
      <c r="K4540" s="4"/>
    </row>
    <row r="4541" spans="3:11" x14ac:dyDescent="0.25">
      <c r="C4541" s="108"/>
      <c r="D4541" s="217"/>
      <c r="E4541" s="217"/>
      <c r="F4541" s="104"/>
      <c r="G4541" s="108"/>
      <c r="J4541" s="174"/>
      <c r="K4541" s="4"/>
    </row>
    <row r="4542" spans="3:11" x14ac:dyDescent="0.25">
      <c r="C4542" s="108"/>
      <c r="D4542" s="217"/>
      <c r="E4542" s="217"/>
      <c r="F4542" s="104"/>
      <c r="G4542" s="108"/>
      <c r="J4542" s="174"/>
      <c r="K4542" s="4"/>
    </row>
    <row r="4543" spans="3:11" x14ac:dyDescent="0.25">
      <c r="C4543" s="108"/>
      <c r="D4543" s="217"/>
      <c r="E4543" s="217"/>
      <c r="F4543" s="104"/>
      <c r="G4543" s="108"/>
      <c r="J4543" s="174"/>
      <c r="K4543" s="4"/>
    </row>
    <row r="4544" spans="3:11" x14ac:dyDescent="0.25">
      <c r="C4544" s="108"/>
      <c r="D4544" s="217"/>
      <c r="E4544" s="217"/>
      <c r="F4544" s="104"/>
      <c r="G4544" s="108"/>
      <c r="J4544" s="174"/>
      <c r="K4544" s="4"/>
    </row>
    <row r="4545" spans="3:11" x14ac:dyDescent="0.25">
      <c r="C4545" s="108"/>
      <c r="D4545" s="217"/>
      <c r="E4545" s="217"/>
      <c r="F4545" s="104"/>
      <c r="G4545" s="108"/>
      <c r="J4545" s="174"/>
      <c r="K4545" s="4"/>
    </row>
    <row r="4546" spans="3:11" x14ac:dyDescent="0.25">
      <c r="C4546" s="108"/>
      <c r="D4546" s="217"/>
      <c r="E4546" s="217"/>
      <c r="F4546" s="104"/>
      <c r="G4546" s="108"/>
      <c r="J4546" s="174"/>
      <c r="K4546" s="4"/>
    </row>
    <row r="4547" spans="3:11" x14ac:dyDescent="0.25">
      <c r="C4547" s="108"/>
      <c r="D4547" s="217"/>
      <c r="E4547" s="217"/>
      <c r="F4547" s="104"/>
      <c r="G4547" s="108"/>
      <c r="J4547" s="174"/>
      <c r="K4547" s="4"/>
    </row>
    <row r="4548" spans="3:11" x14ac:dyDescent="0.25">
      <c r="C4548" s="108"/>
      <c r="D4548" s="217"/>
      <c r="E4548" s="217"/>
      <c r="F4548" s="104"/>
      <c r="G4548" s="108"/>
      <c r="J4548" s="174"/>
      <c r="K4548" s="4"/>
    </row>
    <row r="4549" spans="3:11" x14ac:dyDescent="0.25">
      <c r="C4549" s="108"/>
      <c r="D4549" s="217"/>
      <c r="E4549" s="217"/>
      <c r="F4549" s="104"/>
      <c r="G4549" s="108"/>
      <c r="J4549" s="174"/>
      <c r="K4549" s="4"/>
    </row>
    <row r="4550" spans="3:11" x14ac:dyDescent="0.25">
      <c r="C4550" s="108"/>
      <c r="D4550" s="217"/>
      <c r="E4550" s="217"/>
      <c r="F4550" s="104"/>
      <c r="G4550" s="108"/>
      <c r="J4550" s="174"/>
      <c r="K4550" s="4"/>
    </row>
    <row r="4551" spans="3:11" x14ac:dyDescent="0.25">
      <c r="C4551" s="108"/>
      <c r="D4551" s="217"/>
      <c r="E4551" s="217"/>
      <c r="F4551" s="104"/>
      <c r="G4551" s="108"/>
      <c r="J4551" s="174"/>
      <c r="K4551" s="4"/>
    </row>
    <row r="4552" spans="3:11" x14ac:dyDescent="0.25">
      <c r="C4552" s="108"/>
      <c r="D4552" s="217"/>
      <c r="E4552" s="217"/>
      <c r="F4552" s="104"/>
      <c r="G4552" s="108"/>
      <c r="J4552" s="174"/>
      <c r="K4552" s="4"/>
    </row>
    <row r="4553" spans="3:11" x14ac:dyDescent="0.25">
      <c r="C4553" s="108"/>
      <c r="D4553" s="217"/>
      <c r="E4553" s="217"/>
      <c r="F4553" s="104"/>
      <c r="G4553" s="108"/>
      <c r="J4553" s="174"/>
      <c r="K4553" s="4"/>
    </row>
    <row r="4554" spans="3:11" x14ac:dyDescent="0.25">
      <c r="C4554" s="108"/>
      <c r="D4554" s="217"/>
      <c r="E4554" s="217"/>
      <c r="F4554" s="104"/>
      <c r="G4554" s="108"/>
      <c r="J4554" s="174"/>
      <c r="K4554" s="4"/>
    </row>
    <row r="4555" spans="3:11" x14ac:dyDescent="0.25">
      <c r="C4555" s="108"/>
      <c r="D4555" s="217"/>
      <c r="E4555" s="217"/>
      <c r="F4555" s="104"/>
      <c r="G4555" s="108"/>
      <c r="J4555" s="174"/>
      <c r="K4555" s="4"/>
    </row>
    <row r="4556" spans="3:11" x14ac:dyDescent="0.25">
      <c r="C4556" s="108"/>
      <c r="D4556" s="217"/>
      <c r="E4556" s="217"/>
      <c r="F4556" s="104"/>
      <c r="G4556" s="108"/>
      <c r="J4556" s="174"/>
      <c r="K4556" s="4"/>
    </row>
    <row r="4557" spans="3:11" x14ac:dyDescent="0.25">
      <c r="C4557" s="108"/>
      <c r="D4557" s="217"/>
      <c r="E4557" s="217"/>
      <c r="F4557" s="104"/>
      <c r="G4557" s="108"/>
      <c r="J4557" s="174"/>
      <c r="K4557" s="4"/>
    </row>
    <row r="4558" spans="3:11" x14ac:dyDescent="0.25">
      <c r="C4558" s="108"/>
      <c r="D4558" s="217"/>
      <c r="E4558" s="217"/>
      <c r="F4558" s="104"/>
      <c r="G4558" s="108"/>
      <c r="J4558" s="174"/>
      <c r="K4558" s="4"/>
    </row>
    <row r="4559" spans="3:11" x14ac:dyDescent="0.25">
      <c r="C4559" s="108"/>
      <c r="D4559" s="217"/>
      <c r="E4559" s="217"/>
      <c r="F4559" s="104"/>
      <c r="G4559" s="108"/>
      <c r="J4559" s="174"/>
      <c r="K4559" s="4"/>
    </row>
    <row r="4560" spans="3:11" x14ac:dyDescent="0.25">
      <c r="C4560" s="108"/>
      <c r="D4560" s="217"/>
      <c r="E4560" s="217"/>
      <c r="F4560" s="104"/>
      <c r="G4560" s="108"/>
      <c r="J4560" s="174"/>
      <c r="K4560" s="4"/>
    </row>
    <row r="4561" spans="3:11" x14ac:dyDescent="0.25">
      <c r="C4561" s="108"/>
      <c r="D4561" s="217"/>
      <c r="E4561" s="217"/>
      <c r="F4561" s="104"/>
      <c r="G4561" s="108"/>
      <c r="J4561" s="174"/>
      <c r="K4561" s="4"/>
    </row>
    <row r="4562" spans="3:11" x14ac:dyDescent="0.25">
      <c r="C4562" s="108"/>
      <c r="D4562" s="217"/>
      <c r="E4562" s="217"/>
      <c r="F4562" s="104"/>
      <c r="G4562" s="108"/>
      <c r="J4562" s="174"/>
      <c r="K4562" s="4"/>
    </row>
    <row r="4563" spans="3:11" x14ac:dyDescent="0.25">
      <c r="C4563" s="108"/>
      <c r="D4563" s="217"/>
      <c r="E4563" s="217"/>
      <c r="F4563" s="104"/>
      <c r="G4563" s="108"/>
      <c r="J4563" s="174"/>
      <c r="K4563" s="4"/>
    </row>
    <row r="4564" spans="3:11" x14ac:dyDescent="0.25">
      <c r="C4564" s="108"/>
      <c r="D4564" s="217"/>
      <c r="E4564" s="217"/>
      <c r="F4564" s="104"/>
      <c r="G4564" s="108"/>
      <c r="J4564" s="174"/>
      <c r="K4564" s="4"/>
    </row>
    <row r="4565" spans="3:11" x14ac:dyDescent="0.25">
      <c r="C4565" s="108"/>
      <c r="D4565" s="217"/>
      <c r="E4565" s="217"/>
      <c r="F4565" s="104"/>
      <c r="G4565" s="108"/>
      <c r="J4565" s="174"/>
      <c r="K4565" s="4"/>
    </row>
    <row r="4566" spans="3:11" x14ac:dyDescent="0.25">
      <c r="C4566" s="108"/>
      <c r="D4566" s="217"/>
      <c r="E4566" s="217"/>
      <c r="F4566" s="104"/>
      <c r="G4566" s="108"/>
      <c r="J4566" s="174"/>
      <c r="K4566" s="4"/>
    </row>
    <row r="4567" spans="3:11" x14ac:dyDescent="0.25">
      <c r="C4567" s="108"/>
      <c r="D4567" s="217"/>
      <c r="E4567" s="217"/>
      <c r="F4567" s="104"/>
      <c r="G4567" s="108"/>
      <c r="J4567" s="174"/>
      <c r="K4567" s="4"/>
    </row>
    <row r="4568" spans="3:11" x14ac:dyDescent="0.25">
      <c r="C4568" s="108"/>
      <c r="D4568" s="217"/>
      <c r="E4568" s="217"/>
      <c r="F4568" s="104"/>
      <c r="G4568" s="108"/>
      <c r="J4568" s="174"/>
      <c r="K4568" s="4"/>
    </row>
    <row r="4569" spans="3:11" x14ac:dyDescent="0.25">
      <c r="C4569" s="108"/>
      <c r="D4569" s="217"/>
      <c r="E4569" s="217"/>
      <c r="F4569" s="104"/>
      <c r="G4569" s="108"/>
      <c r="J4569" s="174"/>
      <c r="K4569" s="4"/>
    </row>
    <row r="4570" spans="3:11" x14ac:dyDescent="0.25">
      <c r="C4570" s="108"/>
      <c r="D4570" s="217"/>
      <c r="E4570" s="217"/>
      <c r="F4570" s="104"/>
      <c r="G4570" s="108"/>
      <c r="J4570" s="174"/>
      <c r="K4570" s="4"/>
    </row>
    <row r="4571" spans="3:11" x14ac:dyDescent="0.25">
      <c r="C4571" s="108"/>
      <c r="D4571" s="217"/>
      <c r="E4571" s="217"/>
      <c r="F4571" s="104"/>
      <c r="G4571" s="108"/>
      <c r="J4571" s="174"/>
      <c r="K4571" s="4"/>
    </row>
    <row r="4572" spans="3:11" x14ac:dyDescent="0.25">
      <c r="C4572" s="108"/>
      <c r="D4572" s="217"/>
      <c r="E4572" s="217"/>
      <c r="F4572" s="104"/>
      <c r="G4572" s="108"/>
      <c r="J4572" s="174"/>
      <c r="K4572" s="4"/>
    </row>
    <row r="4573" spans="3:11" x14ac:dyDescent="0.25">
      <c r="C4573" s="108"/>
      <c r="D4573" s="217"/>
      <c r="E4573" s="217"/>
      <c r="F4573" s="104"/>
      <c r="G4573" s="108"/>
      <c r="J4573" s="174"/>
      <c r="K4573" s="4"/>
    </row>
    <row r="4574" spans="3:11" x14ac:dyDescent="0.25">
      <c r="C4574" s="108"/>
      <c r="D4574" s="217"/>
      <c r="E4574" s="217"/>
      <c r="F4574" s="104"/>
      <c r="G4574" s="108"/>
      <c r="J4574" s="174"/>
      <c r="K4574" s="4"/>
    </row>
    <row r="4575" spans="3:11" x14ac:dyDescent="0.25">
      <c r="C4575" s="108"/>
      <c r="D4575" s="217"/>
      <c r="E4575" s="217"/>
      <c r="F4575" s="104"/>
      <c r="G4575" s="108"/>
      <c r="J4575" s="174"/>
      <c r="K4575" s="4"/>
    </row>
    <row r="4576" spans="3:11" x14ac:dyDescent="0.25">
      <c r="C4576" s="108"/>
      <c r="D4576" s="217"/>
      <c r="E4576" s="217"/>
      <c r="F4576" s="104"/>
      <c r="G4576" s="108"/>
      <c r="J4576" s="174"/>
      <c r="K4576" s="4"/>
    </row>
    <row r="4577" spans="3:11" x14ac:dyDescent="0.25">
      <c r="C4577" s="108"/>
      <c r="D4577" s="217"/>
      <c r="E4577" s="217"/>
      <c r="F4577" s="104"/>
      <c r="G4577" s="108"/>
      <c r="J4577" s="174"/>
      <c r="K4577" s="4"/>
    </row>
    <row r="4578" spans="3:11" x14ac:dyDescent="0.25">
      <c r="C4578" s="108"/>
      <c r="D4578" s="217"/>
      <c r="E4578" s="217"/>
      <c r="F4578" s="104"/>
      <c r="G4578" s="108"/>
      <c r="J4578" s="174"/>
      <c r="K4578" s="4"/>
    </row>
    <row r="4579" spans="3:11" x14ac:dyDescent="0.25">
      <c r="C4579" s="108"/>
      <c r="D4579" s="217"/>
      <c r="E4579" s="217"/>
      <c r="F4579" s="104"/>
      <c r="G4579" s="108"/>
      <c r="J4579" s="174"/>
      <c r="K4579" s="4"/>
    </row>
    <row r="4580" spans="3:11" x14ac:dyDescent="0.25">
      <c r="C4580" s="108"/>
      <c r="D4580" s="217"/>
      <c r="E4580" s="217"/>
      <c r="F4580" s="104"/>
      <c r="G4580" s="108"/>
      <c r="J4580" s="174"/>
      <c r="K4580" s="4"/>
    </row>
    <row r="4581" spans="3:11" x14ac:dyDescent="0.25">
      <c r="C4581" s="108"/>
      <c r="D4581" s="217"/>
      <c r="E4581" s="217"/>
      <c r="F4581" s="104"/>
      <c r="G4581" s="108"/>
      <c r="J4581" s="174"/>
      <c r="K4581" s="4"/>
    </row>
    <row r="4582" spans="3:11" x14ac:dyDescent="0.25">
      <c r="C4582" s="108"/>
      <c r="D4582" s="217"/>
      <c r="E4582" s="217"/>
      <c r="F4582" s="104"/>
      <c r="G4582" s="108"/>
      <c r="J4582" s="174"/>
      <c r="K4582" s="4"/>
    </row>
    <row r="4583" spans="3:11" x14ac:dyDescent="0.25">
      <c r="C4583" s="108"/>
      <c r="D4583" s="217"/>
      <c r="E4583" s="217"/>
      <c r="F4583" s="104"/>
      <c r="G4583" s="108"/>
      <c r="J4583" s="174"/>
      <c r="K4583" s="4"/>
    </row>
    <row r="4584" spans="3:11" x14ac:dyDescent="0.25">
      <c r="C4584" s="108"/>
      <c r="D4584" s="217"/>
      <c r="E4584" s="217"/>
      <c r="F4584" s="104"/>
      <c r="G4584" s="108"/>
      <c r="J4584" s="174"/>
      <c r="K4584" s="4"/>
    </row>
    <row r="4585" spans="3:11" x14ac:dyDescent="0.25">
      <c r="C4585" s="108"/>
      <c r="D4585" s="217"/>
      <c r="E4585" s="217"/>
      <c r="F4585" s="104"/>
      <c r="G4585" s="108"/>
      <c r="J4585" s="174"/>
      <c r="K4585" s="4"/>
    </row>
    <row r="4586" spans="3:11" x14ac:dyDescent="0.25">
      <c r="C4586" s="108"/>
      <c r="D4586" s="217"/>
      <c r="E4586" s="217"/>
      <c r="F4586" s="104"/>
      <c r="G4586" s="108"/>
      <c r="J4586" s="174"/>
      <c r="K4586" s="4"/>
    </row>
    <row r="4587" spans="3:11" x14ac:dyDescent="0.25">
      <c r="C4587" s="108"/>
      <c r="D4587" s="217"/>
      <c r="E4587" s="217"/>
      <c r="F4587" s="104"/>
      <c r="G4587" s="108"/>
      <c r="J4587" s="174"/>
      <c r="K4587" s="4"/>
    </row>
    <row r="4588" spans="3:11" x14ac:dyDescent="0.25">
      <c r="C4588" s="108"/>
      <c r="D4588" s="217"/>
      <c r="E4588" s="217"/>
      <c r="F4588" s="104"/>
      <c r="G4588" s="108"/>
      <c r="J4588" s="174"/>
      <c r="K4588" s="4"/>
    </row>
    <row r="4589" spans="3:11" x14ac:dyDescent="0.25">
      <c r="C4589" s="108"/>
      <c r="D4589" s="217"/>
      <c r="E4589" s="217"/>
      <c r="F4589" s="104"/>
      <c r="G4589" s="108"/>
      <c r="J4589" s="174"/>
      <c r="K4589" s="4"/>
    </row>
    <row r="4590" spans="3:11" x14ac:dyDescent="0.25">
      <c r="C4590" s="108"/>
      <c r="D4590" s="217"/>
      <c r="E4590" s="217"/>
      <c r="F4590" s="104"/>
      <c r="G4590" s="108"/>
      <c r="J4590" s="174"/>
      <c r="K4590" s="4"/>
    </row>
    <row r="4591" spans="3:11" x14ac:dyDescent="0.25">
      <c r="C4591" s="108"/>
      <c r="D4591" s="217"/>
      <c r="E4591" s="217"/>
      <c r="F4591" s="104"/>
      <c r="G4591" s="108"/>
      <c r="J4591" s="174"/>
      <c r="K4591" s="4"/>
    </row>
    <row r="4592" spans="3:11" x14ac:dyDescent="0.25">
      <c r="C4592" s="108"/>
      <c r="D4592" s="217"/>
      <c r="E4592" s="217"/>
      <c r="F4592" s="104"/>
      <c r="G4592" s="108"/>
      <c r="J4592" s="174"/>
      <c r="K4592" s="4"/>
    </row>
    <row r="4593" spans="3:11" x14ac:dyDescent="0.25">
      <c r="C4593" s="108"/>
      <c r="D4593" s="217"/>
      <c r="E4593" s="217"/>
      <c r="F4593" s="104"/>
      <c r="G4593" s="108"/>
      <c r="J4593" s="174"/>
      <c r="K4593" s="4"/>
    </row>
    <row r="4594" spans="3:11" x14ac:dyDescent="0.25">
      <c r="C4594" s="108"/>
      <c r="D4594" s="217"/>
      <c r="E4594" s="217"/>
      <c r="F4594" s="104"/>
      <c r="G4594" s="108"/>
      <c r="J4594" s="174"/>
      <c r="K4594" s="4"/>
    </row>
    <row r="4595" spans="3:11" x14ac:dyDescent="0.25">
      <c r="C4595" s="108"/>
      <c r="D4595" s="217"/>
      <c r="E4595" s="217"/>
      <c r="F4595" s="104"/>
      <c r="G4595" s="108"/>
      <c r="J4595" s="174"/>
      <c r="K4595" s="4"/>
    </row>
    <row r="4596" spans="3:11" x14ac:dyDescent="0.25">
      <c r="C4596" s="108"/>
      <c r="D4596" s="217"/>
      <c r="E4596" s="217"/>
      <c r="F4596" s="104"/>
      <c r="G4596" s="108"/>
      <c r="J4596" s="174"/>
      <c r="K4596" s="4"/>
    </row>
    <row r="4597" spans="3:11" x14ac:dyDescent="0.25">
      <c r="C4597" s="108"/>
      <c r="D4597" s="217"/>
      <c r="E4597" s="217"/>
      <c r="F4597" s="104"/>
      <c r="G4597" s="108"/>
      <c r="J4597" s="174"/>
      <c r="K4597" s="4"/>
    </row>
    <row r="4598" spans="3:11" x14ac:dyDescent="0.25">
      <c r="C4598" s="108"/>
      <c r="D4598" s="217"/>
      <c r="E4598" s="217"/>
      <c r="F4598" s="104"/>
      <c r="G4598" s="108"/>
      <c r="J4598" s="174"/>
      <c r="K4598" s="4"/>
    </row>
    <row r="4599" spans="3:11" x14ac:dyDescent="0.25">
      <c r="C4599" s="108"/>
      <c r="D4599" s="217"/>
      <c r="E4599" s="217"/>
      <c r="F4599" s="104"/>
      <c r="G4599" s="108"/>
      <c r="J4599" s="174"/>
      <c r="K4599" s="4"/>
    </row>
    <row r="4600" spans="3:11" x14ac:dyDescent="0.25">
      <c r="C4600" s="108"/>
      <c r="D4600" s="217"/>
      <c r="E4600" s="217"/>
      <c r="F4600" s="104"/>
      <c r="G4600" s="108"/>
      <c r="J4600" s="174"/>
      <c r="K4600" s="4"/>
    </row>
    <row r="4601" spans="3:11" x14ac:dyDescent="0.25">
      <c r="C4601" s="108"/>
      <c r="D4601" s="217"/>
      <c r="E4601" s="217"/>
      <c r="F4601" s="104"/>
      <c r="G4601" s="108"/>
      <c r="J4601" s="174"/>
      <c r="K4601" s="4"/>
    </row>
    <row r="4602" spans="3:11" x14ac:dyDescent="0.25">
      <c r="C4602" s="108"/>
      <c r="D4602" s="217"/>
      <c r="E4602" s="217"/>
      <c r="F4602" s="104"/>
      <c r="G4602" s="108"/>
      <c r="J4602" s="174"/>
      <c r="K4602" s="4"/>
    </row>
    <row r="4603" spans="3:11" x14ac:dyDescent="0.25">
      <c r="C4603" s="108"/>
      <c r="D4603" s="217"/>
      <c r="E4603" s="217"/>
      <c r="F4603" s="104"/>
      <c r="G4603" s="108"/>
      <c r="J4603" s="174"/>
      <c r="K4603" s="4"/>
    </row>
    <row r="4604" spans="3:11" x14ac:dyDescent="0.25">
      <c r="C4604" s="108"/>
      <c r="D4604" s="217"/>
      <c r="E4604" s="217"/>
      <c r="F4604" s="104"/>
      <c r="G4604" s="108"/>
      <c r="J4604" s="174"/>
      <c r="K4604" s="4"/>
    </row>
    <row r="4605" spans="3:11" x14ac:dyDescent="0.25">
      <c r="C4605" s="108"/>
      <c r="D4605" s="217"/>
      <c r="E4605" s="217"/>
      <c r="F4605" s="104"/>
      <c r="G4605" s="108"/>
      <c r="J4605" s="174"/>
      <c r="K4605" s="4"/>
    </row>
    <row r="4606" spans="3:11" x14ac:dyDescent="0.25">
      <c r="C4606" s="108"/>
      <c r="D4606" s="217"/>
      <c r="E4606" s="217"/>
      <c r="F4606" s="104"/>
      <c r="G4606" s="108"/>
      <c r="J4606" s="174"/>
      <c r="K4606" s="4"/>
    </row>
    <row r="4607" spans="3:11" x14ac:dyDescent="0.25">
      <c r="C4607" s="108"/>
      <c r="D4607" s="217"/>
      <c r="E4607" s="217"/>
      <c r="F4607" s="104"/>
      <c r="G4607" s="108"/>
      <c r="J4607" s="174"/>
      <c r="K4607" s="4"/>
    </row>
    <row r="4608" spans="3:11" x14ac:dyDescent="0.25">
      <c r="C4608" s="108"/>
      <c r="D4608" s="217"/>
      <c r="E4608" s="217"/>
      <c r="F4608" s="104"/>
      <c r="G4608" s="108"/>
      <c r="J4608" s="174"/>
      <c r="K4608" s="4"/>
    </row>
    <row r="4609" spans="3:11" x14ac:dyDescent="0.25">
      <c r="C4609" s="108"/>
      <c r="D4609" s="217"/>
      <c r="E4609" s="217"/>
      <c r="F4609" s="104"/>
      <c r="G4609" s="108"/>
      <c r="J4609" s="174"/>
      <c r="K4609" s="4"/>
    </row>
    <row r="4610" spans="3:11" x14ac:dyDescent="0.25">
      <c r="C4610" s="108"/>
      <c r="D4610" s="217"/>
      <c r="E4610" s="217"/>
      <c r="F4610" s="104"/>
      <c r="G4610" s="108"/>
      <c r="J4610" s="174"/>
      <c r="K4610" s="4"/>
    </row>
    <row r="4611" spans="3:11" x14ac:dyDescent="0.25">
      <c r="C4611" s="108"/>
      <c r="D4611" s="217"/>
      <c r="E4611" s="217"/>
      <c r="F4611" s="104"/>
      <c r="G4611" s="108"/>
      <c r="J4611" s="174"/>
      <c r="K4611" s="4"/>
    </row>
    <row r="4612" spans="3:11" x14ac:dyDescent="0.25">
      <c r="C4612" s="108"/>
      <c r="D4612" s="217"/>
      <c r="E4612" s="217"/>
      <c r="F4612" s="104"/>
      <c r="G4612" s="108"/>
      <c r="J4612" s="174"/>
      <c r="K4612" s="4"/>
    </row>
    <row r="4613" spans="3:11" x14ac:dyDescent="0.25">
      <c r="C4613" s="108"/>
      <c r="D4613" s="217"/>
      <c r="E4613" s="217"/>
      <c r="F4613" s="104"/>
      <c r="G4613" s="108"/>
      <c r="J4613" s="174"/>
      <c r="K4613" s="4"/>
    </row>
    <row r="4614" spans="3:11" x14ac:dyDescent="0.25">
      <c r="C4614" s="108"/>
      <c r="D4614" s="217"/>
      <c r="E4614" s="217"/>
      <c r="F4614" s="104"/>
      <c r="G4614" s="108"/>
      <c r="J4614" s="174"/>
      <c r="K4614" s="4"/>
    </row>
    <row r="4615" spans="3:11" x14ac:dyDescent="0.25">
      <c r="C4615" s="108"/>
      <c r="D4615" s="217"/>
      <c r="E4615" s="217"/>
      <c r="F4615" s="104"/>
      <c r="G4615" s="108"/>
      <c r="J4615" s="174"/>
      <c r="K4615" s="4"/>
    </row>
    <row r="4616" spans="3:11" x14ac:dyDescent="0.25">
      <c r="C4616" s="108"/>
      <c r="D4616" s="217"/>
      <c r="E4616" s="217"/>
      <c r="F4616" s="104"/>
      <c r="G4616" s="108"/>
      <c r="J4616" s="174"/>
      <c r="K4616" s="4"/>
    </row>
    <row r="4617" spans="3:11" x14ac:dyDescent="0.25">
      <c r="C4617" s="108"/>
      <c r="D4617" s="217"/>
      <c r="E4617" s="217"/>
      <c r="F4617" s="104"/>
      <c r="G4617" s="108"/>
      <c r="J4617" s="174"/>
      <c r="K4617" s="4"/>
    </row>
    <row r="4618" spans="3:11" x14ac:dyDescent="0.25">
      <c r="C4618" s="108"/>
      <c r="D4618" s="217"/>
      <c r="E4618" s="217"/>
      <c r="F4618" s="104"/>
      <c r="G4618" s="108"/>
      <c r="J4618" s="174"/>
      <c r="K4618" s="4"/>
    </row>
    <row r="4619" spans="3:11" x14ac:dyDescent="0.25">
      <c r="C4619" s="108"/>
      <c r="D4619" s="217"/>
      <c r="E4619" s="217"/>
      <c r="F4619" s="104"/>
      <c r="G4619" s="108"/>
      <c r="J4619" s="174"/>
      <c r="K4619" s="4"/>
    </row>
    <row r="4620" spans="3:11" x14ac:dyDescent="0.25">
      <c r="C4620" s="108"/>
      <c r="D4620" s="217"/>
      <c r="E4620" s="217"/>
      <c r="F4620" s="104"/>
      <c r="G4620" s="108"/>
      <c r="J4620" s="174"/>
      <c r="K4620" s="4"/>
    </row>
    <row r="4621" spans="3:11" x14ac:dyDescent="0.25">
      <c r="C4621" s="108"/>
      <c r="D4621" s="217"/>
      <c r="E4621" s="217"/>
      <c r="F4621" s="104"/>
      <c r="G4621" s="108"/>
      <c r="J4621" s="174"/>
      <c r="K4621" s="4"/>
    </row>
    <row r="4622" spans="3:11" x14ac:dyDescent="0.25">
      <c r="C4622" s="108"/>
      <c r="D4622" s="217"/>
      <c r="E4622" s="217"/>
      <c r="F4622" s="104"/>
      <c r="G4622" s="108"/>
      <c r="J4622" s="174"/>
      <c r="K4622" s="4"/>
    </row>
    <row r="4623" spans="3:11" x14ac:dyDescent="0.25">
      <c r="C4623" s="108"/>
      <c r="D4623" s="217"/>
      <c r="E4623" s="217"/>
      <c r="F4623" s="104"/>
      <c r="G4623" s="108"/>
      <c r="J4623" s="174"/>
      <c r="K4623" s="4"/>
    </row>
    <row r="4624" spans="3:11" x14ac:dyDescent="0.25">
      <c r="C4624" s="108"/>
      <c r="D4624" s="217"/>
      <c r="E4624" s="217"/>
      <c r="F4624" s="104"/>
      <c r="G4624" s="108"/>
      <c r="J4624" s="174"/>
      <c r="K4624" s="4"/>
    </row>
    <row r="4625" spans="3:11" x14ac:dyDescent="0.25">
      <c r="C4625" s="108"/>
      <c r="D4625" s="217"/>
      <c r="E4625" s="217"/>
      <c r="F4625" s="104"/>
      <c r="G4625" s="108"/>
      <c r="J4625" s="174"/>
      <c r="K4625" s="4"/>
    </row>
    <row r="4626" spans="3:11" x14ac:dyDescent="0.25">
      <c r="C4626" s="108"/>
      <c r="D4626" s="217"/>
      <c r="E4626" s="217"/>
      <c r="F4626" s="104"/>
      <c r="G4626" s="108"/>
      <c r="J4626" s="174"/>
      <c r="K4626" s="4"/>
    </row>
    <row r="4627" spans="3:11" x14ac:dyDescent="0.25">
      <c r="C4627" s="108"/>
      <c r="D4627" s="217"/>
      <c r="E4627" s="217"/>
      <c r="F4627" s="104"/>
      <c r="G4627" s="108"/>
      <c r="J4627" s="174"/>
      <c r="K4627" s="4"/>
    </row>
    <row r="4628" spans="3:11" x14ac:dyDescent="0.25">
      <c r="C4628" s="108"/>
      <c r="D4628" s="217"/>
      <c r="E4628" s="217"/>
      <c r="F4628" s="104"/>
      <c r="G4628" s="108"/>
      <c r="J4628" s="174"/>
      <c r="K4628" s="4"/>
    </row>
    <row r="4629" spans="3:11" x14ac:dyDescent="0.25">
      <c r="C4629" s="108"/>
      <c r="D4629" s="217"/>
      <c r="E4629" s="217"/>
      <c r="F4629" s="104"/>
      <c r="G4629" s="108"/>
      <c r="J4629" s="174"/>
      <c r="K4629" s="4"/>
    </row>
    <row r="4630" spans="3:11" x14ac:dyDescent="0.25">
      <c r="C4630" s="108"/>
      <c r="D4630" s="217"/>
      <c r="E4630" s="217"/>
      <c r="F4630" s="104"/>
      <c r="G4630" s="108"/>
      <c r="J4630" s="174"/>
      <c r="K4630" s="4"/>
    </row>
    <row r="4631" spans="3:11" x14ac:dyDescent="0.25">
      <c r="C4631" s="108"/>
      <c r="D4631" s="217"/>
      <c r="E4631" s="217"/>
      <c r="F4631" s="104"/>
      <c r="G4631" s="108"/>
      <c r="J4631" s="174"/>
      <c r="K4631" s="4"/>
    </row>
    <row r="4632" spans="3:11" x14ac:dyDescent="0.25">
      <c r="C4632" s="108"/>
      <c r="D4632" s="217"/>
      <c r="E4632" s="217"/>
      <c r="F4632" s="104"/>
      <c r="G4632" s="108"/>
      <c r="J4632" s="174"/>
      <c r="K4632" s="4"/>
    </row>
    <row r="4633" spans="3:11" x14ac:dyDescent="0.25">
      <c r="C4633" s="108"/>
      <c r="D4633" s="217"/>
      <c r="E4633" s="217"/>
      <c r="F4633" s="104"/>
      <c r="G4633" s="108"/>
      <c r="J4633" s="174"/>
      <c r="K4633" s="4"/>
    </row>
    <row r="4634" spans="3:11" x14ac:dyDescent="0.25">
      <c r="C4634" s="108"/>
      <c r="D4634" s="217"/>
      <c r="E4634" s="217"/>
      <c r="F4634" s="104"/>
      <c r="G4634" s="108"/>
      <c r="J4634" s="174"/>
      <c r="K4634" s="4"/>
    </row>
    <row r="4635" spans="3:11" x14ac:dyDescent="0.25">
      <c r="C4635" s="108"/>
      <c r="D4635" s="217"/>
      <c r="E4635" s="217"/>
      <c r="F4635" s="104"/>
      <c r="G4635" s="108"/>
      <c r="J4635" s="174"/>
      <c r="K4635" s="4"/>
    </row>
    <row r="4636" spans="3:11" x14ac:dyDescent="0.25">
      <c r="C4636" s="108"/>
      <c r="D4636" s="217"/>
      <c r="E4636" s="217"/>
      <c r="F4636" s="104"/>
      <c r="G4636" s="108"/>
      <c r="J4636" s="174"/>
      <c r="K4636" s="4"/>
    </row>
    <row r="4637" spans="3:11" x14ac:dyDescent="0.25">
      <c r="C4637" s="108"/>
      <c r="D4637" s="217"/>
      <c r="E4637" s="217"/>
      <c r="F4637" s="104"/>
      <c r="G4637" s="108"/>
      <c r="J4637" s="174"/>
      <c r="K4637" s="4"/>
    </row>
    <row r="4638" spans="3:11" x14ac:dyDescent="0.25">
      <c r="C4638" s="108"/>
      <c r="D4638" s="217"/>
      <c r="E4638" s="217"/>
      <c r="F4638" s="104"/>
      <c r="G4638" s="108"/>
      <c r="J4638" s="174"/>
      <c r="K4638" s="4"/>
    </row>
    <row r="4639" spans="3:11" x14ac:dyDescent="0.25">
      <c r="C4639" s="108"/>
      <c r="D4639" s="217"/>
      <c r="E4639" s="217"/>
      <c r="F4639" s="104"/>
      <c r="G4639" s="108"/>
      <c r="J4639" s="174"/>
      <c r="K4639" s="4"/>
    </row>
    <row r="4640" spans="3:11" x14ac:dyDescent="0.25">
      <c r="C4640" s="108"/>
      <c r="D4640" s="217"/>
      <c r="E4640" s="217"/>
      <c r="F4640" s="104"/>
      <c r="G4640" s="108"/>
      <c r="J4640" s="174"/>
      <c r="K4640" s="4"/>
    </row>
    <row r="4641" spans="3:11" x14ac:dyDescent="0.25">
      <c r="C4641" s="108"/>
      <c r="D4641" s="217"/>
      <c r="E4641" s="217"/>
      <c r="F4641" s="104"/>
      <c r="G4641" s="108"/>
      <c r="J4641" s="174"/>
      <c r="K4641" s="4"/>
    </row>
    <row r="4642" spans="3:11" x14ac:dyDescent="0.25">
      <c r="C4642" s="108"/>
      <c r="D4642" s="217"/>
      <c r="E4642" s="217"/>
      <c r="F4642" s="104"/>
      <c r="G4642" s="108"/>
      <c r="J4642" s="174"/>
      <c r="K4642" s="4"/>
    </row>
    <row r="4643" spans="3:11" x14ac:dyDescent="0.25">
      <c r="C4643" s="108"/>
      <c r="D4643" s="217"/>
      <c r="E4643" s="217"/>
      <c r="F4643" s="104"/>
      <c r="G4643" s="108"/>
      <c r="J4643" s="174"/>
      <c r="K4643" s="4"/>
    </row>
    <row r="4644" spans="3:11" x14ac:dyDescent="0.25">
      <c r="C4644" s="108"/>
      <c r="D4644" s="217"/>
      <c r="E4644" s="217"/>
      <c r="F4644" s="104"/>
      <c r="G4644" s="108"/>
      <c r="J4644" s="174"/>
      <c r="K4644" s="4"/>
    </row>
    <row r="4645" spans="3:11" x14ac:dyDescent="0.25">
      <c r="C4645" s="108"/>
      <c r="D4645" s="217"/>
      <c r="E4645" s="217"/>
      <c r="F4645" s="104"/>
      <c r="G4645" s="108"/>
      <c r="J4645" s="174"/>
      <c r="K4645" s="4"/>
    </row>
    <row r="4646" spans="3:11" x14ac:dyDescent="0.25">
      <c r="C4646" s="108"/>
      <c r="D4646" s="217"/>
      <c r="E4646" s="217"/>
      <c r="F4646" s="104"/>
      <c r="G4646" s="108"/>
      <c r="J4646" s="174"/>
      <c r="K4646" s="4"/>
    </row>
    <row r="4647" spans="3:11" x14ac:dyDescent="0.25">
      <c r="C4647" s="108"/>
      <c r="D4647" s="217"/>
      <c r="E4647" s="217"/>
      <c r="F4647" s="104"/>
      <c r="G4647" s="108"/>
      <c r="J4647" s="174"/>
      <c r="K4647" s="4"/>
    </row>
    <row r="4648" spans="3:11" x14ac:dyDescent="0.25">
      <c r="C4648" s="108"/>
      <c r="D4648" s="217"/>
      <c r="E4648" s="217"/>
      <c r="F4648" s="104"/>
      <c r="G4648" s="108"/>
      <c r="J4648" s="174"/>
      <c r="K4648" s="4"/>
    </row>
    <row r="4649" spans="3:11" x14ac:dyDescent="0.25">
      <c r="C4649" s="108"/>
      <c r="D4649" s="217"/>
      <c r="E4649" s="217"/>
      <c r="F4649" s="104"/>
      <c r="G4649" s="108"/>
      <c r="J4649" s="174"/>
      <c r="K4649" s="4"/>
    </row>
    <row r="4650" spans="3:11" x14ac:dyDescent="0.25">
      <c r="C4650" s="108"/>
      <c r="D4650" s="217"/>
      <c r="E4650" s="217"/>
      <c r="F4650" s="104"/>
      <c r="G4650" s="108"/>
      <c r="J4650" s="174"/>
      <c r="K4650" s="4"/>
    </row>
    <row r="4651" spans="3:11" x14ac:dyDescent="0.25">
      <c r="C4651" s="108"/>
      <c r="D4651" s="217"/>
      <c r="E4651" s="217"/>
      <c r="F4651" s="104"/>
      <c r="G4651" s="108"/>
      <c r="J4651" s="174"/>
      <c r="K4651" s="4"/>
    </row>
    <row r="4652" spans="3:11" x14ac:dyDescent="0.25">
      <c r="C4652" s="108"/>
      <c r="D4652" s="217"/>
      <c r="E4652" s="217"/>
      <c r="F4652" s="104"/>
      <c r="G4652" s="108"/>
      <c r="J4652" s="174"/>
      <c r="K4652" s="4"/>
    </row>
    <row r="4653" spans="3:11" x14ac:dyDescent="0.25">
      <c r="C4653" s="108"/>
      <c r="D4653" s="217"/>
      <c r="E4653" s="217"/>
      <c r="F4653" s="104"/>
      <c r="G4653" s="108"/>
      <c r="J4653" s="174"/>
      <c r="K4653" s="4"/>
    </row>
    <row r="4654" spans="3:11" x14ac:dyDescent="0.25">
      <c r="C4654" s="108"/>
      <c r="D4654" s="217"/>
      <c r="E4654" s="217"/>
      <c r="F4654" s="104"/>
      <c r="G4654" s="108"/>
      <c r="J4654" s="174"/>
      <c r="K4654" s="4"/>
    </row>
    <row r="4655" spans="3:11" x14ac:dyDescent="0.25">
      <c r="C4655" s="108"/>
      <c r="D4655" s="217"/>
      <c r="E4655" s="217"/>
      <c r="F4655" s="104"/>
      <c r="G4655" s="108"/>
      <c r="J4655" s="174"/>
      <c r="K4655" s="4"/>
    </row>
    <row r="4656" spans="3:11" x14ac:dyDescent="0.25">
      <c r="C4656" s="108"/>
      <c r="D4656" s="217"/>
      <c r="E4656" s="217"/>
      <c r="F4656" s="104"/>
      <c r="G4656" s="108"/>
      <c r="J4656" s="174"/>
      <c r="K4656" s="4"/>
    </row>
    <row r="4657" spans="3:11" x14ac:dyDescent="0.25">
      <c r="C4657" s="108"/>
      <c r="D4657" s="217"/>
      <c r="E4657" s="217"/>
      <c r="F4657" s="104"/>
      <c r="G4657" s="108"/>
      <c r="J4657" s="174"/>
      <c r="K4657" s="4"/>
    </row>
    <row r="4658" spans="3:11" x14ac:dyDescent="0.25">
      <c r="C4658" s="108"/>
      <c r="D4658" s="217"/>
      <c r="E4658" s="217"/>
      <c r="F4658" s="104"/>
      <c r="G4658" s="108"/>
      <c r="J4658" s="174"/>
      <c r="K4658" s="4"/>
    </row>
    <row r="4659" spans="3:11" x14ac:dyDescent="0.25">
      <c r="C4659" s="108"/>
      <c r="D4659" s="217"/>
      <c r="E4659" s="217"/>
      <c r="F4659" s="104"/>
      <c r="G4659" s="108"/>
      <c r="J4659" s="174"/>
      <c r="K4659" s="4"/>
    </row>
    <row r="4660" spans="3:11" x14ac:dyDescent="0.25">
      <c r="C4660" s="108"/>
      <c r="D4660" s="217"/>
      <c r="E4660" s="217"/>
      <c r="F4660" s="104"/>
      <c r="G4660" s="108"/>
      <c r="J4660" s="174"/>
      <c r="K4660" s="4"/>
    </row>
    <row r="4661" spans="3:11" x14ac:dyDescent="0.25">
      <c r="C4661" s="108"/>
      <c r="D4661" s="217"/>
      <c r="E4661" s="217"/>
      <c r="F4661" s="104"/>
      <c r="G4661" s="108"/>
      <c r="J4661" s="174"/>
      <c r="K4661" s="4"/>
    </row>
    <row r="4662" spans="3:11" x14ac:dyDescent="0.25">
      <c r="C4662" s="108"/>
      <c r="D4662" s="217"/>
      <c r="E4662" s="217"/>
      <c r="F4662" s="104"/>
      <c r="G4662" s="108"/>
      <c r="J4662" s="174"/>
      <c r="K4662" s="4"/>
    </row>
    <row r="4663" spans="3:11" x14ac:dyDescent="0.25">
      <c r="C4663" s="108"/>
      <c r="D4663" s="217"/>
      <c r="E4663" s="217"/>
      <c r="F4663" s="104"/>
      <c r="G4663" s="108"/>
      <c r="J4663" s="174"/>
      <c r="K4663" s="4"/>
    </row>
    <row r="4664" spans="3:11" x14ac:dyDescent="0.25">
      <c r="C4664" s="108"/>
      <c r="D4664" s="217"/>
      <c r="E4664" s="217"/>
      <c r="F4664" s="104"/>
      <c r="G4664" s="108"/>
      <c r="J4664" s="174"/>
      <c r="K4664" s="4"/>
    </row>
    <row r="4665" spans="3:11" x14ac:dyDescent="0.25">
      <c r="C4665" s="108"/>
      <c r="D4665" s="217"/>
      <c r="E4665" s="217"/>
      <c r="F4665" s="104"/>
      <c r="G4665" s="108"/>
      <c r="J4665" s="174"/>
      <c r="K4665" s="4"/>
    </row>
    <row r="4666" spans="3:11" x14ac:dyDescent="0.25">
      <c r="C4666" s="108"/>
      <c r="D4666" s="217"/>
      <c r="E4666" s="217"/>
      <c r="F4666" s="104"/>
      <c r="G4666" s="108"/>
      <c r="J4666" s="174"/>
      <c r="K4666" s="4"/>
    </row>
    <row r="4667" spans="3:11" x14ac:dyDescent="0.25">
      <c r="C4667" s="108"/>
      <c r="D4667" s="217"/>
      <c r="E4667" s="217"/>
      <c r="F4667" s="104"/>
      <c r="G4667" s="108"/>
      <c r="J4667" s="174"/>
      <c r="K4667" s="4"/>
    </row>
    <row r="4668" spans="3:11" x14ac:dyDescent="0.25">
      <c r="C4668" s="108"/>
      <c r="D4668" s="217"/>
      <c r="E4668" s="217"/>
      <c r="F4668" s="104"/>
      <c r="G4668" s="108"/>
      <c r="J4668" s="174"/>
      <c r="K4668" s="4"/>
    </row>
    <row r="4669" spans="3:11" x14ac:dyDescent="0.25">
      <c r="C4669" s="108"/>
      <c r="D4669" s="217"/>
      <c r="E4669" s="217"/>
      <c r="F4669" s="104"/>
      <c r="G4669" s="108"/>
      <c r="J4669" s="174"/>
      <c r="K4669" s="4"/>
    </row>
    <row r="4670" spans="3:11" x14ac:dyDescent="0.25">
      <c r="C4670" s="108"/>
      <c r="D4670" s="217"/>
      <c r="E4670" s="217"/>
      <c r="F4670" s="104"/>
      <c r="G4670" s="108"/>
      <c r="J4670" s="174"/>
      <c r="K4670" s="4"/>
    </row>
    <row r="4671" spans="3:11" x14ac:dyDescent="0.25">
      <c r="C4671" s="108"/>
      <c r="D4671" s="217"/>
      <c r="E4671" s="217"/>
      <c r="F4671" s="104"/>
      <c r="G4671" s="108"/>
      <c r="J4671" s="174"/>
      <c r="K4671" s="4"/>
    </row>
    <row r="4672" spans="3:11" x14ac:dyDescent="0.25">
      <c r="C4672" s="108"/>
      <c r="D4672" s="217"/>
      <c r="E4672" s="217"/>
      <c r="F4672" s="104"/>
      <c r="G4672" s="108"/>
      <c r="J4672" s="174"/>
      <c r="K4672" s="4"/>
    </row>
    <row r="4673" spans="3:11" x14ac:dyDescent="0.25">
      <c r="C4673" s="108"/>
      <c r="D4673" s="217"/>
      <c r="E4673" s="217"/>
      <c r="F4673" s="104"/>
      <c r="G4673" s="108"/>
      <c r="J4673" s="174"/>
      <c r="K4673" s="4"/>
    </row>
    <row r="4674" spans="3:11" x14ac:dyDescent="0.25">
      <c r="C4674" s="108"/>
      <c r="D4674" s="217"/>
      <c r="E4674" s="217"/>
      <c r="F4674" s="104"/>
      <c r="G4674" s="108"/>
      <c r="J4674" s="174"/>
      <c r="K4674" s="4"/>
    </row>
    <row r="4675" spans="3:11" x14ac:dyDescent="0.25">
      <c r="C4675" s="108"/>
      <c r="D4675" s="217"/>
      <c r="E4675" s="217"/>
      <c r="F4675" s="104"/>
      <c r="G4675" s="108"/>
      <c r="J4675" s="174"/>
      <c r="K4675" s="4"/>
    </row>
    <row r="4676" spans="3:11" x14ac:dyDescent="0.25">
      <c r="C4676" s="108"/>
      <c r="D4676" s="217"/>
      <c r="E4676" s="217"/>
      <c r="F4676" s="104"/>
      <c r="G4676" s="108"/>
      <c r="J4676" s="174"/>
      <c r="K4676" s="4"/>
    </row>
    <row r="4677" spans="3:11" x14ac:dyDescent="0.25">
      <c r="C4677" s="108"/>
      <c r="D4677" s="217"/>
      <c r="E4677" s="217"/>
      <c r="F4677" s="104"/>
      <c r="G4677" s="108"/>
      <c r="J4677" s="174"/>
      <c r="K4677" s="4"/>
    </row>
    <row r="4678" spans="3:11" x14ac:dyDescent="0.25">
      <c r="C4678" s="108"/>
      <c r="D4678" s="217"/>
      <c r="E4678" s="217"/>
      <c r="F4678" s="104"/>
      <c r="G4678" s="108"/>
      <c r="J4678" s="174"/>
      <c r="K4678" s="4"/>
    </row>
    <row r="4679" spans="3:11" x14ac:dyDescent="0.25">
      <c r="C4679" s="108"/>
      <c r="D4679" s="217"/>
      <c r="E4679" s="217"/>
      <c r="F4679" s="104"/>
      <c r="G4679" s="108"/>
      <c r="J4679" s="174"/>
      <c r="K4679" s="4"/>
    </row>
    <row r="4680" spans="3:11" x14ac:dyDescent="0.25">
      <c r="C4680" s="108"/>
      <c r="D4680" s="217"/>
      <c r="E4680" s="217"/>
      <c r="F4680" s="104"/>
      <c r="G4680" s="108"/>
      <c r="J4680" s="174"/>
      <c r="K4680" s="4"/>
    </row>
    <row r="4681" spans="3:11" x14ac:dyDescent="0.25">
      <c r="C4681" s="108"/>
      <c r="D4681" s="217"/>
      <c r="E4681" s="217"/>
      <c r="F4681" s="104"/>
      <c r="G4681" s="108"/>
      <c r="J4681" s="174"/>
      <c r="K4681" s="4"/>
    </row>
    <row r="4682" spans="3:11" x14ac:dyDescent="0.25">
      <c r="C4682" s="108"/>
      <c r="D4682" s="217"/>
      <c r="E4682" s="217"/>
      <c r="F4682" s="104"/>
      <c r="G4682" s="108"/>
      <c r="J4682" s="174"/>
      <c r="K4682" s="4"/>
    </row>
    <row r="4683" spans="3:11" x14ac:dyDescent="0.25">
      <c r="C4683" s="108"/>
      <c r="D4683" s="217"/>
      <c r="E4683" s="217"/>
      <c r="F4683" s="104"/>
      <c r="G4683" s="108"/>
      <c r="J4683" s="174"/>
      <c r="K4683" s="4"/>
    </row>
    <row r="4684" spans="3:11" x14ac:dyDescent="0.25">
      <c r="C4684" s="108"/>
      <c r="D4684" s="217"/>
      <c r="E4684" s="217"/>
      <c r="F4684" s="104"/>
      <c r="G4684" s="108"/>
      <c r="J4684" s="174"/>
      <c r="K4684" s="4"/>
    </row>
    <row r="4685" spans="3:11" x14ac:dyDescent="0.25">
      <c r="C4685" s="108"/>
      <c r="D4685" s="217"/>
      <c r="E4685" s="217"/>
      <c r="F4685" s="104"/>
      <c r="G4685" s="108"/>
      <c r="J4685" s="174"/>
      <c r="K4685" s="4"/>
    </row>
    <row r="4686" spans="3:11" x14ac:dyDescent="0.25">
      <c r="C4686" s="108"/>
      <c r="D4686" s="217"/>
      <c r="E4686" s="217"/>
      <c r="F4686" s="104"/>
      <c r="G4686" s="108"/>
      <c r="J4686" s="174"/>
      <c r="K4686" s="4"/>
    </row>
    <row r="4687" spans="3:11" x14ac:dyDescent="0.25">
      <c r="C4687" s="108"/>
      <c r="D4687" s="217"/>
      <c r="E4687" s="217"/>
      <c r="F4687" s="104"/>
      <c r="G4687" s="108"/>
      <c r="J4687" s="174"/>
      <c r="K4687" s="4"/>
    </row>
    <row r="4688" spans="3:11" x14ac:dyDescent="0.25">
      <c r="C4688" s="108"/>
      <c r="D4688" s="217"/>
      <c r="E4688" s="217"/>
      <c r="F4688" s="104"/>
      <c r="G4688" s="108"/>
      <c r="J4688" s="174"/>
      <c r="K4688" s="4"/>
    </row>
    <row r="4689" spans="3:11" x14ac:dyDescent="0.25">
      <c r="C4689" s="108"/>
      <c r="D4689" s="217"/>
      <c r="E4689" s="217"/>
      <c r="F4689" s="104"/>
      <c r="G4689" s="108"/>
      <c r="J4689" s="174"/>
      <c r="K4689" s="4"/>
    </row>
    <row r="4690" spans="3:11" x14ac:dyDescent="0.25">
      <c r="C4690" s="108"/>
      <c r="D4690" s="217"/>
      <c r="E4690" s="217"/>
      <c r="F4690" s="104"/>
      <c r="G4690" s="108"/>
      <c r="J4690" s="174"/>
      <c r="K4690" s="4"/>
    </row>
    <row r="4691" spans="3:11" x14ac:dyDescent="0.25">
      <c r="C4691" s="108"/>
      <c r="D4691" s="217"/>
      <c r="E4691" s="217"/>
      <c r="F4691" s="104"/>
      <c r="G4691" s="108"/>
      <c r="J4691" s="174"/>
      <c r="K4691" s="4"/>
    </row>
    <row r="4692" spans="3:11" x14ac:dyDescent="0.25">
      <c r="C4692" s="108"/>
      <c r="D4692" s="217"/>
      <c r="E4692" s="217"/>
      <c r="F4692" s="104"/>
      <c r="G4692" s="108"/>
      <c r="J4692" s="174"/>
      <c r="K4692" s="4"/>
    </row>
    <row r="4693" spans="3:11" x14ac:dyDescent="0.25">
      <c r="C4693" s="108"/>
      <c r="D4693" s="217"/>
      <c r="E4693" s="217"/>
      <c r="F4693" s="104"/>
      <c r="G4693" s="108"/>
      <c r="J4693" s="174"/>
      <c r="K4693" s="4"/>
    </row>
    <row r="4694" spans="3:11" x14ac:dyDescent="0.25">
      <c r="C4694" s="108"/>
      <c r="D4694" s="217"/>
      <c r="E4694" s="217"/>
      <c r="F4694" s="104"/>
      <c r="G4694" s="108"/>
      <c r="J4694" s="174"/>
      <c r="K4694" s="4"/>
    </row>
    <row r="4695" spans="3:11" x14ac:dyDescent="0.25">
      <c r="C4695" s="108"/>
      <c r="D4695" s="217"/>
      <c r="E4695" s="217"/>
      <c r="F4695" s="104"/>
      <c r="G4695" s="108"/>
      <c r="J4695" s="174"/>
      <c r="K4695" s="4"/>
    </row>
    <row r="4696" spans="3:11" x14ac:dyDescent="0.25">
      <c r="C4696" s="108"/>
      <c r="D4696" s="217"/>
      <c r="E4696" s="217"/>
      <c r="F4696" s="104"/>
      <c r="G4696" s="108"/>
      <c r="J4696" s="174"/>
      <c r="K4696" s="4"/>
    </row>
    <row r="4697" spans="3:11" x14ac:dyDescent="0.25">
      <c r="C4697" s="108"/>
      <c r="D4697" s="217"/>
      <c r="E4697" s="217"/>
      <c r="F4697" s="104"/>
      <c r="G4697" s="108"/>
      <c r="J4697" s="174"/>
      <c r="K4697" s="4"/>
    </row>
    <row r="4698" spans="3:11" x14ac:dyDescent="0.25">
      <c r="C4698" s="108"/>
      <c r="D4698" s="217"/>
      <c r="E4698" s="217"/>
      <c r="F4698" s="104"/>
      <c r="G4698" s="108"/>
      <c r="J4698" s="174"/>
      <c r="K4698" s="4"/>
    </row>
    <row r="4699" spans="3:11" x14ac:dyDescent="0.25">
      <c r="C4699" s="108"/>
      <c r="D4699" s="217"/>
      <c r="E4699" s="217"/>
      <c r="F4699" s="104"/>
      <c r="G4699" s="108"/>
      <c r="J4699" s="174"/>
      <c r="K4699" s="4"/>
    </row>
    <row r="4700" spans="3:11" x14ac:dyDescent="0.25">
      <c r="C4700" s="108"/>
      <c r="D4700" s="217"/>
      <c r="E4700" s="217"/>
      <c r="F4700" s="104"/>
      <c r="G4700" s="108"/>
      <c r="J4700" s="174"/>
      <c r="K4700" s="4"/>
    </row>
    <row r="4701" spans="3:11" x14ac:dyDescent="0.25">
      <c r="C4701" s="108"/>
      <c r="D4701" s="217"/>
      <c r="E4701" s="217"/>
      <c r="F4701" s="104"/>
      <c r="G4701" s="108"/>
      <c r="J4701" s="174"/>
      <c r="K4701" s="4"/>
    </row>
    <row r="4702" spans="3:11" x14ac:dyDescent="0.25">
      <c r="C4702" s="108"/>
      <c r="D4702" s="217"/>
      <c r="E4702" s="217"/>
      <c r="F4702" s="104"/>
      <c r="G4702" s="108"/>
      <c r="J4702" s="174"/>
      <c r="K4702" s="4"/>
    </row>
    <row r="4703" spans="3:11" x14ac:dyDescent="0.25">
      <c r="C4703" s="108"/>
      <c r="D4703" s="217"/>
      <c r="E4703" s="217"/>
      <c r="F4703" s="104"/>
      <c r="G4703" s="108"/>
      <c r="J4703" s="174"/>
      <c r="K4703" s="4"/>
    </row>
    <row r="4704" spans="3:11" x14ac:dyDescent="0.25">
      <c r="C4704" s="108"/>
      <c r="D4704" s="217"/>
      <c r="E4704" s="217"/>
      <c r="F4704" s="104"/>
      <c r="G4704" s="108"/>
      <c r="J4704" s="174"/>
      <c r="K4704" s="4"/>
    </row>
    <row r="4705" spans="3:11" x14ac:dyDescent="0.25">
      <c r="C4705" s="108"/>
      <c r="D4705" s="217"/>
      <c r="E4705" s="217"/>
      <c r="F4705" s="104"/>
      <c r="G4705" s="108"/>
      <c r="J4705" s="174"/>
      <c r="K4705" s="4"/>
    </row>
    <row r="4706" spans="3:11" x14ac:dyDescent="0.25">
      <c r="C4706" s="108"/>
      <c r="D4706" s="217"/>
      <c r="E4706" s="217"/>
      <c r="F4706" s="104"/>
      <c r="G4706" s="108"/>
      <c r="J4706" s="174"/>
      <c r="K4706" s="4"/>
    </row>
    <row r="4707" spans="3:11" x14ac:dyDescent="0.25">
      <c r="C4707" s="108"/>
      <c r="D4707" s="217"/>
      <c r="E4707" s="217"/>
      <c r="F4707" s="104"/>
      <c r="G4707" s="108"/>
      <c r="J4707" s="174"/>
      <c r="K4707" s="4"/>
    </row>
    <row r="4708" spans="3:11" x14ac:dyDescent="0.25">
      <c r="C4708" s="108"/>
      <c r="D4708" s="217"/>
      <c r="E4708" s="217"/>
      <c r="F4708" s="104"/>
      <c r="G4708" s="108"/>
      <c r="J4708" s="174"/>
      <c r="K4708" s="4"/>
    </row>
    <row r="4709" spans="3:11" x14ac:dyDescent="0.25">
      <c r="C4709" s="108"/>
      <c r="D4709" s="217"/>
      <c r="E4709" s="217"/>
      <c r="F4709" s="104"/>
      <c r="G4709" s="108"/>
      <c r="J4709" s="174"/>
      <c r="K4709" s="4"/>
    </row>
    <row r="4710" spans="3:11" x14ac:dyDescent="0.25">
      <c r="C4710" s="108"/>
      <c r="D4710" s="217"/>
      <c r="E4710" s="217"/>
      <c r="F4710" s="104"/>
      <c r="G4710" s="108"/>
      <c r="J4710" s="174"/>
      <c r="K4710" s="4"/>
    </row>
    <row r="4711" spans="3:11" x14ac:dyDescent="0.25">
      <c r="C4711" s="108"/>
      <c r="D4711" s="217"/>
      <c r="E4711" s="217"/>
      <c r="F4711" s="104"/>
      <c r="G4711" s="108"/>
      <c r="J4711" s="174"/>
      <c r="K4711" s="4"/>
    </row>
    <row r="4712" spans="3:11" x14ac:dyDescent="0.25">
      <c r="C4712" s="108"/>
      <c r="D4712" s="217"/>
      <c r="E4712" s="217"/>
      <c r="F4712" s="104"/>
      <c r="G4712" s="108"/>
      <c r="J4712" s="174"/>
      <c r="K4712" s="4"/>
    </row>
    <row r="4713" spans="3:11" x14ac:dyDescent="0.25">
      <c r="C4713" s="108"/>
      <c r="D4713" s="217"/>
      <c r="E4713" s="217"/>
      <c r="F4713" s="104"/>
      <c r="G4713" s="108"/>
      <c r="J4713" s="174"/>
      <c r="K4713" s="4"/>
    </row>
    <row r="4714" spans="3:11" x14ac:dyDescent="0.25">
      <c r="C4714" s="108"/>
      <c r="D4714" s="217"/>
      <c r="E4714" s="217"/>
      <c r="F4714" s="104"/>
      <c r="G4714" s="108"/>
      <c r="J4714" s="174"/>
      <c r="K4714" s="4"/>
    </row>
    <row r="4715" spans="3:11" x14ac:dyDescent="0.25">
      <c r="C4715" s="108"/>
      <c r="D4715" s="217"/>
      <c r="E4715" s="217"/>
      <c r="F4715" s="104"/>
      <c r="G4715" s="108"/>
      <c r="J4715" s="174"/>
      <c r="K4715" s="4"/>
    </row>
    <row r="4716" spans="3:11" x14ac:dyDescent="0.25">
      <c r="C4716" s="108"/>
      <c r="D4716" s="217"/>
      <c r="E4716" s="217"/>
      <c r="F4716" s="104"/>
      <c r="G4716" s="108"/>
      <c r="J4716" s="174"/>
      <c r="K4716" s="4"/>
    </row>
    <row r="4717" spans="3:11" x14ac:dyDescent="0.25">
      <c r="C4717" s="108"/>
      <c r="D4717" s="217"/>
      <c r="E4717" s="217"/>
      <c r="F4717" s="104"/>
      <c r="G4717" s="108"/>
      <c r="J4717" s="174"/>
      <c r="K4717" s="4"/>
    </row>
    <row r="4718" spans="3:11" x14ac:dyDescent="0.25">
      <c r="C4718" s="108"/>
      <c r="D4718" s="217"/>
      <c r="E4718" s="217"/>
      <c r="F4718" s="104"/>
      <c r="G4718" s="108"/>
      <c r="J4718" s="174"/>
      <c r="K4718" s="4"/>
    </row>
    <row r="4719" spans="3:11" x14ac:dyDescent="0.25">
      <c r="C4719" s="108"/>
      <c r="D4719" s="217"/>
      <c r="E4719" s="217"/>
      <c r="F4719" s="104"/>
      <c r="G4719" s="108"/>
      <c r="J4719" s="174"/>
      <c r="K4719" s="4"/>
    </row>
    <row r="4720" spans="3:11" x14ac:dyDescent="0.25">
      <c r="C4720" s="108"/>
      <c r="D4720" s="217"/>
      <c r="E4720" s="217"/>
      <c r="F4720" s="104"/>
      <c r="G4720" s="108"/>
      <c r="J4720" s="174"/>
      <c r="K4720" s="4"/>
    </row>
    <row r="4721" spans="3:11" x14ac:dyDescent="0.25">
      <c r="C4721" s="108"/>
      <c r="D4721" s="217"/>
      <c r="E4721" s="217"/>
      <c r="F4721" s="104"/>
      <c r="G4721" s="108"/>
      <c r="J4721" s="174"/>
      <c r="K4721" s="4"/>
    </row>
    <row r="4722" spans="3:11" x14ac:dyDescent="0.25">
      <c r="C4722" s="108"/>
      <c r="D4722" s="217"/>
      <c r="E4722" s="217"/>
      <c r="F4722" s="104"/>
      <c r="G4722" s="108"/>
      <c r="J4722" s="174"/>
      <c r="K4722" s="4"/>
    </row>
    <row r="4723" spans="3:11" x14ac:dyDescent="0.25">
      <c r="C4723" s="108"/>
      <c r="D4723" s="217"/>
      <c r="E4723" s="217"/>
      <c r="F4723" s="104"/>
      <c r="G4723" s="108"/>
      <c r="J4723" s="174"/>
      <c r="K4723" s="4"/>
    </row>
    <row r="4724" spans="3:11" x14ac:dyDescent="0.25">
      <c r="C4724" s="108"/>
      <c r="D4724" s="217"/>
      <c r="E4724" s="217"/>
      <c r="F4724" s="104"/>
      <c r="G4724" s="108"/>
      <c r="J4724" s="174"/>
      <c r="K4724" s="4"/>
    </row>
    <row r="4725" spans="3:11" x14ac:dyDescent="0.25">
      <c r="C4725" s="108"/>
      <c r="D4725" s="217"/>
      <c r="E4725" s="217"/>
      <c r="F4725" s="104"/>
      <c r="G4725" s="108"/>
      <c r="J4725" s="174"/>
      <c r="K4725" s="4"/>
    </row>
    <row r="4726" spans="3:11" x14ac:dyDescent="0.25">
      <c r="C4726" s="108"/>
      <c r="D4726" s="217"/>
      <c r="E4726" s="217"/>
      <c r="F4726" s="104"/>
      <c r="G4726" s="108"/>
      <c r="J4726" s="174"/>
      <c r="K4726" s="4"/>
    </row>
    <row r="4727" spans="3:11" x14ac:dyDescent="0.25">
      <c r="C4727" s="108"/>
      <c r="D4727" s="217"/>
      <c r="E4727" s="217"/>
      <c r="F4727" s="104"/>
      <c r="G4727" s="108"/>
      <c r="J4727" s="174"/>
      <c r="K4727" s="4"/>
    </row>
    <row r="4728" spans="3:11" x14ac:dyDescent="0.25">
      <c r="C4728" s="108"/>
      <c r="D4728" s="217"/>
      <c r="E4728" s="217"/>
      <c r="F4728" s="104"/>
      <c r="G4728" s="108"/>
      <c r="J4728" s="174"/>
      <c r="K4728" s="4"/>
    </row>
    <row r="4729" spans="3:11" x14ac:dyDescent="0.25">
      <c r="C4729" s="108"/>
      <c r="D4729" s="217"/>
      <c r="E4729" s="217"/>
      <c r="F4729" s="104"/>
      <c r="G4729" s="108"/>
      <c r="J4729" s="174"/>
      <c r="K4729" s="4"/>
    </row>
    <row r="4730" spans="3:11" x14ac:dyDescent="0.25">
      <c r="C4730" s="108"/>
      <c r="D4730" s="217"/>
      <c r="E4730" s="217"/>
      <c r="F4730" s="104"/>
      <c r="G4730" s="108"/>
      <c r="J4730" s="174"/>
      <c r="K4730" s="4"/>
    </row>
    <row r="4731" spans="3:11" x14ac:dyDescent="0.25">
      <c r="C4731" s="108"/>
      <c r="D4731" s="217"/>
      <c r="E4731" s="217"/>
      <c r="F4731" s="104"/>
      <c r="G4731" s="108"/>
      <c r="J4731" s="174"/>
      <c r="K4731" s="4"/>
    </row>
    <row r="4732" spans="3:11" x14ac:dyDescent="0.25">
      <c r="C4732" s="108"/>
      <c r="D4732" s="217"/>
      <c r="E4732" s="217"/>
      <c r="F4732" s="104"/>
      <c r="G4732" s="108"/>
      <c r="J4732" s="174"/>
      <c r="K4732" s="4"/>
    </row>
    <row r="4733" spans="3:11" x14ac:dyDescent="0.25">
      <c r="C4733" s="108"/>
      <c r="D4733" s="217"/>
      <c r="E4733" s="217"/>
      <c r="F4733" s="104"/>
      <c r="G4733" s="108"/>
      <c r="J4733" s="174"/>
      <c r="K4733" s="4"/>
    </row>
    <row r="4734" spans="3:11" x14ac:dyDescent="0.25">
      <c r="C4734" s="108"/>
      <c r="D4734" s="217"/>
      <c r="E4734" s="217"/>
      <c r="F4734" s="104"/>
      <c r="G4734" s="108"/>
      <c r="J4734" s="174"/>
      <c r="K4734" s="4"/>
    </row>
    <row r="4735" spans="3:11" x14ac:dyDescent="0.25">
      <c r="C4735" s="108"/>
      <c r="D4735" s="217"/>
      <c r="E4735" s="217"/>
      <c r="F4735" s="104"/>
      <c r="G4735" s="108"/>
      <c r="J4735" s="174"/>
      <c r="K4735" s="4"/>
    </row>
    <row r="4736" spans="3:11" x14ac:dyDescent="0.25">
      <c r="C4736" s="108"/>
      <c r="D4736" s="217"/>
      <c r="E4736" s="217"/>
      <c r="F4736" s="104"/>
      <c r="G4736" s="108"/>
      <c r="J4736" s="174"/>
      <c r="K4736" s="4"/>
    </row>
    <row r="4737" spans="3:11" x14ac:dyDescent="0.25">
      <c r="C4737" s="108"/>
      <c r="D4737" s="217"/>
      <c r="E4737" s="217"/>
      <c r="F4737" s="104"/>
      <c r="G4737" s="108"/>
      <c r="J4737" s="174"/>
      <c r="K4737" s="4"/>
    </row>
    <row r="4738" spans="3:11" x14ac:dyDescent="0.25">
      <c r="C4738" s="108"/>
      <c r="D4738" s="217"/>
      <c r="E4738" s="217"/>
      <c r="F4738" s="104"/>
      <c r="G4738" s="108"/>
      <c r="J4738" s="174"/>
      <c r="K4738" s="4"/>
    </row>
    <row r="4739" spans="3:11" x14ac:dyDescent="0.25">
      <c r="C4739" s="108"/>
      <c r="D4739" s="217"/>
      <c r="E4739" s="217"/>
      <c r="F4739" s="104"/>
      <c r="G4739" s="108"/>
      <c r="J4739" s="174"/>
      <c r="K4739" s="4"/>
    </row>
    <row r="4740" spans="3:11" x14ac:dyDescent="0.25">
      <c r="C4740" s="108"/>
      <c r="D4740" s="217"/>
      <c r="E4740" s="217"/>
      <c r="F4740" s="104"/>
      <c r="G4740" s="108"/>
      <c r="J4740" s="174"/>
      <c r="K4740" s="4"/>
    </row>
    <row r="4741" spans="3:11" x14ac:dyDescent="0.25">
      <c r="C4741" s="108"/>
      <c r="D4741" s="217"/>
      <c r="E4741" s="217"/>
      <c r="F4741" s="104"/>
      <c r="G4741" s="108"/>
      <c r="J4741" s="174"/>
      <c r="K4741" s="4"/>
    </row>
    <row r="4742" spans="3:11" x14ac:dyDescent="0.25">
      <c r="C4742" s="108"/>
      <c r="D4742" s="217"/>
      <c r="E4742" s="217"/>
      <c r="F4742" s="104"/>
      <c r="G4742" s="108"/>
      <c r="J4742" s="174"/>
      <c r="K4742" s="4"/>
    </row>
    <row r="4743" spans="3:11" x14ac:dyDescent="0.25">
      <c r="C4743" s="108"/>
      <c r="D4743" s="217"/>
      <c r="E4743" s="217"/>
      <c r="F4743" s="104"/>
      <c r="G4743" s="108"/>
      <c r="J4743" s="174"/>
      <c r="K4743" s="4"/>
    </row>
    <row r="4744" spans="3:11" x14ac:dyDescent="0.25">
      <c r="C4744" s="108"/>
      <c r="D4744" s="217"/>
      <c r="E4744" s="217"/>
      <c r="F4744" s="104"/>
      <c r="G4744" s="108"/>
      <c r="J4744" s="174"/>
      <c r="K4744" s="4"/>
    </row>
    <row r="4745" spans="3:11" x14ac:dyDescent="0.25">
      <c r="C4745" s="108"/>
      <c r="D4745" s="217"/>
      <c r="E4745" s="217"/>
      <c r="F4745" s="104"/>
      <c r="G4745" s="108"/>
      <c r="J4745" s="174"/>
      <c r="K4745" s="4"/>
    </row>
    <row r="4746" spans="3:11" x14ac:dyDescent="0.25">
      <c r="C4746" s="108"/>
      <c r="D4746" s="217"/>
      <c r="E4746" s="217"/>
      <c r="F4746" s="104"/>
      <c r="G4746" s="108"/>
      <c r="J4746" s="174"/>
      <c r="K4746" s="4"/>
    </row>
    <row r="4747" spans="3:11" x14ac:dyDescent="0.25">
      <c r="C4747" s="108"/>
      <c r="D4747" s="217"/>
      <c r="E4747" s="217"/>
      <c r="F4747" s="104"/>
      <c r="G4747" s="108"/>
      <c r="J4747" s="174"/>
      <c r="K4747" s="4"/>
    </row>
    <row r="4748" spans="3:11" x14ac:dyDescent="0.25">
      <c r="C4748" s="108"/>
      <c r="D4748" s="217"/>
      <c r="E4748" s="217"/>
      <c r="F4748" s="104"/>
      <c r="G4748" s="108"/>
      <c r="J4748" s="174"/>
      <c r="K4748" s="4"/>
    </row>
    <row r="4749" spans="3:11" x14ac:dyDescent="0.25">
      <c r="C4749" s="108"/>
      <c r="D4749" s="217"/>
      <c r="E4749" s="217"/>
      <c r="F4749" s="104"/>
      <c r="G4749" s="108"/>
      <c r="J4749" s="174"/>
      <c r="K4749" s="4"/>
    </row>
    <row r="4750" spans="3:11" x14ac:dyDescent="0.25">
      <c r="C4750" s="108"/>
      <c r="D4750" s="217"/>
      <c r="E4750" s="217"/>
      <c r="F4750" s="104"/>
      <c r="G4750" s="108"/>
      <c r="J4750" s="174"/>
      <c r="K4750" s="4"/>
    </row>
    <row r="4751" spans="3:11" x14ac:dyDescent="0.25">
      <c r="C4751" s="108"/>
      <c r="D4751" s="217"/>
      <c r="E4751" s="217"/>
      <c r="F4751" s="104"/>
      <c r="G4751" s="108"/>
      <c r="J4751" s="174"/>
      <c r="K4751" s="4"/>
    </row>
    <row r="4752" spans="3:11" x14ac:dyDescent="0.25">
      <c r="C4752" s="108"/>
      <c r="D4752" s="217"/>
      <c r="E4752" s="217"/>
      <c r="F4752" s="104"/>
      <c r="G4752" s="108"/>
      <c r="J4752" s="174"/>
      <c r="K4752" s="4"/>
    </row>
    <row r="4753" spans="3:11" x14ac:dyDescent="0.25">
      <c r="C4753" s="108"/>
      <c r="D4753" s="217"/>
      <c r="E4753" s="217"/>
      <c r="F4753" s="104"/>
      <c r="G4753" s="108"/>
      <c r="J4753" s="174"/>
      <c r="K4753" s="4"/>
    </row>
    <row r="4754" spans="3:11" x14ac:dyDescent="0.25">
      <c r="C4754" s="108"/>
      <c r="D4754" s="217"/>
      <c r="E4754" s="217"/>
      <c r="F4754" s="104"/>
      <c r="G4754" s="108"/>
      <c r="J4754" s="174"/>
      <c r="K4754" s="4"/>
    </row>
    <row r="4755" spans="3:11" x14ac:dyDescent="0.25">
      <c r="C4755" s="108"/>
      <c r="D4755" s="217"/>
      <c r="E4755" s="217"/>
      <c r="F4755" s="104"/>
      <c r="G4755" s="108"/>
      <c r="J4755" s="174"/>
      <c r="K4755" s="4"/>
    </row>
    <row r="4756" spans="3:11" x14ac:dyDescent="0.25">
      <c r="C4756" s="108"/>
      <c r="D4756" s="217"/>
      <c r="E4756" s="217"/>
      <c r="F4756" s="104"/>
      <c r="G4756" s="108"/>
      <c r="J4756" s="174"/>
      <c r="K4756" s="4"/>
    </row>
    <row r="4757" spans="3:11" x14ac:dyDescent="0.25">
      <c r="C4757" s="108"/>
      <c r="D4757" s="217"/>
      <c r="E4757" s="217"/>
      <c r="F4757" s="104"/>
      <c r="G4757" s="108"/>
      <c r="J4757" s="174"/>
      <c r="K4757" s="4"/>
    </row>
    <row r="4758" spans="3:11" x14ac:dyDescent="0.25">
      <c r="C4758" s="108"/>
      <c r="D4758" s="217"/>
      <c r="E4758" s="217"/>
      <c r="F4758" s="104"/>
      <c r="G4758" s="108"/>
      <c r="J4758" s="174"/>
      <c r="K4758" s="4"/>
    </row>
    <row r="4759" spans="3:11" x14ac:dyDescent="0.25">
      <c r="C4759" s="108"/>
      <c r="D4759" s="217"/>
      <c r="E4759" s="217"/>
      <c r="F4759" s="104"/>
      <c r="G4759" s="108"/>
      <c r="J4759" s="174"/>
      <c r="K4759" s="4"/>
    </row>
    <row r="4760" spans="3:11" x14ac:dyDescent="0.25">
      <c r="C4760" s="108"/>
      <c r="D4760" s="217"/>
      <c r="E4760" s="217"/>
      <c r="F4760" s="104"/>
      <c r="G4760" s="108"/>
      <c r="J4760" s="174"/>
      <c r="K4760" s="4"/>
    </row>
    <row r="4761" spans="3:11" x14ac:dyDescent="0.25">
      <c r="C4761" s="108"/>
      <c r="D4761" s="217"/>
      <c r="E4761" s="217"/>
      <c r="F4761" s="104"/>
      <c r="G4761" s="108"/>
      <c r="J4761" s="174"/>
      <c r="K4761" s="4"/>
    </row>
    <row r="4762" spans="3:11" x14ac:dyDescent="0.25">
      <c r="C4762" s="108"/>
      <c r="D4762" s="217"/>
      <c r="E4762" s="217"/>
      <c r="F4762" s="104"/>
      <c r="G4762" s="108"/>
      <c r="J4762" s="174"/>
      <c r="K4762" s="4"/>
    </row>
    <row r="4763" spans="3:11" x14ac:dyDescent="0.25">
      <c r="C4763" s="108"/>
      <c r="D4763" s="217"/>
      <c r="E4763" s="217"/>
      <c r="F4763" s="104"/>
      <c r="G4763" s="108"/>
      <c r="J4763" s="174"/>
      <c r="K4763" s="4"/>
    </row>
    <row r="4764" spans="3:11" x14ac:dyDescent="0.25">
      <c r="C4764" s="108"/>
      <c r="D4764" s="217"/>
      <c r="E4764" s="217"/>
      <c r="F4764" s="104"/>
      <c r="G4764" s="108"/>
      <c r="J4764" s="174"/>
      <c r="K4764" s="4"/>
    </row>
    <row r="4765" spans="3:11" x14ac:dyDescent="0.25">
      <c r="C4765" s="108"/>
      <c r="D4765" s="217"/>
      <c r="E4765" s="217"/>
      <c r="F4765" s="104"/>
      <c r="G4765" s="108"/>
      <c r="J4765" s="174"/>
      <c r="K4765" s="4"/>
    </row>
    <row r="4766" spans="3:11" x14ac:dyDescent="0.25">
      <c r="C4766" s="108"/>
      <c r="D4766" s="217"/>
      <c r="E4766" s="217"/>
      <c r="F4766" s="104"/>
      <c r="G4766" s="108"/>
      <c r="J4766" s="174"/>
      <c r="K4766" s="4"/>
    </row>
    <row r="4767" spans="3:11" x14ac:dyDescent="0.25">
      <c r="C4767" s="108"/>
      <c r="D4767" s="217"/>
      <c r="E4767" s="217"/>
      <c r="F4767" s="104"/>
      <c r="G4767" s="108"/>
      <c r="J4767" s="174"/>
      <c r="K4767" s="4"/>
    </row>
    <row r="4768" spans="3:11" x14ac:dyDescent="0.25">
      <c r="C4768" s="108"/>
      <c r="D4768" s="217"/>
      <c r="E4768" s="217"/>
      <c r="F4768" s="104"/>
      <c r="G4768" s="108"/>
      <c r="J4768" s="174"/>
      <c r="K4768" s="4"/>
    </row>
    <row r="4769" spans="3:11" x14ac:dyDescent="0.25">
      <c r="C4769" s="108"/>
      <c r="D4769" s="217"/>
      <c r="E4769" s="217"/>
      <c r="F4769" s="104"/>
      <c r="G4769" s="108"/>
      <c r="J4769" s="174"/>
      <c r="K4769" s="4"/>
    </row>
    <row r="4770" spans="3:11" x14ac:dyDescent="0.25">
      <c r="C4770" s="108"/>
      <c r="D4770" s="217"/>
      <c r="E4770" s="217"/>
      <c r="F4770" s="104"/>
      <c r="G4770" s="108"/>
      <c r="J4770" s="174"/>
      <c r="K4770" s="4"/>
    </row>
    <row r="4771" spans="3:11" x14ac:dyDescent="0.25">
      <c r="C4771" s="108"/>
      <c r="D4771" s="217"/>
      <c r="E4771" s="217"/>
      <c r="F4771" s="104"/>
      <c r="G4771" s="108"/>
      <c r="J4771" s="174"/>
      <c r="K4771" s="4"/>
    </row>
    <row r="4772" spans="3:11" x14ac:dyDescent="0.25">
      <c r="C4772" s="108"/>
      <c r="D4772" s="217"/>
      <c r="E4772" s="217"/>
      <c r="F4772" s="104"/>
      <c r="G4772" s="108"/>
      <c r="J4772" s="174"/>
      <c r="K4772" s="4"/>
    </row>
    <row r="4773" spans="3:11" x14ac:dyDescent="0.25">
      <c r="C4773" s="108"/>
      <c r="D4773" s="217"/>
      <c r="E4773" s="217"/>
      <c r="F4773" s="104"/>
      <c r="G4773" s="108"/>
      <c r="J4773" s="174"/>
      <c r="K4773" s="4"/>
    </row>
    <row r="4774" spans="3:11" x14ac:dyDescent="0.25">
      <c r="C4774" s="108"/>
      <c r="D4774" s="217"/>
      <c r="E4774" s="217"/>
      <c r="F4774" s="104"/>
      <c r="G4774" s="108"/>
      <c r="J4774" s="174"/>
      <c r="K4774" s="4"/>
    </row>
    <row r="4775" spans="3:11" x14ac:dyDescent="0.25">
      <c r="C4775" s="108"/>
      <c r="D4775" s="217"/>
      <c r="E4775" s="217"/>
      <c r="F4775" s="104"/>
      <c r="G4775" s="108"/>
      <c r="J4775" s="174"/>
      <c r="K4775" s="4"/>
    </row>
    <row r="4776" spans="3:11" x14ac:dyDescent="0.25">
      <c r="C4776" s="108"/>
      <c r="D4776" s="217"/>
      <c r="E4776" s="217"/>
      <c r="F4776" s="104"/>
      <c r="G4776" s="108"/>
      <c r="J4776" s="174"/>
      <c r="K4776" s="4"/>
    </row>
    <row r="4777" spans="3:11" x14ac:dyDescent="0.25">
      <c r="C4777" s="108"/>
      <c r="D4777" s="217"/>
      <c r="E4777" s="217"/>
      <c r="F4777" s="104"/>
      <c r="G4777" s="108"/>
      <c r="J4777" s="174"/>
      <c r="K4777" s="4"/>
    </row>
    <row r="4778" spans="3:11" x14ac:dyDescent="0.25">
      <c r="C4778" s="108"/>
      <c r="D4778" s="217"/>
      <c r="E4778" s="217"/>
      <c r="F4778" s="104"/>
      <c r="G4778" s="108"/>
      <c r="J4778" s="174"/>
      <c r="K4778" s="4"/>
    </row>
    <row r="4779" spans="3:11" x14ac:dyDescent="0.25">
      <c r="C4779" s="108"/>
      <c r="D4779" s="217"/>
      <c r="E4779" s="217"/>
      <c r="F4779" s="104"/>
      <c r="G4779" s="108"/>
      <c r="J4779" s="174"/>
      <c r="K4779" s="4"/>
    </row>
    <row r="4780" spans="3:11" x14ac:dyDescent="0.25">
      <c r="C4780" s="108"/>
      <c r="D4780" s="217"/>
      <c r="E4780" s="217"/>
      <c r="F4780" s="104"/>
      <c r="G4780" s="108"/>
      <c r="J4780" s="174"/>
      <c r="K4780" s="4"/>
    </row>
    <row r="4781" spans="3:11" x14ac:dyDescent="0.25">
      <c r="C4781" s="108"/>
      <c r="D4781" s="217"/>
      <c r="E4781" s="217"/>
      <c r="F4781" s="104"/>
      <c r="G4781" s="108"/>
      <c r="J4781" s="174"/>
      <c r="K4781" s="4"/>
    </row>
    <row r="4782" spans="3:11" x14ac:dyDescent="0.25">
      <c r="C4782" s="108"/>
      <c r="D4782" s="217"/>
      <c r="E4782" s="217"/>
      <c r="F4782" s="104"/>
      <c r="G4782" s="108"/>
      <c r="J4782" s="174"/>
      <c r="K4782" s="4"/>
    </row>
    <row r="4783" spans="3:11" x14ac:dyDescent="0.25">
      <c r="C4783" s="108"/>
      <c r="D4783" s="217"/>
      <c r="E4783" s="217"/>
      <c r="F4783" s="104"/>
      <c r="G4783" s="108"/>
      <c r="J4783" s="174"/>
      <c r="K4783" s="4"/>
    </row>
    <row r="4784" spans="3:11" x14ac:dyDescent="0.25">
      <c r="C4784" s="108"/>
      <c r="D4784" s="217"/>
      <c r="E4784" s="217"/>
      <c r="F4784" s="104"/>
      <c r="G4784" s="108"/>
      <c r="J4784" s="174"/>
      <c r="K4784" s="4"/>
    </row>
    <row r="4785" spans="3:11" x14ac:dyDescent="0.25">
      <c r="C4785" s="108"/>
      <c r="D4785" s="217"/>
      <c r="E4785" s="217"/>
      <c r="F4785" s="104"/>
      <c r="G4785" s="108"/>
      <c r="J4785" s="174"/>
      <c r="K4785" s="4"/>
    </row>
    <row r="4786" spans="3:11" x14ac:dyDescent="0.25">
      <c r="C4786" s="108"/>
      <c r="D4786" s="217"/>
      <c r="E4786" s="217"/>
      <c r="F4786" s="104"/>
      <c r="G4786" s="108"/>
      <c r="J4786" s="174"/>
      <c r="K4786" s="4"/>
    </row>
    <row r="4787" spans="3:11" x14ac:dyDescent="0.25">
      <c r="C4787" s="108"/>
      <c r="D4787" s="217"/>
      <c r="E4787" s="217"/>
      <c r="F4787" s="104"/>
      <c r="G4787" s="108"/>
      <c r="J4787" s="174"/>
      <c r="K4787" s="4"/>
    </row>
    <row r="4788" spans="3:11" x14ac:dyDescent="0.25">
      <c r="C4788" s="108"/>
      <c r="D4788" s="217"/>
      <c r="E4788" s="217"/>
      <c r="F4788" s="104"/>
      <c r="G4788" s="108"/>
      <c r="J4788" s="174"/>
      <c r="K4788" s="4"/>
    </row>
    <row r="4789" spans="3:11" x14ac:dyDescent="0.25">
      <c r="C4789" s="108"/>
      <c r="D4789" s="217"/>
      <c r="E4789" s="217"/>
      <c r="F4789" s="104"/>
      <c r="G4789" s="108"/>
      <c r="J4789" s="174"/>
      <c r="K4789" s="4"/>
    </row>
    <row r="4790" spans="3:11" x14ac:dyDescent="0.25">
      <c r="C4790" s="108"/>
      <c r="D4790" s="217"/>
      <c r="E4790" s="217"/>
      <c r="F4790" s="104"/>
      <c r="G4790" s="108"/>
      <c r="J4790" s="174"/>
      <c r="K4790" s="4"/>
    </row>
    <row r="4791" spans="3:11" x14ac:dyDescent="0.25">
      <c r="C4791" s="108"/>
      <c r="D4791" s="217"/>
      <c r="E4791" s="217"/>
      <c r="F4791" s="104"/>
      <c r="G4791" s="108"/>
      <c r="J4791" s="174"/>
      <c r="K4791" s="4"/>
    </row>
    <row r="4792" spans="3:11" x14ac:dyDescent="0.25">
      <c r="C4792" s="108"/>
      <c r="D4792" s="217"/>
      <c r="E4792" s="217"/>
      <c r="F4792" s="104"/>
      <c r="G4792" s="108"/>
      <c r="J4792" s="174"/>
      <c r="K4792" s="4"/>
    </row>
    <row r="4793" spans="3:11" x14ac:dyDescent="0.25">
      <c r="C4793" s="108"/>
      <c r="D4793" s="217"/>
      <c r="E4793" s="217"/>
      <c r="F4793" s="104"/>
      <c r="G4793" s="108"/>
      <c r="J4793" s="174"/>
      <c r="K4793" s="4"/>
    </row>
    <row r="4794" spans="3:11" x14ac:dyDescent="0.25">
      <c r="C4794" s="108"/>
      <c r="D4794" s="217"/>
      <c r="E4794" s="217"/>
      <c r="F4794" s="104"/>
      <c r="G4794" s="108"/>
      <c r="J4794" s="174"/>
      <c r="K4794" s="4"/>
    </row>
    <row r="4795" spans="3:11" x14ac:dyDescent="0.25">
      <c r="C4795" s="108"/>
      <c r="D4795" s="217"/>
      <c r="E4795" s="217"/>
      <c r="F4795" s="104"/>
      <c r="G4795" s="108"/>
      <c r="J4795" s="174"/>
      <c r="K4795" s="4"/>
    </row>
    <row r="4796" spans="3:11" x14ac:dyDescent="0.25">
      <c r="C4796" s="108"/>
      <c r="D4796" s="217"/>
      <c r="E4796" s="217"/>
      <c r="F4796" s="104"/>
      <c r="G4796" s="108"/>
      <c r="J4796" s="174"/>
      <c r="K4796" s="4"/>
    </row>
    <row r="4797" spans="3:11" x14ac:dyDescent="0.25">
      <c r="C4797" s="108"/>
      <c r="D4797" s="217"/>
      <c r="E4797" s="217"/>
      <c r="F4797" s="104"/>
      <c r="G4797" s="108"/>
      <c r="J4797" s="174"/>
      <c r="K4797" s="4"/>
    </row>
    <row r="4798" spans="3:11" x14ac:dyDescent="0.25">
      <c r="C4798" s="108"/>
      <c r="D4798" s="217"/>
      <c r="E4798" s="217"/>
      <c r="F4798" s="104"/>
      <c r="G4798" s="108"/>
      <c r="J4798" s="174"/>
      <c r="K4798" s="4"/>
    </row>
    <row r="4799" spans="3:11" x14ac:dyDescent="0.25">
      <c r="C4799" s="108"/>
      <c r="D4799" s="217"/>
      <c r="E4799" s="217"/>
      <c r="F4799" s="104"/>
      <c r="G4799" s="108"/>
      <c r="J4799" s="174"/>
      <c r="K4799" s="4"/>
    </row>
    <row r="4800" spans="3:11" x14ac:dyDescent="0.25">
      <c r="C4800" s="108"/>
      <c r="D4800" s="217"/>
      <c r="E4800" s="217"/>
      <c r="F4800" s="104"/>
      <c r="G4800" s="108"/>
      <c r="J4800" s="174"/>
      <c r="K4800" s="4"/>
    </row>
    <row r="4801" spans="3:11" x14ac:dyDescent="0.25">
      <c r="C4801" s="108"/>
      <c r="D4801" s="217"/>
      <c r="E4801" s="217"/>
      <c r="F4801" s="104"/>
      <c r="G4801" s="108"/>
      <c r="J4801" s="174"/>
      <c r="K4801" s="4"/>
    </row>
    <row r="4802" spans="3:11" x14ac:dyDescent="0.25">
      <c r="C4802" s="108"/>
      <c r="D4802" s="217"/>
      <c r="E4802" s="217"/>
      <c r="F4802" s="104"/>
      <c r="G4802" s="108"/>
      <c r="J4802" s="174"/>
      <c r="K4802" s="4"/>
    </row>
    <row r="4803" spans="3:11" x14ac:dyDescent="0.25">
      <c r="C4803" s="108"/>
      <c r="D4803" s="217"/>
      <c r="E4803" s="217"/>
      <c r="F4803" s="104"/>
      <c r="G4803" s="108"/>
      <c r="J4803" s="174"/>
      <c r="K4803" s="4"/>
    </row>
    <row r="4804" spans="3:11" x14ac:dyDescent="0.25">
      <c r="C4804" s="108"/>
      <c r="D4804" s="217"/>
      <c r="E4804" s="217"/>
      <c r="F4804" s="104"/>
      <c r="G4804" s="108"/>
      <c r="J4804" s="174"/>
      <c r="K4804" s="4"/>
    </row>
    <row r="4805" spans="3:11" x14ac:dyDescent="0.25">
      <c r="C4805" s="108"/>
      <c r="D4805" s="217"/>
      <c r="E4805" s="217"/>
      <c r="F4805" s="104"/>
      <c r="G4805" s="108"/>
      <c r="J4805" s="174"/>
      <c r="K4805" s="4"/>
    </row>
    <row r="4806" spans="3:11" x14ac:dyDescent="0.25">
      <c r="C4806" s="108"/>
      <c r="D4806" s="217"/>
      <c r="E4806" s="217"/>
      <c r="F4806" s="104"/>
      <c r="G4806" s="108"/>
      <c r="J4806" s="174"/>
      <c r="K4806" s="4"/>
    </row>
    <row r="4807" spans="3:11" x14ac:dyDescent="0.25">
      <c r="C4807" s="108"/>
      <c r="D4807" s="217"/>
      <c r="E4807" s="217"/>
      <c r="F4807" s="104"/>
      <c r="G4807" s="108"/>
      <c r="J4807" s="174"/>
      <c r="K4807" s="4"/>
    </row>
    <row r="4808" spans="3:11" x14ac:dyDescent="0.25">
      <c r="C4808" s="108"/>
      <c r="D4808" s="217"/>
      <c r="E4808" s="217"/>
      <c r="F4808" s="104"/>
      <c r="G4808" s="108"/>
      <c r="J4808" s="174"/>
      <c r="K4808" s="4"/>
    </row>
    <row r="4809" spans="3:11" x14ac:dyDescent="0.25">
      <c r="C4809" s="108"/>
      <c r="D4809" s="217"/>
      <c r="E4809" s="217"/>
      <c r="F4809" s="104"/>
      <c r="G4809" s="108"/>
      <c r="J4809" s="174"/>
      <c r="K4809" s="4"/>
    </row>
    <row r="4810" spans="3:11" x14ac:dyDescent="0.25">
      <c r="C4810" s="108"/>
      <c r="D4810" s="217"/>
      <c r="E4810" s="217"/>
      <c r="F4810" s="104"/>
      <c r="G4810" s="108"/>
      <c r="J4810" s="174"/>
      <c r="K4810" s="4"/>
    </row>
    <row r="4811" spans="3:11" x14ac:dyDescent="0.25">
      <c r="C4811" s="108"/>
      <c r="D4811" s="217"/>
      <c r="E4811" s="217"/>
      <c r="F4811" s="104"/>
      <c r="G4811" s="108"/>
      <c r="J4811" s="174"/>
      <c r="K4811" s="4"/>
    </row>
    <row r="4812" spans="3:11" x14ac:dyDescent="0.25">
      <c r="C4812" s="108"/>
      <c r="D4812" s="217"/>
      <c r="E4812" s="217"/>
      <c r="F4812" s="104"/>
      <c r="G4812" s="108"/>
      <c r="J4812" s="174"/>
      <c r="K4812" s="4"/>
    </row>
    <row r="4813" spans="3:11" x14ac:dyDescent="0.25">
      <c r="C4813" s="108"/>
      <c r="D4813" s="217"/>
      <c r="E4813" s="217"/>
      <c r="F4813" s="104"/>
      <c r="G4813" s="108"/>
      <c r="J4813" s="174"/>
      <c r="K4813" s="4"/>
    </row>
    <row r="4814" spans="3:11" x14ac:dyDescent="0.25">
      <c r="C4814" s="108"/>
      <c r="D4814" s="217"/>
      <c r="E4814" s="217"/>
      <c r="F4814" s="104"/>
      <c r="G4814" s="108"/>
      <c r="J4814" s="174"/>
      <c r="K4814" s="4"/>
    </row>
    <row r="4815" spans="3:11" x14ac:dyDescent="0.25">
      <c r="C4815" s="108"/>
      <c r="D4815" s="217"/>
      <c r="E4815" s="217"/>
      <c r="F4815" s="104"/>
      <c r="G4815" s="108"/>
      <c r="J4815" s="174"/>
      <c r="K4815" s="4"/>
    </row>
    <row r="4816" spans="3:11" x14ac:dyDescent="0.25">
      <c r="C4816" s="108"/>
      <c r="D4816" s="217"/>
      <c r="E4816" s="217"/>
      <c r="F4816" s="104"/>
      <c r="G4816" s="108"/>
      <c r="J4816" s="174"/>
      <c r="K4816" s="4"/>
    </row>
    <row r="4817" spans="3:11" x14ac:dyDescent="0.25">
      <c r="C4817" s="108"/>
      <c r="D4817" s="217"/>
      <c r="E4817" s="217"/>
      <c r="F4817" s="104"/>
      <c r="G4817" s="108"/>
      <c r="J4817" s="174"/>
      <c r="K4817" s="4"/>
    </row>
    <row r="4818" spans="3:11" x14ac:dyDescent="0.25">
      <c r="C4818" s="108"/>
      <c r="D4818" s="217"/>
      <c r="E4818" s="217"/>
      <c r="F4818" s="104"/>
      <c r="G4818" s="108"/>
      <c r="J4818" s="174"/>
      <c r="K4818" s="4"/>
    </row>
    <row r="4819" spans="3:11" x14ac:dyDescent="0.25">
      <c r="C4819" s="108"/>
      <c r="D4819" s="217"/>
      <c r="E4819" s="217"/>
      <c r="F4819" s="104"/>
      <c r="G4819" s="108"/>
      <c r="J4819" s="174"/>
      <c r="K4819" s="4"/>
    </row>
    <row r="4820" spans="3:11" x14ac:dyDescent="0.25">
      <c r="C4820" s="108"/>
      <c r="D4820" s="217"/>
      <c r="E4820" s="217"/>
      <c r="F4820" s="104"/>
      <c r="G4820" s="108"/>
      <c r="J4820" s="174"/>
      <c r="K4820" s="4"/>
    </row>
    <row r="4821" spans="3:11" x14ac:dyDescent="0.25">
      <c r="C4821" s="108"/>
      <c r="D4821" s="217"/>
      <c r="E4821" s="217"/>
      <c r="F4821" s="104"/>
      <c r="G4821" s="108"/>
      <c r="J4821" s="174"/>
      <c r="K4821" s="4"/>
    </row>
    <row r="4822" spans="3:11" x14ac:dyDescent="0.25">
      <c r="C4822" s="108"/>
      <c r="D4822" s="217"/>
      <c r="E4822" s="217"/>
      <c r="F4822" s="104"/>
      <c r="G4822" s="108"/>
      <c r="J4822" s="174"/>
      <c r="K4822" s="4"/>
    </row>
    <row r="4823" spans="3:11" x14ac:dyDescent="0.25">
      <c r="C4823" s="108"/>
      <c r="D4823" s="217"/>
      <c r="E4823" s="217"/>
      <c r="F4823" s="104"/>
      <c r="G4823" s="108"/>
      <c r="J4823" s="174"/>
      <c r="K4823" s="4"/>
    </row>
    <row r="4824" spans="3:11" x14ac:dyDescent="0.25">
      <c r="C4824" s="108"/>
      <c r="D4824" s="217"/>
      <c r="E4824" s="217"/>
      <c r="F4824" s="104"/>
      <c r="G4824" s="108"/>
      <c r="J4824" s="174"/>
      <c r="K4824" s="4"/>
    </row>
    <row r="4825" spans="3:11" x14ac:dyDescent="0.25">
      <c r="C4825" s="108"/>
      <c r="D4825" s="217"/>
      <c r="E4825" s="217"/>
      <c r="F4825" s="104"/>
      <c r="G4825" s="108"/>
      <c r="J4825" s="174"/>
      <c r="K4825" s="4"/>
    </row>
    <row r="4826" spans="3:11" x14ac:dyDescent="0.25">
      <c r="C4826" s="108"/>
      <c r="D4826" s="217"/>
      <c r="E4826" s="217"/>
      <c r="F4826" s="104"/>
      <c r="G4826" s="108"/>
      <c r="J4826" s="174"/>
      <c r="K4826" s="4"/>
    </row>
    <row r="4827" spans="3:11" x14ac:dyDescent="0.25">
      <c r="C4827" s="108"/>
      <c r="D4827" s="217"/>
      <c r="E4827" s="217"/>
      <c r="F4827" s="104"/>
      <c r="G4827" s="108"/>
      <c r="J4827" s="174"/>
      <c r="K4827" s="4"/>
    </row>
    <row r="4828" spans="3:11" x14ac:dyDescent="0.25">
      <c r="C4828" s="108"/>
      <c r="D4828" s="217"/>
      <c r="E4828" s="217"/>
      <c r="F4828" s="104"/>
      <c r="G4828" s="108"/>
      <c r="J4828" s="174"/>
      <c r="K4828" s="4"/>
    </row>
    <row r="4829" spans="3:11" x14ac:dyDescent="0.25">
      <c r="C4829" s="108"/>
      <c r="D4829" s="217"/>
      <c r="E4829" s="217"/>
      <c r="F4829" s="104"/>
      <c r="G4829" s="108"/>
      <c r="J4829" s="174"/>
      <c r="K4829" s="4"/>
    </row>
    <row r="4830" spans="3:11" x14ac:dyDescent="0.25">
      <c r="C4830" s="108"/>
      <c r="D4830" s="217"/>
      <c r="E4830" s="217"/>
      <c r="F4830" s="104"/>
      <c r="G4830" s="108"/>
      <c r="J4830" s="174"/>
      <c r="K4830" s="4"/>
    </row>
    <row r="4831" spans="3:11" x14ac:dyDescent="0.25">
      <c r="C4831" s="108"/>
      <c r="D4831" s="217"/>
      <c r="E4831" s="217"/>
      <c r="F4831" s="104"/>
      <c r="G4831" s="108"/>
      <c r="J4831" s="174"/>
      <c r="K4831" s="4"/>
    </row>
    <row r="4832" spans="3:11" x14ac:dyDescent="0.25">
      <c r="C4832" s="108"/>
      <c r="D4832" s="217"/>
      <c r="E4832" s="217"/>
      <c r="F4832" s="104"/>
      <c r="G4832" s="108"/>
      <c r="J4832" s="174"/>
      <c r="K4832" s="4"/>
    </row>
    <row r="4833" spans="3:11" x14ac:dyDescent="0.25">
      <c r="C4833" s="108"/>
      <c r="D4833" s="217"/>
      <c r="E4833" s="217"/>
      <c r="F4833" s="104"/>
      <c r="G4833" s="108"/>
      <c r="J4833" s="174"/>
      <c r="K4833" s="4"/>
    </row>
    <row r="4834" spans="3:11" x14ac:dyDescent="0.25">
      <c r="C4834" s="108"/>
      <c r="D4834" s="217"/>
      <c r="E4834" s="217"/>
      <c r="F4834" s="104"/>
      <c r="G4834" s="108"/>
      <c r="J4834" s="174"/>
      <c r="K4834" s="4"/>
    </row>
    <row r="4835" spans="3:11" x14ac:dyDescent="0.25">
      <c r="C4835" s="108"/>
      <c r="D4835" s="217"/>
      <c r="E4835" s="217"/>
      <c r="F4835" s="104"/>
      <c r="G4835" s="108"/>
      <c r="J4835" s="174"/>
      <c r="K4835" s="4"/>
    </row>
    <row r="4836" spans="3:11" x14ac:dyDescent="0.25">
      <c r="C4836" s="108"/>
      <c r="D4836" s="217"/>
      <c r="E4836" s="217"/>
      <c r="F4836" s="104"/>
      <c r="G4836" s="108"/>
      <c r="J4836" s="174"/>
      <c r="K4836" s="4"/>
    </row>
    <row r="4837" spans="3:11" x14ac:dyDescent="0.25">
      <c r="C4837" s="108"/>
      <c r="D4837" s="217"/>
      <c r="E4837" s="217"/>
      <c r="F4837" s="104"/>
      <c r="G4837" s="108"/>
      <c r="J4837" s="174"/>
      <c r="K4837" s="4"/>
    </row>
    <row r="4838" spans="3:11" x14ac:dyDescent="0.25">
      <c r="C4838" s="108"/>
      <c r="D4838" s="217"/>
      <c r="E4838" s="217"/>
      <c r="F4838" s="104"/>
      <c r="G4838" s="108"/>
      <c r="J4838" s="174"/>
      <c r="K4838" s="4"/>
    </row>
    <row r="4839" spans="3:11" x14ac:dyDescent="0.25">
      <c r="C4839" s="108"/>
      <c r="D4839" s="217"/>
      <c r="E4839" s="217"/>
      <c r="F4839" s="104"/>
      <c r="G4839" s="108"/>
      <c r="J4839" s="174"/>
      <c r="K4839" s="4"/>
    </row>
    <row r="4840" spans="3:11" x14ac:dyDescent="0.25">
      <c r="C4840" s="108"/>
      <c r="D4840" s="217"/>
      <c r="E4840" s="217"/>
      <c r="F4840" s="104"/>
      <c r="G4840" s="108"/>
      <c r="J4840" s="174"/>
      <c r="K4840" s="4"/>
    </row>
    <row r="4841" spans="3:11" x14ac:dyDescent="0.25">
      <c r="C4841" s="108"/>
      <c r="D4841" s="217"/>
      <c r="E4841" s="217"/>
      <c r="F4841" s="104"/>
      <c r="G4841" s="108"/>
      <c r="J4841" s="174"/>
      <c r="K4841" s="4"/>
    </row>
    <row r="4842" spans="3:11" x14ac:dyDescent="0.25">
      <c r="C4842" s="108"/>
      <c r="D4842" s="217"/>
      <c r="E4842" s="217"/>
      <c r="F4842" s="104"/>
      <c r="G4842" s="108"/>
      <c r="J4842" s="174"/>
      <c r="K4842" s="4"/>
    </row>
    <row r="4843" spans="3:11" x14ac:dyDescent="0.25">
      <c r="C4843" s="108"/>
      <c r="D4843" s="217"/>
      <c r="E4843" s="217"/>
      <c r="F4843" s="104"/>
      <c r="G4843" s="108"/>
      <c r="J4843" s="174"/>
      <c r="K4843" s="4"/>
    </row>
    <row r="4844" spans="3:11" x14ac:dyDescent="0.25">
      <c r="C4844" s="108"/>
      <c r="D4844" s="217"/>
      <c r="E4844" s="217"/>
      <c r="F4844" s="104"/>
      <c r="G4844" s="108"/>
      <c r="J4844" s="174"/>
      <c r="K4844" s="4"/>
    </row>
    <row r="4845" spans="3:11" x14ac:dyDescent="0.25">
      <c r="C4845" s="108"/>
      <c r="D4845" s="217"/>
      <c r="E4845" s="217"/>
      <c r="F4845" s="104"/>
      <c r="G4845" s="108"/>
      <c r="J4845" s="174"/>
      <c r="K4845" s="4"/>
    </row>
    <row r="4846" spans="3:11" x14ac:dyDescent="0.25">
      <c r="C4846" s="108"/>
      <c r="D4846" s="217"/>
      <c r="E4846" s="217"/>
      <c r="F4846" s="104"/>
      <c r="G4846" s="108"/>
      <c r="J4846" s="174"/>
      <c r="K4846" s="4"/>
    </row>
    <row r="4847" spans="3:11" x14ac:dyDescent="0.25">
      <c r="C4847" s="108"/>
      <c r="D4847" s="217"/>
      <c r="E4847" s="217"/>
      <c r="F4847" s="104"/>
      <c r="G4847" s="108"/>
      <c r="J4847" s="174"/>
      <c r="K4847" s="4"/>
    </row>
    <row r="4848" spans="3:11" x14ac:dyDescent="0.25">
      <c r="C4848" s="108"/>
      <c r="D4848" s="217"/>
      <c r="E4848" s="217"/>
      <c r="F4848" s="104"/>
      <c r="G4848" s="108"/>
      <c r="J4848" s="174"/>
      <c r="K4848" s="4"/>
    </row>
    <row r="4849" spans="3:11" x14ac:dyDescent="0.25">
      <c r="C4849" s="108"/>
      <c r="D4849" s="217"/>
      <c r="E4849" s="217"/>
      <c r="F4849" s="104"/>
      <c r="G4849" s="108"/>
      <c r="J4849" s="174"/>
      <c r="K4849" s="4"/>
    </row>
    <row r="4850" spans="3:11" x14ac:dyDescent="0.25">
      <c r="C4850" s="108"/>
      <c r="D4850" s="217"/>
      <c r="E4850" s="217"/>
      <c r="F4850" s="104"/>
      <c r="G4850" s="108"/>
      <c r="J4850" s="174"/>
      <c r="K4850" s="4"/>
    </row>
    <row r="4851" spans="3:11" x14ac:dyDescent="0.25">
      <c r="C4851" s="108"/>
      <c r="D4851" s="217"/>
      <c r="E4851" s="217"/>
      <c r="F4851" s="104"/>
      <c r="G4851" s="108"/>
      <c r="J4851" s="174"/>
      <c r="K4851" s="4"/>
    </row>
    <row r="4852" spans="3:11" x14ac:dyDescent="0.25">
      <c r="C4852" s="108"/>
      <c r="D4852" s="217"/>
      <c r="E4852" s="217"/>
      <c r="F4852" s="104"/>
      <c r="G4852" s="108"/>
      <c r="J4852" s="174"/>
      <c r="K4852" s="4"/>
    </row>
    <row r="4853" spans="3:11" x14ac:dyDescent="0.25">
      <c r="C4853" s="108"/>
      <c r="D4853" s="217"/>
      <c r="E4853" s="217"/>
      <c r="F4853" s="104"/>
      <c r="G4853" s="108"/>
      <c r="J4853" s="174"/>
      <c r="K4853" s="4"/>
    </row>
    <row r="4854" spans="3:11" x14ac:dyDescent="0.25">
      <c r="C4854" s="108"/>
      <c r="D4854" s="217"/>
      <c r="E4854" s="217"/>
      <c r="F4854" s="104"/>
      <c r="G4854" s="108"/>
      <c r="J4854" s="174"/>
      <c r="K4854" s="4"/>
    </row>
    <row r="4855" spans="3:11" x14ac:dyDescent="0.25">
      <c r="C4855" s="108"/>
      <c r="D4855" s="217"/>
      <c r="E4855" s="217"/>
      <c r="F4855" s="104"/>
      <c r="G4855" s="108"/>
      <c r="J4855" s="174"/>
      <c r="K4855" s="4"/>
    </row>
    <row r="4856" spans="3:11" x14ac:dyDescent="0.25">
      <c r="C4856" s="108"/>
      <c r="D4856" s="217"/>
      <c r="E4856" s="217"/>
      <c r="F4856" s="104"/>
      <c r="G4856" s="108"/>
      <c r="J4856" s="174"/>
      <c r="K4856" s="4"/>
    </row>
    <row r="4857" spans="3:11" x14ac:dyDescent="0.25">
      <c r="C4857" s="108"/>
      <c r="D4857" s="217"/>
      <c r="E4857" s="217"/>
      <c r="F4857" s="104"/>
      <c r="G4857" s="108"/>
      <c r="J4857" s="174"/>
      <c r="K4857" s="4"/>
    </row>
    <row r="4858" spans="3:11" x14ac:dyDescent="0.25">
      <c r="C4858" s="108"/>
      <c r="D4858" s="217"/>
      <c r="E4858" s="217"/>
      <c r="F4858" s="104"/>
      <c r="G4858" s="108"/>
      <c r="J4858" s="174"/>
      <c r="K4858" s="4"/>
    </row>
    <row r="4859" spans="3:11" x14ac:dyDescent="0.25">
      <c r="C4859" s="108"/>
      <c r="D4859" s="217"/>
      <c r="E4859" s="217"/>
      <c r="F4859" s="104"/>
      <c r="G4859" s="108"/>
      <c r="J4859" s="174"/>
      <c r="K4859" s="4"/>
    </row>
    <row r="4860" spans="3:11" x14ac:dyDescent="0.25">
      <c r="C4860" s="108"/>
      <c r="D4860" s="217"/>
      <c r="E4860" s="217"/>
      <c r="F4860" s="104"/>
      <c r="G4860" s="108"/>
      <c r="J4860" s="174"/>
      <c r="K4860" s="4"/>
    </row>
    <row r="4861" spans="3:11" x14ac:dyDescent="0.25">
      <c r="C4861" s="108"/>
      <c r="D4861" s="217"/>
      <c r="E4861" s="217"/>
      <c r="F4861" s="104"/>
      <c r="G4861" s="108"/>
      <c r="J4861" s="174"/>
      <c r="K4861" s="4"/>
    </row>
    <row r="4862" spans="3:11" x14ac:dyDescent="0.25">
      <c r="C4862" s="108"/>
      <c r="D4862" s="217"/>
      <c r="E4862" s="217"/>
      <c r="F4862" s="104"/>
      <c r="G4862" s="108"/>
      <c r="J4862" s="174"/>
      <c r="K4862" s="4"/>
    </row>
    <row r="4863" spans="3:11" x14ac:dyDescent="0.25">
      <c r="C4863" s="108"/>
      <c r="D4863" s="217"/>
      <c r="E4863" s="217"/>
      <c r="F4863" s="104"/>
      <c r="G4863" s="108"/>
      <c r="J4863" s="174"/>
      <c r="K4863" s="4"/>
    </row>
    <row r="4864" spans="3:11" x14ac:dyDescent="0.25">
      <c r="C4864" s="108"/>
      <c r="D4864" s="217"/>
      <c r="E4864" s="217"/>
      <c r="F4864" s="104"/>
      <c r="G4864" s="108"/>
      <c r="J4864" s="174"/>
      <c r="K4864" s="4"/>
    </row>
    <row r="4865" spans="3:11" x14ac:dyDescent="0.25">
      <c r="C4865" s="108"/>
      <c r="D4865" s="217"/>
      <c r="E4865" s="217"/>
      <c r="F4865" s="104"/>
      <c r="G4865" s="108"/>
      <c r="J4865" s="174"/>
      <c r="K4865" s="4"/>
    </row>
    <row r="4866" spans="3:11" x14ac:dyDescent="0.25">
      <c r="C4866" s="108"/>
      <c r="D4866" s="217"/>
      <c r="E4866" s="217"/>
      <c r="F4866" s="104"/>
      <c r="G4866" s="108"/>
      <c r="J4866" s="174"/>
      <c r="K4866" s="4"/>
    </row>
    <row r="4867" spans="3:11" x14ac:dyDescent="0.25">
      <c r="C4867" s="108"/>
      <c r="D4867" s="217"/>
      <c r="E4867" s="217"/>
      <c r="F4867" s="104"/>
      <c r="G4867" s="108"/>
      <c r="J4867" s="174"/>
      <c r="K4867" s="4"/>
    </row>
    <row r="4868" spans="3:11" x14ac:dyDescent="0.25">
      <c r="C4868" s="108"/>
      <c r="D4868" s="217"/>
      <c r="E4868" s="217"/>
      <c r="F4868" s="104"/>
      <c r="G4868" s="108"/>
      <c r="J4868" s="174"/>
      <c r="K4868" s="4"/>
    </row>
    <row r="4869" spans="3:11" x14ac:dyDescent="0.25">
      <c r="C4869" s="108"/>
      <c r="D4869" s="217"/>
      <c r="E4869" s="217"/>
      <c r="F4869" s="104"/>
      <c r="G4869" s="108"/>
      <c r="J4869" s="174"/>
      <c r="K4869" s="4"/>
    </row>
    <row r="4870" spans="3:11" x14ac:dyDescent="0.25">
      <c r="C4870" s="108"/>
      <c r="D4870" s="217"/>
      <c r="E4870" s="217"/>
      <c r="F4870" s="104"/>
      <c r="G4870" s="108"/>
      <c r="J4870" s="174"/>
      <c r="K4870" s="4"/>
    </row>
    <row r="4871" spans="3:11" x14ac:dyDescent="0.25">
      <c r="C4871" s="108"/>
      <c r="D4871" s="217"/>
      <c r="E4871" s="217"/>
      <c r="F4871" s="104"/>
      <c r="G4871" s="108"/>
      <c r="J4871" s="174"/>
      <c r="K4871" s="4"/>
    </row>
    <row r="4872" spans="3:11" x14ac:dyDescent="0.25">
      <c r="C4872" s="108"/>
      <c r="D4872" s="217"/>
      <c r="E4872" s="217"/>
      <c r="F4872" s="104"/>
      <c r="G4872" s="108"/>
      <c r="J4872" s="174"/>
      <c r="K4872" s="4"/>
    </row>
    <row r="4873" spans="3:11" x14ac:dyDescent="0.25">
      <c r="C4873" s="108"/>
      <c r="D4873" s="217"/>
      <c r="E4873" s="217"/>
      <c r="F4873" s="104"/>
      <c r="G4873" s="108"/>
      <c r="J4873" s="174"/>
      <c r="K4873" s="4"/>
    </row>
    <row r="4874" spans="3:11" x14ac:dyDescent="0.25">
      <c r="C4874" s="108"/>
      <c r="D4874" s="217"/>
      <c r="E4874" s="217"/>
      <c r="F4874" s="104"/>
      <c r="G4874" s="108"/>
      <c r="J4874" s="174"/>
      <c r="K4874" s="4"/>
    </row>
    <row r="4875" spans="3:11" x14ac:dyDescent="0.25">
      <c r="C4875" s="108"/>
      <c r="D4875" s="217"/>
      <c r="E4875" s="217"/>
      <c r="F4875" s="104"/>
      <c r="G4875" s="108"/>
      <c r="J4875" s="174"/>
      <c r="K4875" s="4"/>
    </row>
    <row r="4876" spans="3:11" x14ac:dyDescent="0.25">
      <c r="C4876" s="108"/>
      <c r="D4876" s="217"/>
      <c r="E4876" s="217"/>
      <c r="F4876" s="104"/>
      <c r="G4876" s="108"/>
      <c r="J4876" s="174"/>
      <c r="K4876" s="4"/>
    </row>
    <row r="4877" spans="3:11" x14ac:dyDescent="0.25">
      <c r="C4877" s="108"/>
      <c r="D4877" s="217"/>
      <c r="E4877" s="217"/>
      <c r="F4877" s="104"/>
      <c r="G4877" s="108"/>
      <c r="J4877" s="174"/>
      <c r="K4877" s="4"/>
    </row>
    <row r="4878" spans="3:11" x14ac:dyDescent="0.25">
      <c r="C4878" s="108"/>
      <c r="D4878" s="217"/>
      <c r="E4878" s="217"/>
      <c r="F4878" s="104"/>
      <c r="G4878" s="108"/>
      <c r="J4878" s="174"/>
      <c r="K4878" s="4"/>
    </row>
    <row r="4879" spans="3:11" x14ac:dyDescent="0.25">
      <c r="C4879" s="108"/>
      <c r="D4879" s="217"/>
      <c r="E4879" s="217"/>
      <c r="F4879" s="104"/>
      <c r="G4879" s="108"/>
      <c r="J4879" s="174"/>
      <c r="K4879" s="4"/>
    </row>
    <row r="4880" spans="3:11" x14ac:dyDescent="0.25">
      <c r="C4880" s="108"/>
      <c r="D4880" s="217"/>
      <c r="E4880" s="217"/>
      <c r="F4880" s="104"/>
      <c r="G4880" s="108"/>
      <c r="J4880" s="174"/>
      <c r="K4880" s="4"/>
    </row>
    <row r="4881" spans="3:11" x14ac:dyDescent="0.25">
      <c r="C4881" s="108"/>
      <c r="D4881" s="217"/>
      <c r="E4881" s="217"/>
      <c r="F4881" s="104"/>
      <c r="G4881" s="108"/>
      <c r="J4881" s="174"/>
      <c r="K4881" s="4"/>
    </row>
    <row r="4882" spans="3:11" x14ac:dyDescent="0.25">
      <c r="C4882" s="108"/>
      <c r="D4882" s="217"/>
      <c r="E4882" s="217"/>
      <c r="F4882" s="104"/>
      <c r="G4882" s="108"/>
      <c r="J4882" s="174"/>
      <c r="K4882" s="4"/>
    </row>
    <row r="4883" spans="3:11" x14ac:dyDescent="0.25">
      <c r="C4883" s="108"/>
      <c r="D4883" s="217"/>
      <c r="E4883" s="217"/>
      <c r="F4883" s="104"/>
      <c r="G4883" s="108"/>
      <c r="J4883" s="174"/>
      <c r="K4883" s="4"/>
    </row>
    <row r="4884" spans="3:11" x14ac:dyDescent="0.25">
      <c r="C4884" s="108"/>
      <c r="D4884" s="217"/>
      <c r="E4884" s="217"/>
      <c r="F4884" s="104"/>
      <c r="G4884" s="108"/>
      <c r="J4884" s="174"/>
      <c r="K4884" s="4"/>
    </row>
    <row r="4885" spans="3:11" x14ac:dyDescent="0.25">
      <c r="C4885" s="108"/>
      <c r="D4885" s="217"/>
      <c r="E4885" s="217"/>
      <c r="F4885" s="104"/>
      <c r="G4885" s="108"/>
      <c r="J4885" s="174"/>
      <c r="K4885" s="4"/>
    </row>
    <row r="4886" spans="3:11" x14ac:dyDescent="0.25">
      <c r="C4886" s="108"/>
      <c r="D4886" s="217"/>
      <c r="E4886" s="217"/>
      <c r="F4886" s="104"/>
      <c r="G4886" s="108"/>
      <c r="J4886" s="174"/>
      <c r="K4886" s="4"/>
    </row>
    <row r="4887" spans="3:11" x14ac:dyDescent="0.25">
      <c r="C4887" s="108"/>
      <c r="D4887" s="217"/>
      <c r="E4887" s="217"/>
      <c r="F4887" s="104"/>
      <c r="G4887" s="108"/>
      <c r="J4887" s="174"/>
      <c r="K4887" s="4"/>
    </row>
    <row r="4888" spans="3:11" x14ac:dyDescent="0.25">
      <c r="C4888" s="108"/>
      <c r="D4888" s="217"/>
      <c r="E4888" s="217"/>
      <c r="F4888" s="104"/>
      <c r="G4888" s="108"/>
      <c r="J4888" s="174"/>
      <c r="K4888" s="4"/>
    </row>
    <row r="4889" spans="3:11" x14ac:dyDescent="0.25">
      <c r="C4889" s="108"/>
      <c r="D4889" s="217"/>
      <c r="E4889" s="217"/>
      <c r="F4889" s="104"/>
      <c r="G4889" s="108"/>
      <c r="J4889" s="174"/>
      <c r="K4889" s="4"/>
    </row>
    <row r="4890" spans="3:11" x14ac:dyDescent="0.25">
      <c r="C4890" s="108"/>
      <c r="D4890" s="217"/>
      <c r="E4890" s="217"/>
      <c r="F4890" s="104"/>
      <c r="G4890" s="108"/>
      <c r="J4890" s="174"/>
      <c r="K4890" s="4"/>
    </row>
    <row r="4891" spans="3:11" x14ac:dyDescent="0.25">
      <c r="C4891" s="108"/>
      <c r="D4891" s="217"/>
      <c r="E4891" s="217"/>
      <c r="F4891" s="104"/>
      <c r="G4891" s="108"/>
      <c r="J4891" s="174"/>
      <c r="K4891" s="4"/>
    </row>
    <row r="4892" spans="3:11" x14ac:dyDescent="0.25">
      <c r="C4892" s="108"/>
      <c r="D4892" s="217"/>
      <c r="E4892" s="217"/>
      <c r="F4892" s="104"/>
      <c r="G4892" s="108"/>
      <c r="J4892" s="174"/>
      <c r="K4892" s="4"/>
    </row>
    <row r="4893" spans="3:11" x14ac:dyDescent="0.25">
      <c r="C4893" s="108"/>
      <c r="D4893" s="217"/>
      <c r="E4893" s="217"/>
      <c r="F4893" s="104"/>
      <c r="G4893" s="108"/>
      <c r="J4893" s="174"/>
      <c r="K4893" s="4"/>
    </row>
    <row r="4894" spans="3:11" x14ac:dyDescent="0.25">
      <c r="C4894" s="108"/>
      <c r="D4894" s="217"/>
      <c r="E4894" s="217"/>
      <c r="F4894" s="104"/>
      <c r="G4894" s="108"/>
      <c r="J4894" s="174"/>
      <c r="K4894" s="4"/>
    </row>
    <row r="4895" spans="3:11" x14ac:dyDescent="0.25">
      <c r="C4895" s="108"/>
      <c r="D4895" s="217"/>
      <c r="E4895" s="217"/>
      <c r="F4895" s="104"/>
      <c r="G4895" s="108"/>
      <c r="J4895" s="174"/>
      <c r="K4895" s="4"/>
    </row>
    <row r="4896" spans="3:11" x14ac:dyDescent="0.25">
      <c r="C4896" s="108"/>
      <c r="D4896" s="217"/>
      <c r="E4896" s="217"/>
      <c r="F4896" s="104"/>
      <c r="G4896" s="108"/>
      <c r="J4896" s="174"/>
      <c r="K4896" s="4"/>
    </row>
    <row r="4897" spans="3:11" x14ac:dyDescent="0.25">
      <c r="C4897" s="108"/>
      <c r="D4897" s="217"/>
      <c r="E4897" s="217"/>
      <c r="F4897" s="104"/>
      <c r="G4897" s="108"/>
      <c r="J4897" s="174"/>
      <c r="K4897" s="4"/>
    </row>
    <row r="4898" spans="3:11" x14ac:dyDescent="0.25">
      <c r="C4898" s="108"/>
      <c r="D4898" s="217"/>
      <c r="E4898" s="217"/>
      <c r="F4898" s="104"/>
      <c r="G4898" s="108"/>
      <c r="J4898" s="174"/>
      <c r="K4898" s="4"/>
    </row>
    <row r="4899" spans="3:11" x14ac:dyDescent="0.25">
      <c r="C4899" s="108"/>
      <c r="D4899" s="217"/>
      <c r="E4899" s="217"/>
      <c r="F4899" s="104"/>
      <c r="G4899" s="108"/>
      <c r="J4899" s="174"/>
      <c r="K4899" s="4"/>
    </row>
    <row r="4900" spans="3:11" x14ac:dyDescent="0.25">
      <c r="C4900" s="108"/>
      <c r="D4900" s="217"/>
      <c r="E4900" s="217"/>
      <c r="F4900" s="104"/>
      <c r="G4900" s="108"/>
      <c r="J4900" s="174"/>
      <c r="K4900" s="4"/>
    </row>
    <row r="4901" spans="3:11" x14ac:dyDescent="0.25">
      <c r="C4901" s="108"/>
      <c r="D4901" s="217"/>
      <c r="E4901" s="217"/>
      <c r="F4901" s="104"/>
      <c r="G4901" s="108"/>
      <c r="J4901" s="174"/>
      <c r="K4901" s="4"/>
    </row>
    <row r="4902" spans="3:11" x14ac:dyDescent="0.25">
      <c r="C4902" s="108"/>
      <c r="D4902" s="217"/>
      <c r="E4902" s="217"/>
      <c r="F4902" s="104"/>
      <c r="G4902" s="108"/>
      <c r="J4902" s="174"/>
      <c r="K4902" s="4"/>
    </row>
    <row r="4903" spans="3:11" x14ac:dyDescent="0.25">
      <c r="C4903" s="108"/>
      <c r="D4903" s="217"/>
      <c r="E4903" s="217"/>
      <c r="F4903" s="104"/>
      <c r="G4903" s="108"/>
      <c r="J4903" s="174"/>
      <c r="K4903" s="4"/>
    </row>
    <row r="4904" spans="3:11" x14ac:dyDescent="0.25">
      <c r="C4904" s="108"/>
      <c r="D4904" s="217"/>
      <c r="E4904" s="217"/>
      <c r="F4904" s="104"/>
      <c r="G4904" s="108"/>
      <c r="J4904" s="174"/>
      <c r="K4904" s="4"/>
    </row>
    <row r="4905" spans="3:11" x14ac:dyDescent="0.25">
      <c r="C4905" s="108"/>
      <c r="D4905" s="217"/>
      <c r="E4905" s="217"/>
      <c r="F4905" s="104"/>
      <c r="G4905" s="108"/>
      <c r="J4905" s="174"/>
      <c r="K4905" s="4"/>
    </row>
    <row r="4906" spans="3:11" x14ac:dyDescent="0.25">
      <c r="C4906" s="108"/>
      <c r="D4906" s="217"/>
      <c r="E4906" s="217"/>
      <c r="F4906" s="104"/>
      <c r="G4906" s="108"/>
      <c r="J4906" s="174"/>
      <c r="K4906" s="4"/>
    </row>
    <row r="4907" spans="3:11" x14ac:dyDescent="0.25">
      <c r="C4907" s="108"/>
      <c r="D4907" s="217"/>
      <c r="E4907" s="217"/>
      <c r="F4907" s="104"/>
      <c r="G4907" s="108"/>
      <c r="J4907" s="174"/>
      <c r="K4907" s="4"/>
    </row>
    <row r="4908" spans="3:11" x14ac:dyDescent="0.25">
      <c r="C4908" s="108"/>
      <c r="D4908" s="217"/>
      <c r="E4908" s="217"/>
      <c r="F4908" s="104"/>
      <c r="G4908" s="108"/>
      <c r="J4908" s="174"/>
      <c r="K4908" s="4"/>
    </row>
    <row r="4909" spans="3:11" x14ac:dyDescent="0.25">
      <c r="C4909" s="108"/>
      <c r="D4909" s="217"/>
      <c r="E4909" s="217"/>
      <c r="F4909" s="104"/>
      <c r="G4909" s="108"/>
      <c r="J4909" s="174"/>
      <c r="K4909" s="4"/>
    </row>
    <row r="4910" spans="3:11" x14ac:dyDescent="0.25">
      <c r="C4910" s="108"/>
      <c r="D4910" s="217"/>
      <c r="E4910" s="217"/>
      <c r="F4910" s="104"/>
      <c r="G4910" s="108"/>
      <c r="J4910" s="174"/>
      <c r="K4910" s="4"/>
    </row>
    <row r="4911" spans="3:11" x14ac:dyDescent="0.25">
      <c r="C4911" s="108"/>
      <c r="D4911" s="217"/>
      <c r="E4911" s="217"/>
      <c r="F4911" s="104"/>
      <c r="G4911" s="108"/>
      <c r="J4911" s="174"/>
      <c r="K4911" s="4"/>
    </row>
    <row r="4912" spans="3:11" x14ac:dyDescent="0.25">
      <c r="C4912" s="108"/>
      <c r="D4912" s="217"/>
      <c r="E4912" s="217"/>
      <c r="F4912" s="104"/>
      <c r="G4912" s="108"/>
      <c r="J4912" s="174"/>
      <c r="K4912" s="4"/>
    </row>
    <row r="4913" spans="3:11" x14ac:dyDescent="0.25">
      <c r="C4913" s="108"/>
      <c r="D4913" s="217"/>
      <c r="E4913" s="217"/>
      <c r="F4913" s="104"/>
      <c r="G4913" s="108"/>
      <c r="J4913" s="174"/>
      <c r="K4913" s="4"/>
    </row>
    <row r="4914" spans="3:11" x14ac:dyDescent="0.25">
      <c r="C4914" s="108"/>
      <c r="D4914" s="217"/>
      <c r="E4914" s="217"/>
      <c r="F4914" s="104"/>
      <c r="G4914" s="108"/>
      <c r="J4914" s="174"/>
      <c r="K4914" s="4"/>
    </row>
    <row r="4915" spans="3:11" x14ac:dyDescent="0.25">
      <c r="C4915" s="108"/>
      <c r="D4915" s="217"/>
      <c r="E4915" s="217"/>
      <c r="F4915" s="104"/>
      <c r="G4915" s="108"/>
      <c r="J4915" s="174"/>
      <c r="K4915" s="4"/>
    </row>
    <row r="4916" spans="3:11" x14ac:dyDescent="0.25">
      <c r="C4916" s="108"/>
      <c r="D4916" s="217"/>
      <c r="E4916" s="217"/>
      <c r="F4916" s="104"/>
      <c r="G4916" s="108"/>
      <c r="J4916" s="174"/>
      <c r="K4916" s="4"/>
    </row>
    <row r="4917" spans="3:11" x14ac:dyDescent="0.25">
      <c r="C4917" s="108"/>
      <c r="D4917" s="217"/>
      <c r="E4917" s="217"/>
      <c r="F4917" s="104"/>
      <c r="G4917" s="108"/>
      <c r="J4917" s="174"/>
      <c r="K4917" s="4"/>
    </row>
    <row r="4918" spans="3:11" x14ac:dyDescent="0.25">
      <c r="C4918" s="108"/>
      <c r="D4918" s="217"/>
      <c r="E4918" s="217"/>
      <c r="F4918" s="104"/>
      <c r="G4918" s="108"/>
      <c r="J4918" s="174"/>
      <c r="K4918" s="4"/>
    </row>
    <row r="4919" spans="3:11" x14ac:dyDescent="0.25">
      <c r="C4919" s="108"/>
      <c r="D4919" s="217"/>
      <c r="E4919" s="217"/>
      <c r="F4919" s="104"/>
      <c r="G4919" s="108"/>
      <c r="J4919" s="174"/>
      <c r="K4919" s="4"/>
    </row>
    <row r="4920" spans="3:11" x14ac:dyDescent="0.25">
      <c r="C4920" s="108"/>
      <c r="D4920" s="217"/>
      <c r="E4920" s="217"/>
      <c r="F4920" s="104"/>
      <c r="G4920" s="108"/>
      <c r="J4920" s="174"/>
      <c r="K4920" s="4"/>
    </row>
    <row r="4921" spans="3:11" x14ac:dyDescent="0.25">
      <c r="C4921" s="108"/>
      <c r="D4921" s="217"/>
      <c r="E4921" s="217"/>
      <c r="F4921" s="104"/>
      <c r="G4921" s="108"/>
      <c r="J4921" s="174"/>
      <c r="K4921" s="4"/>
    </row>
    <row r="4922" spans="3:11" x14ac:dyDescent="0.25">
      <c r="C4922" s="108"/>
      <c r="D4922" s="217"/>
      <c r="E4922" s="217"/>
      <c r="F4922" s="104"/>
      <c r="G4922" s="108"/>
      <c r="J4922" s="174"/>
      <c r="K4922" s="4"/>
    </row>
    <row r="4923" spans="3:11" x14ac:dyDescent="0.25">
      <c r="C4923" s="108"/>
      <c r="D4923" s="217"/>
      <c r="E4923" s="217"/>
      <c r="F4923" s="104"/>
      <c r="G4923" s="108"/>
      <c r="J4923" s="174"/>
      <c r="K4923" s="4"/>
    </row>
    <row r="4924" spans="3:11" x14ac:dyDescent="0.25">
      <c r="C4924" s="108"/>
      <c r="D4924" s="217"/>
      <c r="E4924" s="217"/>
      <c r="F4924" s="104"/>
      <c r="G4924" s="108"/>
      <c r="J4924" s="174"/>
      <c r="K4924" s="4"/>
    </row>
    <row r="4925" spans="3:11" x14ac:dyDescent="0.25">
      <c r="C4925" s="108"/>
      <c r="D4925" s="217"/>
      <c r="E4925" s="217"/>
      <c r="F4925" s="104"/>
      <c r="G4925" s="108"/>
      <c r="J4925" s="174"/>
      <c r="K4925" s="4"/>
    </row>
    <row r="4926" spans="3:11" x14ac:dyDescent="0.25">
      <c r="C4926" s="108"/>
      <c r="D4926" s="217"/>
      <c r="E4926" s="217"/>
      <c r="F4926" s="104"/>
      <c r="G4926" s="108"/>
      <c r="J4926" s="174"/>
      <c r="K4926" s="4"/>
    </row>
    <row r="4927" spans="3:11" x14ac:dyDescent="0.25">
      <c r="C4927" s="108"/>
      <c r="D4927" s="217"/>
      <c r="E4927" s="217"/>
      <c r="F4927" s="104"/>
      <c r="G4927" s="108"/>
      <c r="J4927" s="174"/>
      <c r="K4927" s="4"/>
    </row>
    <row r="4928" spans="3:11" x14ac:dyDescent="0.25">
      <c r="C4928" s="108"/>
      <c r="D4928" s="217"/>
      <c r="E4928" s="217"/>
      <c r="F4928" s="104"/>
      <c r="G4928" s="108"/>
      <c r="J4928" s="174"/>
      <c r="K4928" s="4"/>
    </row>
    <row r="4929" spans="3:11" x14ac:dyDescent="0.25">
      <c r="C4929" s="108"/>
      <c r="D4929" s="217"/>
      <c r="E4929" s="217"/>
      <c r="F4929" s="104"/>
      <c r="G4929" s="108"/>
      <c r="J4929" s="174"/>
      <c r="K4929" s="4"/>
    </row>
    <row r="4930" spans="3:11" x14ac:dyDescent="0.25">
      <c r="C4930" s="108"/>
      <c r="D4930" s="217"/>
      <c r="E4930" s="217"/>
      <c r="F4930" s="104"/>
      <c r="G4930" s="108"/>
      <c r="J4930" s="174"/>
      <c r="K4930" s="4"/>
    </row>
    <row r="4931" spans="3:11" x14ac:dyDescent="0.25">
      <c r="C4931" s="108"/>
      <c r="D4931" s="217"/>
      <c r="E4931" s="217"/>
      <c r="F4931" s="104"/>
      <c r="G4931" s="108"/>
      <c r="J4931" s="174"/>
      <c r="K4931" s="4"/>
    </row>
    <row r="4932" spans="3:11" x14ac:dyDescent="0.25">
      <c r="C4932" s="108"/>
      <c r="D4932" s="217"/>
      <c r="E4932" s="217"/>
      <c r="F4932" s="104"/>
      <c r="G4932" s="108"/>
      <c r="J4932" s="174"/>
      <c r="K4932" s="4"/>
    </row>
    <row r="4933" spans="3:11" x14ac:dyDescent="0.25">
      <c r="C4933" s="108"/>
      <c r="D4933" s="217"/>
      <c r="E4933" s="217"/>
      <c r="F4933" s="104"/>
      <c r="G4933" s="108"/>
      <c r="J4933" s="174"/>
      <c r="K4933" s="4"/>
    </row>
    <row r="4934" spans="3:11" x14ac:dyDescent="0.25">
      <c r="C4934" s="108"/>
      <c r="D4934" s="217"/>
      <c r="E4934" s="217"/>
      <c r="F4934" s="104"/>
      <c r="G4934" s="108"/>
      <c r="J4934" s="174"/>
      <c r="K4934" s="4"/>
    </row>
    <row r="4935" spans="3:11" x14ac:dyDescent="0.25">
      <c r="C4935" s="108"/>
      <c r="D4935" s="217"/>
      <c r="E4935" s="217"/>
      <c r="F4935" s="104"/>
      <c r="G4935" s="108"/>
      <c r="J4935" s="174"/>
      <c r="K4935" s="4"/>
    </row>
    <row r="4936" spans="3:11" x14ac:dyDescent="0.25">
      <c r="C4936" s="108"/>
      <c r="D4936" s="217"/>
      <c r="E4936" s="217"/>
      <c r="F4936" s="104"/>
      <c r="G4936" s="108"/>
      <c r="J4936" s="174"/>
      <c r="K4936" s="4"/>
    </row>
    <row r="4937" spans="3:11" x14ac:dyDescent="0.25">
      <c r="C4937" s="108"/>
      <c r="D4937" s="217"/>
      <c r="E4937" s="217"/>
      <c r="F4937" s="104"/>
      <c r="G4937" s="108"/>
      <c r="J4937" s="174"/>
      <c r="K4937" s="4"/>
    </row>
    <row r="4938" spans="3:11" x14ac:dyDescent="0.25">
      <c r="C4938" s="108"/>
      <c r="D4938" s="217"/>
      <c r="E4938" s="217"/>
      <c r="F4938" s="104"/>
      <c r="G4938" s="108"/>
      <c r="J4938" s="174"/>
      <c r="K4938" s="4"/>
    </row>
    <row r="4939" spans="3:11" x14ac:dyDescent="0.25">
      <c r="C4939" s="108"/>
      <c r="D4939" s="217"/>
      <c r="E4939" s="217"/>
      <c r="F4939" s="104"/>
      <c r="G4939" s="108"/>
      <c r="J4939" s="174"/>
      <c r="K4939" s="4"/>
    </row>
    <row r="4940" spans="3:11" x14ac:dyDescent="0.25">
      <c r="C4940" s="108"/>
      <c r="D4940" s="217"/>
      <c r="E4940" s="217"/>
      <c r="F4940" s="104"/>
      <c r="G4940" s="108"/>
      <c r="J4940" s="174"/>
      <c r="K4940" s="4"/>
    </row>
    <row r="4941" spans="3:11" x14ac:dyDescent="0.25">
      <c r="C4941" s="108"/>
      <c r="D4941" s="217"/>
      <c r="E4941" s="217"/>
      <c r="F4941" s="104"/>
      <c r="G4941" s="108"/>
      <c r="J4941" s="174"/>
      <c r="K4941" s="4"/>
    </row>
    <row r="4942" spans="3:11" x14ac:dyDescent="0.25">
      <c r="C4942" s="108"/>
      <c r="D4942" s="217"/>
      <c r="E4942" s="217"/>
      <c r="F4942" s="104"/>
      <c r="G4942" s="108"/>
      <c r="J4942" s="174"/>
      <c r="K4942" s="4"/>
    </row>
    <row r="4943" spans="3:11" x14ac:dyDescent="0.25">
      <c r="C4943" s="108"/>
      <c r="D4943" s="217"/>
      <c r="E4943" s="217"/>
      <c r="F4943" s="104"/>
      <c r="G4943" s="108"/>
      <c r="J4943" s="174"/>
      <c r="K4943" s="4"/>
    </row>
    <row r="4944" spans="3:11" x14ac:dyDescent="0.25">
      <c r="C4944" s="108"/>
      <c r="D4944" s="217"/>
      <c r="E4944" s="217"/>
      <c r="F4944" s="104"/>
      <c r="G4944" s="108"/>
      <c r="J4944" s="174"/>
      <c r="K4944" s="4"/>
    </row>
    <row r="4945" spans="3:11" x14ac:dyDescent="0.25">
      <c r="C4945" s="108"/>
      <c r="D4945" s="217"/>
      <c r="E4945" s="217"/>
      <c r="F4945" s="104"/>
      <c r="G4945" s="108"/>
      <c r="J4945" s="174"/>
      <c r="K4945" s="4"/>
    </row>
    <row r="4946" spans="3:11" x14ac:dyDescent="0.25">
      <c r="C4946" s="108"/>
      <c r="D4946" s="217"/>
      <c r="E4946" s="217"/>
      <c r="F4946" s="104"/>
      <c r="G4946" s="108"/>
      <c r="J4946" s="174"/>
      <c r="K4946" s="4"/>
    </row>
    <row r="4947" spans="3:11" x14ac:dyDescent="0.25">
      <c r="C4947" s="108"/>
      <c r="D4947" s="217"/>
      <c r="E4947" s="217"/>
      <c r="F4947" s="104"/>
      <c r="G4947" s="108"/>
      <c r="J4947" s="174"/>
      <c r="K4947" s="4"/>
    </row>
    <row r="4948" spans="3:11" x14ac:dyDescent="0.25">
      <c r="C4948" s="108"/>
      <c r="D4948" s="217"/>
      <c r="E4948" s="217"/>
      <c r="F4948" s="104"/>
      <c r="G4948" s="108"/>
      <c r="J4948" s="174"/>
      <c r="K4948" s="4"/>
    </row>
    <row r="4949" spans="3:11" x14ac:dyDescent="0.25">
      <c r="C4949" s="108"/>
      <c r="D4949" s="217"/>
      <c r="E4949" s="217"/>
      <c r="F4949" s="104"/>
      <c r="G4949" s="108"/>
      <c r="J4949" s="174"/>
      <c r="K4949" s="4"/>
    </row>
    <row r="4950" spans="3:11" x14ac:dyDescent="0.25">
      <c r="C4950" s="108"/>
      <c r="D4950" s="217"/>
      <c r="E4950" s="217"/>
      <c r="F4950" s="104"/>
      <c r="G4950" s="108"/>
      <c r="J4950" s="174"/>
      <c r="K4950" s="4"/>
    </row>
    <row r="4951" spans="3:11" x14ac:dyDescent="0.25">
      <c r="C4951" s="108"/>
      <c r="D4951" s="217"/>
      <c r="E4951" s="217"/>
      <c r="F4951" s="104"/>
      <c r="G4951" s="108"/>
      <c r="J4951" s="174"/>
      <c r="K4951" s="4"/>
    </row>
    <row r="4952" spans="3:11" x14ac:dyDescent="0.25">
      <c r="C4952" s="108"/>
      <c r="D4952" s="217"/>
      <c r="E4952" s="217"/>
      <c r="F4952" s="104"/>
      <c r="G4952" s="108"/>
      <c r="J4952" s="174"/>
      <c r="K4952" s="4"/>
    </row>
    <row r="4953" spans="3:11" x14ac:dyDescent="0.25">
      <c r="C4953" s="108"/>
      <c r="D4953" s="217"/>
      <c r="E4953" s="217"/>
      <c r="F4953" s="104"/>
      <c r="G4953" s="108"/>
      <c r="J4953" s="174"/>
      <c r="K4953" s="4"/>
    </row>
    <row r="4954" spans="3:11" x14ac:dyDescent="0.25">
      <c r="C4954" s="108"/>
      <c r="D4954" s="217"/>
      <c r="E4954" s="217"/>
      <c r="F4954" s="104"/>
      <c r="G4954" s="108"/>
      <c r="J4954" s="174"/>
      <c r="K4954" s="4"/>
    </row>
    <row r="4955" spans="3:11" x14ac:dyDescent="0.25">
      <c r="C4955" s="108"/>
      <c r="D4955" s="217"/>
      <c r="E4955" s="217"/>
      <c r="F4955" s="104"/>
      <c r="G4955" s="108"/>
      <c r="J4955" s="174"/>
      <c r="K4955" s="4"/>
    </row>
    <row r="4956" spans="3:11" x14ac:dyDescent="0.25">
      <c r="C4956" s="108"/>
      <c r="D4956" s="217"/>
      <c r="E4956" s="217"/>
      <c r="F4956" s="104"/>
      <c r="G4956" s="108"/>
      <c r="J4956" s="174"/>
      <c r="K4956" s="4"/>
    </row>
    <row r="4957" spans="3:11" x14ac:dyDescent="0.25">
      <c r="C4957" s="108"/>
      <c r="D4957" s="217"/>
      <c r="E4957" s="217"/>
      <c r="F4957" s="104"/>
      <c r="G4957" s="108"/>
      <c r="J4957" s="174"/>
      <c r="K4957" s="4"/>
    </row>
    <row r="4958" spans="3:11" x14ac:dyDescent="0.25">
      <c r="C4958" s="108"/>
      <c r="D4958" s="217"/>
      <c r="E4958" s="217"/>
      <c r="F4958" s="104"/>
      <c r="G4958" s="108"/>
      <c r="J4958" s="174"/>
      <c r="K4958" s="4"/>
    </row>
    <row r="4959" spans="3:11" x14ac:dyDescent="0.25">
      <c r="C4959" s="108"/>
      <c r="D4959" s="217"/>
      <c r="E4959" s="217"/>
      <c r="F4959" s="104"/>
      <c r="G4959" s="108"/>
      <c r="J4959" s="174"/>
      <c r="K4959" s="4"/>
    </row>
    <row r="4960" spans="3:11" x14ac:dyDescent="0.25">
      <c r="C4960" s="108"/>
      <c r="D4960" s="217"/>
      <c r="E4960" s="217"/>
      <c r="F4960" s="104"/>
      <c r="G4960" s="108"/>
      <c r="J4960" s="174"/>
      <c r="K4960" s="4"/>
    </row>
    <row r="4961" spans="3:11" x14ac:dyDescent="0.25">
      <c r="C4961" s="108"/>
      <c r="D4961" s="217"/>
      <c r="E4961" s="217"/>
      <c r="F4961" s="104"/>
      <c r="G4961" s="108"/>
      <c r="J4961" s="174"/>
      <c r="K4961" s="4"/>
    </row>
    <row r="4962" spans="3:11" x14ac:dyDescent="0.25">
      <c r="C4962" s="108"/>
      <c r="D4962" s="217"/>
      <c r="E4962" s="217"/>
      <c r="F4962" s="104"/>
      <c r="G4962" s="108"/>
      <c r="J4962" s="174"/>
      <c r="K4962" s="4"/>
    </row>
    <row r="4963" spans="3:11" x14ac:dyDescent="0.25">
      <c r="C4963" s="108"/>
      <c r="D4963" s="217"/>
      <c r="E4963" s="217"/>
      <c r="F4963" s="104"/>
      <c r="G4963" s="108"/>
      <c r="J4963" s="174"/>
      <c r="K4963" s="4"/>
    </row>
    <row r="4964" spans="3:11" x14ac:dyDescent="0.25">
      <c r="C4964" s="108"/>
      <c r="D4964" s="217"/>
      <c r="E4964" s="217"/>
      <c r="F4964" s="104"/>
      <c r="G4964" s="108"/>
      <c r="J4964" s="174"/>
      <c r="K4964" s="4"/>
    </row>
    <row r="4965" spans="3:11" x14ac:dyDescent="0.25">
      <c r="C4965" s="108"/>
      <c r="D4965" s="217"/>
      <c r="E4965" s="217"/>
      <c r="F4965" s="104"/>
      <c r="G4965" s="108"/>
      <c r="J4965" s="174"/>
      <c r="K4965" s="4"/>
    </row>
    <row r="4966" spans="3:11" x14ac:dyDescent="0.25">
      <c r="C4966" s="108"/>
      <c r="D4966" s="217"/>
      <c r="E4966" s="217"/>
      <c r="F4966" s="104"/>
      <c r="G4966" s="108"/>
      <c r="J4966" s="174"/>
      <c r="K4966" s="4"/>
    </row>
    <row r="4967" spans="3:11" x14ac:dyDescent="0.25">
      <c r="C4967" s="108"/>
      <c r="D4967" s="217"/>
      <c r="E4967" s="217"/>
      <c r="F4967" s="104"/>
      <c r="G4967" s="108"/>
      <c r="J4967" s="174"/>
      <c r="K4967" s="4"/>
    </row>
    <row r="4968" spans="3:11" x14ac:dyDescent="0.25">
      <c r="C4968" s="108"/>
      <c r="D4968" s="217"/>
      <c r="E4968" s="217"/>
      <c r="F4968" s="104"/>
      <c r="G4968" s="108"/>
      <c r="J4968" s="174"/>
      <c r="K4968" s="4"/>
    </row>
    <row r="4969" spans="3:11" x14ac:dyDescent="0.25">
      <c r="C4969" s="108"/>
      <c r="D4969" s="217"/>
      <c r="E4969" s="217"/>
      <c r="F4969" s="104"/>
      <c r="G4969" s="108"/>
      <c r="J4969" s="174"/>
      <c r="K4969" s="4"/>
    </row>
    <row r="4970" spans="3:11" x14ac:dyDescent="0.25">
      <c r="C4970" s="108"/>
      <c r="D4970" s="217"/>
      <c r="E4970" s="217"/>
      <c r="F4970" s="104"/>
      <c r="G4970" s="108"/>
      <c r="J4970" s="174"/>
      <c r="K4970" s="4"/>
    </row>
    <row r="4971" spans="3:11" x14ac:dyDescent="0.25">
      <c r="C4971" s="108"/>
      <c r="D4971" s="217"/>
      <c r="E4971" s="217"/>
      <c r="F4971" s="104"/>
      <c r="G4971" s="108"/>
      <c r="J4971" s="174"/>
      <c r="K4971" s="4"/>
    </row>
    <row r="4972" spans="3:11" x14ac:dyDescent="0.25">
      <c r="C4972" s="108"/>
      <c r="D4972" s="217"/>
      <c r="E4972" s="217"/>
      <c r="F4972" s="104"/>
      <c r="G4972" s="108"/>
      <c r="J4972" s="174"/>
      <c r="K4972" s="4"/>
    </row>
    <row r="4973" spans="3:11" x14ac:dyDescent="0.25">
      <c r="C4973" s="108"/>
      <c r="D4973" s="217"/>
      <c r="E4973" s="217"/>
      <c r="F4973" s="104"/>
      <c r="G4973" s="108"/>
      <c r="J4973" s="174"/>
      <c r="K4973" s="4"/>
    </row>
    <row r="4974" spans="3:11" x14ac:dyDescent="0.25">
      <c r="C4974" s="108"/>
      <c r="D4974" s="217"/>
      <c r="E4974" s="217"/>
      <c r="F4974" s="104"/>
      <c r="G4974" s="108"/>
      <c r="J4974" s="174"/>
      <c r="K4974" s="4"/>
    </row>
    <row r="4975" spans="3:11" x14ac:dyDescent="0.25">
      <c r="C4975" s="108"/>
      <c r="D4975" s="217"/>
      <c r="E4975" s="217"/>
      <c r="F4975" s="104"/>
      <c r="G4975" s="108"/>
      <c r="J4975" s="174"/>
      <c r="K4975" s="4"/>
    </row>
    <row r="4976" spans="3:11" x14ac:dyDescent="0.25">
      <c r="C4976" s="108"/>
      <c r="D4976" s="217"/>
      <c r="E4976" s="217"/>
      <c r="F4976" s="104"/>
      <c r="G4976" s="108"/>
      <c r="J4976" s="174"/>
      <c r="K4976" s="4"/>
    </row>
    <row r="4977" spans="3:11" x14ac:dyDescent="0.25">
      <c r="C4977" s="108"/>
      <c r="D4977" s="217"/>
      <c r="E4977" s="217"/>
      <c r="F4977" s="104"/>
      <c r="G4977" s="108"/>
      <c r="J4977" s="174"/>
      <c r="K4977" s="4"/>
    </row>
    <row r="4978" spans="3:11" x14ac:dyDescent="0.25">
      <c r="C4978" s="108"/>
      <c r="D4978" s="217"/>
      <c r="E4978" s="217"/>
      <c r="F4978" s="104"/>
      <c r="G4978" s="108"/>
      <c r="J4978" s="174"/>
      <c r="K4978" s="4"/>
    </row>
    <row r="4979" spans="3:11" x14ac:dyDescent="0.25">
      <c r="C4979" s="108"/>
      <c r="D4979" s="217"/>
      <c r="E4979" s="217"/>
      <c r="F4979" s="104"/>
      <c r="G4979" s="108"/>
      <c r="J4979" s="174"/>
      <c r="K4979" s="4"/>
    </row>
    <row r="4980" spans="3:11" x14ac:dyDescent="0.25">
      <c r="C4980" s="108"/>
      <c r="D4980" s="217"/>
      <c r="E4980" s="217"/>
      <c r="F4980" s="104"/>
      <c r="G4980" s="108"/>
      <c r="J4980" s="174"/>
      <c r="K4980" s="4"/>
    </row>
    <row r="4981" spans="3:11" x14ac:dyDescent="0.25">
      <c r="C4981" s="108"/>
      <c r="D4981" s="217"/>
      <c r="E4981" s="217"/>
      <c r="F4981" s="104"/>
      <c r="G4981" s="108"/>
      <c r="J4981" s="174"/>
      <c r="K4981" s="4"/>
    </row>
    <row r="4982" spans="3:11" x14ac:dyDescent="0.25">
      <c r="C4982" s="108"/>
      <c r="D4982" s="217"/>
      <c r="E4982" s="217"/>
      <c r="F4982" s="104"/>
      <c r="G4982" s="108"/>
      <c r="J4982" s="174"/>
      <c r="K4982" s="4"/>
    </row>
    <row r="4983" spans="3:11" x14ac:dyDescent="0.25">
      <c r="C4983" s="108"/>
      <c r="D4983" s="217"/>
      <c r="E4983" s="217"/>
      <c r="F4983" s="104"/>
      <c r="G4983" s="108"/>
      <c r="J4983" s="174"/>
      <c r="K4983" s="4"/>
    </row>
    <row r="4984" spans="3:11" x14ac:dyDescent="0.25">
      <c r="C4984" s="108"/>
      <c r="D4984" s="217"/>
      <c r="E4984" s="217"/>
      <c r="F4984" s="104"/>
      <c r="G4984" s="108"/>
      <c r="J4984" s="174"/>
      <c r="K4984" s="4"/>
    </row>
    <row r="4985" spans="3:11" x14ac:dyDescent="0.25">
      <c r="C4985" s="108"/>
      <c r="D4985" s="217"/>
      <c r="E4985" s="217"/>
      <c r="F4985" s="104"/>
      <c r="G4985" s="108"/>
      <c r="J4985" s="174"/>
      <c r="K4985" s="4"/>
    </row>
    <row r="4986" spans="3:11" x14ac:dyDescent="0.25">
      <c r="C4986" s="108"/>
      <c r="D4986" s="217"/>
      <c r="E4986" s="217"/>
      <c r="F4986" s="104"/>
      <c r="G4986" s="108"/>
      <c r="J4986" s="174"/>
      <c r="K4986" s="4"/>
    </row>
    <row r="4987" spans="3:11" x14ac:dyDescent="0.25">
      <c r="C4987" s="108"/>
      <c r="D4987" s="217"/>
      <c r="E4987" s="217"/>
      <c r="F4987" s="104"/>
      <c r="G4987" s="108"/>
      <c r="J4987" s="174"/>
      <c r="K4987" s="4"/>
    </row>
    <row r="4988" spans="3:11" x14ac:dyDescent="0.25">
      <c r="C4988" s="108"/>
      <c r="D4988" s="217"/>
      <c r="E4988" s="217"/>
      <c r="F4988" s="104"/>
      <c r="G4988" s="108"/>
      <c r="J4988" s="174"/>
      <c r="K4988" s="4"/>
    </row>
    <row r="4989" spans="3:11" x14ac:dyDescent="0.25">
      <c r="C4989" s="108"/>
      <c r="D4989" s="217"/>
      <c r="E4989" s="217"/>
      <c r="F4989" s="104"/>
      <c r="G4989" s="108"/>
      <c r="J4989" s="174"/>
      <c r="K4989" s="4"/>
    </row>
    <row r="4990" spans="3:11" x14ac:dyDescent="0.25">
      <c r="C4990" s="108"/>
      <c r="D4990" s="217"/>
      <c r="E4990" s="217"/>
      <c r="F4990" s="104"/>
      <c r="G4990" s="108"/>
      <c r="J4990" s="174"/>
      <c r="K4990" s="4"/>
    </row>
    <row r="4991" spans="3:11" x14ac:dyDescent="0.25">
      <c r="C4991" s="108"/>
      <c r="D4991" s="217"/>
      <c r="E4991" s="217"/>
      <c r="F4991" s="104"/>
      <c r="G4991" s="108"/>
      <c r="J4991" s="174"/>
      <c r="K4991" s="4"/>
    </row>
    <row r="4992" spans="3:11" x14ac:dyDescent="0.25">
      <c r="C4992" s="108"/>
      <c r="D4992" s="217"/>
      <c r="E4992" s="217"/>
      <c r="F4992" s="104"/>
      <c r="G4992" s="108"/>
      <c r="J4992" s="174"/>
      <c r="K4992" s="4"/>
    </row>
    <row r="4993" spans="3:11" x14ac:dyDescent="0.25">
      <c r="C4993" s="108"/>
      <c r="D4993" s="217"/>
      <c r="E4993" s="217"/>
      <c r="F4993" s="104"/>
      <c r="G4993" s="108"/>
      <c r="J4993" s="174"/>
      <c r="K4993" s="4"/>
    </row>
    <row r="4994" spans="3:11" x14ac:dyDescent="0.25">
      <c r="C4994" s="108"/>
      <c r="D4994" s="217"/>
      <c r="E4994" s="217"/>
      <c r="F4994" s="104"/>
      <c r="G4994" s="108"/>
      <c r="J4994" s="174"/>
      <c r="K4994" s="4"/>
    </row>
    <row r="4995" spans="3:11" x14ac:dyDescent="0.25">
      <c r="C4995" s="108"/>
      <c r="D4995" s="217"/>
      <c r="E4995" s="217"/>
      <c r="F4995" s="104"/>
      <c r="G4995" s="108"/>
      <c r="J4995" s="174"/>
      <c r="K4995" s="4"/>
    </row>
    <row r="4996" spans="3:11" x14ac:dyDescent="0.25">
      <c r="C4996" s="108"/>
      <c r="D4996" s="217"/>
      <c r="E4996" s="217"/>
      <c r="F4996" s="104"/>
      <c r="G4996" s="108"/>
      <c r="J4996" s="174"/>
      <c r="K4996" s="4"/>
    </row>
    <row r="4997" spans="3:11" x14ac:dyDescent="0.25">
      <c r="C4997" s="108"/>
      <c r="D4997" s="217"/>
      <c r="E4997" s="217"/>
      <c r="F4997" s="104"/>
      <c r="G4997" s="108"/>
      <c r="J4997" s="174"/>
      <c r="K4997" s="4"/>
    </row>
    <row r="4998" spans="3:11" x14ac:dyDescent="0.25">
      <c r="C4998" s="108"/>
      <c r="D4998" s="217"/>
      <c r="E4998" s="217"/>
      <c r="F4998" s="104"/>
      <c r="G4998" s="108"/>
      <c r="J4998" s="174"/>
      <c r="K4998" s="4"/>
    </row>
    <row r="4999" spans="3:11" x14ac:dyDescent="0.25">
      <c r="C4999" s="108"/>
      <c r="D4999" s="217"/>
      <c r="E4999" s="217"/>
      <c r="F4999" s="104"/>
      <c r="G4999" s="108"/>
      <c r="J4999" s="174"/>
      <c r="K4999" s="4"/>
    </row>
    <row r="5000" spans="3:11" x14ac:dyDescent="0.25">
      <c r="C5000" s="108"/>
      <c r="D5000" s="217"/>
      <c r="E5000" s="217"/>
      <c r="F5000" s="104"/>
      <c r="G5000" s="108"/>
      <c r="J5000" s="174"/>
      <c r="K5000" s="4"/>
    </row>
    <row r="5001" spans="3:11" x14ac:dyDescent="0.25">
      <c r="C5001" s="108"/>
      <c r="D5001" s="217"/>
      <c r="E5001" s="217"/>
      <c r="F5001" s="104"/>
      <c r="G5001" s="108"/>
      <c r="J5001" s="174"/>
      <c r="K5001" s="4"/>
    </row>
    <row r="5002" spans="3:11" x14ac:dyDescent="0.25">
      <c r="C5002" s="108"/>
      <c r="D5002" s="217"/>
      <c r="E5002" s="217"/>
      <c r="F5002" s="104"/>
      <c r="G5002" s="108"/>
      <c r="J5002" s="174"/>
      <c r="K5002" s="4"/>
    </row>
    <row r="5003" spans="3:11" x14ac:dyDescent="0.25">
      <c r="C5003" s="108"/>
      <c r="D5003" s="217"/>
      <c r="E5003" s="217"/>
      <c r="F5003" s="104"/>
      <c r="G5003" s="108"/>
      <c r="J5003" s="174"/>
      <c r="K5003" s="4"/>
    </row>
    <row r="5004" spans="3:11" x14ac:dyDescent="0.25">
      <c r="C5004" s="108"/>
      <c r="D5004" s="217"/>
      <c r="E5004" s="217"/>
      <c r="F5004" s="104"/>
      <c r="G5004" s="108"/>
      <c r="J5004" s="174"/>
      <c r="K5004" s="4"/>
    </row>
    <row r="5005" spans="3:11" x14ac:dyDescent="0.25">
      <c r="C5005" s="108"/>
      <c r="D5005" s="217"/>
      <c r="E5005" s="217"/>
      <c r="F5005" s="104"/>
      <c r="G5005" s="108"/>
      <c r="J5005" s="174"/>
      <c r="K5005" s="4"/>
    </row>
    <row r="5006" spans="3:11" x14ac:dyDescent="0.25">
      <c r="C5006" s="108"/>
      <c r="D5006" s="217"/>
      <c r="E5006" s="217"/>
      <c r="F5006" s="104"/>
      <c r="G5006" s="108"/>
      <c r="J5006" s="174"/>
      <c r="K5006" s="4"/>
    </row>
    <row r="5007" spans="3:11" x14ac:dyDescent="0.25">
      <c r="C5007" s="108"/>
      <c r="D5007" s="217"/>
      <c r="E5007" s="217"/>
      <c r="F5007" s="104"/>
      <c r="G5007" s="108"/>
      <c r="J5007" s="174"/>
      <c r="K5007" s="4"/>
    </row>
    <row r="5008" spans="3:11" x14ac:dyDescent="0.25">
      <c r="C5008" s="108"/>
      <c r="D5008" s="217"/>
      <c r="E5008" s="217"/>
      <c r="F5008" s="104"/>
      <c r="G5008" s="108"/>
      <c r="J5008" s="174"/>
      <c r="K5008" s="4"/>
    </row>
    <row r="5009" spans="3:11" x14ac:dyDescent="0.25">
      <c r="C5009" s="108"/>
      <c r="D5009" s="217"/>
      <c r="E5009" s="217"/>
      <c r="F5009" s="104"/>
      <c r="G5009" s="108"/>
      <c r="J5009" s="174"/>
      <c r="K5009" s="4"/>
    </row>
    <row r="5010" spans="3:11" x14ac:dyDescent="0.25">
      <c r="C5010" s="108"/>
      <c r="D5010" s="217"/>
      <c r="E5010" s="217"/>
      <c r="F5010" s="104"/>
      <c r="G5010" s="108"/>
      <c r="J5010" s="174"/>
      <c r="K5010" s="4"/>
    </row>
    <row r="5011" spans="3:11" x14ac:dyDescent="0.25">
      <c r="C5011" s="108"/>
      <c r="D5011" s="217"/>
      <c r="E5011" s="217"/>
      <c r="F5011" s="104"/>
      <c r="G5011" s="108"/>
      <c r="J5011" s="174"/>
      <c r="K5011" s="4"/>
    </row>
    <row r="5012" spans="3:11" x14ac:dyDescent="0.25">
      <c r="C5012" s="108"/>
      <c r="D5012" s="217"/>
      <c r="E5012" s="217"/>
      <c r="F5012" s="104"/>
      <c r="G5012" s="108"/>
      <c r="J5012" s="174"/>
      <c r="K5012" s="4"/>
    </row>
    <row r="5013" spans="3:11" x14ac:dyDescent="0.25">
      <c r="C5013" s="108"/>
      <c r="D5013" s="217"/>
      <c r="E5013" s="217"/>
      <c r="F5013" s="104"/>
      <c r="G5013" s="108"/>
      <c r="J5013" s="174"/>
      <c r="K5013" s="4"/>
    </row>
    <row r="5014" spans="3:11" x14ac:dyDescent="0.25">
      <c r="C5014" s="108"/>
      <c r="D5014" s="217"/>
      <c r="E5014" s="217"/>
      <c r="F5014" s="104"/>
      <c r="G5014" s="108"/>
      <c r="J5014" s="174"/>
      <c r="K5014" s="4"/>
    </row>
    <row r="5015" spans="3:11" x14ac:dyDescent="0.25">
      <c r="C5015" s="108"/>
      <c r="D5015" s="217"/>
      <c r="E5015" s="217"/>
      <c r="F5015" s="104"/>
      <c r="G5015" s="108"/>
      <c r="J5015" s="174"/>
      <c r="K5015" s="4"/>
    </row>
    <row r="5016" spans="3:11" x14ac:dyDescent="0.25">
      <c r="C5016" s="108"/>
      <c r="D5016" s="217"/>
      <c r="E5016" s="217"/>
      <c r="F5016" s="104"/>
      <c r="G5016" s="108"/>
      <c r="J5016" s="174"/>
      <c r="K5016" s="4"/>
    </row>
    <row r="5017" spans="3:11" x14ac:dyDescent="0.25">
      <c r="C5017" s="108"/>
      <c r="D5017" s="217"/>
      <c r="E5017" s="217"/>
      <c r="F5017" s="104"/>
      <c r="G5017" s="108"/>
      <c r="J5017" s="174"/>
      <c r="K5017" s="4"/>
    </row>
    <row r="5018" spans="3:11" x14ac:dyDescent="0.25">
      <c r="C5018" s="108"/>
      <c r="D5018" s="217"/>
      <c r="E5018" s="217"/>
      <c r="F5018" s="104"/>
      <c r="G5018" s="108"/>
      <c r="J5018" s="174"/>
      <c r="K5018" s="4"/>
    </row>
    <row r="5019" spans="3:11" x14ac:dyDescent="0.25">
      <c r="C5019" s="108"/>
      <c r="D5019" s="217"/>
      <c r="E5019" s="217"/>
      <c r="F5019" s="104"/>
      <c r="G5019" s="108"/>
      <c r="J5019" s="174"/>
      <c r="K5019" s="4"/>
    </row>
    <row r="5020" spans="3:11" x14ac:dyDescent="0.25">
      <c r="C5020" s="108"/>
      <c r="D5020" s="217"/>
      <c r="E5020" s="217"/>
      <c r="F5020" s="104"/>
      <c r="G5020" s="108"/>
      <c r="J5020" s="174"/>
      <c r="K5020" s="4"/>
    </row>
    <row r="5021" spans="3:11" x14ac:dyDescent="0.25">
      <c r="C5021" s="108"/>
      <c r="D5021" s="217"/>
      <c r="E5021" s="217"/>
      <c r="F5021" s="104"/>
      <c r="G5021" s="108"/>
      <c r="J5021" s="174"/>
      <c r="K5021" s="4"/>
    </row>
    <row r="5022" spans="3:11" x14ac:dyDescent="0.25">
      <c r="C5022" s="108"/>
      <c r="D5022" s="217"/>
      <c r="E5022" s="217"/>
      <c r="F5022" s="104"/>
      <c r="G5022" s="108"/>
      <c r="J5022" s="174"/>
      <c r="K5022" s="4"/>
    </row>
    <row r="5023" spans="3:11" x14ac:dyDescent="0.25">
      <c r="C5023" s="108"/>
      <c r="D5023" s="217"/>
      <c r="E5023" s="217"/>
      <c r="F5023" s="104"/>
      <c r="G5023" s="108"/>
      <c r="J5023" s="174"/>
      <c r="K5023" s="4"/>
    </row>
    <row r="5024" spans="3:11" x14ac:dyDescent="0.25">
      <c r="C5024" s="108"/>
      <c r="D5024" s="217"/>
      <c r="E5024" s="217"/>
      <c r="F5024" s="104"/>
      <c r="G5024" s="108"/>
      <c r="J5024" s="174"/>
      <c r="K5024" s="4"/>
    </row>
    <row r="5025" spans="3:11" x14ac:dyDescent="0.25">
      <c r="C5025" s="108"/>
      <c r="D5025" s="217"/>
      <c r="E5025" s="217"/>
      <c r="F5025" s="104"/>
      <c r="G5025" s="108"/>
      <c r="J5025" s="174"/>
      <c r="K5025" s="4"/>
    </row>
    <row r="5026" spans="3:11" x14ac:dyDescent="0.25">
      <c r="C5026" s="108"/>
      <c r="D5026" s="217"/>
      <c r="E5026" s="217"/>
      <c r="F5026" s="104"/>
      <c r="G5026" s="108"/>
      <c r="J5026" s="174"/>
      <c r="K5026" s="4"/>
    </row>
    <row r="5027" spans="3:11" x14ac:dyDescent="0.25">
      <c r="C5027" s="108"/>
      <c r="D5027" s="217"/>
      <c r="E5027" s="217"/>
      <c r="F5027" s="104"/>
      <c r="G5027" s="108"/>
      <c r="J5027" s="174"/>
      <c r="K5027" s="4"/>
    </row>
    <row r="5028" spans="3:11" x14ac:dyDescent="0.25">
      <c r="C5028" s="108"/>
      <c r="D5028" s="217"/>
      <c r="E5028" s="217"/>
      <c r="F5028" s="104"/>
      <c r="G5028" s="108"/>
      <c r="J5028" s="174"/>
      <c r="K5028" s="4"/>
    </row>
    <row r="5029" spans="3:11" x14ac:dyDescent="0.25">
      <c r="C5029" s="108"/>
      <c r="D5029" s="217"/>
      <c r="E5029" s="217"/>
      <c r="F5029" s="104"/>
      <c r="G5029" s="108"/>
      <c r="J5029" s="174"/>
      <c r="K5029" s="4"/>
    </row>
    <row r="5030" spans="3:11" x14ac:dyDescent="0.25">
      <c r="C5030" s="108"/>
      <c r="D5030" s="217"/>
      <c r="E5030" s="217"/>
      <c r="F5030" s="104"/>
      <c r="G5030" s="108"/>
      <c r="J5030" s="174"/>
      <c r="K5030" s="4"/>
    </row>
    <row r="5031" spans="3:11" x14ac:dyDescent="0.25">
      <c r="C5031" s="108"/>
      <c r="D5031" s="217"/>
      <c r="E5031" s="217"/>
      <c r="F5031" s="104"/>
      <c r="G5031" s="108"/>
      <c r="J5031" s="174"/>
      <c r="K5031" s="4"/>
    </row>
    <row r="5032" spans="3:11" x14ac:dyDescent="0.25">
      <c r="C5032" s="108"/>
      <c r="D5032" s="217"/>
      <c r="E5032" s="217"/>
      <c r="F5032" s="104"/>
      <c r="G5032" s="108"/>
      <c r="J5032" s="174"/>
      <c r="K5032" s="4"/>
    </row>
    <row r="5033" spans="3:11" x14ac:dyDescent="0.25">
      <c r="C5033" s="108"/>
      <c r="D5033" s="217"/>
      <c r="E5033" s="217"/>
      <c r="F5033" s="104"/>
      <c r="G5033" s="108"/>
      <c r="J5033" s="174"/>
      <c r="K5033" s="4"/>
    </row>
    <row r="5034" spans="3:11" x14ac:dyDescent="0.25">
      <c r="C5034" s="108"/>
      <c r="D5034" s="217"/>
      <c r="E5034" s="217"/>
      <c r="F5034" s="104"/>
      <c r="G5034" s="108"/>
      <c r="J5034" s="174"/>
      <c r="K5034" s="4"/>
    </row>
    <row r="5035" spans="3:11" x14ac:dyDescent="0.25">
      <c r="C5035" s="108"/>
      <c r="D5035" s="217"/>
      <c r="E5035" s="217"/>
      <c r="F5035" s="104"/>
      <c r="G5035" s="108"/>
      <c r="J5035" s="174"/>
      <c r="K5035" s="4"/>
    </row>
    <row r="5036" spans="3:11" x14ac:dyDescent="0.25">
      <c r="C5036" s="108"/>
      <c r="D5036" s="217"/>
      <c r="E5036" s="217"/>
      <c r="F5036" s="104"/>
      <c r="G5036" s="108"/>
      <c r="J5036" s="174"/>
      <c r="K5036" s="4"/>
    </row>
    <row r="5037" spans="3:11" x14ac:dyDescent="0.25">
      <c r="C5037" s="108"/>
      <c r="D5037" s="217"/>
      <c r="E5037" s="217"/>
      <c r="F5037" s="104"/>
      <c r="G5037" s="108"/>
      <c r="J5037" s="174"/>
      <c r="K5037" s="4"/>
    </row>
  </sheetData>
  <pageMargins left="0.511811024" right="0.511811024" top="0.78740157499999996" bottom="0.78740157499999996" header="0.31496062000000002" footer="0.31496062000000002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80CEC-EDAA-4E15-8771-8299987F2403}">
  <sheetPr codeName="Planilha10"/>
  <dimension ref="A1:E24"/>
  <sheetViews>
    <sheetView showGridLines="0" zoomScale="80" zoomScaleNormal="80" workbookViewId="0">
      <selection activeCell="G5" sqref="G5"/>
    </sheetView>
  </sheetViews>
  <sheetFormatPr defaultRowHeight="15" x14ac:dyDescent="0.25"/>
  <cols>
    <col min="1" max="1" width="43.42578125" bestFit="1" customWidth="1"/>
    <col min="2" max="2" width="9.28515625" bestFit="1" customWidth="1"/>
    <col min="3" max="3" width="9.5703125" bestFit="1" customWidth="1"/>
    <col min="4" max="4" width="9.28515625" bestFit="1" customWidth="1"/>
    <col min="5" max="5" width="101" bestFit="1" customWidth="1"/>
  </cols>
  <sheetData>
    <row r="1" spans="1:5" x14ac:dyDescent="0.25">
      <c r="A1" s="847">
        <v>46054</v>
      </c>
      <c r="B1" s="847"/>
      <c r="C1" s="847"/>
      <c r="D1" s="847"/>
      <c r="E1" s="847"/>
    </row>
    <row r="2" spans="1:5" x14ac:dyDescent="0.25">
      <c r="A2" s="156" t="s">
        <v>209</v>
      </c>
      <c r="B2" s="157" t="s">
        <v>101</v>
      </c>
      <c r="C2" s="157" t="s">
        <v>102</v>
      </c>
      <c r="D2" s="157" t="s">
        <v>210</v>
      </c>
      <c r="E2" s="156" t="s">
        <v>211</v>
      </c>
    </row>
    <row r="3" spans="1:5" x14ac:dyDescent="0.25">
      <c r="A3" s="158" t="s">
        <v>38</v>
      </c>
      <c r="B3" s="159">
        <v>866571</v>
      </c>
      <c r="C3" s="159">
        <v>799342</v>
      </c>
      <c r="D3" s="159">
        <v>67229</v>
      </c>
      <c r="E3" s="304" t="s">
        <v>452</v>
      </c>
    </row>
    <row r="4" spans="1:5" x14ac:dyDescent="0.25">
      <c r="A4" s="158" t="s">
        <v>212</v>
      </c>
      <c r="B4" s="159">
        <v>884755</v>
      </c>
      <c r="C4" s="159">
        <v>370602</v>
      </c>
      <c r="D4" s="159">
        <v>514153</v>
      </c>
      <c r="E4" s="304"/>
    </row>
    <row r="5" spans="1:5" x14ac:dyDescent="0.25">
      <c r="A5" s="162" t="s">
        <v>453</v>
      </c>
      <c r="B5" s="189">
        <v>544992</v>
      </c>
      <c r="C5" s="189">
        <v>132032</v>
      </c>
      <c r="D5" s="189">
        <v>412960</v>
      </c>
      <c r="E5" s="305" t="s">
        <v>454</v>
      </c>
    </row>
    <row r="6" spans="1:5" x14ac:dyDescent="0.25">
      <c r="A6" s="162" t="s">
        <v>455</v>
      </c>
      <c r="B6" s="189">
        <v>276147</v>
      </c>
      <c r="C6" s="189">
        <v>198049</v>
      </c>
      <c r="D6" s="189">
        <v>78098</v>
      </c>
      <c r="E6" s="305" t="s">
        <v>454</v>
      </c>
    </row>
    <row r="7" spans="1:5" x14ac:dyDescent="0.25">
      <c r="A7" s="162" t="s">
        <v>456</v>
      </c>
      <c r="B7" s="189">
        <v>30000</v>
      </c>
      <c r="C7" s="189">
        <v>0</v>
      </c>
      <c r="D7" s="189">
        <v>30000</v>
      </c>
      <c r="E7" s="305" t="s">
        <v>457</v>
      </c>
    </row>
    <row r="8" spans="1:5" x14ac:dyDescent="0.25">
      <c r="A8" s="158" t="s">
        <v>213</v>
      </c>
      <c r="B8" s="159">
        <v>3353423</v>
      </c>
      <c r="C8" s="159">
        <v>3125180</v>
      </c>
      <c r="D8" s="159">
        <v>228243</v>
      </c>
      <c r="E8" s="304" t="s">
        <v>221</v>
      </c>
    </row>
    <row r="9" spans="1:5" x14ac:dyDescent="0.25">
      <c r="A9" s="162" t="s">
        <v>458</v>
      </c>
      <c r="B9" s="160">
        <v>248275</v>
      </c>
      <c r="C9" s="160">
        <v>0</v>
      </c>
      <c r="D9" s="189">
        <v>248275</v>
      </c>
      <c r="E9" s="306"/>
    </row>
    <row r="10" spans="1:5" x14ac:dyDescent="0.25">
      <c r="A10" s="158" t="s">
        <v>156</v>
      </c>
      <c r="B10" s="159">
        <v>262766</v>
      </c>
      <c r="C10" s="159">
        <v>320870</v>
      </c>
      <c r="D10" s="159">
        <v>-58104</v>
      </c>
      <c r="E10" s="307"/>
    </row>
    <row r="11" spans="1:5" x14ac:dyDescent="0.25">
      <c r="A11" s="162" t="s">
        <v>459</v>
      </c>
      <c r="B11" s="160">
        <v>36606</v>
      </c>
      <c r="C11" s="160">
        <v>47585</v>
      </c>
      <c r="D11" s="188">
        <v>-10979</v>
      </c>
      <c r="E11" s="305" t="s">
        <v>460</v>
      </c>
    </row>
    <row r="12" spans="1:5" x14ac:dyDescent="0.25">
      <c r="A12" s="162" t="s">
        <v>461</v>
      </c>
      <c r="B12" s="160">
        <v>17836</v>
      </c>
      <c r="C12" s="160">
        <v>25333</v>
      </c>
      <c r="D12" s="188">
        <v>-7497</v>
      </c>
      <c r="E12" s="305" t="s">
        <v>460</v>
      </c>
    </row>
    <row r="13" spans="1:5" x14ac:dyDescent="0.25">
      <c r="A13" s="162" t="s">
        <v>218</v>
      </c>
      <c r="B13" s="160">
        <v>0</v>
      </c>
      <c r="C13" s="160">
        <v>24000</v>
      </c>
      <c r="D13" s="188">
        <v>-24000</v>
      </c>
      <c r="E13" s="305" t="s">
        <v>462</v>
      </c>
    </row>
    <row r="14" spans="1:5" x14ac:dyDescent="0.25">
      <c r="A14" s="162" t="s">
        <v>219</v>
      </c>
      <c r="B14" s="160">
        <v>0</v>
      </c>
      <c r="C14" s="160">
        <v>16662</v>
      </c>
      <c r="D14" s="188">
        <v>-16662</v>
      </c>
      <c r="E14" s="305" t="s">
        <v>463</v>
      </c>
    </row>
    <row r="15" spans="1:5" x14ac:dyDescent="0.25">
      <c r="A15" s="158" t="s">
        <v>215</v>
      </c>
      <c r="B15" s="159">
        <v>789255</v>
      </c>
      <c r="C15" s="159">
        <v>985199</v>
      </c>
      <c r="D15" s="159">
        <v>-195944</v>
      </c>
      <c r="E15" s="161"/>
    </row>
    <row r="16" spans="1:5" x14ac:dyDescent="0.25">
      <c r="A16" s="162" t="s">
        <v>263</v>
      </c>
      <c r="B16" s="186">
        <v>23250</v>
      </c>
      <c r="C16" s="187">
        <v>53602</v>
      </c>
      <c r="D16" s="188">
        <v>-30352</v>
      </c>
      <c r="E16" s="232" t="s">
        <v>464</v>
      </c>
    </row>
    <row r="17" spans="1:5" x14ac:dyDescent="0.25">
      <c r="A17" s="162" t="s">
        <v>220</v>
      </c>
      <c r="B17" s="186">
        <v>49637</v>
      </c>
      <c r="C17" s="187">
        <v>77504</v>
      </c>
      <c r="D17" s="188">
        <v>-27867</v>
      </c>
      <c r="E17" s="232" t="s">
        <v>465</v>
      </c>
    </row>
    <row r="18" spans="1:5" x14ac:dyDescent="0.25">
      <c r="A18" s="162" t="s">
        <v>466</v>
      </c>
      <c r="B18" s="186">
        <v>34826</v>
      </c>
      <c r="C18" s="187">
        <v>123188</v>
      </c>
      <c r="D18" s="188">
        <v>-88362</v>
      </c>
      <c r="E18" s="232" t="s">
        <v>467</v>
      </c>
    </row>
    <row r="19" spans="1:5" ht="30" x14ac:dyDescent="0.25">
      <c r="A19" s="162" t="s">
        <v>468</v>
      </c>
      <c r="B19" s="186">
        <v>0</v>
      </c>
      <c r="C19" s="187">
        <v>45636</v>
      </c>
      <c r="D19" s="188">
        <v>-45636</v>
      </c>
      <c r="E19" s="232" t="s">
        <v>469</v>
      </c>
    </row>
    <row r="20" spans="1:5" x14ac:dyDescent="0.25">
      <c r="A20" s="158" t="s">
        <v>214</v>
      </c>
      <c r="B20" s="159">
        <v>1028966</v>
      </c>
      <c r="C20" s="159">
        <v>1007667</v>
      </c>
      <c r="D20" s="159">
        <v>21299</v>
      </c>
      <c r="E20" s="161"/>
    </row>
    <row r="21" spans="1:5" x14ac:dyDescent="0.25">
      <c r="A21" s="162" t="s">
        <v>470</v>
      </c>
      <c r="B21" s="186">
        <v>48644</v>
      </c>
      <c r="C21" s="187">
        <v>26472</v>
      </c>
      <c r="D21" s="188">
        <v>22172</v>
      </c>
      <c r="E21" s="231" t="s">
        <v>471</v>
      </c>
    </row>
    <row r="22" spans="1:5" x14ac:dyDescent="0.25">
      <c r="A22" s="158" t="s">
        <v>216</v>
      </c>
      <c r="B22" s="159">
        <v>7185736</v>
      </c>
      <c r="C22" s="159">
        <v>6608860</v>
      </c>
      <c r="D22" s="159">
        <v>576876</v>
      </c>
      <c r="E22" s="161"/>
    </row>
    <row r="24" spans="1:5" x14ac:dyDescent="0.25">
      <c r="A24" s="158" t="s">
        <v>217</v>
      </c>
      <c r="B24" s="159">
        <v>6319165</v>
      </c>
      <c r="C24" s="159">
        <v>5809518</v>
      </c>
      <c r="D24" s="159">
        <v>509647</v>
      </c>
      <c r="E24" s="161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29570-B91E-4A98-92D4-E881D30D8C9A}">
  <sheetPr codeName="Planilha13"/>
  <dimension ref="B1:T67"/>
  <sheetViews>
    <sheetView showGridLines="0" workbookViewId="0">
      <selection activeCell="K2" activeCellId="1" sqref="K24 K2"/>
    </sheetView>
  </sheetViews>
  <sheetFormatPr defaultRowHeight="15" x14ac:dyDescent="0.25"/>
  <cols>
    <col min="1" max="1" width="3.7109375" customWidth="1"/>
    <col min="2" max="2" width="34.140625" bestFit="1" customWidth="1"/>
    <col min="3" max="3" width="6.5703125" hidden="1" customWidth="1"/>
    <col min="4" max="11" width="13.5703125" bestFit="1" customWidth="1"/>
    <col min="12" max="12" width="13.5703125" customWidth="1"/>
    <col min="13" max="13" width="11.28515625" bestFit="1" customWidth="1"/>
    <col min="14" max="19" width="11.5703125" bestFit="1" customWidth="1"/>
  </cols>
  <sheetData>
    <row r="1" spans="2:19" ht="15.75" x14ac:dyDescent="0.3">
      <c r="B1" s="150" t="s">
        <v>234</v>
      </c>
    </row>
    <row r="2" spans="2:19" x14ac:dyDescent="0.25">
      <c r="B2" s="112">
        <f>SUM(D2:K2)</f>
        <v>240</v>
      </c>
      <c r="D2" s="112">
        <v>30</v>
      </c>
      <c r="E2" s="112">
        <v>27</v>
      </c>
      <c r="F2" s="112">
        <v>33</v>
      </c>
      <c r="G2" s="112">
        <v>29</v>
      </c>
      <c r="H2" s="112">
        <v>31</v>
      </c>
      <c r="I2" s="112">
        <v>29</v>
      </c>
      <c r="J2" s="112">
        <v>31</v>
      </c>
      <c r="K2" s="112">
        <v>30</v>
      </c>
      <c r="L2" s="112"/>
    </row>
    <row r="3" spans="2:19" x14ac:dyDescent="0.25">
      <c r="B3" s="138" t="s">
        <v>101</v>
      </c>
      <c r="C3" s="138"/>
      <c r="D3" s="141">
        <f>'Orçado '!AB2</f>
        <v>45688</v>
      </c>
      <c r="E3" s="141">
        <f>'Orçado '!AC2</f>
        <v>45716</v>
      </c>
      <c r="F3" s="141">
        <f>'Orçado '!AD2</f>
        <v>45747</v>
      </c>
      <c r="G3" s="141">
        <f>'Orçado '!AE2</f>
        <v>45777</v>
      </c>
      <c r="H3" s="141">
        <f>'Orçado '!AF2</f>
        <v>45808</v>
      </c>
      <c r="I3" s="141">
        <f>'Orçado '!AG2</f>
        <v>45838</v>
      </c>
      <c r="J3" s="141">
        <f>'Orçado '!AH2</f>
        <v>45869</v>
      </c>
      <c r="K3" s="141">
        <f>'Orçado '!AI2</f>
        <v>45900</v>
      </c>
      <c r="L3" s="172"/>
    </row>
    <row r="4" spans="2:19" x14ac:dyDescent="0.25">
      <c r="B4" s="12" t="s">
        <v>106</v>
      </c>
      <c r="C4" s="12"/>
      <c r="D4" s="142">
        <f>SUM(D5:D8)</f>
        <v>0</v>
      </c>
      <c r="E4" s="143">
        <f t="shared" ref="E4:G4" si="0">SUM(E5:E8)</f>
        <v>0</v>
      </c>
      <c r="F4" s="143">
        <f t="shared" si="0"/>
        <v>0</v>
      </c>
      <c r="G4" s="143">
        <f t="shared" si="0"/>
        <v>0</v>
      </c>
      <c r="H4" s="143">
        <f t="shared" ref="H4:I4" si="1">SUM(H5:H8)</f>
        <v>0</v>
      </c>
      <c r="I4" s="143">
        <f t="shared" si="1"/>
        <v>0</v>
      </c>
      <c r="J4" s="143">
        <f t="shared" ref="J4:K4" si="2">SUM(J5:J8)</f>
        <v>0</v>
      </c>
      <c r="K4" s="143">
        <f t="shared" si="2"/>
        <v>0</v>
      </c>
      <c r="L4" s="143"/>
      <c r="N4" s="58">
        <f>D4</f>
        <v>0</v>
      </c>
      <c r="O4" s="58">
        <f>E4+D4</f>
        <v>0</v>
      </c>
      <c r="P4" s="58">
        <f t="shared" ref="P4:P15" si="3">O4+F4</f>
        <v>0</v>
      </c>
      <c r="Q4" s="58">
        <f t="shared" ref="Q4:Q15" si="4">P4+G4</f>
        <v>0</v>
      </c>
      <c r="R4" s="58">
        <f t="shared" ref="R4:R15" si="5">Q4+H4</f>
        <v>0</v>
      </c>
      <c r="S4" s="58">
        <f t="shared" ref="S4:S15" si="6">R4+I4</f>
        <v>0</v>
      </c>
    </row>
    <row r="5" spans="2:19" x14ac:dyDescent="0.25">
      <c r="B5" s="83" t="s">
        <v>107</v>
      </c>
      <c r="C5" s="83"/>
      <c r="D5" s="57">
        <f>Realizado!AB41+Realizado!AB83</f>
        <v>0</v>
      </c>
      <c r="E5" s="64">
        <f>Realizado!AC41+Realizado!AC83</f>
        <v>0</v>
      </c>
      <c r="F5" s="64">
        <f>Realizado!AD41+Realizado!AD83</f>
        <v>0</v>
      </c>
      <c r="G5" s="64">
        <f>Realizado!AE41+Realizado!AE83</f>
        <v>0</v>
      </c>
      <c r="H5" s="64">
        <f>Realizado!AF41+Realizado!AF83</f>
        <v>0</v>
      </c>
      <c r="I5" s="64">
        <f>Realizado!AG41+Realizado!AG83</f>
        <v>0</v>
      </c>
      <c r="J5" s="64">
        <f>Realizado!AH41+Realizado!AH83</f>
        <v>0</v>
      </c>
      <c r="K5" s="64">
        <f>Realizado!AI41+Realizado!AI83</f>
        <v>0</v>
      </c>
      <c r="L5" s="64"/>
      <c r="M5" s="58"/>
      <c r="N5" s="58">
        <f t="shared" ref="N5:N15" si="7">D5</f>
        <v>0</v>
      </c>
      <c r="O5" s="58">
        <f t="shared" ref="O5:O15" si="8">E5+D5</f>
        <v>0</v>
      </c>
      <c r="P5" s="58">
        <f t="shared" si="3"/>
        <v>0</v>
      </c>
      <c r="Q5" s="58">
        <f t="shared" si="4"/>
        <v>0</v>
      </c>
      <c r="R5" s="58">
        <f t="shared" si="5"/>
        <v>0</v>
      </c>
      <c r="S5" s="58">
        <f t="shared" si="6"/>
        <v>0</v>
      </c>
    </row>
    <row r="6" spans="2:19" x14ac:dyDescent="0.25">
      <c r="B6" s="83" t="s">
        <v>108</v>
      </c>
      <c r="C6" s="83"/>
      <c r="D6" s="57">
        <f>Realizado!AB43+Realizado!AB85</f>
        <v>0</v>
      </c>
      <c r="E6" s="64">
        <f>Realizado!AC43+Realizado!AC85</f>
        <v>0</v>
      </c>
      <c r="F6" s="64">
        <f>Realizado!AD43+Realizado!AD85</f>
        <v>0</v>
      </c>
      <c r="G6" s="64">
        <f>Realizado!AE43+Realizado!AE85</f>
        <v>0</v>
      </c>
      <c r="H6" s="64">
        <f>Realizado!AF43+Realizado!AF85</f>
        <v>0</v>
      </c>
      <c r="I6" s="64">
        <f>Realizado!AG43+Realizado!AG85</f>
        <v>0</v>
      </c>
      <c r="J6" s="64">
        <f>Realizado!AH43+Realizado!AH85</f>
        <v>0</v>
      </c>
      <c r="K6" s="64">
        <f>Realizado!AI43+Realizado!AI85</f>
        <v>0</v>
      </c>
      <c r="L6" s="64"/>
      <c r="M6" s="58"/>
      <c r="N6" s="58">
        <f t="shared" si="7"/>
        <v>0</v>
      </c>
      <c r="O6" s="58">
        <f t="shared" si="8"/>
        <v>0</v>
      </c>
      <c r="P6" s="58">
        <f t="shared" si="3"/>
        <v>0</v>
      </c>
      <c r="Q6" s="58">
        <f t="shared" si="4"/>
        <v>0</v>
      </c>
      <c r="R6" s="58">
        <f t="shared" si="5"/>
        <v>0</v>
      </c>
      <c r="S6" s="58">
        <f t="shared" si="6"/>
        <v>0</v>
      </c>
    </row>
    <row r="7" spans="2:19" x14ac:dyDescent="0.25">
      <c r="B7" s="83" t="s">
        <v>109</v>
      </c>
      <c r="C7" s="83"/>
      <c r="D7" s="57">
        <f>Realizado!AB44+Realizado!AB86</f>
        <v>0</v>
      </c>
      <c r="E7" s="64">
        <f>Realizado!AC44+Realizado!AC86</f>
        <v>0</v>
      </c>
      <c r="F7" s="64">
        <f>Realizado!AD44+Realizado!AD86</f>
        <v>0</v>
      </c>
      <c r="G7" s="64">
        <f>Realizado!AE44+Realizado!AE86</f>
        <v>0</v>
      </c>
      <c r="H7" s="64">
        <f>Realizado!AF44+Realizado!AF86</f>
        <v>0</v>
      </c>
      <c r="I7" s="64">
        <f>Realizado!AG44+Realizado!AG86</f>
        <v>0</v>
      </c>
      <c r="J7" s="64">
        <f>Realizado!AH44+Realizado!AH86</f>
        <v>0</v>
      </c>
      <c r="K7" s="64">
        <f>Realizado!AI44+Realizado!AI86</f>
        <v>0</v>
      </c>
      <c r="L7" s="64"/>
      <c r="M7" s="58"/>
      <c r="N7" s="58">
        <f t="shared" si="7"/>
        <v>0</v>
      </c>
      <c r="O7" s="58">
        <f t="shared" si="8"/>
        <v>0</v>
      </c>
      <c r="P7" s="58">
        <f t="shared" si="3"/>
        <v>0</v>
      </c>
      <c r="Q7" s="58">
        <f t="shared" si="4"/>
        <v>0</v>
      </c>
      <c r="R7" s="58">
        <f t="shared" si="5"/>
        <v>0</v>
      </c>
      <c r="S7" s="58">
        <f t="shared" si="6"/>
        <v>0</v>
      </c>
    </row>
    <row r="8" spans="2:19" x14ac:dyDescent="0.25">
      <c r="B8" s="83" t="s">
        <v>110</v>
      </c>
      <c r="C8" s="83"/>
      <c r="D8" s="57">
        <f>Realizado!AB45+Realizado!AB87</f>
        <v>0</v>
      </c>
      <c r="E8" s="64">
        <f>Realizado!AC45+Realizado!AC87</f>
        <v>0</v>
      </c>
      <c r="F8" s="64">
        <f>Realizado!AD45+Realizado!AD87</f>
        <v>0</v>
      </c>
      <c r="G8" s="64">
        <f>Realizado!AE45+Realizado!AE87</f>
        <v>0</v>
      </c>
      <c r="H8" s="64">
        <f>Realizado!AF45+Realizado!AF87</f>
        <v>0</v>
      </c>
      <c r="I8" s="64">
        <f>Realizado!AG45+Realizado!AG87</f>
        <v>0</v>
      </c>
      <c r="J8" s="64">
        <f>Realizado!AH45+Realizado!AH87</f>
        <v>0</v>
      </c>
      <c r="K8" s="64">
        <f>Realizado!AI45+Realizado!AI87</f>
        <v>0</v>
      </c>
      <c r="L8" s="64"/>
      <c r="M8" s="58"/>
      <c r="N8" s="58">
        <f t="shared" si="7"/>
        <v>0</v>
      </c>
      <c r="O8" s="58">
        <f t="shared" si="8"/>
        <v>0</v>
      </c>
      <c r="P8" s="58">
        <f t="shared" si="3"/>
        <v>0</v>
      </c>
      <c r="Q8" s="58">
        <f t="shared" si="4"/>
        <v>0</v>
      </c>
      <c r="R8" s="58">
        <f t="shared" si="5"/>
        <v>0</v>
      </c>
      <c r="S8" s="58">
        <f t="shared" si="6"/>
        <v>0</v>
      </c>
    </row>
    <row r="9" spans="2:19" x14ac:dyDescent="0.25">
      <c r="B9" s="29" t="s">
        <v>149</v>
      </c>
      <c r="C9" s="29"/>
      <c r="D9" s="142" t="e">
        <f>SUM(D10:D14)</f>
        <v>#REF!</v>
      </c>
      <c r="E9" s="143" t="e">
        <f t="shared" ref="E9:G9" si="9">SUM(E10:E14)</f>
        <v>#REF!</v>
      </c>
      <c r="F9" s="143" t="e">
        <f t="shared" si="9"/>
        <v>#REF!</v>
      </c>
      <c r="G9" s="143" t="e">
        <f t="shared" si="9"/>
        <v>#REF!</v>
      </c>
      <c r="H9" s="143" t="e">
        <f t="shared" ref="H9:I9" si="10">SUM(H10:H14)</f>
        <v>#REF!</v>
      </c>
      <c r="I9" s="143" t="e">
        <f t="shared" si="10"/>
        <v>#REF!</v>
      </c>
      <c r="J9" s="143" t="e">
        <f t="shared" ref="J9:K9" si="11">SUM(J10:J14)</f>
        <v>#REF!</v>
      </c>
      <c r="K9" s="143" t="e">
        <f t="shared" si="11"/>
        <v>#REF!</v>
      </c>
      <c r="L9" s="143"/>
      <c r="M9" s="58"/>
      <c r="N9" s="58" t="e">
        <f t="shared" si="7"/>
        <v>#REF!</v>
      </c>
      <c r="O9" s="58" t="e">
        <f t="shared" si="8"/>
        <v>#REF!</v>
      </c>
      <c r="P9" s="58" t="e">
        <f t="shared" si="3"/>
        <v>#REF!</v>
      </c>
      <c r="Q9" s="58" t="e">
        <f t="shared" si="4"/>
        <v>#REF!</v>
      </c>
      <c r="R9" s="58" t="e">
        <f t="shared" si="5"/>
        <v>#REF!</v>
      </c>
      <c r="S9" s="58" t="e">
        <f t="shared" si="6"/>
        <v>#REF!</v>
      </c>
    </row>
    <row r="10" spans="2:19" ht="15.75" x14ac:dyDescent="0.3">
      <c r="B10" s="113" t="s">
        <v>150</v>
      </c>
      <c r="C10" s="113"/>
      <c r="D10" s="57">
        <f>Realizado!AB142</f>
        <v>0</v>
      </c>
      <c r="E10" s="64">
        <f>Realizado!AC142</f>
        <v>0</v>
      </c>
      <c r="F10" s="64">
        <f>Realizado!AD142</f>
        <v>0</v>
      </c>
      <c r="G10" s="64">
        <f>Realizado!AE142</f>
        <v>0</v>
      </c>
      <c r="H10" s="64">
        <f>Realizado!AF142</f>
        <v>0</v>
      </c>
      <c r="I10" s="64">
        <f>Realizado!AG142</f>
        <v>0</v>
      </c>
      <c r="J10" s="64">
        <f>Realizado!AH142</f>
        <v>0</v>
      </c>
      <c r="K10" s="64">
        <f>Realizado!AI142</f>
        <v>0</v>
      </c>
      <c r="L10" s="64"/>
      <c r="M10" s="58"/>
      <c r="N10" s="58">
        <f t="shared" si="7"/>
        <v>0</v>
      </c>
      <c r="O10" s="58">
        <f t="shared" si="8"/>
        <v>0</v>
      </c>
      <c r="P10" s="58">
        <f t="shared" si="3"/>
        <v>0</v>
      </c>
      <c r="Q10" s="58">
        <f t="shared" si="4"/>
        <v>0</v>
      </c>
      <c r="R10" s="58">
        <f t="shared" si="5"/>
        <v>0</v>
      </c>
      <c r="S10" s="58">
        <f t="shared" si="6"/>
        <v>0</v>
      </c>
    </row>
    <row r="11" spans="2:19" ht="15.75" x14ac:dyDescent="0.3">
      <c r="B11" s="113" t="s">
        <v>151</v>
      </c>
      <c r="C11" s="113"/>
      <c r="D11" s="57">
        <f>Realizado!AB143</f>
        <v>0</v>
      </c>
      <c r="E11" s="64">
        <f>Realizado!AC143</f>
        <v>0</v>
      </c>
      <c r="F11" s="64">
        <f>Realizado!AD143</f>
        <v>0</v>
      </c>
      <c r="G11" s="64">
        <f>Realizado!AE143</f>
        <v>0</v>
      </c>
      <c r="H11" s="64">
        <f>Realizado!AF143</f>
        <v>0</v>
      </c>
      <c r="I11" s="64">
        <f>Realizado!AG143</f>
        <v>0</v>
      </c>
      <c r="J11" s="64">
        <f>Realizado!AH143</f>
        <v>0</v>
      </c>
      <c r="K11" s="64">
        <f>Realizado!AI143</f>
        <v>0</v>
      </c>
      <c r="L11" s="64"/>
      <c r="M11" s="58"/>
      <c r="N11" s="58">
        <f t="shared" si="7"/>
        <v>0</v>
      </c>
      <c r="O11" s="58">
        <f t="shared" si="8"/>
        <v>0</v>
      </c>
      <c r="P11" s="58">
        <f t="shared" si="3"/>
        <v>0</v>
      </c>
      <c r="Q11" s="58">
        <f t="shared" si="4"/>
        <v>0</v>
      </c>
      <c r="R11" s="58">
        <f t="shared" si="5"/>
        <v>0</v>
      </c>
      <c r="S11" s="58">
        <f t="shared" si="6"/>
        <v>0</v>
      </c>
    </row>
    <row r="12" spans="2:19" ht="15.75" x14ac:dyDescent="0.3">
      <c r="B12" s="113" t="s">
        <v>152</v>
      </c>
      <c r="C12" s="113"/>
      <c r="D12" s="57" t="e">
        <f>Realizado!#REF!</f>
        <v>#REF!</v>
      </c>
      <c r="E12" s="64" t="e">
        <f>Realizado!#REF!</f>
        <v>#REF!</v>
      </c>
      <c r="F12" s="64" t="e">
        <f>Realizado!#REF!</f>
        <v>#REF!</v>
      </c>
      <c r="G12" s="64" t="e">
        <f>Realizado!#REF!</f>
        <v>#REF!</v>
      </c>
      <c r="H12" s="64" t="e">
        <f>Realizado!#REF!</f>
        <v>#REF!</v>
      </c>
      <c r="I12" s="64" t="e">
        <f>Realizado!#REF!</f>
        <v>#REF!</v>
      </c>
      <c r="J12" s="64" t="e">
        <f>Realizado!#REF!</f>
        <v>#REF!</v>
      </c>
      <c r="K12" s="64" t="e">
        <f>Realizado!#REF!</f>
        <v>#REF!</v>
      </c>
      <c r="L12" s="64"/>
      <c r="M12" s="58"/>
      <c r="N12" s="58" t="e">
        <f t="shared" si="7"/>
        <v>#REF!</v>
      </c>
      <c r="O12" s="58" t="e">
        <f t="shared" si="8"/>
        <v>#REF!</v>
      </c>
      <c r="P12" s="58" t="e">
        <f t="shared" si="3"/>
        <v>#REF!</v>
      </c>
      <c r="Q12" s="58" t="e">
        <f t="shared" si="4"/>
        <v>#REF!</v>
      </c>
      <c r="R12" s="58" t="e">
        <f t="shared" si="5"/>
        <v>#REF!</v>
      </c>
      <c r="S12" s="58" t="e">
        <f t="shared" si="6"/>
        <v>#REF!</v>
      </c>
    </row>
    <row r="13" spans="2:19" ht="15.75" x14ac:dyDescent="0.3">
      <c r="B13" s="113" t="s">
        <v>153</v>
      </c>
      <c r="C13" s="113"/>
      <c r="D13" s="57" t="e">
        <f>Realizado!#REF!</f>
        <v>#REF!</v>
      </c>
      <c r="E13" s="64" t="e">
        <f>Realizado!#REF!</f>
        <v>#REF!</v>
      </c>
      <c r="F13" s="64" t="e">
        <f>Realizado!#REF!</f>
        <v>#REF!</v>
      </c>
      <c r="G13" s="64" t="e">
        <f>Realizado!#REF!</f>
        <v>#REF!</v>
      </c>
      <c r="H13" s="64" t="e">
        <f>Realizado!#REF!</f>
        <v>#REF!</v>
      </c>
      <c r="I13" s="64" t="e">
        <f>Realizado!#REF!</f>
        <v>#REF!</v>
      </c>
      <c r="J13" s="64" t="e">
        <f>Realizado!#REF!</f>
        <v>#REF!</v>
      </c>
      <c r="K13" s="64" t="e">
        <f>Realizado!#REF!</f>
        <v>#REF!</v>
      </c>
      <c r="L13" s="64"/>
      <c r="M13" s="58"/>
      <c r="N13" s="58" t="e">
        <f t="shared" si="7"/>
        <v>#REF!</v>
      </c>
      <c r="O13" s="58" t="e">
        <f t="shared" si="8"/>
        <v>#REF!</v>
      </c>
      <c r="P13" s="58" t="e">
        <f t="shared" si="3"/>
        <v>#REF!</v>
      </c>
      <c r="Q13" s="58" t="e">
        <f t="shared" si="4"/>
        <v>#REF!</v>
      </c>
      <c r="R13" s="58" t="e">
        <f t="shared" si="5"/>
        <v>#REF!</v>
      </c>
      <c r="S13" s="58" t="e">
        <f t="shared" si="6"/>
        <v>#REF!</v>
      </c>
    </row>
    <row r="14" spans="2:19" ht="15.75" x14ac:dyDescent="0.3">
      <c r="B14" s="113" t="s">
        <v>154</v>
      </c>
      <c r="C14" s="113"/>
      <c r="D14" s="57" t="e">
        <f>Realizado!#REF!</f>
        <v>#REF!</v>
      </c>
      <c r="E14" s="64" t="e">
        <f>Realizado!#REF!</f>
        <v>#REF!</v>
      </c>
      <c r="F14" s="64" t="e">
        <f>Realizado!#REF!</f>
        <v>#REF!</v>
      </c>
      <c r="G14" s="64" t="e">
        <f>Realizado!#REF!</f>
        <v>#REF!</v>
      </c>
      <c r="H14" s="64" t="e">
        <f>Realizado!#REF!</f>
        <v>#REF!</v>
      </c>
      <c r="I14" s="64" t="e">
        <f>Realizado!#REF!</f>
        <v>#REF!</v>
      </c>
      <c r="J14" s="64" t="e">
        <f>Realizado!#REF!</f>
        <v>#REF!</v>
      </c>
      <c r="K14" s="64" t="e">
        <f>Realizado!#REF!</f>
        <v>#REF!</v>
      </c>
      <c r="L14" s="64"/>
      <c r="M14" s="58"/>
      <c r="N14" s="58" t="e">
        <f t="shared" si="7"/>
        <v>#REF!</v>
      </c>
      <c r="O14" s="58" t="e">
        <f t="shared" si="8"/>
        <v>#REF!</v>
      </c>
      <c r="P14" s="58" t="e">
        <f t="shared" si="3"/>
        <v>#REF!</v>
      </c>
      <c r="Q14" s="58" t="e">
        <f t="shared" si="4"/>
        <v>#REF!</v>
      </c>
      <c r="R14" s="58" t="e">
        <f t="shared" si="5"/>
        <v>#REF!</v>
      </c>
      <c r="S14" s="58" t="e">
        <f t="shared" si="6"/>
        <v>#REF!</v>
      </c>
    </row>
    <row r="15" spans="2:19" x14ac:dyDescent="0.25">
      <c r="B15" s="144" t="s">
        <v>235</v>
      </c>
      <c r="C15" s="144"/>
      <c r="D15" s="145" t="e">
        <f>D4+D9</f>
        <v>#REF!</v>
      </c>
      <c r="E15" s="145" t="e">
        <f t="shared" ref="E15:G15" si="12">E4+E9</f>
        <v>#REF!</v>
      </c>
      <c r="F15" s="145" t="e">
        <f t="shared" si="12"/>
        <v>#REF!</v>
      </c>
      <c r="G15" s="145" t="e">
        <f t="shared" si="12"/>
        <v>#REF!</v>
      </c>
      <c r="H15" s="145" t="e">
        <f t="shared" ref="H15:I15" si="13">H4+H9</f>
        <v>#REF!</v>
      </c>
      <c r="I15" s="145" t="e">
        <f t="shared" si="13"/>
        <v>#REF!</v>
      </c>
      <c r="J15" s="145" t="e">
        <f t="shared" ref="J15:K15" si="14">J4+J9</f>
        <v>#REF!</v>
      </c>
      <c r="K15" s="145" t="e">
        <f t="shared" si="14"/>
        <v>#REF!</v>
      </c>
      <c r="L15" s="151"/>
      <c r="M15" s="58"/>
      <c r="N15" s="58" t="e">
        <f t="shared" si="7"/>
        <v>#REF!</v>
      </c>
      <c r="O15" s="58" t="e">
        <f t="shared" si="8"/>
        <v>#REF!</v>
      </c>
      <c r="P15" s="58" t="e">
        <f t="shared" si="3"/>
        <v>#REF!</v>
      </c>
      <c r="Q15" s="58" t="e">
        <f t="shared" si="4"/>
        <v>#REF!</v>
      </c>
      <c r="R15" s="58" t="e">
        <f t="shared" si="5"/>
        <v>#REF!</v>
      </c>
      <c r="S15" s="58" t="e">
        <f t="shared" si="6"/>
        <v>#REF!</v>
      </c>
    </row>
    <row r="16" spans="2:19" x14ac:dyDescent="0.25">
      <c r="B16" s="29"/>
      <c r="C16" s="29"/>
      <c r="D16" s="151"/>
      <c r="E16" s="151"/>
      <c r="F16" s="151"/>
      <c r="G16" s="151"/>
      <c r="H16" s="151"/>
      <c r="I16" s="151"/>
      <c r="J16" s="151"/>
      <c r="K16" s="151"/>
      <c r="L16" s="151"/>
      <c r="M16" s="58"/>
      <c r="N16" s="58"/>
      <c r="O16" s="58"/>
      <c r="P16" s="58"/>
      <c r="Q16" s="58"/>
      <c r="R16" s="58"/>
      <c r="S16" s="58"/>
    </row>
    <row r="17" spans="2:19" x14ac:dyDescent="0.25">
      <c r="B17" t="s">
        <v>236</v>
      </c>
      <c r="C17" s="58">
        <f>Realizado!AA141</f>
        <v>0</v>
      </c>
      <c r="D17" s="58">
        <f>Realizado!AB141</f>
        <v>0</v>
      </c>
      <c r="E17" s="58">
        <f>Realizado!AC141</f>
        <v>0</v>
      </c>
      <c r="F17" s="58">
        <f>Realizado!AD141</f>
        <v>0</v>
      </c>
      <c r="G17" s="58">
        <f>Realizado!AE141</f>
        <v>0</v>
      </c>
      <c r="H17" s="58">
        <f>Realizado!AF141</f>
        <v>0</v>
      </c>
      <c r="I17" s="58">
        <f>Realizado!AG141</f>
        <v>0</v>
      </c>
      <c r="J17" s="58">
        <f>Realizado!AH141</f>
        <v>0</v>
      </c>
      <c r="K17" s="58">
        <f>Realizado!AI141</f>
        <v>0</v>
      </c>
      <c r="L17" s="58"/>
      <c r="M17" s="58"/>
      <c r="N17" s="58"/>
      <c r="O17" s="58"/>
      <c r="P17" s="58"/>
      <c r="Q17" s="58"/>
      <c r="R17" s="58"/>
      <c r="S17" s="58"/>
    </row>
    <row r="18" spans="2:19" x14ac:dyDescent="0.25">
      <c r="B18" s="29"/>
      <c r="C18" s="29"/>
      <c r="D18" s="152" t="e">
        <f>D11/AVERAGE(C17:D17)</f>
        <v>#DIV/0!</v>
      </c>
      <c r="E18" s="152" t="e">
        <f t="shared" ref="E18:G18" si="15">E11/AVERAGE(D17:E17)</f>
        <v>#DIV/0!</v>
      </c>
      <c r="F18" s="152" t="e">
        <f t="shared" si="15"/>
        <v>#DIV/0!</v>
      </c>
      <c r="G18" s="152" t="e">
        <f t="shared" si="15"/>
        <v>#DIV/0!</v>
      </c>
      <c r="H18" s="152" t="e">
        <f t="shared" ref="H18" si="16">H11/AVERAGE(G17:H17)</f>
        <v>#DIV/0!</v>
      </c>
      <c r="I18" s="152" t="e">
        <f>I11/AVERAGE(H17:I17)</f>
        <v>#DIV/0!</v>
      </c>
      <c r="J18" s="152" t="e">
        <f t="shared" ref="J18:K18" si="17">J11/AVERAGE(I17:J17)</f>
        <v>#DIV/0!</v>
      </c>
      <c r="K18" s="152" t="e">
        <f t="shared" si="17"/>
        <v>#DIV/0!</v>
      </c>
      <c r="L18" s="152"/>
      <c r="M18" s="58"/>
      <c r="N18" s="58"/>
      <c r="O18" s="58"/>
      <c r="P18" s="58"/>
      <c r="Q18" s="58"/>
      <c r="R18" s="58"/>
      <c r="S18" s="58"/>
    </row>
    <row r="20" spans="2:19" ht="15.75" hidden="1" x14ac:dyDescent="0.3">
      <c r="B20" s="113" t="s">
        <v>237</v>
      </c>
      <c r="C20" s="113"/>
      <c r="D20" s="146">
        <f>Realizado!AB129</f>
        <v>0</v>
      </c>
      <c r="E20" s="146">
        <f>Realizado!AC129</f>
        <v>0</v>
      </c>
      <c r="F20" s="146">
        <f>Realizado!AD129</f>
        <v>0</v>
      </c>
      <c r="G20" s="146">
        <f>Realizado!AE129</f>
        <v>0</v>
      </c>
      <c r="H20" s="146">
        <f>Realizado!AF129</f>
        <v>0</v>
      </c>
      <c r="I20" s="146">
        <f>Realizado!AG129</f>
        <v>0</v>
      </c>
      <c r="J20" s="146">
        <f>Realizado!AH129</f>
        <v>0</v>
      </c>
      <c r="K20" s="146">
        <f>Realizado!AI129</f>
        <v>0</v>
      </c>
      <c r="L20" s="146"/>
    </row>
    <row r="21" spans="2:19" ht="15.75" hidden="1" x14ac:dyDescent="0.3">
      <c r="B21" s="113" t="s">
        <v>238</v>
      </c>
      <c r="C21" s="146">
        <f>Realizado!AA141</f>
        <v>0</v>
      </c>
      <c r="D21" s="146">
        <f>Realizado!AB141</f>
        <v>0</v>
      </c>
      <c r="E21" s="146">
        <f>Realizado!AC141</f>
        <v>0</v>
      </c>
      <c r="F21" s="146">
        <f>Realizado!AD141</f>
        <v>0</v>
      </c>
      <c r="G21" s="146">
        <f>Realizado!AE141</f>
        <v>0</v>
      </c>
      <c r="H21" s="146">
        <f>Realizado!AF141</f>
        <v>0</v>
      </c>
      <c r="I21" s="146">
        <f>Realizado!AG141</f>
        <v>0</v>
      </c>
      <c r="J21" s="146">
        <f>Realizado!AH141</f>
        <v>0</v>
      </c>
      <c r="K21" s="146">
        <f>Realizado!AI141</f>
        <v>0</v>
      </c>
      <c r="L21" s="146"/>
    </row>
    <row r="22" spans="2:19" ht="15.75" hidden="1" x14ac:dyDescent="0.3">
      <c r="B22" s="113"/>
      <c r="C22" s="113"/>
      <c r="D22" s="79" t="e">
        <f>D11/AVERAGE(C21:D21)</f>
        <v>#DIV/0!</v>
      </c>
      <c r="E22" s="79" t="e">
        <f t="shared" ref="E22:G22" si="18">E11/AVERAGE(D21:E21)</f>
        <v>#DIV/0!</v>
      </c>
      <c r="F22" s="79" t="e">
        <f t="shared" si="18"/>
        <v>#DIV/0!</v>
      </c>
      <c r="G22" s="79" t="e">
        <f t="shared" si="18"/>
        <v>#DIV/0!</v>
      </c>
      <c r="H22" s="79" t="e">
        <f t="shared" ref="H22" si="19">H11/AVERAGE(G21:H21)</f>
        <v>#DIV/0!</v>
      </c>
      <c r="I22" s="79" t="e">
        <f t="shared" ref="I22" si="20">I11/AVERAGE(H21:I21)</f>
        <v>#DIV/0!</v>
      </c>
      <c r="J22" s="79" t="e">
        <f t="shared" ref="J22:K22" si="21">J11/AVERAGE(I21:J21)</f>
        <v>#DIV/0!</v>
      </c>
      <c r="K22" s="79" t="e">
        <f t="shared" si="21"/>
        <v>#DIV/0!</v>
      </c>
      <c r="L22" s="79"/>
    </row>
    <row r="23" spans="2:19" ht="15.75" x14ac:dyDescent="0.3">
      <c r="B23" s="150" t="s">
        <v>234</v>
      </c>
      <c r="C23" s="113"/>
      <c r="D23" s="79"/>
      <c r="E23" s="79"/>
      <c r="F23" s="79"/>
      <c r="G23" s="79"/>
      <c r="H23" s="79"/>
      <c r="I23" s="79"/>
      <c r="J23" s="79"/>
      <c r="K23" s="79"/>
      <c r="L23" s="79"/>
    </row>
    <row r="24" spans="2:19" ht="15.75" x14ac:dyDescent="0.3">
      <c r="B24" s="112">
        <f>SUM(D24:K24)</f>
        <v>243</v>
      </c>
      <c r="C24" s="113"/>
      <c r="D24" s="112">
        <v>31</v>
      </c>
      <c r="E24" s="112">
        <v>28</v>
      </c>
      <c r="F24" s="112">
        <v>31</v>
      </c>
      <c r="G24" s="112">
        <v>30</v>
      </c>
      <c r="H24" s="112">
        <v>31</v>
      </c>
      <c r="I24" s="112">
        <v>30</v>
      </c>
      <c r="J24" s="112">
        <v>31</v>
      </c>
      <c r="K24" s="112">
        <v>31</v>
      </c>
      <c r="L24" s="112"/>
    </row>
    <row r="25" spans="2:19" x14ac:dyDescent="0.25">
      <c r="B25" s="138" t="s">
        <v>102</v>
      </c>
      <c r="C25" s="138"/>
      <c r="D25" s="141">
        <f>D3</f>
        <v>45688</v>
      </c>
      <c r="E25" s="141">
        <f t="shared" ref="E25:G25" si="22">E3</f>
        <v>45716</v>
      </c>
      <c r="F25" s="141">
        <f t="shared" si="22"/>
        <v>45747</v>
      </c>
      <c r="G25" s="141">
        <f t="shared" si="22"/>
        <v>45777</v>
      </c>
      <c r="H25" s="141">
        <f t="shared" ref="H25:I25" si="23">H3</f>
        <v>45808</v>
      </c>
      <c r="I25" s="141">
        <f t="shared" si="23"/>
        <v>45838</v>
      </c>
      <c r="J25" s="141">
        <f t="shared" ref="J25:K25" si="24">J3</f>
        <v>45869</v>
      </c>
      <c r="K25" s="141">
        <f t="shared" si="24"/>
        <v>45900</v>
      </c>
      <c r="L25" s="172"/>
    </row>
    <row r="26" spans="2:19" x14ac:dyDescent="0.25">
      <c r="B26" s="12" t="s">
        <v>106</v>
      </c>
      <c r="C26" s="12"/>
      <c r="D26" s="142">
        <f>SUM(D27:D30)</f>
        <v>0</v>
      </c>
      <c r="E26" s="143">
        <f t="shared" ref="E26:G26" si="25">SUM(E27:E30)</f>
        <v>0</v>
      </c>
      <c r="F26" s="143">
        <f t="shared" si="25"/>
        <v>0</v>
      </c>
      <c r="G26" s="143">
        <f t="shared" si="25"/>
        <v>0</v>
      </c>
      <c r="H26" s="143">
        <f t="shared" ref="H26:I26" si="26">SUM(H27:H30)</f>
        <v>0</v>
      </c>
      <c r="I26" s="143">
        <f t="shared" si="26"/>
        <v>0</v>
      </c>
      <c r="J26" s="143">
        <f t="shared" ref="J26:K26" si="27">SUM(J27:J30)</f>
        <v>0</v>
      </c>
      <c r="K26" s="143">
        <f t="shared" si="27"/>
        <v>0</v>
      </c>
      <c r="L26" s="143"/>
      <c r="N26" s="58">
        <f>D26</f>
        <v>0</v>
      </c>
      <c r="O26" s="58">
        <f>E26+D26</f>
        <v>0</v>
      </c>
      <c r="P26" s="58">
        <f>O26+F26</f>
        <v>0</v>
      </c>
      <c r="Q26" s="58">
        <f>P26+G26</f>
        <v>0</v>
      </c>
      <c r="R26" s="58">
        <f>Q26+H26</f>
        <v>0</v>
      </c>
      <c r="S26" s="58">
        <f t="shared" ref="S26:S37" si="28">R26+I26</f>
        <v>0</v>
      </c>
    </row>
    <row r="27" spans="2:19" x14ac:dyDescent="0.25">
      <c r="B27" s="83" t="s">
        <v>107</v>
      </c>
      <c r="C27" s="83"/>
      <c r="D27" s="57">
        <f>'Orçado '!AB153</f>
        <v>0</v>
      </c>
      <c r="E27" s="64">
        <f>'Orçado '!AC153</f>
        <v>0</v>
      </c>
      <c r="F27" s="64">
        <f>'Orçado '!AD153</f>
        <v>0</v>
      </c>
      <c r="G27" s="64">
        <f>'Orçado '!AE153</f>
        <v>0</v>
      </c>
      <c r="H27" s="64">
        <f>'Orçado '!AF153</f>
        <v>0</v>
      </c>
      <c r="I27" s="64">
        <f>'Orçado '!AG153</f>
        <v>0</v>
      </c>
      <c r="J27" s="64">
        <f>'Orçado '!AH153</f>
        <v>0</v>
      </c>
      <c r="K27" s="64">
        <f>'Orçado '!AI153</f>
        <v>0</v>
      </c>
      <c r="L27" s="64"/>
      <c r="N27" s="58">
        <f t="shared" ref="N27:N37" si="29">D27</f>
        <v>0</v>
      </c>
      <c r="O27" s="58">
        <f t="shared" ref="O27:O37" si="30">E27+D27</f>
        <v>0</v>
      </c>
      <c r="P27" s="58">
        <f t="shared" ref="P27:P37" si="31">O27+F27</f>
        <v>0</v>
      </c>
      <c r="Q27" s="58">
        <f t="shared" ref="Q27:Q37" si="32">P27+G27</f>
        <v>0</v>
      </c>
      <c r="R27" s="58">
        <f t="shared" ref="R27:R37" si="33">Q27+H27</f>
        <v>0</v>
      </c>
      <c r="S27" s="58">
        <f t="shared" si="28"/>
        <v>0</v>
      </c>
    </row>
    <row r="28" spans="2:19" x14ac:dyDescent="0.25">
      <c r="B28" s="83" t="s">
        <v>108</v>
      </c>
      <c r="C28" s="83"/>
      <c r="D28" s="57">
        <f>'Orçado '!AB154</f>
        <v>0</v>
      </c>
      <c r="E28" s="64">
        <f>'Orçado '!AC154</f>
        <v>0</v>
      </c>
      <c r="F28" s="64">
        <f>'Orçado '!AD154</f>
        <v>0</v>
      </c>
      <c r="G28" s="64">
        <f>'Orçado '!AE154</f>
        <v>0</v>
      </c>
      <c r="H28" s="64">
        <f>'Orçado '!AF154</f>
        <v>0</v>
      </c>
      <c r="I28" s="64">
        <f>'Orçado '!AG154</f>
        <v>0</v>
      </c>
      <c r="J28" s="64">
        <f>'Orçado '!AH154</f>
        <v>0</v>
      </c>
      <c r="K28" s="64">
        <f>'Orçado '!AI154</f>
        <v>0</v>
      </c>
      <c r="L28" s="64"/>
      <c r="N28" s="58">
        <f t="shared" si="29"/>
        <v>0</v>
      </c>
      <c r="O28" s="58">
        <f t="shared" si="30"/>
        <v>0</v>
      </c>
      <c r="P28" s="58">
        <f t="shared" si="31"/>
        <v>0</v>
      </c>
      <c r="Q28" s="58">
        <f t="shared" si="32"/>
        <v>0</v>
      </c>
      <c r="R28" s="58">
        <f t="shared" si="33"/>
        <v>0</v>
      </c>
      <c r="S28" s="58">
        <f t="shared" si="28"/>
        <v>0</v>
      </c>
    </row>
    <row r="29" spans="2:19" x14ac:dyDescent="0.25">
      <c r="B29" s="83" t="s">
        <v>109</v>
      </c>
      <c r="C29" s="83"/>
      <c r="D29" s="57">
        <f>'Orçado '!AB155</f>
        <v>0</v>
      </c>
      <c r="E29" s="64">
        <f>'Orçado '!AC155</f>
        <v>0</v>
      </c>
      <c r="F29" s="64">
        <f>'Orçado '!AD155</f>
        <v>0</v>
      </c>
      <c r="G29" s="64">
        <f>'Orçado '!AE155</f>
        <v>0</v>
      </c>
      <c r="H29" s="64">
        <f>'Orçado '!AF155</f>
        <v>0</v>
      </c>
      <c r="I29" s="64">
        <f>'Orçado '!AG155</f>
        <v>0</v>
      </c>
      <c r="J29" s="64">
        <f>'Orçado '!AH155</f>
        <v>0</v>
      </c>
      <c r="K29" s="64">
        <f>'Orçado '!AI155</f>
        <v>0</v>
      </c>
      <c r="L29" s="64"/>
      <c r="N29" s="58">
        <f t="shared" si="29"/>
        <v>0</v>
      </c>
      <c r="O29" s="58">
        <f t="shared" si="30"/>
        <v>0</v>
      </c>
      <c r="P29" s="58">
        <f t="shared" si="31"/>
        <v>0</v>
      </c>
      <c r="Q29" s="58">
        <f t="shared" si="32"/>
        <v>0</v>
      </c>
      <c r="R29" s="58">
        <f t="shared" si="33"/>
        <v>0</v>
      </c>
      <c r="S29" s="58">
        <f t="shared" si="28"/>
        <v>0</v>
      </c>
    </row>
    <row r="30" spans="2:19" x14ac:dyDescent="0.25">
      <c r="B30" s="83" t="s">
        <v>110</v>
      </c>
      <c r="C30" s="83"/>
      <c r="D30" s="57">
        <f>'Orçado '!AB156</f>
        <v>0</v>
      </c>
      <c r="E30" s="64">
        <f>'Orçado '!AC156</f>
        <v>0</v>
      </c>
      <c r="F30" s="64">
        <f>'Orçado '!AD156</f>
        <v>0</v>
      </c>
      <c r="G30" s="64">
        <f>'Orçado '!AE156</f>
        <v>0</v>
      </c>
      <c r="H30" s="64">
        <f>'Orçado '!AF156</f>
        <v>0</v>
      </c>
      <c r="I30" s="64">
        <f>'Orçado '!AG156</f>
        <v>0</v>
      </c>
      <c r="J30" s="64">
        <f>'Orçado '!AH156</f>
        <v>0</v>
      </c>
      <c r="K30" s="64">
        <f>'Orçado '!AI156</f>
        <v>0</v>
      </c>
      <c r="L30" s="64"/>
      <c r="N30" s="58">
        <f t="shared" si="29"/>
        <v>0</v>
      </c>
      <c r="O30" s="58">
        <f t="shared" si="30"/>
        <v>0</v>
      </c>
      <c r="P30" s="58">
        <f t="shared" si="31"/>
        <v>0</v>
      </c>
      <c r="Q30" s="58">
        <f t="shared" si="32"/>
        <v>0</v>
      </c>
      <c r="R30" s="58">
        <f t="shared" si="33"/>
        <v>0</v>
      </c>
      <c r="S30" s="58">
        <f t="shared" si="28"/>
        <v>0</v>
      </c>
    </row>
    <row r="31" spans="2:19" x14ac:dyDescent="0.25">
      <c r="B31" s="29" t="s">
        <v>149</v>
      </c>
      <c r="C31" s="29"/>
      <c r="D31" s="142">
        <f>SUM(D32:D36)</f>
        <v>0</v>
      </c>
      <c r="E31" s="142">
        <f t="shared" ref="E31:G31" si="34">SUM(E32:E36)</f>
        <v>0</v>
      </c>
      <c r="F31" s="142">
        <f t="shared" si="34"/>
        <v>0</v>
      </c>
      <c r="G31" s="142">
        <f t="shared" si="34"/>
        <v>0</v>
      </c>
      <c r="H31" s="142">
        <f t="shared" ref="H31:I31" si="35">SUM(H32:H36)</f>
        <v>0</v>
      </c>
      <c r="I31" s="142">
        <f t="shared" si="35"/>
        <v>0</v>
      </c>
      <c r="J31" s="142">
        <f t="shared" ref="J31:K31" si="36">SUM(J32:J36)</f>
        <v>0</v>
      </c>
      <c r="K31" s="142">
        <f t="shared" si="36"/>
        <v>0</v>
      </c>
      <c r="L31" s="142"/>
      <c r="N31" s="58">
        <f t="shared" si="29"/>
        <v>0</v>
      </c>
      <c r="O31" s="58">
        <f t="shared" si="30"/>
        <v>0</v>
      </c>
      <c r="P31" s="58">
        <f t="shared" si="31"/>
        <v>0</v>
      </c>
      <c r="Q31" s="58">
        <f t="shared" si="32"/>
        <v>0</v>
      </c>
      <c r="R31" s="58">
        <f t="shared" si="33"/>
        <v>0</v>
      </c>
      <c r="S31" s="58">
        <f t="shared" si="28"/>
        <v>0</v>
      </c>
    </row>
    <row r="32" spans="2:19" ht="15.75" x14ac:dyDescent="0.3">
      <c r="B32" s="113" t="s">
        <v>150</v>
      </c>
      <c r="C32" s="113"/>
      <c r="D32" s="57">
        <f>'Orçado '!AB144</f>
        <v>0</v>
      </c>
      <c r="E32" s="64">
        <f>'Orçado '!AC144</f>
        <v>0</v>
      </c>
      <c r="F32" s="64">
        <f>'Orçado '!AD144</f>
        <v>0</v>
      </c>
      <c r="G32" s="64">
        <f>'Orçado '!AE144</f>
        <v>0</v>
      </c>
      <c r="H32" s="64">
        <f>'Orçado '!AF144</f>
        <v>0</v>
      </c>
      <c r="I32" s="64">
        <f>'Orçado '!AG144</f>
        <v>0</v>
      </c>
      <c r="J32" s="64">
        <f>'Orçado '!AH144</f>
        <v>0</v>
      </c>
      <c r="K32" s="64">
        <f>'Orçado '!AI144</f>
        <v>0</v>
      </c>
      <c r="L32" s="64"/>
      <c r="N32" s="58">
        <f t="shared" si="29"/>
        <v>0</v>
      </c>
      <c r="O32" s="58">
        <f t="shared" si="30"/>
        <v>0</v>
      </c>
      <c r="P32" s="58">
        <f t="shared" si="31"/>
        <v>0</v>
      </c>
      <c r="Q32" s="58">
        <f t="shared" si="32"/>
        <v>0</v>
      </c>
      <c r="R32" s="58">
        <f t="shared" si="33"/>
        <v>0</v>
      </c>
      <c r="S32" s="58">
        <f t="shared" si="28"/>
        <v>0</v>
      </c>
    </row>
    <row r="33" spans="2:20" ht="15.75" x14ac:dyDescent="0.3">
      <c r="B33" s="113" t="s">
        <v>151</v>
      </c>
      <c r="C33" s="113"/>
      <c r="D33" s="57">
        <f>'Orçado '!AB145</f>
        <v>0</v>
      </c>
      <c r="E33" s="64">
        <f>'Orçado '!AC145</f>
        <v>0</v>
      </c>
      <c r="F33" s="64">
        <f>'Orçado '!AD145</f>
        <v>0</v>
      </c>
      <c r="G33" s="64">
        <f>'Orçado '!AE145</f>
        <v>0</v>
      </c>
      <c r="H33" s="64">
        <f>'Orçado '!AF145</f>
        <v>0</v>
      </c>
      <c r="I33" s="64">
        <f>'Orçado '!AG145</f>
        <v>0</v>
      </c>
      <c r="J33" s="64">
        <f>'Orçado '!AH145</f>
        <v>0</v>
      </c>
      <c r="K33" s="64">
        <f>'Orçado '!AI145</f>
        <v>0</v>
      </c>
      <c r="L33" s="64"/>
      <c r="N33" s="58">
        <f t="shared" si="29"/>
        <v>0</v>
      </c>
      <c r="O33" s="58">
        <f t="shared" si="30"/>
        <v>0</v>
      </c>
      <c r="P33" s="58">
        <f t="shared" si="31"/>
        <v>0</v>
      </c>
      <c r="Q33" s="58">
        <f t="shared" si="32"/>
        <v>0</v>
      </c>
      <c r="R33" s="58">
        <f t="shared" si="33"/>
        <v>0</v>
      </c>
      <c r="S33" s="58">
        <f t="shared" si="28"/>
        <v>0</v>
      </c>
    </row>
    <row r="34" spans="2:20" ht="15.75" x14ac:dyDescent="0.3">
      <c r="B34" s="113" t="s">
        <v>152</v>
      </c>
      <c r="C34" s="113"/>
      <c r="D34" s="57">
        <f>'Orçado '!AB146</f>
        <v>0</v>
      </c>
      <c r="E34" s="64">
        <f>'Orçado '!AC146</f>
        <v>0</v>
      </c>
      <c r="F34" s="64">
        <f>'Orçado '!AD146</f>
        <v>0</v>
      </c>
      <c r="G34" s="64">
        <f>'Orçado '!AE146</f>
        <v>0</v>
      </c>
      <c r="H34" s="64">
        <f>'Orçado '!AF146</f>
        <v>0</v>
      </c>
      <c r="I34" s="64">
        <f>'Orçado '!AG146</f>
        <v>0</v>
      </c>
      <c r="J34" s="64">
        <f>'Orçado '!AH146</f>
        <v>0</v>
      </c>
      <c r="K34" s="64">
        <f>'Orçado '!AI146</f>
        <v>0</v>
      </c>
      <c r="L34" s="64"/>
      <c r="N34" s="58">
        <f t="shared" si="29"/>
        <v>0</v>
      </c>
      <c r="O34" s="58">
        <f t="shared" si="30"/>
        <v>0</v>
      </c>
      <c r="P34" s="58">
        <f t="shared" si="31"/>
        <v>0</v>
      </c>
      <c r="Q34" s="58">
        <f t="shared" si="32"/>
        <v>0</v>
      </c>
      <c r="R34" s="58">
        <f t="shared" si="33"/>
        <v>0</v>
      </c>
      <c r="S34" s="58">
        <f t="shared" si="28"/>
        <v>0</v>
      </c>
    </row>
    <row r="35" spans="2:20" ht="15.75" x14ac:dyDescent="0.3">
      <c r="B35" s="113" t="s">
        <v>153</v>
      </c>
      <c r="C35" s="113"/>
      <c r="D35" s="57">
        <f>'Orçado '!AB147</f>
        <v>0</v>
      </c>
      <c r="E35" s="64">
        <f>'Orçado '!AC147</f>
        <v>0</v>
      </c>
      <c r="F35" s="64">
        <f>'Orçado '!AD147</f>
        <v>0</v>
      </c>
      <c r="G35" s="64">
        <f>'Orçado '!AE147</f>
        <v>0</v>
      </c>
      <c r="H35" s="64">
        <f>'Orçado '!AF147</f>
        <v>0</v>
      </c>
      <c r="I35" s="64">
        <f>'Orçado '!AG147</f>
        <v>0</v>
      </c>
      <c r="J35" s="64">
        <f>'Orçado '!AH147</f>
        <v>0</v>
      </c>
      <c r="K35" s="64">
        <f>'Orçado '!AI147</f>
        <v>0</v>
      </c>
      <c r="L35" s="64"/>
      <c r="N35" s="58">
        <f t="shared" si="29"/>
        <v>0</v>
      </c>
      <c r="O35" s="58">
        <f t="shared" si="30"/>
        <v>0</v>
      </c>
      <c r="P35" s="58">
        <f t="shared" si="31"/>
        <v>0</v>
      </c>
      <c r="Q35" s="58">
        <f t="shared" si="32"/>
        <v>0</v>
      </c>
      <c r="R35" s="58">
        <f t="shared" si="33"/>
        <v>0</v>
      </c>
      <c r="S35" s="58">
        <f t="shared" si="28"/>
        <v>0</v>
      </c>
    </row>
    <row r="36" spans="2:20" ht="15.75" x14ac:dyDescent="0.3">
      <c r="B36" s="113" t="s">
        <v>154</v>
      </c>
      <c r="C36" s="113"/>
      <c r="D36" s="57">
        <f>'Orçado '!AB173</f>
        <v>0</v>
      </c>
      <c r="E36" s="64">
        <f>'Orçado '!AC173</f>
        <v>0</v>
      </c>
      <c r="F36" s="64">
        <f>'Orçado '!AD173</f>
        <v>0</v>
      </c>
      <c r="G36" s="64">
        <f>'Orçado '!AE173</f>
        <v>0</v>
      </c>
      <c r="H36" s="64">
        <f>'Orçado '!AF173</f>
        <v>0</v>
      </c>
      <c r="I36" s="64">
        <f>'Orçado '!AG173</f>
        <v>0</v>
      </c>
      <c r="J36" s="64">
        <f>'Orçado '!AH173</f>
        <v>0</v>
      </c>
      <c r="K36" s="64">
        <f>'Orçado '!AI173</f>
        <v>0</v>
      </c>
      <c r="L36" s="64"/>
      <c r="N36" s="58">
        <f t="shared" si="29"/>
        <v>0</v>
      </c>
      <c r="O36" s="58">
        <f t="shared" si="30"/>
        <v>0</v>
      </c>
      <c r="P36" s="58">
        <f t="shared" si="31"/>
        <v>0</v>
      </c>
      <c r="Q36" s="58">
        <f t="shared" si="32"/>
        <v>0</v>
      </c>
      <c r="R36" s="58">
        <f t="shared" si="33"/>
        <v>0</v>
      </c>
      <c r="S36" s="58">
        <f t="shared" si="28"/>
        <v>0</v>
      </c>
    </row>
    <row r="37" spans="2:20" x14ac:dyDescent="0.25">
      <c r="B37" s="144" t="s">
        <v>235</v>
      </c>
      <c r="C37" s="144"/>
      <c r="D37" s="145">
        <f>D26+D31</f>
        <v>0</v>
      </c>
      <c r="E37" s="145">
        <f t="shared" ref="E37:G37" si="37">E26+E31</f>
        <v>0</v>
      </c>
      <c r="F37" s="145">
        <f t="shared" si="37"/>
        <v>0</v>
      </c>
      <c r="G37" s="145">
        <f t="shared" si="37"/>
        <v>0</v>
      </c>
      <c r="H37" s="145">
        <f t="shared" ref="H37:I37" si="38">H26+H31</f>
        <v>0</v>
      </c>
      <c r="I37" s="145">
        <f t="shared" si="38"/>
        <v>0</v>
      </c>
      <c r="J37" s="145">
        <f t="shared" ref="J37:K37" si="39">J26+J31</f>
        <v>0</v>
      </c>
      <c r="K37" s="145">
        <f t="shared" si="39"/>
        <v>0</v>
      </c>
      <c r="L37" s="151"/>
      <c r="N37" s="58">
        <f t="shared" si="29"/>
        <v>0</v>
      </c>
      <c r="O37" s="58">
        <f t="shared" si="30"/>
        <v>0</v>
      </c>
      <c r="P37" s="58">
        <f t="shared" si="31"/>
        <v>0</v>
      </c>
      <c r="Q37" s="58">
        <f t="shared" si="32"/>
        <v>0</v>
      </c>
      <c r="R37" s="58">
        <f t="shared" si="33"/>
        <v>0</v>
      </c>
      <c r="S37" s="58">
        <f t="shared" si="28"/>
        <v>0</v>
      </c>
    </row>
    <row r="39" spans="2:20" ht="15.75" x14ac:dyDescent="0.3">
      <c r="B39" s="113" t="s">
        <v>239</v>
      </c>
      <c r="D39" s="58" t="e">
        <f>D15-D37</f>
        <v>#REF!</v>
      </c>
      <c r="E39" s="58" t="e">
        <f t="shared" ref="E39:G39" si="40">E15-E37</f>
        <v>#REF!</v>
      </c>
      <c r="F39" s="58" t="e">
        <f t="shared" si="40"/>
        <v>#REF!</v>
      </c>
      <c r="G39" s="58" t="e">
        <f t="shared" si="40"/>
        <v>#REF!</v>
      </c>
      <c r="H39" s="58" t="e">
        <f t="shared" ref="H39:I39" si="41">H15-H37</f>
        <v>#REF!</v>
      </c>
      <c r="I39" s="58" t="e">
        <f t="shared" si="41"/>
        <v>#REF!</v>
      </c>
      <c r="J39" s="58" t="e">
        <f t="shared" ref="J39:K39" si="42">J15-J37</f>
        <v>#REF!</v>
      </c>
      <c r="K39" s="58" t="e">
        <f t="shared" si="42"/>
        <v>#REF!</v>
      </c>
      <c r="L39" s="58"/>
      <c r="M39" t="s">
        <v>240</v>
      </c>
      <c r="N39" s="58">
        <f>N6-N28</f>
        <v>0</v>
      </c>
      <c r="O39" s="58">
        <f t="shared" ref="O39:Q39" si="43">O6-O28</f>
        <v>0</v>
      </c>
      <c r="P39" s="58">
        <f t="shared" si="43"/>
        <v>0</v>
      </c>
      <c r="Q39" s="58">
        <f t="shared" si="43"/>
        <v>0</v>
      </c>
      <c r="R39" s="58">
        <f>R6-R28</f>
        <v>0</v>
      </c>
      <c r="S39" s="58">
        <f>S6-S28</f>
        <v>0</v>
      </c>
      <c r="T39" t="s">
        <v>241</v>
      </c>
    </row>
    <row r="40" spans="2:20" x14ac:dyDescent="0.25">
      <c r="M40" t="s">
        <v>242</v>
      </c>
      <c r="N40" s="58">
        <f>N11-N33</f>
        <v>0</v>
      </c>
      <c r="O40" s="58">
        <f t="shared" ref="O40:Q40" si="44">O11-O33</f>
        <v>0</v>
      </c>
      <c r="P40" s="58">
        <f t="shared" si="44"/>
        <v>0</v>
      </c>
      <c r="Q40" s="58">
        <f t="shared" si="44"/>
        <v>0</v>
      </c>
      <c r="R40" s="58">
        <f>R11-R33</f>
        <v>0</v>
      </c>
      <c r="S40" s="58">
        <f>S11-S33</f>
        <v>0</v>
      </c>
      <c r="T40" t="s">
        <v>243</v>
      </c>
    </row>
    <row r="41" spans="2:20" x14ac:dyDescent="0.25">
      <c r="B41" t="s">
        <v>236</v>
      </c>
      <c r="C41" s="45">
        <f>'Orçado '!AA143</f>
        <v>0</v>
      </c>
      <c r="D41" s="45">
        <f>'Orçado '!AB143</f>
        <v>0</v>
      </c>
      <c r="E41" s="45">
        <f>'Orçado '!AC143</f>
        <v>0</v>
      </c>
      <c r="F41" s="45">
        <f>'Orçado '!AD143</f>
        <v>0</v>
      </c>
      <c r="G41" s="45">
        <f>'Orçado '!AE143</f>
        <v>0</v>
      </c>
      <c r="H41" s="45">
        <f>'Orçado '!AF143</f>
        <v>0</v>
      </c>
      <c r="I41" s="45">
        <f>'Orçado '!AG143</f>
        <v>0</v>
      </c>
      <c r="J41" s="45">
        <f>'Orçado '!AH143</f>
        <v>0</v>
      </c>
      <c r="K41" s="45">
        <f>'Orçado '!AI143</f>
        <v>0</v>
      </c>
      <c r="L41" s="45"/>
      <c r="M41" t="s">
        <v>244</v>
      </c>
      <c r="N41" s="58">
        <f>N39+N40</f>
        <v>0</v>
      </c>
      <c r="O41" s="58">
        <f>O39+O40</f>
        <v>0</v>
      </c>
      <c r="P41" s="58">
        <f>P39+P40</f>
        <v>0</v>
      </c>
      <c r="Q41" s="58">
        <f>Q39+Q40</f>
        <v>0</v>
      </c>
      <c r="R41" s="58">
        <f>R39+R40</f>
        <v>0</v>
      </c>
      <c r="S41" s="58">
        <f t="shared" ref="S41" si="45">S39+S40</f>
        <v>0</v>
      </c>
    </row>
    <row r="42" spans="2:20" x14ac:dyDescent="0.25">
      <c r="D42" s="79" t="e">
        <f>D33/AVERAGE(C41:D41)</f>
        <v>#DIV/0!</v>
      </c>
      <c r="E42" s="79" t="e">
        <f t="shared" ref="E42:G42" si="46">E33/AVERAGE(D41:E41)</f>
        <v>#DIV/0!</v>
      </c>
      <c r="F42" s="79" t="e">
        <f t="shared" si="46"/>
        <v>#DIV/0!</v>
      </c>
      <c r="G42" s="79" t="e">
        <f t="shared" si="46"/>
        <v>#DIV/0!</v>
      </c>
      <c r="H42" s="79" t="e">
        <f t="shared" ref="H42" si="47">H33/AVERAGE(G41:H41)</f>
        <v>#DIV/0!</v>
      </c>
      <c r="I42" s="79" t="e">
        <f t="shared" ref="I42" si="48">I33/AVERAGE(H41:I41)</f>
        <v>#DIV/0!</v>
      </c>
      <c r="J42" s="79" t="e">
        <f t="shared" ref="J42:K42" si="49">J33/AVERAGE(I41:J41)</f>
        <v>#DIV/0!</v>
      </c>
      <c r="K42" s="79" t="e">
        <f t="shared" si="49"/>
        <v>#DIV/0!</v>
      </c>
      <c r="L42" s="79"/>
    </row>
    <row r="43" spans="2:20" ht="15.75" hidden="1" x14ac:dyDescent="0.3">
      <c r="B43" s="113" t="s">
        <v>237</v>
      </c>
      <c r="C43" s="113"/>
      <c r="D43" s="146">
        <f>'Orçado '!AB129</f>
        <v>0</v>
      </c>
      <c r="E43" s="146">
        <f>'Orçado '!AC129</f>
        <v>0</v>
      </c>
      <c r="F43" s="146">
        <f>'Orçado '!AD129</f>
        <v>0</v>
      </c>
      <c r="G43" s="146">
        <f>'Orçado '!AE129</f>
        <v>0</v>
      </c>
      <c r="H43" s="146">
        <f>'Orçado '!AF129</f>
        <v>0</v>
      </c>
      <c r="I43" s="146">
        <f>'Orçado '!AG129</f>
        <v>0</v>
      </c>
      <c r="J43" s="146">
        <f>'Orçado '!AH129</f>
        <v>0</v>
      </c>
      <c r="K43" s="146">
        <f>'Orçado '!AI129</f>
        <v>0</v>
      </c>
      <c r="L43" s="146"/>
    </row>
    <row r="44" spans="2:20" ht="15.75" hidden="1" x14ac:dyDescent="0.3">
      <c r="B44" s="113" t="s">
        <v>238</v>
      </c>
      <c r="C44" s="146">
        <f>'Orçado '!AA143</f>
        <v>0</v>
      </c>
      <c r="D44" s="146">
        <f>'Orçado '!AB143</f>
        <v>0</v>
      </c>
      <c r="E44" s="146">
        <f>'Orçado '!AC143</f>
        <v>0</v>
      </c>
      <c r="F44" s="146">
        <f>'Orçado '!AD143</f>
        <v>0</v>
      </c>
      <c r="G44" s="146">
        <f>'Orçado '!AE143</f>
        <v>0</v>
      </c>
      <c r="H44" s="146">
        <f>'Orçado '!AF143</f>
        <v>0</v>
      </c>
      <c r="I44" s="146">
        <f>'Orçado '!AG143</f>
        <v>0</v>
      </c>
      <c r="J44" s="146">
        <f>'Orçado '!AH143</f>
        <v>0</v>
      </c>
      <c r="K44" s="146">
        <f>'Orçado '!AI143</f>
        <v>0</v>
      </c>
      <c r="L44" s="146"/>
    </row>
    <row r="45" spans="2:20" hidden="1" x14ac:dyDescent="0.25">
      <c r="D45" s="79" t="e">
        <f>D33/AVERAGE(C44:D44)</f>
        <v>#DIV/0!</v>
      </c>
      <c r="E45" s="79" t="e">
        <f>E33/AVERAGE(D44:E44)</f>
        <v>#DIV/0!</v>
      </c>
      <c r="F45" s="79" t="e">
        <f>F33/AVERAGE(E44:F44)</f>
        <v>#DIV/0!</v>
      </c>
      <c r="G45" s="79" t="e">
        <f>G33/AVERAGE(F44:G44)</f>
        <v>#DIV/0!</v>
      </c>
      <c r="H45" s="79" t="e">
        <f t="shared" ref="H45:I45" si="50">H33/AVERAGE(G44:H44)</f>
        <v>#DIV/0!</v>
      </c>
      <c r="I45" s="79" t="e">
        <f t="shared" si="50"/>
        <v>#DIV/0!</v>
      </c>
      <c r="J45" s="79" t="e">
        <f t="shared" ref="J45:K45" si="51">J33/AVERAGE(I44:J44)</f>
        <v>#DIV/0!</v>
      </c>
      <c r="K45" s="79" t="e">
        <f t="shared" si="51"/>
        <v>#DIV/0!</v>
      </c>
      <c r="L45" s="79"/>
    </row>
    <row r="48" spans="2:20" x14ac:dyDescent="0.25">
      <c r="B48" s="138" t="s">
        <v>245</v>
      </c>
      <c r="C48" s="89"/>
      <c r="D48" s="89"/>
      <c r="E48" s="89"/>
      <c r="F48" s="89"/>
      <c r="G48" s="89"/>
      <c r="H48" s="89"/>
      <c r="I48" s="89"/>
      <c r="J48" s="89"/>
      <c r="K48" s="89"/>
    </row>
    <row r="49" spans="2:12" x14ac:dyDescent="0.25">
      <c r="B49" t="s">
        <v>101</v>
      </c>
      <c r="D49" s="109" t="e">
        <f>D18</f>
        <v>#DIV/0!</v>
      </c>
      <c r="E49" s="109" t="e">
        <f t="shared" ref="E49:G49" si="52">E18</f>
        <v>#DIV/0!</v>
      </c>
      <c r="F49" s="109" t="e">
        <f t="shared" si="52"/>
        <v>#DIV/0!</v>
      </c>
      <c r="G49" s="109" t="e">
        <f t="shared" si="52"/>
        <v>#DIV/0!</v>
      </c>
      <c r="H49" s="109" t="e">
        <f t="shared" ref="H49:I49" si="53">H18</f>
        <v>#DIV/0!</v>
      </c>
      <c r="I49" s="109" t="e">
        <f t="shared" si="53"/>
        <v>#DIV/0!</v>
      </c>
      <c r="J49" s="109" t="e">
        <f t="shared" ref="J49:K49" si="54">J18</f>
        <v>#DIV/0!</v>
      </c>
      <c r="K49" s="109" t="e">
        <f t="shared" si="54"/>
        <v>#DIV/0!</v>
      </c>
      <c r="L49" s="109"/>
    </row>
    <row r="50" spans="2:12" x14ac:dyDescent="0.25">
      <c r="B50" t="s">
        <v>102</v>
      </c>
      <c r="D50" s="109" t="e">
        <f>D42</f>
        <v>#DIV/0!</v>
      </c>
      <c r="E50" s="109" t="e">
        <f t="shared" ref="E50:G50" si="55">E42</f>
        <v>#DIV/0!</v>
      </c>
      <c r="F50" s="109" t="e">
        <f t="shared" si="55"/>
        <v>#DIV/0!</v>
      </c>
      <c r="G50" s="109" t="e">
        <f t="shared" si="55"/>
        <v>#DIV/0!</v>
      </c>
      <c r="H50" s="109" t="e">
        <f t="shared" ref="H50:I50" si="56">H42</f>
        <v>#DIV/0!</v>
      </c>
      <c r="I50" s="109" t="e">
        <f t="shared" si="56"/>
        <v>#DIV/0!</v>
      </c>
      <c r="J50" s="109" t="e">
        <f t="shared" ref="J50:K50" si="57">J42</f>
        <v>#DIV/0!</v>
      </c>
      <c r="K50" s="109" t="e">
        <f t="shared" si="57"/>
        <v>#DIV/0!</v>
      </c>
      <c r="L50" s="109"/>
    </row>
    <row r="51" spans="2:12" x14ac:dyDescent="0.25">
      <c r="B51" s="153" t="s">
        <v>246</v>
      </c>
      <c r="C51" s="153"/>
      <c r="D51" s="154" t="e">
        <f>D49-D50</f>
        <v>#DIV/0!</v>
      </c>
      <c r="E51" s="154" t="e">
        <f t="shared" ref="E51:G51" si="58">E49-E50</f>
        <v>#DIV/0!</v>
      </c>
      <c r="F51" s="154" t="e">
        <f t="shared" si="58"/>
        <v>#DIV/0!</v>
      </c>
      <c r="G51" s="154" t="e">
        <f t="shared" si="58"/>
        <v>#DIV/0!</v>
      </c>
      <c r="H51" s="154" t="e">
        <f>H49-H50</f>
        <v>#DIV/0!</v>
      </c>
      <c r="I51" s="154" t="e">
        <f t="shared" ref="I51:J51" si="59">I49-I50</f>
        <v>#DIV/0!</v>
      </c>
      <c r="J51" s="154" t="e">
        <f t="shared" si="59"/>
        <v>#DIV/0!</v>
      </c>
      <c r="K51" s="154" t="e">
        <f t="shared" ref="K51" si="60">K49-K50</f>
        <v>#DIV/0!</v>
      </c>
      <c r="L51" s="173"/>
    </row>
    <row r="53" spans="2:12" x14ac:dyDescent="0.25">
      <c r="G53" s="45"/>
      <c r="H53" s="45"/>
      <c r="I53" s="45"/>
      <c r="J53" s="45"/>
      <c r="K53" s="45"/>
      <c r="L53" s="45"/>
    </row>
    <row r="54" spans="2:12" x14ac:dyDescent="0.25">
      <c r="B54" s="112"/>
      <c r="C54" s="112"/>
      <c r="D54" s="112">
        <v>22</v>
      </c>
      <c r="E54" s="112">
        <v>20</v>
      </c>
      <c r="F54" s="112">
        <v>19</v>
      </c>
      <c r="G54" s="112">
        <v>20</v>
      </c>
      <c r="H54" s="112">
        <v>21</v>
      </c>
      <c r="I54" s="112">
        <v>20</v>
      </c>
      <c r="J54" s="112">
        <v>20</v>
      </c>
      <c r="K54" s="112">
        <v>21</v>
      </c>
      <c r="L54" s="112"/>
    </row>
    <row r="55" spans="2:12" x14ac:dyDescent="0.25">
      <c r="B55" s="91" t="s">
        <v>247</v>
      </c>
      <c r="C55" s="112"/>
      <c r="D55" s="163">
        <f t="shared" ref="D55:I55" si="61">D32/D54</f>
        <v>0</v>
      </c>
      <c r="E55" s="163">
        <f t="shared" si="61"/>
        <v>0</v>
      </c>
      <c r="F55" s="163">
        <f t="shared" si="61"/>
        <v>0</v>
      </c>
      <c r="G55" s="163">
        <f t="shared" si="61"/>
        <v>0</v>
      </c>
      <c r="H55" s="163">
        <f t="shared" si="61"/>
        <v>0</v>
      </c>
      <c r="I55" s="163">
        <f t="shared" si="61"/>
        <v>0</v>
      </c>
      <c r="J55" s="163">
        <f t="shared" ref="J55:K55" si="62">J32/J54</f>
        <v>0</v>
      </c>
      <c r="K55" s="163">
        <f t="shared" si="62"/>
        <v>0</v>
      </c>
      <c r="L55" s="163"/>
    </row>
    <row r="65" spans="2:2" x14ac:dyDescent="0.25">
      <c r="B65" t="s">
        <v>248</v>
      </c>
    </row>
    <row r="66" spans="2:2" x14ac:dyDescent="0.25">
      <c r="B66" s="115" t="s">
        <v>249</v>
      </c>
    </row>
    <row r="67" spans="2:2" x14ac:dyDescent="0.25">
      <c r="B67" s="115" t="s">
        <v>250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18252-3ECA-4A57-98E1-F6D30018D5FC}">
  <sheetPr codeName="Planilha14"/>
  <dimension ref="A1:A25"/>
  <sheetViews>
    <sheetView workbookViewId="0">
      <selection activeCell="A10" sqref="A10"/>
    </sheetView>
  </sheetViews>
  <sheetFormatPr defaultRowHeight="15" x14ac:dyDescent="0.25"/>
  <cols>
    <col min="1" max="1" width="10.7109375" bestFit="1" customWidth="1"/>
  </cols>
  <sheetData>
    <row r="1" spans="1:1" x14ac:dyDescent="0.25">
      <c r="A1" t="s">
        <v>251</v>
      </c>
    </row>
    <row r="2" spans="1:1" x14ac:dyDescent="0.25">
      <c r="A2" s="24">
        <f>LARGE(Realizado!2:2,1)</f>
        <v>46387</v>
      </c>
    </row>
    <row r="3" spans="1:1" x14ac:dyDescent="0.25">
      <c r="A3" s="24">
        <f>EOMONTH(A2,-1)</f>
        <v>46356</v>
      </c>
    </row>
    <row r="4" spans="1:1" x14ac:dyDescent="0.25">
      <c r="A4" s="24">
        <f t="shared" ref="A4:A25" si="0">EOMONTH(A3,-1)</f>
        <v>46326</v>
      </c>
    </row>
    <row r="5" spans="1:1" x14ac:dyDescent="0.25">
      <c r="A5" s="24">
        <f t="shared" si="0"/>
        <v>46295</v>
      </c>
    </row>
    <row r="6" spans="1:1" x14ac:dyDescent="0.25">
      <c r="A6" s="24">
        <f t="shared" si="0"/>
        <v>46265</v>
      </c>
    </row>
    <row r="7" spans="1:1" x14ac:dyDescent="0.25">
      <c r="A7" s="24">
        <f t="shared" si="0"/>
        <v>46234</v>
      </c>
    </row>
    <row r="8" spans="1:1" x14ac:dyDescent="0.25">
      <c r="A8" s="24">
        <f t="shared" si="0"/>
        <v>46203</v>
      </c>
    </row>
    <row r="9" spans="1:1" x14ac:dyDescent="0.25">
      <c r="A9" s="24">
        <f t="shared" si="0"/>
        <v>46173</v>
      </c>
    </row>
    <row r="10" spans="1:1" x14ac:dyDescent="0.25">
      <c r="A10" s="24">
        <f t="shared" si="0"/>
        <v>46142</v>
      </c>
    </row>
    <row r="11" spans="1:1" x14ac:dyDescent="0.25">
      <c r="A11" s="24">
        <f t="shared" si="0"/>
        <v>46112</v>
      </c>
    </row>
    <row r="12" spans="1:1" x14ac:dyDescent="0.25">
      <c r="A12" s="24">
        <f t="shared" si="0"/>
        <v>46081</v>
      </c>
    </row>
    <row r="13" spans="1:1" x14ac:dyDescent="0.25">
      <c r="A13" s="24">
        <f t="shared" si="0"/>
        <v>46053</v>
      </c>
    </row>
    <row r="14" spans="1:1" x14ac:dyDescent="0.25">
      <c r="A14" s="24">
        <f t="shared" si="0"/>
        <v>46022</v>
      </c>
    </row>
    <row r="15" spans="1:1" x14ac:dyDescent="0.25">
      <c r="A15" s="24">
        <f t="shared" si="0"/>
        <v>45991</v>
      </c>
    </row>
    <row r="16" spans="1:1" x14ac:dyDescent="0.25">
      <c r="A16" s="24">
        <f t="shared" si="0"/>
        <v>45961</v>
      </c>
    </row>
    <row r="17" spans="1:1" x14ac:dyDescent="0.25">
      <c r="A17" s="24">
        <f t="shared" si="0"/>
        <v>45930</v>
      </c>
    </row>
    <row r="18" spans="1:1" x14ac:dyDescent="0.25">
      <c r="A18" s="24">
        <f t="shared" si="0"/>
        <v>45900</v>
      </c>
    </row>
    <row r="19" spans="1:1" x14ac:dyDescent="0.25">
      <c r="A19" s="24">
        <f t="shared" si="0"/>
        <v>45869</v>
      </c>
    </row>
    <row r="20" spans="1:1" x14ac:dyDescent="0.25">
      <c r="A20" s="24">
        <f t="shared" si="0"/>
        <v>45838</v>
      </c>
    </row>
    <row r="21" spans="1:1" x14ac:dyDescent="0.25">
      <c r="A21" s="24">
        <f t="shared" si="0"/>
        <v>45808</v>
      </c>
    </row>
    <row r="22" spans="1:1" x14ac:dyDescent="0.25">
      <c r="A22" s="24">
        <f t="shared" si="0"/>
        <v>45777</v>
      </c>
    </row>
    <row r="23" spans="1:1" x14ac:dyDescent="0.25">
      <c r="A23" s="24">
        <f t="shared" si="0"/>
        <v>45747</v>
      </c>
    </row>
    <row r="24" spans="1:1" x14ac:dyDescent="0.25">
      <c r="A24" s="24">
        <f t="shared" si="0"/>
        <v>45716</v>
      </c>
    </row>
    <row r="25" spans="1:1" x14ac:dyDescent="0.25">
      <c r="A25" s="24">
        <f t="shared" si="0"/>
        <v>45688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Passo a Passo</vt:lpstr>
      <vt:lpstr>Premissas</vt:lpstr>
      <vt:lpstr>RESULTADO</vt:lpstr>
      <vt:lpstr>P&amp;L Mensal - Anualizado</vt:lpstr>
      <vt:lpstr>P&amp;L Acumulado</vt:lpstr>
      <vt:lpstr>Comparativo 2026 x 2025</vt:lpstr>
      <vt:lpstr>2025 Acumulado</vt:lpstr>
      <vt:lpstr>BASE DASH</vt:lpstr>
      <vt:lpstr>Realizado</vt:lpstr>
      <vt:lpstr>Orçado </vt:lpstr>
      <vt:lpstr>Evolução acima de 10 k - Imob</vt:lpstr>
      <vt:lpstr>Base comparativo - Desp Admin</vt:lpstr>
      <vt:lpstr>Organização P&amp;L</vt:lpstr>
      <vt:lpstr>DRE Simplificado</vt:lpstr>
      <vt:lpstr>Evolução PDD Imobiliário</vt:lpstr>
      <vt:lpstr>Despesas</vt:lpstr>
      <vt:lpstr>Margem Financeira</vt:lpstr>
      <vt:lpstr>Lista de data para filtro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Camille Mateus Pleger</dc:creator>
  <cp:keywords/>
  <dc:description/>
  <cp:lastModifiedBy>Pedro Adur Vasic</cp:lastModifiedBy>
  <cp:revision/>
  <dcterms:created xsi:type="dcterms:W3CDTF">2022-08-18T17:53:15Z</dcterms:created>
  <dcterms:modified xsi:type="dcterms:W3CDTF">2026-09-14T15:34:19Z</dcterms:modified>
  <cp:category/>
  <cp:contentStatus/>
</cp:coreProperties>
</file>