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APITAIS BRASILEIRAS" sheetId="2" r:id="rId1"/>
    <sheet name="Tab Ap." sheetId="3" r:id="rId2"/>
  </sheets>
  <calcPr calcId="125725"/>
</workbook>
</file>

<file path=xl/calcChain.xml><?xml version="1.0" encoding="utf-8"?>
<calcChain xmlns="http://schemas.openxmlformats.org/spreadsheetml/2006/main">
  <c r="A21" i="3"/>
  <c r="M17"/>
  <c r="K17"/>
  <c r="I17"/>
  <c r="G17"/>
  <c r="E17"/>
  <c r="C17"/>
  <c r="N17" s="1"/>
  <c r="M13"/>
  <c r="K13"/>
  <c r="I13"/>
  <c r="G13"/>
  <c r="E13"/>
  <c r="C13"/>
  <c r="N13" s="1"/>
  <c r="M12"/>
  <c r="K12"/>
  <c r="I12"/>
  <c r="G12"/>
  <c r="E12"/>
  <c r="C12"/>
  <c r="N12" s="1"/>
  <c r="M11"/>
  <c r="K11"/>
  <c r="I11"/>
  <c r="G11"/>
  <c r="N11" s="1"/>
  <c r="E11"/>
  <c r="C11"/>
  <c r="M10"/>
  <c r="K10"/>
  <c r="I10"/>
  <c r="G10"/>
  <c r="E10"/>
  <c r="C10"/>
  <c r="N10" s="1"/>
  <c r="M9"/>
  <c r="K9"/>
  <c r="I9"/>
  <c r="G9"/>
  <c r="E9"/>
  <c r="C9"/>
  <c r="N9" s="1"/>
  <c r="M8"/>
  <c r="K8"/>
  <c r="I8"/>
  <c r="G8"/>
  <c r="E8"/>
  <c r="C8"/>
  <c r="N8" s="1"/>
  <c r="M7"/>
  <c r="K7"/>
  <c r="I7"/>
  <c r="G7"/>
  <c r="E7"/>
  <c r="B7"/>
  <c r="C7" s="1"/>
  <c r="N7" s="1"/>
  <c r="P7" s="1"/>
  <c r="M6"/>
  <c r="K6"/>
  <c r="I6"/>
  <c r="G6"/>
  <c r="E6"/>
  <c r="C6"/>
  <c r="N6" s="1"/>
  <c r="P6" s="1"/>
  <c r="B6"/>
  <c r="M5"/>
  <c r="K5"/>
  <c r="I5"/>
  <c r="G5"/>
  <c r="E5"/>
  <c r="B5"/>
  <c r="C5" s="1"/>
  <c r="N5" s="1"/>
  <c r="P5" s="1"/>
  <c r="M4"/>
  <c r="K4"/>
  <c r="I4"/>
  <c r="G4"/>
  <c r="E4"/>
  <c r="B4"/>
  <c r="C4" s="1"/>
  <c r="N4" s="1"/>
  <c r="P4" s="1"/>
  <c r="M3"/>
  <c r="K3"/>
  <c r="I3"/>
  <c r="G3"/>
  <c r="E3"/>
  <c r="B3"/>
  <c r="C3" s="1"/>
  <c r="N3" s="1"/>
  <c r="P3" s="1"/>
  <c r="M2"/>
  <c r="K2"/>
  <c r="I2"/>
  <c r="G2"/>
  <c r="E2"/>
  <c r="C2"/>
  <c r="N2" s="1"/>
  <c r="P2" s="1"/>
  <c r="B2"/>
  <c r="A21" i="2"/>
  <c r="B7"/>
  <c r="C7" s="1"/>
  <c r="B6"/>
  <c r="C6" s="1"/>
  <c r="B5"/>
  <c r="C5" s="1"/>
  <c r="B4"/>
  <c r="B3"/>
  <c r="C3" s="1"/>
  <c r="B2"/>
  <c r="E11"/>
  <c r="C4"/>
  <c r="C17"/>
  <c r="G17"/>
  <c r="I17"/>
  <c r="M17"/>
  <c r="K17"/>
  <c r="M13"/>
  <c r="K13"/>
  <c r="I13"/>
  <c r="G13"/>
  <c r="C13"/>
  <c r="M12"/>
  <c r="K12"/>
  <c r="I12"/>
  <c r="G12"/>
  <c r="C12"/>
  <c r="M11"/>
  <c r="K11"/>
  <c r="I11"/>
  <c r="G11"/>
  <c r="C11"/>
  <c r="M10"/>
  <c r="K10"/>
  <c r="I10"/>
  <c r="G10"/>
  <c r="C10"/>
  <c r="M9"/>
  <c r="K9"/>
  <c r="I9"/>
  <c r="G9"/>
  <c r="C9"/>
  <c r="M8"/>
  <c r="K8"/>
  <c r="I8"/>
  <c r="G8"/>
  <c r="C8"/>
  <c r="M7"/>
  <c r="K7"/>
  <c r="I7"/>
  <c r="G7"/>
  <c r="M6"/>
  <c r="K6"/>
  <c r="I6"/>
  <c r="G6"/>
  <c r="M5"/>
  <c r="K5"/>
  <c r="I5"/>
  <c r="G5"/>
  <c r="M4"/>
  <c r="K4"/>
  <c r="I4"/>
  <c r="G4"/>
  <c r="M3"/>
  <c r="K3"/>
  <c r="I3"/>
  <c r="G3"/>
  <c r="M2"/>
  <c r="K2"/>
  <c r="I2"/>
  <c r="G2"/>
  <c r="N11" l="1"/>
  <c r="E6"/>
  <c r="N6" s="1"/>
  <c r="P6" s="1"/>
  <c r="E9"/>
  <c r="N9" s="1"/>
  <c r="E2"/>
  <c r="E5"/>
  <c r="N5" s="1"/>
  <c r="P5" s="1"/>
  <c r="E10"/>
  <c r="N10" s="1"/>
  <c r="E13"/>
  <c r="N13" s="1"/>
  <c r="E17"/>
  <c r="N17" s="1"/>
  <c r="N12"/>
  <c r="E4"/>
  <c r="N4" s="1"/>
  <c r="P4" s="1"/>
  <c r="E8"/>
  <c r="N8" s="1"/>
  <c r="E12"/>
  <c r="E3"/>
  <c r="N3" s="1"/>
  <c r="P3" s="1"/>
  <c r="E7"/>
  <c r="N7" s="1"/>
  <c r="P7" s="1"/>
  <c r="C2"/>
  <c r="N2" l="1"/>
  <c r="P2" s="1"/>
</calcChain>
</file>

<file path=xl/sharedStrings.xml><?xml version="1.0" encoding="utf-8"?>
<sst xmlns="http://schemas.openxmlformats.org/spreadsheetml/2006/main" count="52" uniqueCount="29">
  <si>
    <t>CIDADE</t>
  </si>
  <si>
    <t>Índice</t>
  </si>
  <si>
    <t>Médicos/1000 Habitante</t>
  </si>
  <si>
    <t>% de desemprego</t>
  </si>
  <si>
    <t>% População Alfabetizada</t>
  </si>
  <si>
    <t>% Água Tratada</t>
  </si>
  <si>
    <t>Expectativa de vida</t>
  </si>
  <si>
    <t>IDU Final</t>
  </si>
  <si>
    <t>M</t>
  </si>
  <si>
    <t>São Paulo</t>
  </si>
  <si>
    <t>Rio de Janeiro</t>
  </si>
  <si>
    <t>Belo Horizonte</t>
  </si>
  <si>
    <t>Porto Alegre</t>
  </si>
  <si>
    <t>Recife</t>
  </si>
  <si>
    <t>Salvador</t>
  </si>
  <si>
    <t>IDHM 2010</t>
  </si>
  <si>
    <t>ln(99/5)</t>
  </si>
  <si>
    <t>PIB Real Per Capita (dólares)</t>
  </si>
  <si>
    <t>cotação do dolar usanda nos cálculos (15 de Agosto de 2016)</t>
  </si>
  <si>
    <t>cotação de 15/8/16: R$ 3,188</t>
  </si>
  <si>
    <t>Dif % IDU/IDHM</t>
  </si>
  <si>
    <t>PIB</t>
  </si>
  <si>
    <t>Índ.</t>
  </si>
  <si>
    <t>D</t>
  </si>
  <si>
    <t>IDU</t>
  </si>
  <si>
    <t>IDHM</t>
  </si>
  <si>
    <t>A</t>
  </si>
  <si>
    <t>AP</t>
  </si>
  <si>
    <t>EV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</si>
</sst>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9" fontId="0" fillId="0" borderId="0" xfId="1" applyFont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4" fontId="7" fillId="0" borderId="0" xfId="0" applyNumberFormat="1" applyFont="1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IDU das Capitais Brasileiras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tx2">
                  <a:lumMod val="75000"/>
                </a:schemeClr>
              </a:solidFill>
              <a:ln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strRef>
              <c:f>'CAPITAIS BRASILEIRAS'!$A$2:$A$7</c:f>
              <c:strCache>
                <c:ptCount val="6"/>
                <c:pt idx="0">
                  <c:v>Belo Horizonte</c:v>
                </c:pt>
                <c:pt idx="1">
                  <c:v>Porto Alegre</c:v>
                </c:pt>
                <c:pt idx="2">
                  <c:v>Recife</c:v>
                </c:pt>
                <c:pt idx="3">
                  <c:v>Rio de Janeiro</c:v>
                </c:pt>
                <c:pt idx="4">
                  <c:v>Salvador</c:v>
                </c:pt>
                <c:pt idx="5">
                  <c:v>São Paulo</c:v>
                </c:pt>
              </c:strCache>
            </c:strRef>
          </c:cat>
          <c:val>
            <c:numRef>
              <c:f>'CAPITAIS BRASILEIRAS'!$N$2:$N$7</c:f>
              <c:numCache>
                <c:formatCode>0.0</c:formatCode>
                <c:ptCount val="6"/>
                <c:pt idx="0">
                  <c:v>82.674262218141351</c:v>
                </c:pt>
                <c:pt idx="1">
                  <c:v>83.914111441078475</c:v>
                </c:pt>
                <c:pt idx="2">
                  <c:v>71.553402914441861</c:v>
                </c:pt>
                <c:pt idx="3">
                  <c:v>76.930723865476637</c:v>
                </c:pt>
                <c:pt idx="4">
                  <c:v>70.681063907114961</c:v>
                </c:pt>
                <c:pt idx="5">
                  <c:v>77.751171179907587</c:v>
                </c:pt>
              </c:numCache>
            </c:numRef>
          </c:val>
        </c:ser>
        <c:gapWidth val="219"/>
        <c:overlap val="-27"/>
        <c:axId val="134514560"/>
        <c:axId val="134516096"/>
      </c:barChart>
      <c:catAx>
        <c:axId val="1345145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16096"/>
        <c:crosses val="autoZero"/>
        <c:auto val="1"/>
        <c:lblAlgn val="ctr"/>
        <c:lblOffset val="100"/>
      </c:catAx>
      <c:valAx>
        <c:axId val="134516096"/>
        <c:scaling>
          <c:orientation val="minMax"/>
          <c:max val="100"/>
          <c:min val="0"/>
        </c:scaling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145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IDU das Capitais Brasileiras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tx2">
                  <a:lumMod val="75000"/>
                </a:schemeClr>
              </a:solidFill>
              <a:ln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strRef>
              <c:f>'Tab Ap.'!$A$2:$A$7</c:f>
              <c:strCache>
                <c:ptCount val="6"/>
                <c:pt idx="0">
                  <c:v>Belo Horizonte</c:v>
                </c:pt>
                <c:pt idx="1">
                  <c:v>Porto Alegre</c:v>
                </c:pt>
                <c:pt idx="2">
                  <c:v>Recife</c:v>
                </c:pt>
                <c:pt idx="3">
                  <c:v>Rio de Janeiro</c:v>
                </c:pt>
                <c:pt idx="4">
                  <c:v>Salvador</c:v>
                </c:pt>
                <c:pt idx="5">
                  <c:v>São Paulo</c:v>
                </c:pt>
              </c:strCache>
            </c:strRef>
          </c:cat>
          <c:val>
            <c:numRef>
              <c:f>'Tab Ap.'!$N$2:$N$7</c:f>
              <c:numCache>
                <c:formatCode>0.0</c:formatCode>
                <c:ptCount val="6"/>
                <c:pt idx="0">
                  <c:v>82.674262218141351</c:v>
                </c:pt>
                <c:pt idx="1">
                  <c:v>83.914111441078475</c:v>
                </c:pt>
                <c:pt idx="2">
                  <c:v>71.553402914441861</c:v>
                </c:pt>
                <c:pt idx="3">
                  <c:v>76.930723865476637</c:v>
                </c:pt>
                <c:pt idx="4">
                  <c:v>70.681063907114961</c:v>
                </c:pt>
                <c:pt idx="5">
                  <c:v>77.751171179907587</c:v>
                </c:pt>
              </c:numCache>
            </c:numRef>
          </c:val>
        </c:ser>
        <c:gapWidth val="219"/>
        <c:overlap val="-27"/>
        <c:axId val="46846720"/>
        <c:axId val="46848256"/>
      </c:barChart>
      <c:catAx>
        <c:axId val="468467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48256"/>
        <c:crosses val="autoZero"/>
        <c:auto val="1"/>
        <c:lblAlgn val="ctr"/>
        <c:lblOffset val="100"/>
      </c:catAx>
      <c:valAx>
        <c:axId val="46848256"/>
        <c:scaling>
          <c:orientation val="minMax"/>
          <c:max val="100"/>
          <c:min val="0"/>
        </c:scaling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467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1092868</xdr:colOff>
      <xdr:row>13</xdr:row>
      <xdr:rowOff>107281</xdr:rowOff>
    </xdr:from>
    <xdr:to>
      <xdr:col>13</xdr:col>
      <xdr:colOff>370974</xdr:colOff>
      <xdr:row>36</xdr:row>
      <xdr:rowOff>84667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1092868</xdr:colOff>
      <xdr:row>13</xdr:row>
      <xdr:rowOff>107281</xdr:rowOff>
    </xdr:from>
    <xdr:to>
      <xdr:col>13</xdr:col>
      <xdr:colOff>370974</xdr:colOff>
      <xdr:row>36</xdr:row>
      <xdr:rowOff>84667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"/>
  <sheetViews>
    <sheetView tabSelected="1" zoomScale="90" zoomScaleNormal="90" workbookViewId="0">
      <selection activeCell="B24" sqref="B24"/>
    </sheetView>
  </sheetViews>
  <sheetFormatPr defaultRowHeight="15"/>
  <cols>
    <col min="1" max="1" width="14.25" style="7" bestFit="1" customWidth="1"/>
    <col min="2" max="2" width="31.25" style="7" customWidth="1"/>
    <col min="3" max="3" width="6.5" style="8" bestFit="1" customWidth="1"/>
    <col min="4" max="4" width="20.625" style="7" bestFit="1" customWidth="1"/>
    <col min="5" max="5" width="5.625" style="7" bestFit="1" customWidth="1"/>
    <col min="6" max="6" width="14.875" style="7" bestFit="1" customWidth="1"/>
    <col min="7" max="7" width="5.625" style="7" bestFit="1" customWidth="1"/>
    <col min="8" max="8" width="21.125" style="7" bestFit="1" customWidth="1"/>
    <col min="9" max="9" width="5.625" style="7" bestFit="1" customWidth="1"/>
    <col min="10" max="10" width="15.125" style="7" bestFit="1" customWidth="1"/>
    <col min="11" max="11" width="6.375" style="7" bestFit="1" customWidth="1"/>
    <col min="12" max="12" width="16" style="7" bestFit="1" customWidth="1"/>
    <col min="13" max="13" width="5.625" style="7" bestFit="1" customWidth="1"/>
    <col min="14" max="14" width="7.875" style="7" bestFit="1" customWidth="1"/>
    <col min="15" max="15" width="10.375" bestFit="1" customWidth="1"/>
    <col min="16" max="16" width="13.375" style="11" bestFit="1" customWidth="1"/>
    <col min="18" max="18" width="34.875" bestFit="1" customWidth="1"/>
  </cols>
  <sheetData>
    <row r="1" spans="1:16" s="2" customFormat="1">
      <c r="A1" s="17" t="s">
        <v>0</v>
      </c>
      <c r="B1" s="17" t="s">
        <v>17</v>
      </c>
      <c r="C1" s="18" t="s">
        <v>1</v>
      </c>
      <c r="D1" s="17" t="s">
        <v>2</v>
      </c>
      <c r="E1" s="17" t="s">
        <v>1</v>
      </c>
      <c r="F1" s="17" t="s">
        <v>3</v>
      </c>
      <c r="G1" s="17" t="s">
        <v>1</v>
      </c>
      <c r="H1" s="17" t="s">
        <v>4</v>
      </c>
      <c r="I1" s="17" t="s">
        <v>1</v>
      </c>
      <c r="J1" s="17" t="s">
        <v>5</v>
      </c>
      <c r="K1" s="17" t="s">
        <v>1</v>
      </c>
      <c r="L1" s="17" t="s">
        <v>6</v>
      </c>
      <c r="M1" s="17" t="s">
        <v>1</v>
      </c>
      <c r="N1" s="17" t="s">
        <v>7</v>
      </c>
      <c r="O1" s="17" t="s">
        <v>15</v>
      </c>
      <c r="P1" s="19" t="s">
        <v>20</v>
      </c>
    </row>
    <row r="2" spans="1:16">
      <c r="A2" s="4" t="s">
        <v>11</v>
      </c>
      <c r="B2" s="5">
        <f>24934.13/A22</f>
        <v>7821.2452948557084</v>
      </c>
      <c r="C2" s="1">
        <f t="shared" ref="C2:C13" si="0">(LN(B2)-LN(300))/(LN(159400)-LN(300))*100</f>
        <v>51.961978684250674</v>
      </c>
      <c r="D2" s="4">
        <v>10.31</v>
      </c>
      <c r="E2" s="1">
        <f t="shared" ref="E2:E13" si="1">100/(1+99*EXP(1)^(-$A$21*D2))</f>
        <v>99.246039475112056</v>
      </c>
      <c r="F2" s="4">
        <v>6.51</v>
      </c>
      <c r="G2" s="1">
        <f t="shared" ref="G2:G13" si="2">IF(F2&lt;2.5,100,IF(F2&gt;25,1,-(99/22.5)*F2+111))</f>
        <v>82.355999999999995</v>
      </c>
      <c r="H2" s="4">
        <v>97.3</v>
      </c>
      <c r="I2" s="1">
        <f t="shared" ref="I2:I13" si="3">1.98*H2-98</f>
        <v>94.653999999999996</v>
      </c>
      <c r="J2" s="4">
        <v>99.71</v>
      </c>
      <c r="K2" s="1">
        <f t="shared" ref="K2:K13" si="4">1.1*J2-10</f>
        <v>99.680999999999997</v>
      </c>
      <c r="L2" s="20">
        <v>76.400000000000006</v>
      </c>
      <c r="M2" s="1">
        <f t="shared" ref="M2:M13" si="5">100/(1+36129.25286*EXP(-0.155256271*L2))</f>
        <v>79.684985864857438</v>
      </c>
      <c r="N2" s="6">
        <f t="shared" ref="N2:N13" si="6">(C2*E2*G2*I2*K2*M2)^(1/6)</f>
        <v>82.674262218141351</v>
      </c>
      <c r="O2" s="9">
        <v>810</v>
      </c>
      <c r="P2" s="12">
        <f>(N2*10)/O2 - 100%</f>
        <v>2.0669903927670985E-2</v>
      </c>
    </row>
    <row r="3" spans="1:16">
      <c r="A3" s="4" t="s">
        <v>12</v>
      </c>
      <c r="B3" s="5">
        <f>30286.07/A22</f>
        <v>9500.0219573400245</v>
      </c>
      <c r="C3" s="1">
        <f t="shared" si="0"/>
        <v>55.060596243639559</v>
      </c>
      <c r="D3" s="4">
        <v>8.2799999999999994</v>
      </c>
      <c r="E3" s="1">
        <f t="shared" si="1"/>
        <v>95.322038597849129</v>
      </c>
      <c r="F3" s="4">
        <v>5.55</v>
      </c>
      <c r="G3" s="1">
        <f t="shared" si="2"/>
        <v>86.58</v>
      </c>
      <c r="H3" s="4">
        <v>97.8</v>
      </c>
      <c r="I3" s="1">
        <f t="shared" si="3"/>
        <v>95.644000000000005</v>
      </c>
      <c r="J3" s="4">
        <v>99.35</v>
      </c>
      <c r="K3" s="1">
        <f t="shared" si="4"/>
        <v>99.284999999999997</v>
      </c>
      <c r="L3" s="20">
        <v>76.900000000000006</v>
      </c>
      <c r="M3" s="1">
        <f t="shared" si="5"/>
        <v>80.912723041582595</v>
      </c>
      <c r="N3" s="6">
        <f t="shared" si="6"/>
        <v>83.914111441078475</v>
      </c>
      <c r="O3" s="9">
        <v>805</v>
      </c>
      <c r="P3" s="12">
        <f t="shared" ref="P3:P7" si="7">(N3*10)/O3 - 100%</f>
        <v>4.2411322249422012E-2</v>
      </c>
    </row>
    <row r="4" spans="1:16">
      <c r="A4" s="4" t="s">
        <v>13</v>
      </c>
      <c r="B4" s="5">
        <f>21598.63/A22</f>
        <v>6774.9780426599746</v>
      </c>
      <c r="C4" s="1">
        <f t="shared" si="0"/>
        <v>49.673552455036699</v>
      </c>
      <c r="D4" s="4">
        <v>8.2200000000000006</v>
      </c>
      <c r="E4" s="1">
        <f t="shared" si="1"/>
        <v>95.069918958097063</v>
      </c>
      <c r="F4" s="4">
        <v>12.47</v>
      </c>
      <c r="G4" s="1">
        <f t="shared" si="2"/>
        <v>56.131999999999991</v>
      </c>
      <c r="H4" s="4">
        <v>93.2</v>
      </c>
      <c r="I4" s="1">
        <f t="shared" si="3"/>
        <v>86.536000000000001</v>
      </c>
      <c r="J4" s="4">
        <v>86.74</v>
      </c>
      <c r="K4" s="1">
        <f t="shared" si="4"/>
        <v>85.414000000000001</v>
      </c>
      <c r="L4" s="20">
        <v>72.599999999999994</v>
      </c>
      <c r="M4" s="1">
        <f t="shared" si="5"/>
        <v>68.497862287595865</v>
      </c>
      <c r="N4" s="6">
        <f t="shared" si="6"/>
        <v>71.553402914441861</v>
      </c>
      <c r="O4" s="9">
        <v>772</v>
      </c>
      <c r="P4" s="12">
        <f t="shared" si="7"/>
        <v>-7.3142449294794631E-2</v>
      </c>
    </row>
    <row r="5" spans="1:16">
      <c r="A5" s="4" t="s">
        <v>10</v>
      </c>
      <c r="B5" s="5">
        <f>32877.91/A22</f>
        <v>10313.020702634882</v>
      </c>
      <c r="C5" s="1">
        <f t="shared" si="0"/>
        <v>56.369090830870739</v>
      </c>
      <c r="D5" s="4">
        <v>5.7</v>
      </c>
      <c r="E5" s="1">
        <f t="shared" si="1"/>
        <v>65.550283770613419</v>
      </c>
      <c r="F5" s="4">
        <v>7.28</v>
      </c>
      <c r="G5" s="1">
        <f t="shared" si="2"/>
        <v>78.967999999999989</v>
      </c>
      <c r="H5" s="4">
        <v>97.2</v>
      </c>
      <c r="I5" s="1">
        <f t="shared" si="3"/>
        <v>94.456000000000017</v>
      </c>
      <c r="J5" s="4">
        <v>98.47</v>
      </c>
      <c r="K5" s="1">
        <f t="shared" si="4"/>
        <v>98.317000000000007</v>
      </c>
      <c r="L5" s="20">
        <v>75.2</v>
      </c>
      <c r="M5" s="1">
        <f t="shared" si="5"/>
        <v>76.502213224173445</v>
      </c>
      <c r="N5" s="6">
        <f t="shared" si="6"/>
        <v>76.930723865476637</v>
      </c>
      <c r="O5" s="9">
        <v>799</v>
      </c>
      <c r="P5" s="12">
        <f t="shared" si="7"/>
        <v>-3.7162404687401285E-2</v>
      </c>
    </row>
    <row r="6" spans="1:16">
      <c r="A6" s="4" t="s">
        <v>14</v>
      </c>
      <c r="B6" s="5">
        <f>15035.08/A22</f>
        <v>4716.1480552070261</v>
      </c>
      <c r="C6" s="1">
        <f t="shared" si="0"/>
        <v>43.901102070428671</v>
      </c>
      <c r="D6" s="4">
        <v>6.85</v>
      </c>
      <c r="E6" s="1">
        <f t="shared" si="1"/>
        <v>84.556011572708826</v>
      </c>
      <c r="F6" s="4">
        <v>13.06</v>
      </c>
      <c r="G6" s="1">
        <f t="shared" si="2"/>
        <v>53.535999999999994</v>
      </c>
      <c r="H6" s="4">
        <v>96.1</v>
      </c>
      <c r="I6" s="1">
        <f t="shared" si="3"/>
        <v>92.277999999999992</v>
      </c>
      <c r="J6" s="4">
        <v>98.89</v>
      </c>
      <c r="K6" s="1">
        <f t="shared" si="4"/>
        <v>98.779000000000011</v>
      </c>
      <c r="L6" s="20">
        <v>72.7</v>
      </c>
      <c r="M6" s="1">
        <f t="shared" si="5"/>
        <v>68.831912713148924</v>
      </c>
      <c r="N6" s="6">
        <f t="shared" si="6"/>
        <v>70.681063907114961</v>
      </c>
      <c r="O6" s="9">
        <v>759</v>
      </c>
      <c r="P6" s="12">
        <f t="shared" si="7"/>
        <v>-6.8760686335771259E-2</v>
      </c>
    </row>
    <row r="7" spans="1:16">
      <c r="A7" s="4" t="s">
        <v>9</v>
      </c>
      <c r="B7" s="5">
        <f>39749.57/A22</f>
        <v>12468.497490589711</v>
      </c>
      <c r="C7" s="1">
        <f t="shared" si="0"/>
        <v>59.39357269933825</v>
      </c>
      <c r="D7" s="4">
        <v>5.57</v>
      </c>
      <c r="E7" s="1">
        <f t="shared" si="1"/>
        <v>62.804610312111592</v>
      </c>
      <c r="F7" s="4">
        <v>7.48</v>
      </c>
      <c r="G7" s="1">
        <f t="shared" si="2"/>
        <v>78.087999999999994</v>
      </c>
      <c r="H7" s="4">
        <v>96.9</v>
      </c>
      <c r="I7" s="1">
        <f t="shared" si="3"/>
        <v>93.862000000000023</v>
      </c>
      <c r="J7" s="4">
        <v>99.09</v>
      </c>
      <c r="K7" s="1">
        <f t="shared" si="4"/>
        <v>98.999000000000009</v>
      </c>
      <c r="L7" s="20">
        <v>77.2</v>
      </c>
      <c r="M7" s="1">
        <f t="shared" si="5"/>
        <v>81.62172159058872</v>
      </c>
      <c r="N7" s="6">
        <f t="shared" si="6"/>
        <v>77.751171179907587</v>
      </c>
      <c r="O7" s="9">
        <v>805</v>
      </c>
      <c r="P7" s="12">
        <f t="shared" si="7"/>
        <v>-3.4146941864501956E-2</v>
      </c>
    </row>
    <row r="8" spans="1:16">
      <c r="A8" s="4"/>
      <c r="B8" s="5"/>
      <c r="C8" s="1" t="e">
        <f t="shared" si="0"/>
        <v>#NUM!</v>
      </c>
      <c r="D8" s="4"/>
      <c r="E8" s="1">
        <f t="shared" si="1"/>
        <v>1</v>
      </c>
      <c r="F8" s="4"/>
      <c r="G8" s="1">
        <f t="shared" si="2"/>
        <v>100</v>
      </c>
      <c r="H8" s="4"/>
      <c r="I8" s="1">
        <f t="shared" si="3"/>
        <v>-98</v>
      </c>
      <c r="J8" s="4"/>
      <c r="K8" s="1">
        <f t="shared" si="4"/>
        <v>-10</v>
      </c>
      <c r="L8" s="20"/>
      <c r="M8" s="1">
        <f t="shared" si="5"/>
        <v>2.767763635297182E-3</v>
      </c>
      <c r="N8" s="6" t="e">
        <f t="shared" si="6"/>
        <v>#NUM!</v>
      </c>
      <c r="O8" s="9"/>
      <c r="P8" s="12"/>
    </row>
    <row r="9" spans="1:16">
      <c r="A9" s="4"/>
      <c r="B9" s="5"/>
      <c r="C9" s="1" t="e">
        <f t="shared" si="0"/>
        <v>#NUM!</v>
      </c>
      <c r="D9" s="4"/>
      <c r="E9" s="1">
        <f t="shared" si="1"/>
        <v>1</v>
      </c>
      <c r="F9" s="4"/>
      <c r="G9" s="1">
        <f t="shared" si="2"/>
        <v>100</v>
      </c>
      <c r="H9" s="4"/>
      <c r="I9" s="1">
        <f t="shared" si="3"/>
        <v>-98</v>
      </c>
      <c r="J9" s="4"/>
      <c r="K9" s="1">
        <f t="shared" si="4"/>
        <v>-10</v>
      </c>
      <c r="L9" s="20"/>
      <c r="M9" s="1">
        <f t="shared" si="5"/>
        <v>2.767763635297182E-3</v>
      </c>
      <c r="N9" s="6" t="e">
        <f t="shared" si="6"/>
        <v>#NUM!</v>
      </c>
      <c r="O9" s="9"/>
      <c r="P9" s="12"/>
    </row>
    <row r="10" spans="1:16">
      <c r="A10" s="4"/>
      <c r="B10" s="5"/>
      <c r="C10" s="1" t="e">
        <f t="shared" si="0"/>
        <v>#NUM!</v>
      </c>
      <c r="D10" s="4"/>
      <c r="E10" s="1">
        <f t="shared" si="1"/>
        <v>1</v>
      </c>
      <c r="F10" s="4"/>
      <c r="G10" s="1">
        <f t="shared" si="2"/>
        <v>100</v>
      </c>
      <c r="H10" s="4"/>
      <c r="I10" s="1">
        <f t="shared" si="3"/>
        <v>-98</v>
      </c>
      <c r="J10" s="4"/>
      <c r="K10" s="1">
        <f t="shared" si="4"/>
        <v>-10</v>
      </c>
      <c r="L10" s="20"/>
      <c r="M10" s="1">
        <f t="shared" si="5"/>
        <v>2.767763635297182E-3</v>
      </c>
      <c r="N10" s="6" t="e">
        <f t="shared" si="6"/>
        <v>#NUM!</v>
      </c>
      <c r="O10" s="9"/>
      <c r="P10" s="16"/>
    </row>
    <row r="11" spans="1:16">
      <c r="A11" s="4"/>
      <c r="B11" s="5"/>
      <c r="C11" s="1" t="e">
        <f t="shared" si="0"/>
        <v>#NUM!</v>
      </c>
      <c r="D11" s="4"/>
      <c r="E11" s="1">
        <f t="shared" si="1"/>
        <v>1</v>
      </c>
      <c r="F11" s="4"/>
      <c r="G11" s="1">
        <f t="shared" si="2"/>
        <v>100</v>
      </c>
      <c r="H11" s="4"/>
      <c r="I11" s="1">
        <f t="shared" si="3"/>
        <v>-98</v>
      </c>
      <c r="J11" s="4"/>
      <c r="K11" s="1">
        <f t="shared" si="4"/>
        <v>-10</v>
      </c>
      <c r="L11" s="20"/>
      <c r="M11" s="1">
        <f t="shared" si="5"/>
        <v>2.767763635297182E-3</v>
      </c>
      <c r="N11" s="6" t="e">
        <f t="shared" si="6"/>
        <v>#NUM!</v>
      </c>
      <c r="O11" s="9"/>
      <c r="P11" s="12"/>
    </row>
    <row r="12" spans="1:16">
      <c r="A12" s="4"/>
      <c r="B12" s="5"/>
      <c r="C12" s="1" t="e">
        <f t="shared" si="0"/>
        <v>#NUM!</v>
      </c>
      <c r="D12" s="4"/>
      <c r="E12" s="1">
        <f t="shared" si="1"/>
        <v>1</v>
      </c>
      <c r="F12" s="4"/>
      <c r="G12" s="1">
        <f t="shared" si="2"/>
        <v>100</v>
      </c>
      <c r="H12" s="4"/>
      <c r="I12" s="1">
        <f t="shared" si="3"/>
        <v>-98</v>
      </c>
      <c r="J12" s="4"/>
      <c r="K12" s="1">
        <f t="shared" si="4"/>
        <v>-10</v>
      </c>
      <c r="L12" s="20"/>
      <c r="M12" s="1">
        <f t="shared" si="5"/>
        <v>2.767763635297182E-3</v>
      </c>
      <c r="N12" s="6" t="e">
        <f t="shared" si="6"/>
        <v>#NUM!</v>
      </c>
      <c r="O12" s="9"/>
      <c r="P12" s="12"/>
    </row>
    <row r="13" spans="1:16">
      <c r="A13" s="4"/>
      <c r="B13" s="5"/>
      <c r="C13" s="1" t="e">
        <f t="shared" si="0"/>
        <v>#NUM!</v>
      </c>
      <c r="D13" s="4"/>
      <c r="E13" s="1">
        <f t="shared" si="1"/>
        <v>1</v>
      </c>
      <c r="F13" s="4"/>
      <c r="G13" s="1">
        <f t="shared" si="2"/>
        <v>100</v>
      </c>
      <c r="H13" s="4"/>
      <c r="I13" s="1">
        <f t="shared" si="3"/>
        <v>-98</v>
      </c>
      <c r="J13" s="4"/>
      <c r="K13" s="1">
        <f t="shared" si="4"/>
        <v>-10</v>
      </c>
      <c r="L13" s="20"/>
      <c r="M13" s="1">
        <f t="shared" si="5"/>
        <v>2.767763635297182E-3</v>
      </c>
      <c r="N13" s="6" t="e">
        <f t="shared" si="6"/>
        <v>#NUM!</v>
      </c>
      <c r="O13" s="9"/>
      <c r="P13" s="12"/>
    </row>
    <row r="14" spans="1:16">
      <c r="B14" s="7" t="s">
        <v>19</v>
      </c>
    </row>
    <row r="17" spans="1:24" hidden="1">
      <c r="A17" s="4" t="s">
        <v>8</v>
      </c>
      <c r="B17" s="5">
        <v>950</v>
      </c>
      <c r="C17" s="1">
        <f t="shared" ref="C17" si="8">(LN(B17)-LN(300))/(LN(159400)-LN(300))*100</f>
        <v>18.36825422478281</v>
      </c>
      <c r="D17" s="4">
        <v>0.8</v>
      </c>
      <c r="E17" s="1">
        <f>100/(1+99*EXP(1)^(-$A$21*D17))</f>
        <v>2.063530445672018</v>
      </c>
      <c r="F17" s="4">
        <v>21</v>
      </c>
      <c r="G17" s="1">
        <f t="shared" ref="G17" si="9">IF(F17&lt;2.5,100,IF(F17&gt;25,1,-(99/22.5)*F17+111))</f>
        <v>18.599999999999994</v>
      </c>
      <c r="H17" s="4">
        <v>57</v>
      </c>
      <c r="I17" s="1">
        <f t="shared" ref="I17" si="10">1.98*H17-98</f>
        <v>14.86</v>
      </c>
      <c r="J17" s="4">
        <v>42</v>
      </c>
      <c r="K17" s="1">
        <f t="shared" ref="K17" si="11">1.1*J17-10</f>
        <v>36.200000000000003</v>
      </c>
      <c r="L17" s="1">
        <v>56.8</v>
      </c>
      <c r="M17" s="1">
        <f t="shared" ref="M17" si="12">100/(1+36129.25286*EXP(-0.155256271*L17))</f>
        <v>15.758577258958317</v>
      </c>
      <c r="N17" s="6">
        <f t="shared" ref="N17" si="13">(C17*E17*G17*I17*K17*M17)^(1/6)</f>
        <v>13.471191668125686</v>
      </c>
    </row>
    <row r="18" spans="1:24" hidden="1"/>
    <row r="19" spans="1:24" hidden="1"/>
    <row r="20" spans="1:24" hidden="1"/>
    <row r="21" spans="1:24">
      <c r="A21" s="3">
        <f>LN(99)/5</f>
        <v>0.91902397002691794</v>
      </c>
      <c r="B21" s="7" t="s">
        <v>16</v>
      </c>
      <c r="C21" s="7"/>
      <c r="D21"/>
      <c r="E21" s="11"/>
      <c r="F21"/>
      <c r="P21"/>
    </row>
    <row r="22" spans="1:24">
      <c r="A22">
        <v>3.1880000000000002</v>
      </c>
      <c r="B22" s="10" t="s">
        <v>18</v>
      </c>
      <c r="C22" s="7"/>
      <c r="D22"/>
      <c r="E22" s="11"/>
      <c r="F22"/>
      <c r="P22"/>
    </row>
    <row r="23" spans="1:24">
      <c r="B23" s="13"/>
      <c r="C23" s="14"/>
      <c r="D23" s="14"/>
      <c r="E23" s="14"/>
      <c r="F23" s="15"/>
      <c r="P23" s="7"/>
      <c r="Q23" s="7"/>
      <c r="R23" s="7"/>
      <c r="S23" s="7"/>
      <c r="T23" s="7"/>
      <c r="U23" s="7"/>
      <c r="V23" s="7"/>
      <c r="W23" s="7"/>
      <c r="X23" s="7"/>
    </row>
    <row r="24" spans="1:24">
      <c r="B24" s="13"/>
      <c r="C24" s="14"/>
      <c r="D24" s="14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B25" s="13"/>
      <c r="C25" s="14"/>
      <c r="D25" s="14"/>
      <c r="P25" s="7"/>
      <c r="Q25" s="7"/>
      <c r="R25" s="7"/>
      <c r="S25" s="7"/>
      <c r="T25" s="7"/>
      <c r="U25" s="7"/>
      <c r="V25" s="7"/>
      <c r="W25" s="7"/>
      <c r="X25" s="7"/>
    </row>
    <row r="26" spans="1:24">
      <c r="B26" s="13"/>
      <c r="C26" s="14"/>
      <c r="D26" s="14"/>
      <c r="P26" s="7"/>
      <c r="Q26" s="7"/>
      <c r="R26" s="7"/>
      <c r="S26" s="7"/>
      <c r="T26" s="7"/>
      <c r="U26" s="7"/>
      <c r="V26" s="7"/>
      <c r="W26" s="7"/>
      <c r="X26" s="7"/>
    </row>
    <row r="27" spans="1:24">
      <c r="B27" s="13"/>
      <c r="C27" s="14"/>
      <c r="D27" s="14"/>
      <c r="P27" s="7"/>
      <c r="Q27" s="7"/>
      <c r="R27" s="7"/>
      <c r="S27" s="7"/>
      <c r="T27" s="7"/>
      <c r="U27" s="7"/>
      <c r="V27" s="7"/>
      <c r="W27" s="7"/>
      <c r="X27" s="7"/>
    </row>
    <row r="28" spans="1:24">
      <c r="B28" s="13"/>
      <c r="C28" s="14"/>
      <c r="D28" s="14"/>
      <c r="P28" s="7"/>
      <c r="Q28" s="7"/>
      <c r="R28" s="7"/>
      <c r="S28" s="7"/>
      <c r="T28" s="7"/>
      <c r="U28" s="7"/>
      <c r="V28" s="7"/>
      <c r="W28" s="7"/>
      <c r="X28" s="7"/>
    </row>
  </sheetData>
  <sortState ref="A2:A7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8"/>
  <sheetViews>
    <sheetView zoomScale="90" zoomScaleNormal="90" workbookViewId="0">
      <selection activeCell="P22" sqref="P22"/>
    </sheetView>
  </sheetViews>
  <sheetFormatPr defaultRowHeight="15"/>
  <cols>
    <col min="1" max="1" width="11.875" style="7" bestFit="1" customWidth="1"/>
    <col min="2" max="2" width="7.25" style="7" bestFit="1" customWidth="1"/>
    <col min="3" max="3" width="6.5" style="8" bestFit="1" customWidth="1"/>
    <col min="4" max="4" width="5.875" style="7" bestFit="1" customWidth="1"/>
    <col min="5" max="5" width="4.375" style="7" bestFit="1" customWidth="1"/>
    <col min="6" max="6" width="5.875" style="7" bestFit="1" customWidth="1"/>
    <col min="7" max="7" width="5.375" style="7" bestFit="1" customWidth="1"/>
    <col min="8" max="8" width="4.875" style="7" bestFit="1" customWidth="1"/>
    <col min="9" max="9" width="5" style="7" bestFit="1" customWidth="1"/>
    <col min="10" max="10" width="5.875" style="7" bestFit="1" customWidth="1"/>
    <col min="11" max="11" width="5" style="7" bestFit="1" customWidth="1"/>
    <col min="12" max="13" width="4.375" style="7" bestFit="1" customWidth="1"/>
    <col min="14" max="14" width="6.5" style="7" bestFit="1" customWidth="1"/>
    <col min="15" max="15" width="5.25" bestFit="1" customWidth="1"/>
    <col min="16" max="16" width="13.375" style="11" bestFit="1" customWidth="1"/>
    <col min="18" max="18" width="34.875" bestFit="1" customWidth="1"/>
  </cols>
  <sheetData>
    <row r="1" spans="1:16" s="2" customFormat="1">
      <c r="A1" s="17" t="s">
        <v>0</v>
      </c>
      <c r="B1" s="17" t="s">
        <v>21</v>
      </c>
      <c r="C1" s="18" t="s">
        <v>22</v>
      </c>
      <c r="D1" s="17" t="s">
        <v>8</v>
      </c>
      <c r="E1" s="18" t="s">
        <v>22</v>
      </c>
      <c r="F1" s="17" t="s">
        <v>23</v>
      </c>
      <c r="G1" s="18" t="s">
        <v>22</v>
      </c>
      <c r="H1" s="17" t="s">
        <v>26</v>
      </c>
      <c r="I1" s="18" t="s">
        <v>22</v>
      </c>
      <c r="J1" s="17" t="s">
        <v>27</v>
      </c>
      <c r="K1" s="18" t="s">
        <v>22</v>
      </c>
      <c r="L1" s="17" t="s">
        <v>28</v>
      </c>
      <c r="M1" s="18" t="s">
        <v>22</v>
      </c>
      <c r="N1" s="17" t="s">
        <v>24</v>
      </c>
      <c r="O1" s="17" t="s">
        <v>25</v>
      </c>
      <c r="P1" s="19" t="s">
        <v>20</v>
      </c>
    </row>
    <row r="2" spans="1:16">
      <c r="A2" s="4" t="s">
        <v>11</v>
      </c>
      <c r="B2" s="5">
        <f>24934.13/A22</f>
        <v>7821.2452948557084</v>
      </c>
      <c r="C2" s="1">
        <f t="shared" ref="C2:C13" si="0">(LN(B2)-LN(300))/(LN(159400)-LN(300))*100</f>
        <v>51.961978684250674</v>
      </c>
      <c r="D2" s="4">
        <v>10.31</v>
      </c>
      <c r="E2" s="1">
        <f t="shared" ref="E2:E13" si="1">100/(1+99*EXP(1)^(-$A$21*D2))</f>
        <v>99.246039475112056</v>
      </c>
      <c r="F2" s="4">
        <v>6.51</v>
      </c>
      <c r="G2" s="1">
        <f t="shared" ref="G2:G13" si="2">IF(F2&lt;2.5,100,IF(F2&gt;25,1,-(99/22.5)*F2+111))</f>
        <v>82.355999999999995</v>
      </c>
      <c r="H2" s="4">
        <v>97.3</v>
      </c>
      <c r="I2" s="1">
        <f t="shared" ref="I2:I13" si="3">1.98*H2-98</f>
        <v>94.653999999999996</v>
      </c>
      <c r="J2" s="4">
        <v>99.71</v>
      </c>
      <c r="K2" s="1">
        <f t="shared" ref="K2:K13" si="4">1.1*J2-10</f>
        <v>99.680999999999997</v>
      </c>
      <c r="L2" s="21">
        <v>76.400000000000006</v>
      </c>
      <c r="M2" s="1">
        <f t="shared" ref="M2:M13" si="5">100/(1+36129.25286*EXP(-0.155256271*L2))</f>
        <v>79.684985864857438</v>
      </c>
      <c r="N2" s="6">
        <f t="shared" ref="N2:N13" si="6">(C2*E2*G2*I2*K2*M2)^(1/6)</f>
        <v>82.674262218141351</v>
      </c>
      <c r="O2" s="9">
        <v>810</v>
      </c>
      <c r="P2" s="12">
        <f>(N2*10)/O2 - 100%</f>
        <v>2.0669903927670985E-2</v>
      </c>
    </row>
    <row r="3" spans="1:16">
      <c r="A3" s="4" t="s">
        <v>12</v>
      </c>
      <c r="B3" s="5">
        <f>30286.07/A22</f>
        <v>9500.0219573400245</v>
      </c>
      <c r="C3" s="1">
        <f t="shared" si="0"/>
        <v>55.060596243639559</v>
      </c>
      <c r="D3" s="4">
        <v>8.2799999999999994</v>
      </c>
      <c r="E3" s="1">
        <f t="shared" si="1"/>
        <v>95.322038597849129</v>
      </c>
      <c r="F3" s="4">
        <v>5.55</v>
      </c>
      <c r="G3" s="1">
        <f t="shared" si="2"/>
        <v>86.58</v>
      </c>
      <c r="H3" s="4">
        <v>97.8</v>
      </c>
      <c r="I3" s="1">
        <f t="shared" si="3"/>
        <v>95.644000000000005</v>
      </c>
      <c r="J3" s="4">
        <v>99.35</v>
      </c>
      <c r="K3" s="1">
        <f t="shared" si="4"/>
        <v>99.284999999999997</v>
      </c>
      <c r="L3" s="21">
        <v>76.900000000000006</v>
      </c>
      <c r="M3" s="1">
        <f t="shared" si="5"/>
        <v>80.912723041582595</v>
      </c>
      <c r="N3" s="6">
        <f t="shared" si="6"/>
        <v>83.914111441078475</v>
      </c>
      <c r="O3" s="9">
        <v>805</v>
      </c>
      <c r="P3" s="12">
        <f t="shared" ref="P3:P7" si="7">(N3*10)/O3 - 100%</f>
        <v>4.2411322249422012E-2</v>
      </c>
    </row>
    <row r="4" spans="1:16">
      <c r="A4" s="4" t="s">
        <v>13</v>
      </c>
      <c r="B4" s="5">
        <f>21598.63/A22</f>
        <v>6774.9780426599746</v>
      </c>
      <c r="C4" s="1">
        <f t="shared" si="0"/>
        <v>49.673552455036699</v>
      </c>
      <c r="D4" s="4">
        <v>8.2200000000000006</v>
      </c>
      <c r="E4" s="1">
        <f t="shared" si="1"/>
        <v>95.069918958097063</v>
      </c>
      <c r="F4" s="4">
        <v>12.47</v>
      </c>
      <c r="G4" s="1">
        <f t="shared" si="2"/>
        <v>56.131999999999991</v>
      </c>
      <c r="H4" s="4">
        <v>93.2</v>
      </c>
      <c r="I4" s="1">
        <f t="shared" si="3"/>
        <v>86.536000000000001</v>
      </c>
      <c r="J4" s="4">
        <v>86.74</v>
      </c>
      <c r="K4" s="1">
        <f t="shared" si="4"/>
        <v>85.414000000000001</v>
      </c>
      <c r="L4" s="21">
        <v>72.599999999999994</v>
      </c>
      <c r="M4" s="1">
        <f t="shared" si="5"/>
        <v>68.497862287595865</v>
      </c>
      <c r="N4" s="6">
        <f t="shared" si="6"/>
        <v>71.553402914441861</v>
      </c>
      <c r="O4" s="9">
        <v>772</v>
      </c>
      <c r="P4" s="12">
        <f t="shared" si="7"/>
        <v>-7.3142449294794631E-2</v>
      </c>
    </row>
    <row r="5" spans="1:16">
      <c r="A5" s="4" t="s">
        <v>10</v>
      </c>
      <c r="B5" s="5">
        <f>32877.91/A22</f>
        <v>10313.020702634882</v>
      </c>
      <c r="C5" s="1">
        <f t="shared" si="0"/>
        <v>56.369090830870739</v>
      </c>
      <c r="D5" s="4">
        <v>5.7</v>
      </c>
      <c r="E5" s="1">
        <f t="shared" si="1"/>
        <v>65.550283770613419</v>
      </c>
      <c r="F5" s="4">
        <v>7.28</v>
      </c>
      <c r="G5" s="1">
        <f t="shared" si="2"/>
        <v>78.967999999999989</v>
      </c>
      <c r="H5" s="4">
        <v>97.2</v>
      </c>
      <c r="I5" s="1">
        <f t="shared" si="3"/>
        <v>94.456000000000017</v>
      </c>
      <c r="J5" s="4">
        <v>98.47</v>
      </c>
      <c r="K5" s="1">
        <f t="shared" si="4"/>
        <v>98.317000000000007</v>
      </c>
      <c r="L5" s="21">
        <v>75.2</v>
      </c>
      <c r="M5" s="1">
        <f t="shared" si="5"/>
        <v>76.502213224173445</v>
      </c>
      <c r="N5" s="6">
        <f t="shared" si="6"/>
        <v>76.930723865476637</v>
      </c>
      <c r="O5" s="9">
        <v>799</v>
      </c>
      <c r="P5" s="12">
        <f t="shared" si="7"/>
        <v>-3.7162404687401285E-2</v>
      </c>
    </row>
    <row r="6" spans="1:16">
      <c r="A6" s="4" t="s">
        <v>14</v>
      </c>
      <c r="B6" s="5">
        <f>15035.08/A22</f>
        <v>4716.1480552070261</v>
      </c>
      <c r="C6" s="1">
        <f t="shared" si="0"/>
        <v>43.901102070428671</v>
      </c>
      <c r="D6" s="4">
        <v>6.85</v>
      </c>
      <c r="E6" s="1">
        <f t="shared" si="1"/>
        <v>84.556011572708826</v>
      </c>
      <c r="F6" s="4">
        <v>13.06</v>
      </c>
      <c r="G6" s="1">
        <f t="shared" si="2"/>
        <v>53.535999999999994</v>
      </c>
      <c r="H6" s="4">
        <v>96.1</v>
      </c>
      <c r="I6" s="1">
        <f t="shared" si="3"/>
        <v>92.277999999999992</v>
      </c>
      <c r="J6" s="4">
        <v>98.89</v>
      </c>
      <c r="K6" s="1">
        <f t="shared" si="4"/>
        <v>98.779000000000011</v>
      </c>
      <c r="L6" s="21">
        <v>72.7</v>
      </c>
      <c r="M6" s="1">
        <f t="shared" si="5"/>
        <v>68.831912713148924</v>
      </c>
      <c r="N6" s="6">
        <f t="shared" si="6"/>
        <v>70.681063907114961</v>
      </c>
      <c r="O6" s="9">
        <v>759</v>
      </c>
      <c r="P6" s="12">
        <f t="shared" si="7"/>
        <v>-6.8760686335771259E-2</v>
      </c>
    </row>
    <row r="7" spans="1:16">
      <c r="A7" s="4" t="s">
        <v>9</v>
      </c>
      <c r="B7" s="5">
        <f>39749.57/A22</f>
        <v>12468.497490589711</v>
      </c>
      <c r="C7" s="1">
        <f t="shared" si="0"/>
        <v>59.39357269933825</v>
      </c>
      <c r="D7" s="4">
        <v>5.57</v>
      </c>
      <c r="E7" s="1">
        <f t="shared" si="1"/>
        <v>62.804610312111592</v>
      </c>
      <c r="F7" s="4">
        <v>7.48</v>
      </c>
      <c r="G7" s="1">
        <f t="shared" si="2"/>
        <v>78.087999999999994</v>
      </c>
      <c r="H7" s="4">
        <v>96.9</v>
      </c>
      <c r="I7" s="1">
        <f t="shared" si="3"/>
        <v>93.862000000000023</v>
      </c>
      <c r="J7" s="4">
        <v>99.09</v>
      </c>
      <c r="K7" s="1">
        <f t="shared" si="4"/>
        <v>98.999000000000009</v>
      </c>
      <c r="L7" s="21">
        <v>77.2</v>
      </c>
      <c r="M7" s="1">
        <f t="shared" si="5"/>
        <v>81.62172159058872</v>
      </c>
      <c r="N7" s="6">
        <f t="shared" si="6"/>
        <v>77.751171179907587</v>
      </c>
      <c r="O7" s="9">
        <v>805</v>
      </c>
      <c r="P7" s="12">
        <f t="shared" si="7"/>
        <v>-3.4146941864501956E-2</v>
      </c>
    </row>
    <row r="8" spans="1:16">
      <c r="A8" s="4"/>
      <c r="B8" s="5"/>
      <c r="C8" s="1" t="e">
        <f t="shared" si="0"/>
        <v>#NUM!</v>
      </c>
      <c r="D8" s="4"/>
      <c r="E8" s="1">
        <f t="shared" si="1"/>
        <v>1</v>
      </c>
      <c r="F8" s="4"/>
      <c r="G8" s="1">
        <f t="shared" si="2"/>
        <v>100</v>
      </c>
      <c r="H8" s="4"/>
      <c r="I8" s="1">
        <f t="shared" si="3"/>
        <v>-98</v>
      </c>
      <c r="J8" s="4"/>
      <c r="K8" s="1">
        <f t="shared" si="4"/>
        <v>-10</v>
      </c>
      <c r="L8" s="20"/>
      <c r="M8" s="1">
        <f t="shared" si="5"/>
        <v>2.767763635297182E-3</v>
      </c>
      <c r="N8" s="6" t="e">
        <f t="shared" si="6"/>
        <v>#NUM!</v>
      </c>
      <c r="O8" s="9"/>
      <c r="P8" s="12"/>
    </row>
    <row r="9" spans="1:16">
      <c r="A9" s="4"/>
      <c r="B9" s="5"/>
      <c r="C9" s="1" t="e">
        <f t="shared" si="0"/>
        <v>#NUM!</v>
      </c>
      <c r="D9" s="4"/>
      <c r="E9" s="1">
        <f t="shared" si="1"/>
        <v>1</v>
      </c>
      <c r="F9" s="4"/>
      <c r="G9" s="1">
        <f t="shared" si="2"/>
        <v>100</v>
      </c>
      <c r="H9" s="4"/>
      <c r="I9" s="1">
        <f t="shared" si="3"/>
        <v>-98</v>
      </c>
      <c r="J9" s="4"/>
      <c r="K9" s="1">
        <f t="shared" si="4"/>
        <v>-10</v>
      </c>
      <c r="L9" s="20"/>
      <c r="M9" s="1">
        <f t="shared" si="5"/>
        <v>2.767763635297182E-3</v>
      </c>
      <c r="N9" s="6" t="e">
        <f t="shared" si="6"/>
        <v>#NUM!</v>
      </c>
      <c r="O9" s="9"/>
      <c r="P9" s="12"/>
    </row>
    <row r="10" spans="1:16">
      <c r="A10" s="4"/>
      <c r="B10" s="5"/>
      <c r="C10" s="1" t="e">
        <f t="shared" si="0"/>
        <v>#NUM!</v>
      </c>
      <c r="D10" s="4"/>
      <c r="E10" s="1">
        <f t="shared" si="1"/>
        <v>1</v>
      </c>
      <c r="F10" s="4"/>
      <c r="G10" s="1">
        <f t="shared" si="2"/>
        <v>100</v>
      </c>
      <c r="H10" s="4"/>
      <c r="I10" s="1">
        <f t="shared" si="3"/>
        <v>-98</v>
      </c>
      <c r="J10" s="4"/>
      <c r="K10" s="1">
        <f t="shared" si="4"/>
        <v>-10</v>
      </c>
      <c r="L10" s="20"/>
      <c r="M10" s="1">
        <f t="shared" si="5"/>
        <v>2.767763635297182E-3</v>
      </c>
      <c r="N10" s="6" t="e">
        <f t="shared" si="6"/>
        <v>#NUM!</v>
      </c>
      <c r="O10" s="9"/>
      <c r="P10" s="16"/>
    </row>
    <row r="11" spans="1:16">
      <c r="A11" s="4"/>
      <c r="B11" s="5"/>
      <c r="C11" s="1" t="e">
        <f t="shared" si="0"/>
        <v>#NUM!</v>
      </c>
      <c r="D11" s="4"/>
      <c r="E11" s="1">
        <f t="shared" si="1"/>
        <v>1</v>
      </c>
      <c r="F11" s="4"/>
      <c r="G11" s="1">
        <f t="shared" si="2"/>
        <v>100</v>
      </c>
      <c r="H11" s="4"/>
      <c r="I11" s="1">
        <f t="shared" si="3"/>
        <v>-98</v>
      </c>
      <c r="J11" s="4"/>
      <c r="K11" s="1">
        <f t="shared" si="4"/>
        <v>-10</v>
      </c>
      <c r="L11" s="20"/>
      <c r="M11" s="1">
        <f t="shared" si="5"/>
        <v>2.767763635297182E-3</v>
      </c>
      <c r="N11" s="6" t="e">
        <f t="shared" si="6"/>
        <v>#NUM!</v>
      </c>
      <c r="O11" s="9"/>
      <c r="P11" s="12"/>
    </row>
    <row r="12" spans="1:16">
      <c r="A12" s="4"/>
      <c r="B12" s="5"/>
      <c r="C12" s="1" t="e">
        <f t="shared" si="0"/>
        <v>#NUM!</v>
      </c>
      <c r="D12" s="4"/>
      <c r="E12" s="1">
        <f t="shared" si="1"/>
        <v>1</v>
      </c>
      <c r="F12" s="4"/>
      <c r="G12" s="1">
        <f t="shared" si="2"/>
        <v>100</v>
      </c>
      <c r="H12" s="4"/>
      <c r="I12" s="1">
        <f t="shared" si="3"/>
        <v>-98</v>
      </c>
      <c r="J12" s="4"/>
      <c r="K12" s="1">
        <f t="shared" si="4"/>
        <v>-10</v>
      </c>
      <c r="L12" s="20"/>
      <c r="M12" s="1">
        <f t="shared" si="5"/>
        <v>2.767763635297182E-3</v>
      </c>
      <c r="N12" s="6" t="e">
        <f t="shared" si="6"/>
        <v>#NUM!</v>
      </c>
      <c r="O12" s="9"/>
      <c r="P12" s="12"/>
    </row>
    <row r="13" spans="1:16">
      <c r="A13" s="4"/>
      <c r="B13" s="5"/>
      <c r="C13" s="1" t="e">
        <f t="shared" si="0"/>
        <v>#NUM!</v>
      </c>
      <c r="D13" s="4"/>
      <c r="E13" s="1">
        <f t="shared" si="1"/>
        <v>1</v>
      </c>
      <c r="F13" s="4"/>
      <c r="G13" s="1">
        <f t="shared" si="2"/>
        <v>100</v>
      </c>
      <c r="H13" s="4"/>
      <c r="I13" s="1">
        <f t="shared" si="3"/>
        <v>-98</v>
      </c>
      <c r="J13" s="4"/>
      <c r="K13" s="1">
        <f t="shared" si="4"/>
        <v>-10</v>
      </c>
      <c r="L13" s="20"/>
      <c r="M13" s="1">
        <f t="shared" si="5"/>
        <v>2.767763635297182E-3</v>
      </c>
      <c r="N13" s="6" t="e">
        <f t="shared" si="6"/>
        <v>#NUM!</v>
      </c>
      <c r="O13" s="9"/>
      <c r="P13" s="12"/>
    </row>
    <row r="17" spans="1:24" hidden="1">
      <c r="A17" s="4" t="s">
        <v>8</v>
      </c>
      <c r="B17" s="5">
        <v>950</v>
      </c>
      <c r="C17" s="1">
        <f t="shared" ref="C17" si="8">(LN(B17)-LN(300))/(LN(159400)-LN(300))*100</f>
        <v>18.36825422478281</v>
      </c>
      <c r="D17" s="4">
        <v>0.8</v>
      </c>
      <c r="E17" s="1">
        <f>100/(1+99*EXP(1)^(-$A$21*D17))</f>
        <v>2.063530445672018</v>
      </c>
      <c r="F17" s="4">
        <v>21</v>
      </c>
      <c r="G17" s="1">
        <f t="shared" ref="G17" si="9">IF(F17&lt;2.5,100,IF(F17&gt;25,1,-(99/22.5)*F17+111))</f>
        <v>18.599999999999994</v>
      </c>
      <c r="H17" s="4">
        <v>57</v>
      </c>
      <c r="I17" s="1">
        <f t="shared" ref="I17" si="10">1.98*H17-98</f>
        <v>14.86</v>
      </c>
      <c r="J17" s="4">
        <v>42</v>
      </c>
      <c r="K17" s="1">
        <f t="shared" ref="K17" si="11">1.1*J17-10</f>
        <v>36.200000000000003</v>
      </c>
      <c r="L17" s="1">
        <v>56.8</v>
      </c>
      <c r="M17" s="1">
        <f t="shared" ref="M17" si="12">100/(1+36129.25286*EXP(-0.155256271*L17))</f>
        <v>15.758577258958317</v>
      </c>
      <c r="N17" s="6">
        <f t="shared" ref="N17" si="13">(C17*E17*G17*I17*K17*M17)^(1/6)</f>
        <v>13.471191668125686</v>
      </c>
    </row>
    <row r="18" spans="1:24" hidden="1"/>
    <row r="19" spans="1:24" hidden="1"/>
    <row r="20" spans="1:24" hidden="1"/>
    <row r="21" spans="1:24">
      <c r="A21" s="3">
        <f>LN(99)/5</f>
        <v>0.91902397002691794</v>
      </c>
      <c r="B21" s="7" t="s">
        <v>16</v>
      </c>
      <c r="C21" s="7"/>
      <c r="D21"/>
      <c r="E21" s="11"/>
      <c r="F21"/>
      <c r="P21"/>
    </row>
    <row r="22" spans="1:24">
      <c r="A22">
        <v>3.1880000000000002</v>
      </c>
      <c r="C22" s="7"/>
      <c r="D22"/>
      <c r="E22" s="11"/>
      <c r="F22"/>
      <c r="P22"/>
    </row>
    <row r="23" spans="1:24">
      <c r="B23" s="13"/>
      <c r="C23" s="14"/>
      <c r="D23" s="14"/>
      <c r="E23" s="14"/>
      <c r="F23" s="15"/>
      <c r="P23" s="7"/>
      <c r="Q23" s="7"/>
      <c r="R23" s="7"/>
      <c r="S23" s="7"/>
      <c r="T23" s="7"/>
      <c r="U23" s="7"/>
      <c r="V23" s="7"/>
      <c r="W23" s="7"/>
      <c r="X23" s="7"/>
    </row>
    <row r="24" spans="1:24">
      <c r="A24" s="10" t="s">
        <v>18</v>
      </c>
      <c r="B24" s="13"/>
      <c r="C24" s="14"/>
      <c r="D24" s="14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7" t="s">
        <v>19</v>
      </c>
      <c r="B25" s="13"/>
      <c r="C25" s="14"/>
      <c r="D25" s="14"/>
      <c r="P25" s="7"/>
      <c r="Q25" s="7"/>
      <c r="R25" s="7"/>
      <c r="S25" s="7"/>
      <c r="T25" s="7"/>
      <c r="U25" s="7"/>
      <c r="V25" s="7"/>
      <c r="W25" s="7"/>
      <c r="X25" s="7"/>
    </row>
    <row r="26" spans="1:24">
      <c r="B26" s="13"/>
      <c r="C26" s="14"/>
      <c r="D26" s="14"/>
      <c r="P26" s="7"/>
      <c r="Q26" s="7"/>
      <c r="R26" s="7"/>
      <c r="S26" s="7"/>
      <c r="T26" s="7"/>
      <c r="U26" s="7"/>
      <c r="V26" s="7"/>
      <c r="W26" s="7"/>
      <c r="X26" s="7"/>
    </row>
    <row r="27" spans="1:24">
      <c r="B27" s="13"/>
      <c r="C27" s="14"/>
      <c r="D27" s="14"/>
      <c r="P27" s="7"/>
      <c r="Q27" s="7"/>
      <c r="R27" s="7"/>
      <c r="S27" s="7"/>
      <c r="T27" s="7"/>
      <c r="U27" s="7"/>
      <c r="V27" s="7"/>
      <c r="W27" s="7"/>
      <c r="X27" s="7"/>
    </row>
    <row r="28" spans="1:24">
      <c r="B28" s="13"/>
      <c r="C28" s="14"/>
      <c r="D28" s="14"/>
      <c r="P28" s="7"/>
      <c r="Q28" s="7"/>
      <c r="R28" s="7"/>
      <c r="S28" s="7"/>
      <c r="T28" s="7"/>
      <c r="U28" s="7"/>
      <c r="V28" s="7"/>
      <c r="W28" s="7"/>
      <c r="X28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CAPITAIS BRASILEIRAS</vt:lpstr>
      <vt:lpstr>Tab Ap.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2016-09-23T21:32:20Z</dcterms:modified>
</cp:coreProperties>
</file>