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480" windowHeight="8445"/>
  </bookViews>
  <sheets>
    <sheet name="Exemplo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V18" i="1" l="1"/>
  <c r="V15" i="1" s="1"/>
  <c r="U18" i="1"/>
  <c r="U15" i="1" s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U24" i="1" s="1"/>
  <c r="T9" i="1"/>
  <c r="T24" i="1" s="1"/>
  <c r="V8" i="1"/>
  <c r="U8" i="1"/>
  <c r="T8" i="1"/>
  <c r="V7" i="1"/>
  <c r="U7" i="1"/>
  <c r="T7" i="1"/>
  <c r="V6" i="1"/>
  <c r="U6" i="1"/>
  <c r="T6" i="1"/>
  <c r="V5" i="1"/>
  <c r="U5" i="1"/>
  <c r="T5" i="1"/>
  <c r="T22" i="1" s="1"/>
  <c r="V4" i="1"/>
  <c r="U4" i="1"/>
  <c r="T4" i="1"/>
  <c r="V3" i="1"/>
  <c r="V23" i="1" s="1"/>
  <c r="U3" i="1"/>
  <c r="U23" i="1" s="1"/>
  <c r="T3" i="1"/>
  <c r="T23" i="1" s="1"/>
  <c r="V24" i="1"/>
  <c r="V22" i="1"/>
  <c r="U22" i="1"/>
  <c r="V21" i="1"/>
  <c r="U21" i="1"/>
  <c r="T21" i="1"/>
  <c r="V20" i="1"/>
  <c r="U20" i="1"/>
  <c r="T20" i="1"/>
  <c r="T16" i="1" l="1"/>
  <c r="U16" i="1"/>
  <c r="V16" i="1"/>
  <c r="P76" i="1" l="1"/>
  <c r="P80" i="1"/>
  <c r="P77" i="1"/>
  <c r="P75" i="1"/>
  <c r="P74" i="1"/>
  <c r="P70" i="1"/>
  <c r="P68" i="1"/>
  <c r="P67" i="1"/>
  <c r="M76" i="1"/>
  <c r="M75" i="1"/>
  <c r="M74" i="1"/>
  <c r="M70" i="1"/>
  <c r="M69" i="1"/>
  <c r="M68" i="1"/>
  <c r="M67" i="1"/>
  <c r="J78" i="1"/>
  <c r="J77" i="1"/>
  <c r="J76" i="1"/>
  <c r="J75" i="1"/>
  <c r="J74" i="1"/>
  <c r="J71" i="1"/>
  <c r="J70" i="1"/>
  <c r="J69" i="1"/>
  <c r="J68" i="1"/>
  <c r="J67" i="1"/>
  <c r="N77" i="1"/>
  <c r="N76" i="1"/>
  <c r="N75" i="1"/>
  <c r="N74" i="1"/>
  <c r="N70" i="1"/>
  <c r="N69" i="1"/>
  <c r="N68" i="1"/>
  <c r="N67" i="1"/>
  <c r="K77" i="1"/>
  <c r="K76" i="1"/>
  <c r="K75" i="1"/>
  <c r="K74" i="1"/>
  <c r="K71" i="1"/>
  <c r="K70" i="1"/>
  <c r="K68" i="1"/>
  <c r="K67" i="1"/>
  <c r="H81" i="1"/>
  <c r="H79" i="1"/>
  <c r="H78" i="1"/>
  <c r="H77" i="1"/>
  <c r="H76" i="1"/>
  <c r="H75" i="1"/>
  <c r="H74" i="1"/>
  <c r="H70" i="1"/>
  <c r="H69" i="1"/>
  <c r="H68" i="1"/>
  <c r="H67" i="1"/>
  <c r="M45" i="1"/>
  <c r="J60" i="1"/>
  <c r="J49" i="1"/>
  <c r="J48" i="1"/>
  <c r="P8" i="1"/>
  <c r="O78" i="1"/>
  <c r="P78" i="1" s="1"/>
  <c r="L78" i="1"/>
  <c r="M78" i="1" s="1"/>
  <c r="I78" i="1"/>
  <c r="O69" i="1"/>
  <c r="O71" i="1" s="1"/>
  <c r="N71" i="1" s="1"/>
  <c r="L69" i="1"/>
  <c r="L71" i="1" s="1"/>
  <c r="M71" i="1" s="1"/>
  <c r="I69" i="1"/>
  <c r="I71" i="1" s="1"/>
  <c r="I79" i="1" s="1"/>
  <c r="I81" i="1" s="1"/>
  <c r="J81" i="1" s="1"/>
  <c r="O60" i="1"/>
  <c r="P60" i="1" s="1"/>
  <c r="L60" i="1"/>
  <c r="M60" i="1" s="1"/>
  <c r="O59" i="1"/>
  <c r="O62" i="1" s="1"/>
  <c r="L59" i="1"/>
  <c r="L62" i="1" s="1"/>
  <c r="I60" i="1"/>
  <c r="I59" i="1"/>
  <c r="I62" i="1" s="1"/>
  <c r="J62" i="1" s="1"/>
  <c r="O49" i="1"/>
  <c r="P49" i="1" s="1"/>
  <c r="L49" i="1"/>
  <c r="O48" i="1"/>
  <c r="P48" i="1" s="1"/>
  <c r="L48" i="1"/>
  <c r="O47" i="1"/>
  <c r="L47" i="1"/>
  <c r="O46" i="1"/>
  <c r="P46" i="1" s="1"/>
  <c r="L46" i="1"/>
  <c r="O45" i="1"/>
  <c r="P45" i="1" s="1"/>
  <c r="L45" i="1"/>
  <c r="I48" i="1"/>
  <c r="I49" i="1"/>
  <c r="I47" i="1"/>
  <c r="J47" i="1" s="1"/>
  <c r="I46" i="1"/>
  <c r="J46" i="1" s="1"/>
  <c r="I45" i="1"/>
  <c r="J45" i="1" s="1"/>
  <c r="O8" i="1"/>
  <c r="L8" i="1"/>
  <c r="M8" i="1" s="1"/>
  <c r="I8" i="1"/>
  <c r="J8" i="1" s="1"/>
  <c r="N78" i="1" l="1"/>
  <c r="M47" i="1"/>
  <c r="P59" i="1"/>
  <c r="L51" i="1"/>
  <c r="M48" i="1"/>
  <c r="P62" i="1"/>
  <c r="H71" i="1"/>
  <c r="M59" i="1"/>
  <c r="O51" i="1"/>
  <c r="J59" i="1"/>
  <c r="M49" i="1"/>
  <c r="P47" i="1"/>
  <c r="K78" i="1"/>
  <c r="P69" i="1"/>
  <c r="M62" i="1"/>
  <c r="M46" i="1"/>
  <c r="L79" i="1"/>
  <c r="O79" i="1"/>
  <c r="K69" i="1"/>
  <c r="J79" i="1"/>
  <c r="I51" i="1"/>
  <c r="P71" i="1"/>
  <c r="E78" i="1"/>
  <c r="D78" i="1"/>
  <c r="C78" i="1"/>
  <c r="E62" i="1"/>
  <c r="D62" i="1"/>
  <c r="C62" i="1"/>
  <c r="E58" i="1"/>
  <c r="O54" i="1" s="1"/>
  <c r="D58" i="1"/>
  <c r="L54" i="1" s="1"/>
  <c r="C58" i="1"/>
  <c r="I54" i="1" s="1"/>
  <c r="E55" i="1"/>
  <c r="D55" i="1"/>
  <c r="C55" i="1"/>
  <c r="E38" i="1"/>
  <c r="O17" i="1" s="1"/>
  <c r="D38" i="1"/>
  <c r="L17" i="1" s="1"/>
  <c r="C38" i="1"/>
  <c r="I17" i="1" s="1"/>
  <c r="E34" i="1"/>
  <c r="D34" i="1"/>
  <c r="C34" i="1"/>
  <c r="E25" i="1"/>
  <c r="O9" i="1" s="1"/>
  <c r="D25" i="1"/>
  <c r="L9" i="1" s="1"/>
  <c r="C25" i="1"/>
  <c r="I9" i="1" s="1"/>
  <c r="E17" i="1"/>
  <c r="O10" i="1" s="1"/>
  <c r="D17" i="1"/>
  <c r="L10" i="1" s="1"/>
  <c r="C17" i="1"/>
  <c r="I10" i="1" s="1"/>
  <c r="E8" i="1"/>
  <c r="D8" i="1"/>
  <c r="C8" i="1"/>
  <c r="E69" i="1"/>
  <c r="E71" i="1" s="1"/>
  <c r="D69" i="1"/>
  <c r="D71" i="1" s="1"/>
  <c r="D79" i="1" s="1"/>
  <c r="D81" i="1" s="1"/>
  <c r="C69" i="1"/>
  <c r="C71" i="1" s="1"/>
  <c r="C79" i="1" s="1"/>
  <c r="C81" i="1" s="1"/>
  <c r="J10" i="1" l="1"/>
  <c r="M10" i="1"/>
  <c r="O56" i="1"/>
  <c r="P54" i="1"/>
  <c r="M51" i="1"/>
  <c r="P10" i="1"/>
  <c r="J9" i="1"/>
  <c r="P17" i="1"/>
  <c r="I56" i="1"/>
  <c r="J54" i="1"/>
  <c r="P51" i="1"/>
  <c r="L56" i="1"/>
  <c r="M54" i="1"/>
  <c r="J17" i="1"/>
  <c r="J51" i="1"/>
  <c r="M17" i="1"/>
  <c r="E79" i="1"/>
  <c r="E81" i="1" s="1"/>
  <c r="M9" i="1"/>
  <c r="C63" i="1"/>
  <c r="O81" i="1"/>
  <c r="P79" i="1"/>
  <c r="N79" i="1"/>
  <c r="P9" i="1"/>
  <c r="L81" i="1"/>
  <c r="K79" i="1"/>
  <c r="M79" i="1"/>
  <c r="C26" i="1"/>
  <c r="I7" i="1"/>
  <c r="C39" i="1"/>
  <c r="I16" i="1"/>
  <c r="D26" i="1"/>
  <c r="L7" i="1"/>
  <c r="E39" i="1"/>
  <c r="O16" i="1"/>
  <c r="E26" i="1"/>
  <c r="O7" i="1"/>
  <c r="D39" i="1"/>
  <c r="L16" i="1"/>
  <c r="D40" i="1"/>
  <c r="D63" i="1"/>
  <c r="E63" i="1"/>
  <c r="K81" i="1" l="1"/>
  <c r="M81" i="1"/>
  <c r="L19" i="1"/>
  <c r="M16" i="1"/>
  <c r="L63" i="1"/>
  <c r="K56" i="1"/>
  <c r="M56" i="1"/>
  <c r="I63" i="1"/>
  <c r="J56" i="1"/>
  <c r="H56" i="1"/>
  <c r="L12" i="1"/>
  <c r="M7" i="1"/>
  <c r="I19" i="1"/>
  <c r="J16" i="1"/>
  <c r="O63" i="1"/>
  <c r="N56" i="1"/>
  <c r="P56" i="1"/>
  <c r="O12" i="1"/>
  <c r="P7" i="1"/>
  <c r="I12" i="1"/>
  <c r="J7" i="1"/>
  <c r="E40" i="1"/>
  <c r="P81" i="1"/>
  <c r="N81" i="1"/>
  <c r="O19" i="1"/>
  <c r="P16" i="1"/>
  <c r="C40" i="1"/>
  <c r="P19" i="1" l="1"/>
  <c r="J12" i="1"/>
  <c r="J19" i="1"/>
  <c r="K63" i="1"/>
  <c r="M63" i="1"/>
  <c r="K49" i="1"/>
  <c r="K46" i="1"/>
  <c r="K45" i="1"/>
  <c r="K60" i="1"/>
  <c r="K59" i="1"/>
  <c r="K47" i="1"/>
  <c r="K48" i="1"/>
  <c r="K62" i="1"/>
  <c r="K51" i="1"/>
  <c r="K54" i="1"/>
  <c r="O22" i="1"/>
  <c r="N12" i="1" s="1"/>
  <c r="P12" i="1"/>
  <c r="M12" i="1"/>
  <c r="L22" i="1"/>
  <c r="M19" i="1"/>
  <c r="N60" i="1"/>
  <c r="N45" i="1"/>
  <c r="N46" i="1"/>
  <c r="P63" i="1"/>
  <c r="N59" i="1"/>
  <c r="N63" i="1"/>
  <c r="N48" i="1"/>
  <c r="N49" i="1"/>
  <c r="N47" i="1"/>
  <c r="N62" i="1"/>
  <c r="N51" i="1"/>
  <c r="N54" i="1"/>
  <c r="I22" i="1"/>
  <c r="H12" i="1" s="1"/>
  <c r="H62" i="1"/>
  <c r="H60" i="1"/>
  <c r="J63" i="1"/>
  <c r="H59" i="1"/>
  <c r="H63" i="1"/>
  <c r="H45" i="1"/>
  <c r="H48" i="1"/>
  <c r="H47" i="1"/>
  <c r="H49" i="1"/>
  <c r="H46" i="1"/>
  <c r="H54" i="1"/>
  <c r="H51" i="1"/>
  <c r="H19" i="1" l="1"/>
  <c r="M22" i="1"/>
  <c r="K22" i="1"/>
  <c r="K8" i="1"/>
  <c r="K10" i="1"/>
  <c r="K9" i="1"/>
  <c r="K17" i="1"/>
  <c r="K16" i="1"/>
  <c r="K7" i="1"/>
  <c r="J22" i="1"/>
  <c r="H22" i="1"/>
  <c r="H8" i="1"/>
  <c r="H17" i="1"/>
  <c r="H10" i="1"/>
  <c r="H9" i="1"/>
  <c r="H7" i="1"/>
  <c r="H16" i="1"/>
  <c r="K12" i="1"/>
  <c r="P22" i="1"/>
  <c r="N22" i="1"/>
  <c r="N8" i="1"/>
  <c r="N10" i="1"/>
  <c r="N17" i="1"/>
  <c r="N9" i="1"/>
  <c r="N7" i="1"/>
  <c r="N16" i="1"/>
  <c r="K19" i="1"/>
  <c r="N19" i="1"/>
</calcChain>
</file>

<file path=xl/sharedStrings.xml><?xml version="1.0" encoding="utf-8"?>
<sst xmlns="http://schemas.openxmlformats.org/spreadsheetml/2006/main" count="234" uniqueCount="121">
  <si>
    <t>BALANÇOS PATRIMONIAIS</t>
  </si>
  <si>
    <t>ATIVO</t>
  </si>
  <si>
    <t>31-12-X1</t>
  </si>
  <si>
    <t>31-12-X2</t>
  </si>
  <si>
    <t>31-12-X3</t>
  </si>
  <si>
    <t>R$</t>
  </si>
  <si>
    <t>CIRCULANTE</t>
  </si>
  <si>
    <t>DISPONÍVEL</t>
  </si>
  <si>
    <t>Caixa e Bancos</t>
  </si>
  <si>
    <t>Aplicações de liquidez imediata</t>
  </si>
  <si>
    <t>CONTAS A RECEBER</t>
  </si>
  <si>
    <t>Duplicatas a receber</t>
  </si>
  <si>
    <t>(-) Prov. p/ devedores duvidosos</t>
  </si>
  <si>
    <t>Impostos a recuperar</t>
  </si>
  <si>
    <t>Empresas Coligadas – Operacionais</t>
  </si>
  <si>
    <t>Adiantamento a terceiros</t>
  </si>
  <si>
    <t>Depósitos restituíveis</t>
  </si>
  <si>
    <t>Outros valores</t>
  </si>
  <si>
    <t>ESTOQUES</t>
  </si>
  <si>
    <t>Produtos Acabados</t>
  </si>
  <si>
    <t>Produtos em processo</t>
  </si>
  <si>
    <t>Matérias-primas</t>
  </si>
  <si>
    <t>Adiantamento Fornecedor</t>
  </si>
  <si>
    <t>Mercadorias em trânsito</t>
  </si>
  <si>
    <t>(-) Prov. p/ perdas em estoque</t>
  </si>
  <si>
    <t>Total Circulante</t>
  </si>
  <si>
    <t>NÃO CIRCULANTE</t>
  </si>
  <si>
    <t>INVESTIMENTOS</t>
  </si>
  <si>
    <t>Particip. Empresas coligadas</t>
  </si>
  <si>
    <t>Particip. Fundos de investimentos</t>
  </si>
  <si>
    <t>Imóveis de uso não operacional</t>
  </si>
  <si>
    <t>-</t>
  </si>
  <si>
    <t>(-) Prov. p/ perdas</t>
  </si>
  <si>
    <t>IMOBILIZADO</t>
  </si>
  <si>
    <t>Bens em operação</t>
  </si>
  <si>
    <t>(-) Depreciação acumulada</t>
  </si>
  <si>
    <t>Total Não Circulante</t>
  </si>
  <si>
    <t>TOTAL DO ATIVO</t>
  </si>
  <si>
    <t>PASSIVO</t>
  </si>
  <si>
    <t xml:space="preserve">Adiant.. de clientes </t>
  </si>
  <si>
    <t xml:space="preserve">Prov. Trabalhistas </t>
  </si>
  <si>
    <t xml:space="preserve">Empresa coligada </t>
  </si>
  <si>
    <t>Outras exigibilidades</t>
  </si>
  <si>
    <t>Empréstimos e financiamentos Empresa coligada</t>
  </si>
  <si>
    <t>PATRIMÔNIO LÍQUIDO</t>
  </si>
  <si>
    <t xml:space="preserve">Capital </t>
  </si>
  <si>
    <t>Lucros/prejuízos acumulados</t>
  </si>
  <si>
    <t>Total Patrimônio Líquido</t>
  </si>
  <si>
    <t>TOTAL PASSIVO + PL</t>
  </si>
  <si>
    <r>
      <t>DEMONSTRAÇÃO DO RESULTADO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DO EXERCÍCIO</t>
    </r>
  </si>
  <si>
    <t>20X1</t>
  </si>
  <si>
    <t>20X2</t>
  </si>
  <si>
    <t>20X3</t>
  </si>
  <si>
    <t xml:space="preserve">Receita Operacional Bruta </t>
  </si>
  <si>
    <t>(-) Abat., descontos, devoluções</t>
  </si>
  <si>
    <t xml:space="preserve">Receita Operacional Líquida </t>
  </si>
  <si>
    <t>(-) Custo dos produtos vendidos</t>
  </si>
  <si>
    <t>Lucro bruto</t>
  </si>
  <si>
    <t>Soma</t>
  </si>
  <si>
    <t>Lucro Líquido do Exercício</t>
  </si>
  <si>
    <t xml:space="preserve">Empréstimos e financiamentos </t>
  </si>
  <si>
    <t xml:space="preserve">Fornecedores </t>
  </si>
  <si>
    <t xml:space="preserve">Ordenados e salários a pagar </t>
  </si>
  <si>
    <t>Encargos sociais a recolher</t>
  </si>
  <si>
    <t xml:space="preserve">Obrigações fiscais </t>
  </si>
  <si>
    <t>Provisão p/ IR</t>
  </si>
  <si>
    <t xml:space="preserve">Lucro antes do IR </t>
  </si>
  <si>
    <t xml:space="preserve">Vendas </t>
  </si>
  <si>
    <t>Despesas Operacionais</t>
  </si>
  <si>
    <t xml:space="preserve">Administrativas </t>
  </si>
  <si>
    <t xml:space="preserve">Financeiras Líquidas </t>
  </si>
  <si>
    <t>Outras despesas</t>
  </si>
  <si>
    <t>BALANÇOS PATRIMONIAIS SIMPLIFICADOS</t>
  </si>
  <si>
    <t>Disponibilidades</t>
  </si>
  <si>
    <t>Estoques</t>
  </si>
  <si>
    <t>Outros</t>
  </si>
  <si>
    <t>Investimentos</t>
  </si>
  <si>
    <t>Imobilizado</t>
  </si>
  <si>
    <t>Fornecedores</t>
  </si>
  <si>
    <t>Empréstimos</t>
  </si>
  <si>
    <t>Empresas coligadas</t>
  </si>
  <si>
    <t>Empréstimos e financiamentos</t>
  </si>
  <si>
    <t>Capital</t>
  </si>
  <si>
    <t>Lucro</t>
  </si>
  <si>
    <t>QUADRO CLÍNICO</t>
  </si>
  <si>
    <t>Indicadores</t>
  </si>
  <si>
    <t>Tendência</t>
  </si>
  <si>
    <t>Liquidez</t>
  </si>
  <si>
    <t>Corrente</t>
  </si>
  <si>
    <t>Geral</t>
  </si>
  <si>
    <t>Seca</t>
  </si>
  <si>
    <t>Imediata</t>
  </si>
  <si>
    <t>CT/Rec.Totais</t>
  </si>
  <si>
    <t>PC/CT</t>
  </si>
  <si>
    <t>CT/PL</t>
  </si>
  <si>
    <t>LL/Ativo</t>
  </si>
  <si>
    <t>Vendas/Ativo</t>
  </si>
  <si>
    <t>LL/PL</t>
  </si>
  <si>
    <t>Rotação de Estoque</t>
  </si>
  <si>
    <t>PMRV</t>
  </si>
  <si>
    <t>PMPC</t>
  </si>
  <si>
    <t>Fator de Insolvência</t>
  </si>
  <si>
    <t>Atividade</t>
  </si>
  <si>
    <t>Rentabilidade</t>
  </si>
  <si>
    <t>Endividamento</t>
  </si>
  <si>
    <t>Análise</t>
  </si>
  <si>
    <t xml:space="preserve">Análise </t>
  </si>
  <si>
    <t>Horizontal</t>
  </si>
  <si>
    <t>Vertical</t>
  </si>
  <si>
    <t>melhorar</t>
  </si>
  <si>
    <t>estabilizar</t>
  </si>
  <si>
    <t>piorar</t>
  </si>
  <si>
    <t>penumbra</t>
  </si>
  <si>
    <t>solvente</t>
  </si>
  <si>
    <t>Compras = CPV + Estoque Final - Estoque Inicial</t>
  </si>
  <si>
    <t>Fator de Insolvência = 0,05 X1 + 1,65 X2 + 3,55 X3 - 1,06 X4 - 0,33 X5</t>
  </si>
  <si>
    <t>0,05 X1 = 0,05*(LL/PL) =</t>
  </si>
  <si>
    <t>1,65 X2 = 1,65*((AC+RLP)/(PC+ELP) =</t>
  </si>
  <si>
    <t>3,55 X3 = 3,55*((AC- Estoque)/PC)=</t>
  </si>
  <si>
    <t>1,06 X4 = 1,06*(AC/PC) =</t>
  </si>
  <si>
    <t>0,33 X5 = 0,33*(CT/PL)=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</si>
</sst>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61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0" xfId="0" applyFont="1"/>
    <xf numFmtId="38" fontId="5" fillId="2" borderId="7" xfId="0" applyNumberFormat="1" applyFont="1" applyFill="1" applyBorder="1" applyAlignment="1">
      <alignment horizontal="right" vertical="center" wrapText="1"/>
    </xf>
    <xf numFmtId="38" fontId="5" fillId="2" borderId="5" xfId="0" applyNumberFormat="1" applyFont="1" applyFill="1" applyBorder="1" applyAlignment="1">
      <alignment horizontal="right" vertical="center" wrapText="1"/>
    </xf>
    <xf numFmtId="38" fontId="3" fillId="2" borderId="5" xfId="0" applyNumberFormat="1" applyFont="1" applyFill="1" applyBorder="1" applyAlignment="1">
      <alignment horizontal="right" vertical="center" wrapText="1"/>
    </xf>
    <xf numFmtId="38" fontId="2" fillId="2" borderId="7" xfId="0" applyNumberFormat="1" applyFont="1" applyFill="1" applyBorder="1" applyAlignment="1">
      <alignment vertical="center" wrapText="1"/>
    </xf>
    <xf numFmtId="38" fontId="3" fillId="2" borderId="7" xfId="0" applyNumberFormat="1" applyFont="1" applyFill="1" applyBorder="1" applyAlignment="1">
      <alignment horizontal="right" vertical="center" wrapText="1"/>
    </xf>
    <xf numFmtId="38" fontId="5" fillId="2" borderId="7" xfId="0" applyNumberFormat="1" applyFont="1" applyFill="1" applyBorder="1" applyAlignment="1">
      <alignment horizontal="left" vertical="center" wrapText="1" indent="4"/>
    </xf>
    <xf numFmtId="38" fontId="3" fillId="2" borderId="5" xfId="0" applyNumberFormat="1" applyFont="1" applyFill="1" applyBorder="1" applyAlignment="1">
      <alignment vertical="center" wrapText="1"/>
    </xf>
    <xf numFmtId="38" fontId="0" fillId="0" borderId="0" xfId="0" applyNumberFormat="1"/>
    <xf numFmtId="38" fontId="3" fillId="2" borderId="3" xfId="0" applyNumberFormat="1" applyFont="1" applyFill="1" applyBorder="1" applyAlignment="1">
      <alignment horizontal="center" vertical="center" wrapText="1"/>
    </xf>
    <xf numFmtId="38" fontId="3" fillId="2" borderId="14" xfId="0" applyNumberFormat="1" applyFont="1" applyFill="1" applyBorder="1" applyAlignment="1">
      <alignment horizontal="center" vertical="center" wrapText="1"/>
    </xf>
    <xf numFmtId="38" fontId="3" fillId="2" borderId="11" xfId="0" applyNumberFormat="1" applyFont="1" applyFill="1" applyBorder="1" applyAlignment="1">
      <alignment horizontal="center" vertical="center" wrapText="1"/>
    </xf>
    <xf numFmtId="38" fontId="3" fillId="2" borderId="4" xfId="0" applyNumberFormat="1" applyFont="1" applyFill="1" applyBorder="1" applyAlignment="1">
      <alignment horizontal="center" vertical="center" wrapText="1"/>
    </xf>
    <xf numFmtId="38" fontId="0" fillId="0" borderId="0" xfId="0" applyNumberFormat="1" applyBorder="1"/>
    <xf numFmtId="38" fontId="5" fillId="2" borderId="0" xfId="0" applyNumberFormat="1" applyFont="1" applyFill="1" applyBorder="1" applyAlignment="1">
      <alignment vertical="center" wrapText="1"/>
    </xf>
    <xf numFmtId="38" fontId="5" fillId="2" borderId="2" xfId="0" applyNumberFormat="1" applyFont="1" applyFill="1" applyBorder="1" applyAlignment="1">
      <alignment vertical="center" wrapText="1"/>
    </xf>
    <xf numFmtId="38" fontId="2" fillId="0" borderId="0" xfId="0" applyNumberFormat="1" applyFont="1" applyBorder="1" applyAlignment="1"/>
    <xf numFmtId="38" fontId="5" fillId="2" borderId="12" xfId="0" applyNumberFormat="1" applyFont="1" applyFill="1" applyBorder="1" applyAlignment="1">
      <alignment vertical="center" wrapText="1"/>
    </xf>
    <xf numFmtId="38" fontId="5" fillId="2" borderId="9" xfId="0" applyNumberFormat="1" applyFont="1" applyFill="1" applyBorder="1" applyAlignment="1">
      <alignment vertical="center" wrapText="1"/>
    </xf>
    <xf numFmtId="38" fontId="2" fillId="0" borderId="2" xfId="0" applyNumberFormat="1" applyFont="1" applyBorder="1" applyAlignment="1"/>
    <xf numFmtId="38" fontId="2" fillId="2" borderId="0" xfId="0" applyNumberFormat="1" applyFont="1" applyFill="1" applyBorder="1" applyAlignment="1">
      <alignment vertical="center" wrapText="1"/>
    </xf>
    <xf numFmtId="38" fontId="2" fillId="2" borderId="2" xfId="0" applyNumberFormat="1" applyFont="1" applyFill="1" applyBorder="1" applyAlignment="1">
      <alignment vertical="center" wrapText="1"/>
    </xf>
    <xf numFmtId="38" fontId="5" fillId="2" borderId="5" xfId="0" applyNumberFormat="1" applyFont="1" applyFill="1" applyBorder="1" applyAlignment="1">
      <alignment vertical="center" wrapText="1"/>
    </xf>
    <xf numFmtId="38" fontId="5" fillId="2" borderId="13" xfId="0" applyNumberFormat="1" applyFont="1" applyFill="1" applyBorder="1" applyAlignment="1">
      <alignment horizontal="right" vertical="center" wrapText="1"/>
    </xf>
    <xf numFmtId="38" fontId="5" fillId="2" borderId="6" xfId="0" applyNumberFormat="1" applyFont="1" applyFill="1" applyBorder="1" applyAlignment="1">
      <alignment horizontal="right" vertical="center" wrapText="1"/>
    </xf>
    <xf numFmtId="38" fontId="2" fillId="0" borderId="1" xfId="0" applyNumberFormat="1" applyFont="1" applyBorder="1" applyAlignment="1">
      <alignment horizontal="right"/>
    </xf>
    <xf numFmtId="38" fontId="2" fillId="0" borderId="2" xfId="0" applyNumberFormat="1" applyFont="1" applyBorder="1" applyAlignment="1">
      <alignment horizontal="right"/>
    </xf>
    <xf numFmtId="38" fontId="0" fillId="0" borderId="1" xfId="0" applyNumberFormat="1" applyBorder="1"/>
    <xf numFmtId="38" fontId="5" fillId="2" borderId="1" xfId="0" applyNumberFormat="1" applyFont="1" applyFill="1" applyBorder="1" applyAlignment="1">
      <alignment horizontal="right" vertical="center" wrapText="1" indent="2"/>
    </xf>
    <xf numFmtId="38" fontId="2" fillId="2" borderId="2" xfId="0" applyNumberFormat="1" applyFont="1" applyFill="1" applyBorder="1" applyAlignment="1">
      <alignment wrapText="1"/>
    </xf>
    <xf numFmtId="38" fontId="5" fillId="2" borderId="2" xfId="0" applyNumberFormat="1" applyFont="1" applyFill="1" applyBorder="1" applyAlignment="1">
      <alignment horizontal="right" vertical="center" wrapText="1"/>
    </xf>
    <xf numFmtId="38" fontId="2" fillId="0" borderId="9" xfId="0" applyNumberFormat="1" applyFont="1" applyBorder="1" applyAlignment="1"/>
    <xf numFmtId="40" fontId="5" fillId="2" borderId="9" xfId="0" applyNumberFormat="1" applyFont="1" applyFill="1" applyBorder="1" applyAlignment="1">
      <alignment wrapText="1"/>
    </xf>
    <xf numFmtId="40" fontId="5" fillId="2" borderId="15" xfId="0" applyNumberFormat="1" applyFont="1" applyFill="1" applyBorder="1" applyAlignment="1">
      <alignment wrapText="1"/>
    </xf>
    <xf numFmtId="38" fontId="3" fillId="2" borderId="13" xfId="0" applyNumberFormat="1" applyFont="1" applyFill="1" applyBorder="1" applyAlignment="1">
      <alignment wrapText="1"/>
    </xf>
    <xf numFmtId="38" fontId="3" fillId="2" borderId="6" xfId="0" applyNumberFormat="1" applyFont="1" applyFill="1" applyBorder="1" applyAlignment="1">
      <alignment wrapText="1"/>
    </xf>
    <xf numFmtId="38" fontId="5" fillId="2" borderId="0" xfId="0" applyNumberFormat="1" applyFont="1" applyFill="1" applyBorder="1" applyAlignment="1">
      <alignment wrapText="1"/>
    </xf>
    <xf numFmtId="38" fontId="5" fillId="2" borderId="2" xfId="0" applyNumberFormat="1" applyFont="1" applyFill="1" applyBorder="1" applyAlignment="1">
      <alignment wrapText="1"/>
    </xf>
    <xf numFmtId="38" fontId="5" fillId="2" borderId="9" xfId="0" applyNumberFormat="1" applyFont="1" applyFill="1" applyBorder="1" applyAlignment="1">
      <alignment wrapText="1"/>
    </xf>
    <xf numFmtId="38" fontId="5" fillId="2" borderId="16" xfId="0" applyNumberFormat="1" applyFont="1" applyFill="1" applyBorder="1" applyAlignment="1">
      <alignment wrapText="1"/>
    </xf>
    <xf numFmtId="38" fontId="5" fillId="2" borderId="17" xfId="0" applyNumberFormat="1" applyFont="1" applyFill="1" applyBorder="1" applyAlignment="1">
      <alignment wrapText="1"/>
    </xf>
    <xf numFmtId="38" fontId="2" fillId="0" borderId="18" xfId="0" applyNumberFormat="1" applyFont="1" applyBorder="1" applyAlignment="1">
      <alignment horizontal="right"/>
    </xf>
    <xf numFmtId="38" fontId="2" fillId="0" borderId="15" xfId="0" applyNumberFormat="1" applyFont="1" applyBorder="1" applyAlignment="1"/>
    <xf numFmtId="38" fontId="2" fillId="0" borderId="0" xfId="0" applyNumberFormat="1" applyFont="1" applyBorder="1" applyAlignment="1">
      <alignment horizontal="right"/>
    </xf>
    <xf numFmtId="38" fontId="5" fillId="2" borderId="15" xfId="0" applyNumberFormat="1" applyFont="1" applyFill="1" applyBorder="1" applyAlignment="1">
      <alignment wrapText="1"/>
    </xf>
    <xf numFmtId="0" fontId="7" fillId="0" borderId="1" xfId="0" applyFont="1" applyBorder="1"/>
    <xf numFmtId="0" fontId="6" fillId="0" borderId="1" xfId="0" applyFont="1" applyBorder="1"/>
    <xf numFmtId="0" fontId="6" fillId="0" borderId="2" xfId="0" applyFont="1" applyBorder="1"/>
    <xf numFmtId="0" fontId="7" fillId="0" borderId="2" xfId="0" applyFont="1" applyBorder="1"/>
    <xf numFmtId="0" fontId="7" fillId="0" borderId="11" xfId="0" applyFont="1" applyBorder="1"/>
    <xf numFmtId="0" fontId="6" fillId="0" borderId="19" xfId="0" applyFont="1" applyBorder="1"/>
    <xf numFmtId="0" fontId="6" fillId="0" borderId="3" xfId="0" applyFont="1" applyBorder="1"/>
    <xf numFmtId="0" fontId="7" fillId="0" borderId="8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6" xfId="0" applyFont="1" applyBorder="1"/>
    <xf numFmtId="0" fontId="8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20" xfId="0" applyFont="1" applyBorder="1"/>
    <xf numFmtId="0" fontId="7" fillId="0" borderId="6" xfId="0" applyFont="1" applyBorder="1"/>
    <xf numFmtId="0" fontId="7" fillId="0" borderId="16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10" xfId="0" applyFont="1" applyBorder="1"/>
    <xf numFmtId="0" fontId="7" fillId="0" borderId="32" xfId="0" applyFont="1" applyBorder="1" applyAlignment="1">
      <alignment horizontal="center"/>
    </xf>
    <xf numFmtId="0" fontId="8" fillId="2" borderId="32" xfId="0" applyFont="1" applyFill="1" applyBorder="1" applyAlignment="1">
      <alignment horizontal="center" vertical="center" wrapText="1"/>
    </xf>
    <xf numFmtId="38" fontId="6" fillId="0" borderId="2" xfId="0" applyNumberFormat="1" applyFont="1" applyBorder="1"/>
    <xf numFmtId="38" fontId="7" fillId="0" borderId="2" xfId="0" applyNumberFormat="1" applyFont="1" applyBorder="1"/>
    <xf numFmtId="38" fontId="7" fillId="0" borderId="11" xfId="0" applyNumberFormat="1" applyFont="1" applyBorder="1"/>
    <xf numFmtId="0" fontId="7" fillId="0" borderId="0" xfId="0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6" fillId="0" borderId="6" xfId="1" applyFont="1" applyBorder="1"/>
    <xf numFmtId="9" fontId="6" fillId="0" borderId="8" xfId="1" applyFont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7" xfId="0" applyNumberFormat="1" applyFont="1" applyBorder="1"/>
    <xf numFmtId="38" fontId="7" fillId="0" borderId="7" xfId="0" applyNumberFormat="1" applyFont="1" applyBorder="1"/>
    <xf numFmtId="9" fontId="6" fillId="0" borderId="2" xfId="1" applyFont="1" applyBorder="1" applyAlignment="1">
      <alignment horizontal="center"/>
    </xf>
    <xf numFmtId="9" fontId="7" fillId="0" borderId="11" xfId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9" fontId="5" fillId="2" borderId="2" xfId="1" applyFont="1" applyFill="1" applyBorder="1" applyAlignment="1">
      <alignment horizontal="center" vertical="center" wrapText="1"/>
    </xf>
    <xf numFmtId="9" fontId="5" fillId="2" borderId="1" xfId="1" applyFont="1" applyFill="1" applyBorder="1" applyAlignment="1">
      <alignment horizontal="center" vertical="center" wrapText="1"/>
    </xf>
    <xf numFmtId="9" fontId="5" fillId="2" borderId="6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9" fontId="5" fillId="2" borderId="29" xfId="1" applyFont="1" applyFill="1" applyBorder="1" applyAlignment="1">
      <alignment horizontal="center" vertical="center" wrapText="1"/>
    </xf>
    <xf numFmtId="9" fontId="5" fillId="2" borderId="9" xfId="1" applyFont="1" applyFill="1" applyBorder="1" applyAlignment="1">
      <alignment horizontal="center" vertical="center" wrapText="1"/>
    </xf>
    <xf numFmtId="9" fontId="5" fillId="2" borderId="16" xfId="1" applyFont="1" applyFill="1" applyBorder="1" applyAlignment="1">
      <alignment horizontal="center" vertical="center" wrapText="1"/>
    </xf>
    <xf numFmtId="38" fontId="2" fillId="0" borderId="1" xfId="0" applyNumberFormat="1" applyFont="1" applyBorder="1" applyAlignment="1">
      <alignment horizontal="center"/>
    </xf>
    <xf numFmtId="9" fontId="5" fillId="2" borderId="3" xfId="1" applyFont="1" applyFill="1" applyBorder="1" applyAlignment="1">
      <alignment horizontal="center" vertical="center" wrapText="1"/>
    </xf>
    <xf numFmtId="9" fontId="5" fillId="2" borderId="7" xfId="1" applyFont="1" applyFill="1" applyBorder="1" applyAlignment="1">
      <alignment horizontal="center" vertical="center" wrapText="1"/>
    </xf>
    <xf numFmtId="9" fontId="5" fillId="2" borderId="35" xfId="1" applyFont="1" applyFill="1" applyBorder="1" applyAlignment="1">
      <alignment horizontal="center" vertical="center" wrapText="1"/>
    </xf>
    <xf numFmtId="9" fontId="5" fillId="2" borderId="33" xfId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9" fontId="5" fillId="2" borderId="34" xfId="1" applyFont="1" applyFill="1" applyBorder="1" applyAlignment="1">
      <alignment horizontal="center" vertical="center" wrapText="1"/>
    </xf>
    <xf numFmtId="9" fontId="5" fillId="2" borderId="5" xfId="1" applyFont="1" applyFill="1" applyBorder="1" applyAlignment="1">
      <alignment horizontal="center" vertical="center" wrapText="1"/>
    </xf>
    <xf numFmtId="38" fontId="2" fillId="0" borderId="2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29" xfId="0" applyNumberFormat="1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16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right"/>
    </xf>
    <xf numFmtId="38" fontId="2" fillId="0" borderId="12" xfId="0" applyNumberFormat="1" applyFont="1" applyBorder="1" applyAlignment="1"/>
    <xf numFmtId="38" fontId="5" fillId="2" borderId="36" xfId="0" applyNumberFormat="1" applyFont="1" applyFill="1" applyBorder="1" applyAlignment="1">
      <alignment wrapText="1"/>
    </xf>
    <xf numFmtId="38" fontId="5" fillId="2" borderId="8" xfId="0" applyNumberFormat="1" applyFont="1" applyFill="1" applyBorder="1" applyAlignment="1">
      <alignment wrapText="1"/>
    </xf>
    <xf numFmtId="38" fontId="2" fillId="0" borderId="19" xfId="0" applyNumberFormat="1" applyFont="1" applyBorder="1" applyAlignment="1">
      <alignment horizontal="right"/>
    </xf>
    <xf numFmtId="38" fontId="5" fillId="2" borderId="12" xfId="0" applyNumberFormat="1" applyFont="1" applyFill="1" applyBorder="1" applyAlignment="1">
      <alignment wrapText="1"/>
    </xf>
    <xf numFmtId="38" fontId="3" fillId="2" borderId="20" xfId="0" applyNumberFormat="1" applyFont="1" applyFill="1" applyBorder="1" applyAlignment="1">
      <alignment wrapText="1"/>
    </xf>
    <xf numFmtId="0" fontId="7" fillId="0" borderId="13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 indent="11"/>
    </xf>
    <xf numFmtId="0" fontId="3" fillId="2" borderId="6" xfId="0" applyFont="1" applyFill="1" applyBorder="1" applyAlignment="1">
      <alignment horizontal="left" vertical="center" wrapText="1" indent="11"/>
    </xf>
    <xf numFmtId="0" fontId="8" fillId="2" borderId="1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9" fontId="6" fillId="0" borderId="25" xfId="1" applyFont="1" applyBorder="1" applyAlignment="1">
      <alignment horizontal="center"/>
    </xf>
    <xf numFmtId="9" fontId="6" fillId="0" borderId="26" xfId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9" fontId="10" fillId="0" borderId="25" xfId="1" applyFont="1" applyBorder="1" applyAlignment="1">
      <alignment horizontal="center"/>
    </xf>
    <xf numFmtId="9" fontId="6" fillId="0" borderId="27" xfId="1" applyFont="1" applyBorder="1" applyAlignment="1">
      <alignment horizontal="center"/>
    </xf>
    <xf numFmtId="1" fontId="6" fillId="0" borderId="25" xfId="0" applyNumberFormat="1" applyFont="1" applyBorder="1" applyAlignment="1">
      <alignment horizontal="center"/>
    </xf>
    <xf numFmtId="1" fontId="6" fillId="0" borderId="26" xfId="0" applyNumberFormat="1" applyFont="1" applyBorder="1" applyAlignment="1">
      <alignment horizontal="center"/>
    </xf>
    <xf numFmtId="1" fontId="6" fillId="0" borderId="23" xfId="0" applyNumberFormat="1" applyFont="1" applyBorder="1" applyAlignment="1">
      <alignment horizontal="center"/>
    </xf>
    <xf numFmtId="0" fontId="8" fillId="2" borderId="10" xfId="0" applyFont="1" applyFill="1" applyBorder="1" applyAlignment="1">
      <alignment horizontal="left" vertical="center" wrapText="1"/>
    </xf>
    <xf numFmtId="38" fontId="6" fillId="0" borderId="0" xfId="0" applyNumberFormat="1" applyFont="1"/>
    <xf numFmtId="0" fontId="6" fillId="0" borderId="0" xfId="0" applyFont="1" applyAlignment="1">
      <alignment horizontal="right"/>
    </xf>
    <xf numFmtId="9" fontId="11" fillId="0" borderId="25" xfId="1" applyFont="1" applyBorder="1" applyAlignment="1">
      <alignment horizontal="center"/>
    </xf>
    <xf numFmtId="9" fontId="10" fillId="0" borderId="27" xfId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1"/>
  <sheetViews>
    <sheetView tabSelected="1" workbookViewId="0"/>
  </sheetViews>
  <sheetFormatPr defaultRowHeight="15" x14ac:dyDescent="0.25"/>
  <cols>
    <col min="1" max="1" width="3.7109375" customWidth="1"/>
    <col min="2" max="2" width="39.7109375" customWidth="1"/>
    <col min="3" max="5" width="12.7109375" customWidth="1"/>
    <col min="6" max="6" width="3.7109375" customWidth="1"/>
    <col min="7" max="7" width="39.7109375" customWidth="1"/>
    <col min="8" max="8" width="13" customWidth="1"/>
    <col min="9" max="16" width="12.7109375" customWidth="1"/>
    <col min="17" max="17" width="3.7109375" customWidth="1"/>
    <col min="18" max="19" width="20.7109375" style="12" customWidth="1"/>
    <col min="20" max="23" width="12.7109375" style="12" customWidth="1"/>
  </cols>
  <sheetData>
    <row r="1" spans="2:23" ht="16.5" thickBot="1" x14ac:dyDescent="0.3">
      <c r="B1" s="136" t="s">
        <v>0</v>
      </c>
      <c r="C1" s="136"/>
      <c r="D1" s="136"/>
      <c r="E1" s="136"/>
      <c r="G1" s="120" t="s">
        <v>72</v>
      </c>
      <c r="H1" s="120"/>
      <c r="I1" s="120"/>
      <c r="J1" s="120"/>
      <c r="K1" s="120"/>
      <c r="L1" s="120"/>
      <c r="M1" s="120"/>
      <c r="N1" s="120"/>
      <c r="O1" s="120"/>
      <c r="P1" s="81"/>
      <c r="R1" s="120" t="s">
        <v>84</v>
      </c>
      <c r="S1" s="120"/>
      <c r="T1" s="120"/>
      <c r="U1" s="120"/>
      <c r="V1" s="120"/>
      <c r="W1" s="120"/>
    </row>
    <row r="2" spans="2:23" ht="15.75" thickBot="1" x14ac:dyDescent="0.3">
      <c r="B2" s="121" t="s">
        <v>1</v>
      </c>
      <c r="C2" s="1" t="s">
        <v>2</v>
      </c>
      <c r="D2" s="1" t="s">
        <v>3</v>
      </c>
      <c r="E2" s="1" t="s">
        <v>4</v>
      </c>
      <c r="G2" s="121" t="s">
        <v>1</v>
      </c>
      <c r="H2" s="1" t="s">
        <v>105</v>
      </c>
      <c r="I2" s="1" t="s">
        <v>2</v>
      </c>
      <c r="J2" s="1" t="s">
        <v>106</v>
      </c>
      <c r="K2" s="1" t="s">
        <v>105</v>
      </c>
      <c r="L2" s="1" t="s">
        <v>3</v>
      </c>
      <c r="M2" s="1" t="s">
        <v>106</v>
      </c>
      <c r="N2" s="1" t="s">
        <v>105</v>
      </c>
      <c r="O2" s="1" t="s">
        <v>4</v>
      </c>
      <c r="P2" s="1" t="s">
        <v>106</v>
      </c>
      <c r="R2" s="123" t="s">
        <v>85</v>
      </c>
      <c r="S2" s="124"/>
      <c r="T2" s="68" t="s">
        <v>50</v>
      </c>
      <c r="U2" s="76" t="s">
        <v>51</v>
      </c>
      <c r="V2" s="77" t="s">
        <v>52</v>
      </c>
      <c r="W2" s="69" t="s">
        <v>86</v>
      </c>
    </row>
    <row r="3" spans="2:23" ht="15.75" thickBot="1" x14ac:dyDescent="0.3">
      <c r="B3" s="122"/>
      <c r="C3" s="11" t="s">
        <v>5</v>
      </c>
      <c r="D3" s="11" t="s">
        <v>5</v>
      </c>
      <c r="E3" s="11" t="s">
        <v>5</v>
      </c>
      <c r="G3" s="122"/>
      <c r="H3" s="11" t="s">
        <v>108</v>
      </c>
      <c r="I3" s="11" t="s">
        <v>5</v>
      </c>
      <c r="J3" s="11" t="s">
        <v>107</v>
      </c>
      <c r="K3" s="11" t="s">
        <v>108</v>
      </c>
      <c r="L3" s="11" t="s">
        <v>5</v>
      </c>
      <c r="M3" s="11" t="s">
        <v>107</v>
      </c>
      <c r="N3" s="11" t="s">
        <v>108</v>
      </c>
      <c r="O3" s="11" t="s">
        <v>5</v>
      </c>
      <c r="P3" s="11" t="s">
        <v>107</v>
      </c>
      <c r="R3" s="125" t="s">
        <v>87</v>
      </c>
      <c r="S3" s="152" t="s">
        <v>88</v>
      </c>
      <c r="T3" s="137">
        <f>C26/C55</f>
        <v>1.542216389627461</v>
      </c>
      <c r="U3" s="137">
        <f t="shared" ref="U3:V3" si="0">D26/D55</f>
        <v>1.6036034014673877</v>
      </c>
      <c r="V3" s="137">
        <f t="shared" si="0"/>
        <v>1.7064777327935223</v>
      </c>
      <c r="W3" s="138" t="s">
        <v>109</v>
      </c>
    </row>
    <row r="4" spans="2:23" x14ac:dyDescent="0.25">
      <c r="B4" s="2" t="s">
        <v>6</v>
      </c>
      <c r="C4" s="16"/>
      <c r="D4" s="16"/>
      <c r="E4" s="16"/>
      <c r="G4" s="62"/>
      <c r="H4" s="62"/>
      <c r="I4" s="58"/>
      <c r="J4" s="58"/>
      <c r="K4" s="58"/>
      <c r="L4" s="58"/>
      <c r="M4" s="63"/>
      <c r="N4" s="58"/>
      <c r="O4" s="63"/>
      <c r="P4" s="58"/>
      <c r="R4" s="126"/>
      <c r="S4" s="72" t="s">
        <v>89</v>
      </c>
      <c r="T4" s="139">
        <f>C26/(C55+C58)</f>
        <v>0.93084695859092259</v>
      </c>
      <c r="U4" s="139">
        <f t="shared" ref="U4:V4" si="1">D26/(D55+D58)</f>
        <v>0.96008631260878519</v>
      </c>
      <c r="V4" s="139">
        <f t="shared" si="1"/>
        <v>1.1790209790209791</v>
      </c>
      <c r="W4" s="140" t="s">
        <v>109</v>
      </c>
    </row>
    <row r="5" spans="2:23" x14ac:dyDescent="0.25">
      <c r="B5" s="8" t="s">
        <v>7</v>
      </c>
      <c r="C5" s="16"/>
      <c r="D5" s="16"/>
      <c r="E5" s="16"/>
      <c r="G5" s="64" t="s">
        <v>6</v>
      </c>
      <c r="H5" s="64"/>
      <c r="I5" s="59"/>
      <c r="J5" s="59"/>
      <c r="K5" s="59"/>
      <c r="L5" s="59"/>
      <c r="M5" s="65"/>
      <c r="N5" s="59"/>
      <c r="O5" s="65"/>
      <c r="P5" s="59"/>
      <c r="R5" s="126"/>
      <c r="S5" s="72" t="s">
        <v>90</v>
      </c>
      <c r="T5" s="139">
        <f>(C26-C25)/C55</f>
        <v>0.87053105015470666</v>
      </c>
      <c r="U5" s="139">
        <f t="shared" ref="U5:V5" si="2">(D26-D25)/D55</f>
        <v>1.1441438430024347</v>
      </c>
      <c r="V5" s="139">
        <f t="shared" si="2"/>
        <v>1.2591093117408907</v>
      </c>
      <c r="W5" s="140" t="s">
        <v>109</v>
      </c>
    </row>
    <row r="6" spans="2:23" ht="15.75" thickBot="1" x14ac:dyDescent="0.3">
      <c r="B6" s="8" t="s">
        <v>8</v>
      </c>
      <c r="C6" s="13">
        <v>44878</v>
      </c>
      <c r="D6" s="13">
        <v>43284</v>
      </c>
      <c r="E6" s="13">
        <v>45452</v>
      </c>
      <c r="G6" s="66"/>
      <c r="H6" s="66"/>
      <c r="I6" s="59"/>
      <c r="J6" s="59"/>
      <c r="K6" s="59"/>
      <c r="L6" s="59"/>
      <c r="M6" s="65"/>
      <c r="N6" s="59"/>
      <c r="O6" s="65"/>
      <c r="P6" s="59"/>
      <c r="R6" s="127"/>
      <c r="S6" s="74" t="s">
        <v>91</v>
      </c>
      <c r="T6" s="141">
        <f>C8/C55</f>
        <v>3.2503871059131551E-2</v>
      </c>
      <c r="U6" s="141">
        <f t="shared" ref="U6:V6" si="3">D8/D55</f>
        <v>9.0090073589174507E-2</v>
      </c>
      <c r="V6" s="141">
        <f t="shared" si="3"/>
        <v>7.8947368421052627E-2</v>
      </c>
      <c r="W6" s="142" t="s">
        <v>110</v>
      </c>
    </row>
    <row r="7" spans="2:23" ht="15.75" thickBot="1" x14ac:dyDescent="0.3">
      <c r="B7" s="8" t="s">
        <v>9</v>
      </c>
      <c r="C7" s="14">
        <v>15011</v>
      </c>
      <c r="D7" s="14">
        <v>153462</v>
      </c>
      <c r="E7" s="14">
        <v>115696</v>
      </c>
      <c r="G7" s="66" t="s">
        <v>73</v>
      </c>
      <c r="H7" s="84">
        <f>I7/I$22</f>
        <v>1.8111694985374918E-2</v>
      </c>
      <c r="I7" s="78">
        <f>C8</f>
        <v>59889</v>
      </c>
      <c r="J7" s="85">
        <f>I7/I7*100</f>
        <v>100</v>
      </c>
      <c r="K7" s="84">
        <f>L7/L$22</f>
        <v>0.05</v>
      </c>
      <c r="L7" s="78">
        <f>D8</f>
        <v>196746</v>
      </c>
      <c r="M7" s="85">
        <f>L7/I7*100</f>
        <v>328.51775785202625</v>
      </c>
      <c r="N7" s="88">
        <f>O7/O$22</f>
        <v>3.9E-2</v>
      </c>
      <c r="O7" s="86">
        <f>E8</f>
        <v>161148</v>
      </c>
      <c r="P7" s="85">
        <f>O7/I7*100</f>
        <v>269.07779391874971</v>
      </c>
      <c r="R7" s="128" t="s">
        <v>104</v>
      </c>
      <c r="S7" s="75" t="s">
        <v>92</v>
      </c>
      <c r="T7" s="143">
        <f>(C55+C58)/C63</f>
        <v>0.92318988897517973</v>
      </c>
      <c r="U7" s="143">
        <f t="shared" ref="U7:V7" si="4">(D55+D58)/D63</f>
        <v>0.92700004066156361</v>
      </c>
      <c r="V7" s="143">
        <f t="shared" si="4"/>
        <v>0.71499999999999997</v>
      </c>
      <c r="W7" s="138" t="s">
        <v>109</v>
      </c>
    </row>
    <row r="8" spans="2:23" x14ac:dyDescent="0.25">
      <c r="B8" s="3"/>
      <c r="C8" s="13">
        <f>SUM(C6:C7)</f>
        <v>59889</v>
      </c>
      <c r="D8" s="13">
        <f t="shared" ref="D8:E8" si="5">SUM(D6:D7)</f>
        <v>196746</v>
      </c>
      <c r="E8" s="13">
        <f t="shared" si="5"/>
        <v>161148</v>
      </c>
      <c r="G8" s="66" t="s">
        <v>11</v>
      </c>
      <c r="H8" s="84">
        <f t="shared" ref="H8:H10" si="6">I8/I$22</f>
        <v>0.33421126167647719</v>
      </c>
      <c r="I8" s="78">
        <f>C10+C11</f>
        <v>1105119</v>
      </c>
      <c r="J8" s="85">
        <f t="shared" ref="J8:J10" si="7">I8/I8*100</f>
        <v>100</v>
      </c>
      <c r="K8" s="84">
        <f t="shared" ref="K8:K10" si="8">L8/L$22</f>
        <v>0.44899997966921817</v>
      </c>
      <c r="L8" s="78">
        <f>D10+D11</f>
        <v>1766779</v>
      </c>
      <c r="M8" s="85">
        <f t="shared" ref="M8:M10" si="9">L8/I8*100</f>
        <v>159.87228524710912</v>
      </c>
      <c r="N8" s="88">
        <f t="shared" ref="N8:N10" si="10">O8/O$22</f>
        <v>0.51600000000000001</v>
      </c>
      <c r="O8" s="86">
        <f>E10+E11</f>
        <v>2132112</v>
      </c>
      <c r="P8" s="85">
        <f t="shared" ref="P8:P10" si="11">O8/I8*100</f>
        <v>192.93053508264722</v>
      </c>
      <c r="R8" s="129"/>
      <c r="S8" s="72" t="s">
        <v>93</v>
      </c>
      <c r="T8" s="144">
        <f>C55/(C55+C58)</f>
        <v>0.60357739993657999</v>
      </c>
      <c r="U8" s="144">
        <f t="shared" ref="U8:V8" si="12">D55/(D55+D58)</f>
        <v>0.59870558501575388</v>
      </c>
      <c r="V8" s="144">
        <f t="shared" si="12"/>
        <v>0.69090909090909092</v>
      </c>
      <c r="W8" s="140" t="s">
        <v>111</v>
      </c>
    </row>
    <row r="9" spans="2:23" ht="15.75" thickBot="1" x14ac:dyDescent="0.3">
      <c r="B9" s="8" t="s">
        <v>10</v>
      </c>
      <c r="C9" s="16"/>
      <c r="D9" s="16"/>
      <c r="E9" s="16"/>
      <c r="G9" s="66" t="s">
        <v>74</v>
      </c>
      <c r="H9" s="84">
        <f t="shared" si="6"/>
        <v>0.37427418945106949</v>
      </c>
      <c r="I9" s="78">
        <f>C25</f>
        <v>1237593</v>
      </c>
      <c r="J9" s="85">
        <f t="shared" si="7"/>
        <v>100</v>
      </c>
      <c r="K9" s="84">
        <f t="shared" si="8"/>
        <v>0.25500010165390913</v>
      </c>
      <c r="L9" s="78">
        <f>D25</f>
        <v>1003405</v>
      </c>
      <c r="M9" s="85">
        <f t="shared" si="9"/>
        <v>81.077139253373289</v>
      </c>
      <c r="N9" s="88">
        <f t="shared" si="10"/>
        <v>0.221</v>
      </c>
      <c r="O9" s="86">
        <f>E25</f>
        <v>913172</v>
      </c>
      <c r="P9" s="85">
        <f t="shared" si="11"/>
        <v>73.786131628087745</v>
      </c>
      <c r="R9" s="130"/>
      <c r="S9" s="73" t="s">
        <v>94</v>
      </c>
      <c r="T9" s="145">
        <f>(C55+C58)/C62</f>
        <v>12.019119314602495</v>
      </c>
      <c r="U9" s="145">
        <f t="shared" ref="U9:V9" si="13">(D55+D58)/D62</f>
        <v>12.698637767233306</v>
      </c>
      <c r="V9" s="145">
        <f t="shared" si="13"/>
        <v>2.5087719298245612</v>
      </c>
      <c r="W9" s="146" t="s">
        <v>109</v>
      </c>
    </row>
    <row r="10" spans="2:23" x14ac:dyDescent="0.25">
      <c r="B10" s="8" t="s">
        <v>11</v>
      </c>
      <c r="C10" s="13">
        <v>1108859</v>
      </c>
      <c r="D10" s="13">
        <v>1770714</v>
      </c>
      <c r="E10" s="13">
        <v>2198224</v>
      </c>
      <c r="G10" s="66" t="s">
        <v>75</v>
      </c>
      <c r="H10" s="84">
        <f t="shared" si="6"/>
        <v>0.13275135424151588</v>
      </c>
      <c r="I10" s="78">
        <f>C17-I8</f>
        <v>438962</v>
      </c>
      <c r="J10" s="85">
        <f t="shared" si="7"/>
        <v>100</v>
      </c>
      <c r="K10" s="84">
        <f t="shared" si="8"/>
        <v>0.13599996950382726</v>
      </c>
      <c r="L10" s="78">
        <f>D17-L8</f>
        <v>535149</v>
      </c>
      <c r="M10" s="85">
        <f t="shared" si="9"/>
        <v>121.9123751030841</v>
      </c>
      <c r="N10" s="88">
        <f t="shared" si="10"/>
        <v>6.7000000000000004E-2</v>
      </c>
      <c r="O10" s="86">
        <f>E17-O8</f>
        <v>276844</v>
      </c>
      <c r="P10" s="85">
        <f t="shared" si="11"/>
        <v>63.067873756726087</v>
      </c>
      <c r="R10" s="129" t="s">
        <v>103</v>
      </c>
      <c r="S10" s="75" t="s">
        <v>95</v>
      </c>
      <c r="T10" s="147">
        <f>C81/C40</f>
        <v>-4.4738962236077137E-2</v>
      </c>
      <c r="U10" s="147">
        <f t="shared" ref="U10:V10" si="14">D81/D40</f>
        <v>-3.1826568265682656E-2</v>
      </c>
      <c r="V10" s="155">
        <f t="shared" si="14"/>
        <v>7.4266940948693128E-2</v>
      </c>
      <c r="W10" s="138" t="s">
        <v>109</v>
      </c>
    </row>
    <row r="11" spans="2:23" x14ac:dyDescent="0.25">
      <c r="B11" s="8" t="s">
        <v>12</v>
      </c>
      <c r="C11" s="13">
        <v>-3740</v>
      </c>
      <c r="D11" s="13">
        <v>-3935</v>
      </c>
      <c r="E11" s="13">
        <v>-66112</v>
      </c>
      <c r="G11" s="66"/>
      <c r="H11" s="66"/>
      <c r="I11" s="59"/>
      <c r="J11" s="59"/>
      <c r="K11" s="66"/>
      <c r="L11" s="59"/>
      <c r="M11" s="65"/>
      <c r="N11" s="59"/>
      <c r="O11" s="65"/>
      <c r="P11" s="59"/>
      <c r="R11" s="129"/>
      <c r="S11" s="72" t="s">
        <v>96</v>
      </c>
      <c r="T11" s="139">
        <f>C67/C40</f>
        <v>0.72926147566962074</v>
      </c>
      <c r="U11" s="139">
        <f t="shared" ref="U11:V11" si="15">D67/D40</f>
        <v>0.90995903347463225</v>
      </c>
      <c r="V11" s="139">
        <f t="shared" si="15"/>
        <v>0.87651694094869315</v>
      </c>
      <c r="W11" s="140" t="s">
        <v>110</v>
      </c>
    </row>
    <row r="12" spans="2:23" ht="15.75" thickBot="1" x14ac:dyDescent="0.3">
      <c r="B12" s="8" t="s">
        <v>13</v>
      </c>
      <c r="C12" s="13">
        <v>24221</v>
      </c>
      <c r="D12" s="13">
        <v>5122</v>
      </c>
      <c r="E12" s="13">
        <v>4132</v>
      </c>
      <c r="G12" s="64" t="s">
        <v>25</v>
      </c>
      <c r="H12" s="84">
        <f>I12/I$22</f>
        <v>0.85934850035443744</v>
      </c>
      <c r="I12" s="79">
        <f>SUM(I7:I11)</f>
        <v>2841563</v>
      </c>
      <c r="J12" s="85">
        <f>I12/I12*100</f>
        <v>100</v>
      </c>
      <c r="K12" s="84">
        <f>L12/L$22</f>
        <v>0.89000005082695455</v>
      </c>
      <c r="L12" s="79">
        <f t="shared" ref="L12:O12" si="16">SUM(L7:L11)</f>
        <v>3502079</v>
      </c>
      <c r="M12" s="85">
        <f>L12/I12*100</f>
        <v>123.24481280196848</v>
      </c>
      <c r="N12" s="88">
        <f>O12/O$22</f>
        <v>0.84299999999999997</v>
      </c>
      <c r="O12" s="87">
        <f t="shared" si="16"/>
        <v>3483276</v>
      </c>
      <c r="P12" s="85">
        <f>O12/I12*100</f>
        <v>122.5830995124866</v>
      </c>
      <c r="R12" s="129"/>
      <c r="S12" s="73" t="s">
        <v>97</v>
      </c>
      <c r="T12" s="156">
        <f>C81/C62</f>
        <v>-0.58246188736298354</v>
      </c>
      <c r="U12" s="156">
        <f t="shared" ref="U12:V12" si="17">D81/D62</f>
        <v>-0.43598063004570947</v>
      </c>
      <c r="V12" s="148">
        <f t="shared" si="17"/>
        <v>0.26058575771471271</v>
      </c>
      <c r="W12" s="146" t="s">
        <v>109</v>
      </c>
    </row>
    <row r="13" spans="2:23" x14ac:dyDescent="0.25">
      <c r="B13" s="8" t="s">
        <v>14</v>
      </c>
      <c r="C13" s="13">
        <v>1133</v>
      </c>
      <c r="D13" s="13">
        <v>2547</v>
      </c>
      <c r="E13" s="13">
        <v>8264</v>
      </c>
      <c r="G13" s="66"/>
      <c r="H13" s="66"/>
      <c r="I13" s="59"/>
      <c r="J13" s="59"/>
      <c r="K13" s="66"/>
      <c r="L13" s="59"/>
      <c r="M13" s="65"/>
      <c r="N13" s="59"/>
      <c r="O13" s="65"/>
      <c r="P13" s="59"/>
      <c r="R13" s="131" t="s">
        <v>102</v>
      </c>
      <c r="S13" s="75" t="s">
        <v>98</v>
      </c>
      <c r="T13" s="149">
        <f>C25/-C70*360</f>
        <v>244.29445605662161</v>
      </c>
      <c r="U13" s="149">
        <f t="shared" ref="U13:V13" si="18">D25/-D70*360</f>
        <v>167.3030242539638</v>
      </c>
      <c r="V13" s="149">
        <f t="shared" si="18"/>
        <v>196.46827713853881</v>
      </c>
      <c r="W13" s="138" t="s">
        <v>110</v>
      </c>
    </row>
    <row r="14" spans="2:23" x14ac:dyDescent="0.25">
      <c r="B14" s="8" t="s">
        <v>15</v>
      </c>
      <c r="C14" s="13">
        <v>47287</v>
      </c>
      <c r="D14" s="13">
        <v>47219</v>
      </c>
      <c r="E14" s="13">
        <v>28924</v>
      </c>
      <c r="G14" s="64" t="s">
        <v>26</v>
      </c>
      <c r="H14" s="64"/>
      <c r="I14" s="59"/>
      <c r="J14" s="59"/>
      <c r="K14" s="64"/>
      <c r="L14" s="59"/>
      <c r="M14" s="65"/>
      <c r="N14" s="60"/>
      <c r="O14" s="65"/>
      <c r="P14" s="59"/>
      <c r="R14" s="132"/>
      <c r="S14" s="72" t="s">
        <v>99</v>
      </c>
      <c r="T14" s="150">
        <f>(C10+C11)/C67*360</f>
        <v>164.9834225687782</v>
      </c>
      <c r="U14" s="150">
        <f t="shared" ref="U14:V14" si="19">(D10+D11)/D67*360</f>
        <v>177.63436235552766</v>
      </c>
      <c r="V14" s="150">
        <f t="shared" si="19"/>
        <v>211.92973155652157</v>
      </c>
      <c r="W14" s="140" t="s">
        <v>111</v>
      </c>
    </row>
    <row r="15" spans="2:23" ht="15.75" thickBot="1" x14ac:dyDescent="0.3">
      <c r="B15" s="8" t="s">
        <v>16</v>
      </c>
      <c r="C15" s="13">
        <v>247673</v>
      </c>
      <c r="D15" s="13">
        <v>464321</v>
      </c>
      <c r="E15" s="13">
        <v>218996</v>
      </c>
      <c r="G15" s="66"/>
      <c r="H15" s="66"/>
      <c r="I15" s="59"/>
      <c r="J15" s="59"/>
      <c r="K15" s="66"/>
      <c r="L15" s="59"/>
      <c r="M15" s="65"/>
      <c r="N15" s="59"/>
      <c r="O15" s="65"/>
      <c r="P15" s="59"/>
      <c r="R15" s="133"/>
      <c r="S15" s="73" t="s">
        <v>100</v>
      </c>
      <c r="T15" s="145"/>
      <c r="U15" s="151">
        <f>O45/U18*360</f>
        <v>6.1821485846446853</v>
      </c>
      <c r="V15" s="151">
        <f>P45/V18*360</f>
        <v>1.4023380226634474E-3</v>
      </c>
      <c r="W15" s="146" t="s">
        <v>111</v>
      </c>
    </row>
    <row r="16" spans="2:23" ht="15.75" thickBot="1" x14ac:dyDescent="0.3">
      <c r="B16" s="8" t="s">
        <v>17</v>
      </c>
      <c r="C16" s="14">
        <v>118648</v>
      </c>
      <c r="D16" s="14">
        <v>15940</v>
      </c>
      <c r="E16" s="14">
        <v>16528</v>
      </c>
      <c r="G16" s="66" t="s">
        <v>76</v>
      </c>
      <c r="H16" s="84">
        <f t="shared" ref="H16:H17" si="20">I16/I$22</f>
        <v>1.5548374063401971E-2</v>
      </c>
      <c r="I16" s="78">
        <f>C34</f>
        <v>51413</v>
      </c>
      <c r="J16" s="85">
        <f t="shared" ref="J16:J17" si="21">I16/I16*100</f>
        <v>100</v>
      </c>
      <c r="K16" s="84">
        <f t="shared" ref="K16:K17" si="22">L16/L$22</f>
        <v>1.300001016539091E-2</v>
      </c>
      <c r="L16" s="78">
        <f>D34</f>
        <v>51154</v>
      </c>
      <c r="M16" s="85">
        <f t="shared" ref="M16:M17" si="23">L16/I16*100</f>
        <v>99.49623636045358</v>
      </c>
      <c r="N16" s="88">
        <f t="shared" ref="N16:N17" si="24">O16/O$22</f>
        <v>0.01</v>
      </c>
      <c r="O16" s="86">
        <f>E34</f>
        <v>41320</v>
      </c>
      <c r="P16" s="85">
        <f t="shared" ref="P16:P17" si="25">O16/I16*100</f>
        <v>80.368778324548259</v>
      </c>
      <c r="R16" s="70" t="s">
        <v>75</v>
      </c>
      <c r="S16" s="71" t="s">
        <v>101</v>
      </c>
      <c r="T16" s="158">
        <f>T20+T21+T22-T23-T24</f>
        <v>-1.0038991314678514</v>
      </c>
      <c r="U16" s="159">
        <f t="shared" ref="U16:V16" si="26">U20+U21+U22-U23-U24</f>
        <v>-0.26631604178156998</v>
      </c>
      <c r="V16" s="159">
        <f t="shared" si="26"/>
        <v>3.7914908263472737</v>
      </c>
      <c r="W16" s="160" t="s">
        <v>109</v>
      </c>
    </row>
    <row r="17" spans="2:22" x14ac:dyDescent="0.25">
      <c r="B17" s="3"/>
      <c r="C17" s="13">
        <f>SUM(C10:C16)</f>
        <v>1544081</v>
      </c>
      <c r="D17" s="13">
        <f t="shared" ref="D17:E17" si="27">SUM(D10:D16)</f>
        <v>2301928</v>
      </c>
      <c r="E17" s="13">
        <f t="shared" si="27"/>
        <v>2408956</v>
      </c>
      <c r="G17" s="66" t="s">
        <v>77</v>
      </c>
      <c r="H17" s="84">
        <f t="shared" si="20"/>
        <v>0.12510312558216055</v>
      </c>
      <c r="I17" s="78">
        <f>C38</f>
        <v>413672</v>
      </c>
      <c r="J17" s="85">
        <f t="shared" si="21"/>
        <v>100</v>
      </c>
      <c r="K17" s="84">
        <f t="shared" si="22"/>
        <v>9.6999939007654537E-2</v>
      </c>
      <c r="L17" s="78">
        <f>D38</f>
        <v>381687</v>
      </c>
      <c r="M17" s="85">
        <f t="shared" si="23"/>
        <v>92.2680287764219</v>
      </c>
      <c r="N17" s="88">
        <f t="shared" si="24"/>
        <v>0.14699999999999999</v>
      </c>
      <c r="O17" s="86">
        <f>E38</f>
        <v>607404</v>
      </c>
      <c r="P17" s="85">
        <f t="shared" si="25"/>
        <v>146.8322729118722</v>
      </c>
      <c r="T17" s="157" t="s">
        <v>112</v>
      </c>
      <c r="U17" s="157" t="s">
        <v>112</v>
      </c>
      <c r="V17" s="157" t="s">
        <v>113</v>
      </c>
    </row>
    <row r="18" spans="2:22" x14ac:dyDescent="0.25">
      <c r="B18" s="8" t="s">
        <v>18</v>
      </c>
      <c r="C18" s="16"/>
      <c r="D18" s="16"/>
      <c r="E18" s="16"/>
      <c r="G18" s="66"/>
      <c r="H18" s="66"/>
      <c r="I18" s="59"/>
      <c r="J18" s="59"/>
      <c r="K18" s="66"/>
      <c r="L18" s="59"/>
      <c r="M18" s="65"/>
      <c r="N18" s="59"/>
      <c r="O18" s="65"/>
      <c r="P18" s="59"/>
      <c r="R18" s="12" t="s">
        <v>114</v>
      </c>
      <c r="U18" s="153">
        <f>-D70+D25-C25</f>
        <v>1924923</v>
      </c>
      <c r="V18" s="153">
        <f>-E70+E25-D25</f>
        <v>1583024</v>
      </c>
    </row>
    <row r="19" spans="2:22" x14ac:dyDescent="0.25">
      <c r="B19" s="8" t="s">
        <v>19</v>
      </c>
      <c r="C19" s="13">
        <v>530587</v>
      </c>
      <c r="D19" s="13">
        <v>558759</v>
      </c>
      <c r="E19" s="13">
        <v>541292</v>
      </c>
      <c r="G19" s="64" t="s">
        <v>36</v>
      </c>
      <c r="H19" s="84">
        <f>I19/I$22</f>
        <v>0.14065149964556251</v>
      </c>
      <c r="I19" s="79">
        <f>SUM(I16:I18)</f>
        <v>465085</v>
      </c>
      <c r="J19" s="85">
        <f>I19/I19*100</f>
        <v>100</v>
      </c>
      <c r="K19" s="84">
        <f>L19/L$22</f>
        <v>0.10999994917304545</v>
      </c>
      <c r="L19" s="79">
        <f t="shared" ref="L19:O19" si="28">SUM(L16:L18)</f>
        <v>432841</v>
      </c>
      <c r="M19" s="85">
        <f>L19/I19*100</f>
        <v>93.0670737607104</v>
      </c>
      <c r="N19" s="88">
        <f>O19/O$22</f>
        <v>0.157</v>
      </c>
      <c r="O19" s="87">
        <f t="shared" si="28"/>
        <v>648724</v>
      </c>
      <c r="P19" s="85">
        <f>O19/I19*100</f>
        <v>139.4850403689648</v>
      </c>
      <c r="R19" s="12" t="s">
        <v>115</v>
      </c>
    </row>
    <row r="20" spans="2:22" ht="15.75" thickBot="1" x14ac:dyDescent="0.3">
      <c r="B20" s="8" t="s">
        <v>20</v>
      </c>
      <c r="C20" s="13">
        <v>79813</v>
      </c>
      <c r="D20" s="13">
        <v>66893</v>
      </c>
      <c r="E20" s="13">
        <v>74376</v>
      </c>
      <c r="G20" s="66"/>
      <c r="H20" s="66"/>
      <c r="I20" s="59"/>
      <c r="J20" s="59"/>
      <c r="K20" s="66"/>
      <c r="L20" s="59"/>
      <c r="M20" s="65"/>
      <c r="N20" s="67"/>
      <c r="O20" s="65"/>
      <c r="P20" s="67"/>
      <c r="S20" s="154" t="s">
        <v>116</v>
      </c>
      <c r="T20" s="12">
        <f>0.05*T12</f>
        <v>-2.912309436814918E-2</v>
      </c>
      <c r="U20" s="12">
        <f t="shared" ref="U20:V20" si="29">0.05*U12</f>
        <v>-2.1799031502285474E-2</v>
      </c>
      <c r="V20" s="12">
        <f t="shared" si="29"/>
        <v>1.3029287885735636E-2</v>
      </c>
    </row>
    <row r="21" spans="2:22" x14ac:dyDescent="0.25">
      <c r="B21" s="8" t="s">
        <v>21</v>
      </c>
      <c r="C21" s="13">
        <v>320826</v>
      </c>
      <c r="D21" s="13">
        <v>240030</v>
      </c>
      <c r="E21" s="13">
        <v>198336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S21" s="154" t="s">
        <v>117</v>
      </c>
      <c r="T21" s="12">
        <f>1.65*T4</f>
        <v>1.5358974816750222</v>
      </c>
      <c r="U21" s="12">
        <f t="shared" ref="U21:V21" si="30">1.65*U4</f>
        <v>1.5841424158044954</v>
      </c>
      <c r="V21" s="12">
        <f t="shared" si="30"/>
        <v>1.9453846153846155</v>
      </c>
    </row>
    <row r="22" spans="2:22" x14ac:dyDescent="0.25">
      <c r="B22" s="8" t="s">
        <v>22</v>
      </c>
      <c r="C22" s="13">
        <v>52132</v>
      </c>
      <c r="D22" s="13">
        <v>66894</v>
      </c>
      <c r="E22" s="13">
        <v>66112</v>
      </c>
      <c r="G22" s="60" t="s">
        <v>37</v>
      </c>
      <c r="H22" s="82">
        <f>I22/I22</f>
        <v>1</v>
      </c>
      <c r="I22" s="79">
        <f>I12+I19</f>
        <v>3306648</v>
      </c>
      <c r="J22" s="85">
        <f>I22/I22*100</f>
        <v>100</v>
      </c>
      <c r="K22" s="82">
        <f>L22/L22</f>
        <v>1</v>
      </c>
      <c r="L22" s="79">
        <f t="shared" ref="L22:O22" si="31">L12+L19</f>
        <v>3934920</v>
      </c>
      <c r="M22" s="85">
        <f>L22/I22*100</f>
        <v>119.00026854990311</v>
      </c>
      <c r="N22" s="82">
        <f>O22/O22</f>
        <v>1</v>
      </c>
      <c r="O22" s="79">
        <f t="shared" si="31"/>
        <v>4132000</v>
      </c>
      <c r="P22" s="85">
        <f>O22/I22*100</f>
        <v>124.96038284087088</v>
      </c>
      <c r="S22" s="154" t="s">
        <v>118</v>
      </c>
      <c r="T22" s="12">
        <f>3.55*T5</f>
        <v>3.0903852280492083</v>
      </c>
      <c r="U22" s="12">
        <f t="shared" ref="U22:V22" si="32">3.55*U5</f>
        <v>4.0617106426586425</v>
      </c>
      <c r="V22" s="12">
        <f t="shared" si="32"/>
        <v>4.4698380566801621</v>
      </c>
    </row>
    <row r="23" spans="2:22" ht="15.75" thickBot="1" x14ac:dyDescent="0.3">
      <c r="B23" s="8" t="s">
        <v>23</v>
      </c>
      <c r="C23" s="13">
        <v>265885</v>
      </c>
      <c r="D23" s="13">
        <v>110178</v>
      </c>
      <c r="E23" s="13">
        <v>70244</v>
      </c>
      <c r="G23" s="67"/>
      <c r="H23" s="83"/>
      <c r="I23" s="67"/>
      <c r="J23" s="67"/>
      <c r="K23" s="67"/>
      <c r="L23" s="67"/>
      <c r="M23" s="67"/>
      <c r="N23" s="67"/>
      <c r="O23" s="67"/>
      <c r="P23" s="67"/>
      <c r="S23" s="154" t="s">
        <v>119</v>
      </c>
      <c r="T23" s="12">
        <f>1.06*T3</f>
        <v>1.6347493730051088</v>
      </c>
      <c r="U23" s="12">
        <f t="shared" ref="U23:V23" si="33">1.06*U3</f>
        <v>1.6998196055554311</v>
      </c>
      <c r="V23" s="12">
        <f t="shared" si="33"/>
        <v>1.8088663967611338</v>
      </c>
    </row>
    <row r="24" spans="2:22" ht="15.75" thickBot="1" x14ac:dyDescent="0.3">
      <c r="B24" s="8" t="s">
        <v>24</v>
      </c>
      <c r="C24" s="14">
        <v>-11650</v>
      </c>
      <c r="D24" s="14">
        <v>-39349</v>
      </c>
      <c r="E24" s="14">
        <v>-37188</v>
      </c>
      <c r="S24" s="154" t="s">
        <v>120</v>
      </c>
      <c r="T24" s="12">
        <f>0.33*T9</f>
        <v>3.9663093738188238</v>
      </c>
      <c r="U24" s="12">
        <f t="shared" ref="U24:V24" si="34">0.33*U9</f>
        <v>4.190550463186991</v>
      </c>
      <c r="V24" s="12">
        <f t="shared" si="34"/>
        <v>0.82789473684210524</v>
      </c>
    </row>
    <row r="25" spans="2:22" ht="15.75" customHeight="1" x14ac:dyDescent="0.25">
      <c r="B25" s="3"/>
      <c r="C25" s="13">
        <f>SUM(C19:C24)</f>
        <v>1237593</v>
      </c>
      <c r="D25" s="13">
        <f t="shared" ref="D25:E25" si="35">SUM(D19:D24)</f>
        <v>1003405</v>
      </c>
      <c r="E25" s="13">
        <f t="shared" si="35"/>
        <v>913172</v>
      </c>
    </row>
    <row r="26" spans="2:22" x14ac:dyDescent="0.25">
      <c r="B26" s="2" t="s">
        <v>25</v>
      </c>
      <c r="C26" s="17">
        <f>C8+C17+C25</f>
        <v>2841563</v>
      </c>
      <c r="D26" s="17">
        <f t="shared" ref="D26:E26" si="36">D8+D17+D25</f>
        <v>3502079</v>
      </c>
      <c r="E26" s="17">
        <f t="shared" si="36"/>
        <v>3483276</v>
      </c>
    </row>
    <row r="27" spans="2:22" ht="15" customHeight="1" x14ac:dyDescent="0.25">
      <c r="B27" s="2" t="s">
        <v>26</v>
      </c>
      <c r="C27" s="16"/>
      <c r="D27" s="16"/>
      <c r="E27" s="16"/>
    </row>
    <row r="28" spans="2:22" x14ac:dyDescent="0.25">
      <c r="B28" s="8" t="s">
        <v>27</v>
      </c>
      <c r="C28" s="16"/>
      <c r="D28" s="16"/>
      <c r="E28" s="16"/>
    </row>
    <row r="29" spans="2:22" ht="15" customHeight="1" x14ac:dyDescent="0.25">
      <c r="B29" s="8" t="s">
        <v>28</v>
      </c>
      <c r="C29" s="13">
        <v>37929</v>
      </c>
      <c r="D29" s="13">
        <v>39349</v>
      </c>
      <c r="E29" s="13">
        <v>41320</v>
      </c>
    </row>
    <row r="30" spans="2:22" x14ac:dyDescent="0.25">
      <c r="B30" s="8" t="s">
        <v>29</v>
      </c>
      <c r="C30" s="13">
        <v>12245</v>
      </c>
      <c r="D30" s="13">
        <v>11805</v>
      </c>
      <c r="E30" s="13">
        <v>11983</v>
      </c>
    </row>
    <row r="31" spans="2:22" x14ac:dyDescent="0.25">
      <c r="B31" s="8" t="s">
        <v>30</v>
      </c>
      <c r="C31" s="13">
        <v>10000</v>
      </c>
      <c r="D31" s="13">
        <v>10000</v>
      </c>
      <c r="E31" s="13">
        <v>4132</v>
      </c>
    </row>
    <row r="32" spans="2:22" x14ac:dyDescent="0.25">
      <c r="B32" s="8" t="s">
        <v>17</v>
      </c>
      <c r="C32" s="13">
        <v>1568</v>
      </c>
      <c r="D32" s="13">
        <v>1805</v>
      </c>
      <c r="E32" s="18" t="s">
        <v>31</v>
      </c>
    </row>
    <row r="33" spans="2:16" ht="15.75" thickBot="1" x14ac:dyDescent="0.3">
      <c r="B33" s="8" t="s">
        <v>32</v>
      </c>
      <c r="C33" s="34">
        <v>-10329</v>
      </c>
      <c r="D33" s="34">
        <v>-11805</v>
      </c>
      <c r="E33" s="34">
        <v>-16115</v>
      </c>
    </row>
    <row r="34" spans="2:16" x14ac:dyDescent="0.25">
      <c r="B34" s="3"/>
      <c r="C34" s="13">
        <f>SUM(C29:C33)</f>
        <v>51413</v>
      </c>
      <c r="D34" s="13">
        <f t="shared" ref="D34:E34" si="37">SUM(D29:D33)</f>
        <v>51154</v>
      </c>
      <c r="E34" s="13">
        <f t="shared" si="37"/>
        <v>41320</v>
      </c>
    </row>
    <row r="35" spans="2:16" x14ac:dyDescent="0.25">
      <c r="B35" s="8" t="s">
        <v>33</v>
      </c>
      <c r="C35" s="16"/>
      <c r="D35" s="16"/>
      <c r="E35" s="16"/>
    </row>
    <row r="36" spans="2:16" x14ac:dyDescent="0.25">
      <c r="B36" s="8" t="s">
        <v>34</v>
      </c>
      <c r="C36" s="13">
        <v>562195</v>
      </c>
      <c r="D36" s="13">
        <v>570563</v>
      </c>
      <c r="E36" s="13">
        <v>966888</v>
      </c>
    </row>
    <row r="37" spans="2:16" ht="15.75" customHeight="1" thickBot="1" x14ac:dyDescent="0.3">
      <c r="B37" s="8" t="s">
        <v>35</v>
      </c>
      <c r="C37" s="34">
        <v>-148523</v>
      </c>
      <c r="D37" s="34">
        <v>-188876</v>
      </c>
      <c r="E37" s="34">
        <v>-359484</v>
      </c>
    </row>
    <row r="38" spans="2:16" x14ac:dyDescent="0.25">
      <c r="B38" s="3"/>
      <c r="C38" s="13">
        <f>SUM(C36:C37)</f>
        <v>413672</v>
      </c>
      <c r="D38" s="13">
        <f t="shared" ref="D38:E38" si="38">SUM(D36:D37)</f>
        <v>381687</v>
      </c>
      <c r="E38" s="13">
        <f t="shared" si="38"/>
        <v>607404</v>
      </c>
    </row>
    <row r="39" spans="2:16" ht="15.75" thickBot="1" x14ac:dyDescent="0.3">
      <c r="B39" s="4" t="s">
        <v>36</v>
      </c>
      <c r="C39" s="19">
        <f>C34+C38</f>
        <v>465085</v>
      </c>
      <c r="D39" s="19">
        <f t="shared" ref="D39:E39" si="39">D34+D38</f>
        <v>432841</v>
      </c>
      <c r="E39" s="19">
        <f t="shared" si="39"/>
        <v>648724</v>
      </c>
    </row>
    <row r="40" spans="2:16" ht="15.75" thickBot="1" x14ac:dyDescent="0.3">
      <c r="B40" s="4" t="s">
        <v>37</v>
      </c>
      <c r="C40" s="15">
        <f>C26+C39</f>
        <v>3306648</v>
      </c>
      <c r="D40" s="15">
        <f t="shared" ref="D40:E40" si="40">D26+D39</f>
        <v>3934920</v>
      </c>
      <c r="E40" s="15">
        <f t="shared" si="40"/>
        <v>4132000</v>
      </c>
    </row>
    <row r="41" spans="2:16" ht="15.75" thickBot="1" x14ac:dyDescent="0.3">
      <c r="C41" s="20"/>
      <c r="D41" s="20"/>
      <c r="E41" s="20"/>
    </row>
    <row r="42" spans="2:16" ht="15.75" thickBot="1" x14ac:dyDescent="0.3">
      <c r="B42" s="121" t="s">
        <v>38</v>
      </c>
      <c r="C42" s="21" t="s">
        <v>2</v>
      </c>
      <c r="D42" s="21" t="s">
        <v>3</v>
      </c>
      <c r="E42" s="21" t="s">
        <v>4</v>
      </c>
      <c r="G42" s="121" t="s">
        <v>38</v>
      </c>
      <c r="H42" s="1" t="s">
        <v>105</v>
      </c>
      <c r="I42" s="1" t="s">
        <v>2</v>
      </c>
      <c r="J42" s="1" t="s">
        <v>106</v>
      </c>
      <c r="K42" s="1" t="s">
        <v>105</v>
      </c>
      <c r="L42" s="1" t="s">
        <v>3</v>
      </c>
      <c r="M42" s="1" t="s">
        <v>106</v>
      </c>
      <c r="N42" s="1" t="s">
        <v>105</v>
      </c>
      <c r="O42" s="1" t="s">
        <v>4</v>
      </c>
      <c r="P42" s="1" t="s">
        <v>106</v>
      </c>
    </row>
    <row r="43" spans="2:16" ht="15.75" thickBot="1" x14ac:dyDescent="0.3">
      <c r="B43" s="122"/>
      <c r="C43" s="22" t="s">
        <v>5</v>
      </c>
      <c r="D43" s="23" t="s">
        <v>5</v>
      </c>
      <c r="E43" s="24" t="s">
        <v>5</v>
      </c>
      <c r="G43" s="122"/>
      <c r="H43" s="11" t="s">
        <v>108</v>
      </c>
      <c r="I43" s="11" t="s">
        <v>5</v>
      </c>
      <c r="J43" s="11" t="s">
        <v>107</v>
      </c>
      <c r="K43" s="11" t="s">
        <v>108</v>
      </c>
      <c r="L43" s="11" t="s">
        <v>5</v>
      </c>
      <c r="M43" s="11" t="s">
        <v>107</v>
      </c>
      <c r="N43" s="11" t="s">
        <v>108</v>
      </c>
      <c r="O43" s="11" t="s">
        <v>5</v>
      </c>
      <c r="P43" s="11" t="s">
        <v>107</v>
      </c>
    </row>
    <row r="44" spans="2:16" x14ac:dyDescent="0.25">
      <c r="B44" s="2" t="s">
        <v>6</v>
      </c>
      <c r="C44" s="25"/>
      <c r="D44" s="39"/>
      <c r="E44" s="40"/>
      <c r="G44" s="57" t="s">
        <v>6</v>
      </c>
      <c r="H44" s="57"/>
      <c r="I44" s="58"/>
      <c r="J44" s="58"/>
      <c r="K44" s="58"/>
      <c r="L44" s="58"/>
      <c r="M44" s="58"/>
      <c r="N44" s="58"/>
      <c r="O44" s="58"/>
      <c r="P44" s="58"/>
    </row>
    <row r="45" spans="2:16" x14ac:dyDescent="0.25">
      <c r="B45" s="8" t="s">
        <v>60</v>
      </c>
      <c r="C45" s="26">
        <v>354578</v>
      </c>
      <c r="D45" s="27">
        <v>259705</v>
      </c>
      <c r="E45" s="27">
        <v>454520</v>
      </c>
      <c r="G45" s="59" t="s">
        <v>78</v>
      </c>
      <c r="H45" s="88">
        <f>I45/I$63</f>
        <v>0.16211553210381027</v>
      </c>
      <c r="I45" s="78">
        <f>C46</f>
        <v>536059</v>
      </c>
      <c r="J45" s="85">
        <f>I45/I45*100</f>
        <v>100</v>
      </c>
      <c r="K45" s="88">
        <f>L45/L$63</f>
        <v>1.400003049617273E-2</v>
      </c>
      <c r="L45" s="78">
        <f>D46</f>
        <v>55089</v>
      </c>
      <c r="M45" s="85">
        <f>L45/I45*100</f>
        <v>10.27666730714343</v>
      </c>
      <c r="N45" s="88">
        <f>O45/O$63</f>
        <v>8.0000000000000002E-3</v>
      </c>
      <c r="O45" s="78">
        <f>E46</f>
        <v>33056</v>
      </c>
      <c r="P45" s="85">
        <f>O45/I45*100</f>
        <v>6.1664854055243916</v>
      </c>
    </row>
    <row r="46" spans="2:16" x14ac:dyDescent="0.25">
      <c r="B46" s="8" t="s">
        <v>61</v>
      </c>
      <c r="C46" s="26">
        <v>536059</v>
      </c>
      <c r="D46" s="27">
        <v>55089</v>
      </c>
      <c r="E46" s="27">
        <v>33056</v>
      </c>
      <c r="G46" s="59" t="s">
        <v>79</v>
      </c>
      <c r="H46" s="88">
        <f t="shared" ref="H46:H49" si="41">I46/I$63</f>
        <v>0.10723185534111886</v>
      </c>
      <c r="I46" s="78">
        <f>C45</f>
        <v>354578</v>
      </c>
      <c r="J46" s="85">
        <f t="shared" ref="J46:J49" si="42">I46/I46*100</f>
        <v>100</v>
      </c>
      <c r="K46" s="88">
        <f t="shared" ref="K46:K49" si="43">L46/L$63</f>
        <v>6.6000071157736373E-2</v>
      </c>
      <c r="L46" s="78">
        <f>D45</f>
        <v>259705</v>
      </c>
      <c r="M46" s="85">
        <f t="shared" ref="M46:M49" si="44">L46/I46*100</f>
        <v>73.24340483617145</v>
      </c>
      <c r="N46" s="88">
        <f t="shared" ref="N46:N49" si="45">O46/O$63</f>
        <v>0.11</v>
      </c>
      <c r="O46" s="78">
        <f>E45</f>
        <v>454520</v>
      </c>
      <c r="P46" s="85">
        <f t="shared" ref="P46:P63" si="46">O46/I46*100</f>
        <v>128.18618188381683</v>
      </c>
    </row>
    <row r="47" spans="2:16" x14ac:dyDescent="0.25">
      <c r="B47" s="8" t="s">
        <v>62</v>
      </c>
      <c r="C47" s="26">
        <v>7267</v>
      </c>
      <c r="D47" s="27">
        <v>9935</v>
      </c>
      <c r="E47" s="27">
        <v>16528</v>
      </c>
      <c r="G47" s="59" t="s">
        <v>80</v>
      </c>
      <c r="H47" s="88">
        <f t="shared" si="41"/>
        <v>9.7636639884257411E-3</v>
      </c>
      <c r="I47" s="78">
        <f>C52</f>
        <v>32285</v>
      </c>
      <c r="J47" s="85">
        <f t="shared" si="42"/>
        <v>100</v>
      </c>
      <c r="K47" s="88">
        <f t="shared" si="43"/>
        <v>0.27847503888262021</v>
      </c>
      <c r="L47" s="78">
        <f>D52</f>
        <v>1095777</v>
      </c>
      <c r="M47" s="85">
        <f t="shared" si="44"/>
        <v>3394.0746476691961</v>
      </c>
      <c r="N47" s="88">
        <f t="shared" si="45"/>
        <v>0.09</v>
      </c>
      <c r="O47" s="78">
        <f>E52</f>
        <v>371880</v>
      </c>
      <c r="P47" s="85">
        <f t="shared" si="46"/>
        <v>1151.8661917299055</v>
      </c>
    </row>
    <row r="48" spans="2:16" x14ac:dyDescent="0.25">
      <c r="B48" s="8" t="s">
        <v>63</v>
      </c>
      <c r="C48" s="26">
        <v>28614</v>
      </c>
      <c r="D48" s="27">
        <v>35414</v>
      </c>
      <c r="E48" s="27">
        <v>33056</v>
      </c>
      <c r="G48" s="59" t="s">
        <v>75</v>
      </c>
      <c r="H48" s="88">
        <f t="shared" si="41"/>
        <v>5.1564605606644554E-2</v>
      </c>
      <c r="I48" s="78">
        <f>C47+C48+C49+C50+C51+C53</f>
        <v>170506</v>
      </c>
      <c r="J48" s="85">
        <f t="shared" si="42"/>
        <v>100</v>
      </c>
      <c r="K48" s="88">
        <f t="shared" si="43"/>
        <v>6.2525032275116146E-2</v>
      </c>
      <c r="L48" s="78">
        <f>D47+D48+D49+D50+D51+D53</f>
        <v>246031</v>
      </c>
      <c r="M48" s="85">
        <f t="shared" si="44"/>
        <v>144.29462892801425</v>
      </c>
      <c r="N48" s="88">
        <f t="shared" si="45"/>
        <v>9.2999999999999999E-2</v>
      </c>
      <c r="O48" s="78">
        <f>E47+E48+E49+E50+E51+E53</f>
        <v>384276</v>
      </c>
      <c r="P48" s="85">
        <f t="shared" si="46"/>
        <v>225.37388713593657</v>
      </c>
    </row>
    <row r="49" spans="2:16" x14ac:dyDescent="0.25">
      <c r="B49" s="8" t="s">
        <v>64</v>
      </c>
      <c r="C49" s="26">
        <v>69062</v>
      </c>
      <c r="D49" s="27">
        <v>161332</v>
      </c>
      <c r="E49" s="27">
        <v>285108</v>
      </c>
      <c r="G49" s="59" t="s">
        <v>42</v>
      </c>
      <c r="H49" s="88">
        <f t="shared" si="41"/>
        <v>0.22654089579537948</v>
      </c>
      <c r="I49" s="78">
        <f>C54</f>
        <v>749091</v>
      </c>
      <c r="J49" s="85">
        <f t="shared" si="42"/>
        <v>100</v>
      </c>
      <c r="K49" s="88">
        <f t="shared" si="43"/>
        <v>0.13399992884226364</v>
      </c>
      <c r="L49" s="78">
        <f>D54</f>
        <v>527279</v>
      </c>
      <c r="M49" s="85">
        <f t="shared" si="44"/>
        <v>70.389178350827876</v>
      </c>
      <c r="N49" s="88">
        <f t="shared" si="45"/>
        <v>0.193</v>
      </c>
      <c r="O49" s="78">
        <f>E54</f>
        <v>797476</v>
      </c>
      <c r="P49" s="85">
        <f t="shared" si="46"/>
        <v>106.45916183748037</v>
      </c>
    </row>
    <row r="50" spans="2:16" x14ac:dyDescent="0.25">
      <c r="B50" s="8" t="s">
        <v>39</v>
      </c>
      <c r="C50" s="28">
        <v>29722</v>
      </c>
      <c r="D50" s="27">
        <v>19675</v>
      </c>
      <c r="E50" s="27">
        <v>16528</v>
      </c>
      <c r="G50" s="59"/>
      <c r="H50" s="59"/>
      <c r="I50" s="59"/>
      <c r="J50" s="59"/>
      <c r="K50" s="59"/>
      <c r="L50" s="59"/>
      <c r="M50" s="59"/>
      <c r="N50" s="59"/>
      <c r="O50" s="59"/>
      <c r="P50" s="85"/>
    </row>
    <row r="51" spans="2:16" x14ac:dyDescent="0.25">
      <c r="B51" s="8" t="s">
        <v>40</v>
      </c>
      <c r="C51" s="26">
        <v>21256</v>
      </c>
      <c r="D51" s="27">
        <v>7870</v>
      </c>
      <c r="E51" s="27">
        <v>8264</v>
      </c>
      <c r="G51" s="60" t="s">
        <v>25</v>
      </c>
      <c r="H51" s="88">
        <f>I51/I$63</f>
        <v>0.55721655283537896</v>
      </c>
      <c r="I51" s="79">
        <f>SUM(I45:I50)</f>
        <v>1842519</v>
      </c>
      <c r="J51" s="85">
        <f>I51/I51*100</f>
        <v>100</v>
      </c>
      <c r="K51" s="88">
        <f>L51/L$63</f>
        <v>0.55500010165390912</v>
      </c>
      <c r="L51" s="79">
        <f t="shared" ref="L51:O51" si="47">SUM(L45:L50)</f>
        <v>2183881</v>
      </c>
      <c r="M51" s="85">
        <f>L51/I51*100</f>
        <v>118.52691885402538</v>
      </c>
      <c r="N51" s="88">
        <f>O51/O$63</f>
        <v>0.49399999999999999</v>
      </c>
      <c r="O51" s="79">
        <f t="shared" si="47"/>
        <v>2041208</v>
      </c>
      <c r="P51" s="85">
        <f t="shared" si="46"/>
        <v>110.78355229986774</v>
      </c>
    </row>
    <row r="52" spans="2:16" x14ac:dyDescent="0.25">
      <c r="B52" s="8" t="s">
        <v>41</v>
      </c>
      <c r="C52" s="26">
        <v>32285</v>
      </c>
      <c r="D52" s="27">
        <v>1095777</v>
      </c>
      <c r="E52" s="27">
        <v>371880</v>
      </c>
      <c r="G52" s="59"/>
      <c r="H52" s="59"/>
      <c r="I52" s="59"/>
      <c r="J52" s="59"/>
      <c r="K52" s="59"/>
      <c r="L52" s="59"/>
      <c r="M52" s="59"/>
      <c r="N52" s="59"/>
      <c r="O52" s="59"/>
      <c r="P52" s="85"/>
    </row>
    <row r="53" spans="2:16" x14ac:dyDescent="0.25">
      <c r="B53" s="8" t="s">
        <v>17</v>
      </c>
      <c r="C53" s="26">
        <v>14585</v>
      </c>
      <c r="D53" s="27">
        <v>11805</v>
      </c>
      <c r="E53" s="41">
        <v>24792</v>
      </c>
      <c r="G53" s="60" t="s">
        <v>26</v>
      </c>
      <c r="H53" s="60"/>
      <c r="I53" s="59"/>
      <c r="J53" s="59"/>
      <c r="K53" s="60"/>
      <c r="L53" s="59"/>
      <c r="M53" s="59"/>
      <c r="N53" s="60"/>
      <c r="O53" s="59"/>
      <c r="P53" s="85"/>
    </row>
    <row r="54" spans="2:16" x14ac:dyDescent="0.25">
      <c r="B54" s="8" t="s">
        <v>42</v>
      </c>
      <c r="C54" s="29">
        <v>749091</v>
      </c>
      <c r="D54" s="30">
        <v>527279</v>
      </c>
      <c r="E54" s="30">
        <v>797476</v>
      </c>
      <c r="G54" s="59" t="s">
        <v>81</v>
      </c>
      <c r="H54" s="88">
        <f>I54/I$63</f>
        <v>0.36597333613980076</v>
      </c>
      <c r="I54" s="78">
        <f>C58</f>
        <v>1210145</v>
      </c>
      <c r="J54" s="85">
        <f>I54/I54*100</f>
        <v>100</v>
      </c>
      <c r="K54" s="88">
        <f>L54/L$63</f>
        <v>0.37199993900765455</v>
      </c>
      <c r="L54" s="78">
        <f>D58</f>
        <v>1463790</v>
      </c>
      <c r="M54" s="85">
        <f>L54/I54*100</f>
        <v>120.95988497246198</v>
      </c>
      <c r="N54" s="88">
        <f>O54/O$63</f>
        <v>0.221</v>
      </c>
      <c r="O54" s="78">
        <f>E58</f>
        <v>913172</v>
      </c>
      <c r="P54" s="85">
        <f t="shared" si="46"/>
        <v>75.45971763714266</v>
      </c>
    </row>
    <row r="55" spans="2:16" x14ac:dyDescent="0.25">
      <c r="B55" s="8"/>
      <c r="C55" s="26">
        <f>SUM(C45:C54)</f>
        <v>1842519</v>
      </c>
      <c r="D55" s="27">
        <f t="shared" ref="D55:E55" si="48">SUM(D45:D54)</f>
        <v>2183881</v>
      </c>
      <c r="E55" s="27">
        <f t="shared" si="48"/>
        <v>2041208</v>
      </c>
      <c r="G55" s="59"/>
      <c r="H55" s="59"/>
      <c r="I55" s="59"/>
      <c r="J55" s="59"/>
      <c r="K55" s="59"/>
      <c r="L55" s="59"/>
      <c r="M55" s="59"/>
      <c r="N55" s="59"/>
      <c r="O55" s="59"/>
      <c r="P55" s="85"/>
    </row>
    <row r="56" spans="2:16" x14ac:dyDescent="0.25">
      <c r="B56" s="2" t="s">
        <v>26</v>
      </c>
      <c r="C56" s="28"/>
      <c r="D56" s="31"/>
      <c r="E56" s="31"/>
      <c r="G56" s="60" t="s">
        <v>36</v>
      </c>
      <c r="H56" s="88">
        <f>I56/I$63</f>
        <v>0.36597333613980076</v>
      </c>
      <c r="I56" s="79">
        <f>I54</f>
        <v>1210145</v>
      </c>
      <c r="J56" s="85">
        <f>I56/I56*100</f>
        <v>100</v>
      </c>
      <c r="K56" s="88">
        <f>L56/L$63</f>
        <v>0.37199993900765455</v>
      </c>
      <c r="L56" s="79">
        <f t="shared" ref="L56:O56" si="49">L54</f>
        <v>1463790</v>
      </c>
      <c r="M56" s="85">
        <f>L56/I56*100</f>
        <v>120.95988497246198</v>
      </c>
      <c r="N56" s="88">
        <f>O56/O$63</f>
        <v>0.221</v>
      </c>
      <c r="O56" s="79">
        <f t="shared" si="49"/>
        <v>913172</v>
      </c>
      <c r="P56" s="85">
        <f t="shared" si="46"/>
        <v>75.45971763714266</v>
      </c>
    </row>
    <row r="57" spans="2:16" x14ac:dyDescent="0.25">
      <c r="B57" s="8" t="s">
        <v>43</v>
      </c>
      <c r="C57" s="29">
        <v>1210145</v>
      </c>
      <c r="D57" s="30">
        <v>1463790</v>
      </c>
      <c r="E57" s="30">
        <v>913172</v>
      </c>
      <c r="G57" s="59"/>
      <c r="H57" s="59"/>
      <c r="I57" s="59"/>
      <c r="J57" s="59"/>
      <c r="K57" s="59"/>
      <c r="L57" s="59"/>
      <c r="M57" s="59"/>
      <c r="N57" s="59"/>
      <c r="O57" s="59"/>
      <c r="P57" s="85"/>
    </row>
    <row r="58" spans="2:16" x14ac:dyDescent="0.25">
      <c r="B58" s="3"/>
      <c r="C58" s="26">
        <f>C57</f>
        <v>1210145</v>
      </c>
      <c r="D58" s="27">
        <f t="shared" ref="D58:E58" si="50">D57</f>
        <v>1463790</v>
      </c>
      <c r="E58" s="27">
        <f t="shared" si="50"/>
        <v>913172</v>
      </c>
      <c r="G58" s="60" t="s">
        <v>44</v>
      </c>
      <c r="H58" s="60"/>
      <c r="I58" s="59"/>
      <c r="J58" s="59"/>
      <c r="K58" s="60"/>
      <c r="L58" s="59"/>
      <c r="M58" s="59"/>
      <c r="N58" s="60"/>
      <c r="O58" s="59"/>
      <c r="P58" s="85"/>
    </row>
    <row r="59" spans="2:16" x14ac:dyDescent="0.25">
      <c r="B59" s="2" t="s">
        <v>44</v>
      </c>
      <c r="C59" s="32"/>
      <c r="D59" s="33"/>
      <c r="E59" s="33"/>
      <c r="G59" s="59" t="s">
        <v>82</v>
      </c>
      <c r="H59" s="88">
        <f t="shared" ref="H59:H60" si="51">I59/I$63</f>
        <v>7.8024634010030708E-2</v>
      </c>
      <c r="I59" s="78">
        <f>C60</f>
        <v>258000</v>
      </c>
      <c r="J59" s="85">
        <f t="shared" ref="J59:J60" si="52">I59/I59*100</f>
        <v>100</v>
      </c>
      <c r="K59" s="88">
        <f t="shared" ref="K59:K60" si="53">L59/L$63</f>
        <v>0.1058471328514938</v>
      </c>
      <c r="L59" s="78">
        <f t="shared" ref="L59:L60" si="54">D60</f>
        <v>416500</v>
      </c>
      <c r="M59" s="85">
        <f t="shared" ref="M59" si="55">L59/I59*100</f>
        <v>161.43410852713177</v>
      </c>
      <c r="N59" s="88">
        <f t="shared" ref="N59:N60" si="56">O59/O$63</f>
        <v>0.2420135527589545</v>
      </c>
      <c r="O59" s="78">
        <f>E60</f>
        <v>1000000</v>
      </c>
      <c r="P59" s="85">
        <f t="shared" si="46"/>
        <v>387.59689922480618</v>
      </c>
    </row>
    <row r="60" spans="2:16" x14ac:dyDescent="0.25">
      <c r="B60" s="8" t="s">
        <v>45</v>
      </c>
      <c r="C60" s="26">
        <v>258000</v>
      </c>
      <c r="D60" s="27">
        <v>416500</v>
      </c>
      <c r="E60" s="42">
        <v>1000000</v>
      </c>
      <c r="G60" s="59" t="s">
        <v>83</v>
      </c>
      <c r="H60" s="88">
        <f t="shared" si="51"/>
        <v>-1.2145229852104005E-3</v>
      </c>
      <c r="I60" s="78">
        <f>C61</f>
        <v>-4016</v>
      </c>
      <c r="J60" s="85">
        <f t="shared" si="52"/>
        <v>100</v>
      </c>
      <c r="K60" s="88">
        <f t="shared" si="53"/>
        <v>-3.2847173513057444E-2</v>
      </c>
      <c r="L60" s="78">
        <f t="shared" si="54"/>
        <v>-129251</v>
      </c>
      <c r="M60" s="85">
        <f>-L60/I60*100</f>
        <v>-3218.4013944223111</v>
      </c>
      <c r="N60" s="88">
        <f t="shared" si="56"/>
        <v>4.29864472410455E-2</v>
      </c>
      <c r="O60" s="78">
        <f>E61</f>
        <v>177620</v>
      </c>
      <c r="P60" s="85">
        <f>-O60/I60*100</f>
        <v>4422.8087649402387</v>
      </c>
    </row>
    <row r="61" spans="2:16" x14ac:dyDescent="0.25">
      <c r="B61" s="8" t="s">
        <v>46</v>
      </c>
      <c r="C61" s="29">
        <v>-4016</v>
      </c>
      <c r="D61" s="30">
        <v>-129251</v>
      </c>
      <c r="E61" s="30">
        <v>177620</v>
      </c>
      <c r="G61" s="59"/>
      <c r="H61" s="59"/>
      <c r="I61" s="59"/>
      <c r="J61" s="59"/>
      <c r="K61" s="59"/>
      <c r="L61" s="59"/>
      <c r="M61" s="59"/>
      <c r="N61" s="59"/>
      <c r="O61" s="59"/>
      <c r="P61" s="85"/>
    </row>
    <row r="62" spans="2:16" ht="15.75" thickBot="1" x14ac:dyDescent="0.3">
      <c r="B62" s="5" t="s">
        <v>47</v>
      </c>
      <c r="C62" s="35">
        <f>SUM(C60:C61)</f>
        <v>253984</v>
      </c>
      <c r="D62" s="36">
        <f t="shared" ref="D62:E62" si="57">SUM(D60:D61)</f>
        <v>287249</v>
      </c>
      <c r="E62" s="36">
        <f t="shared" si="57"/>
        <v>1177620</v>
      </c>
      <c r="G62" s="60" t="s">
        <v>47</v>
      </c>
      <c r="H62" s="88">
        <f>I62/I$63</f>
        <v>7.6810111024820299E-2</v>
      </c>
      <c r="I62" s="79">
        <f>SUM(I59:I61)</f>
        <v>253984</v>
      </c>
      <c r="J62" s="85">
        <f>I62/I62*100</f>
        <v>100</v>
      </c>
      <c r="K62" s="88">
        <f>L62/L$63</f>
        <v>7.2999959338436365E-2</v>
      </c>
      <c r="L62" s="79">
        <f t="shared" ref="L62:O62" si="58">SUM(L59:L61)</f>
        <v>287249</v>
      </c>
      <c r="M62" s="85">
        <f>L62/I62*100</f>
        <v>113.09728171853347</v>
      </c>
      <c r="N62" s="88">
        <f>O62/O$63</f>
        <v>0.28499999999999998</v>
      </c>
      <c r="O62" s="79">
        <f t="shared" si="58"/>
        <v>1177620</v>
      </c>
      <c r="P62" s="91">
        <f t="shared" si="46"/>
        <v>463.65912813405572</v>
      </c>
    </row>
    <row r="63" spans="2:16" ht="15.75" thickBot="1" x14ac:dyDescent="0.3">
      <c r="B63" s="4" t="s">
        <v>48</v>
      </c>
      <c r="C63" s="15">
        <f>C55+C58+C62</f>
        <v>3306648</v>
      </c>
      <c r="D63" s="15">
        <f t="shared" ref="D63:E63" si="59">D55+D58+D62</f>
        <v>3934920</v>
      </c>
      <c r="E63" s="15">
        <f t="shared" si="59"/>
        <v>4132000</v>
      </c>
      <c r="G63" s="61" t="s">
        <v>48</v>
      </c>
      <c r="H63" s="89">
        <f>I63/I63</f>
        <v>1</v>
      </c>
      <c r="I63" s="80">
        <f>I51+I56+I62</f>
        <v>3306648</v>
      </c>
      <c r="J63" s="90">
        <f>I63/I63*100</f>
        <v>100</v>
      </c>
      <c r="K63" s="89">
        <f>L63/L63</f>
        <v>1</v>
      </c>
      <c r="L63" s="80">
        <f t="shared" ref="L63:O63" si="60">L51+L56+L62</f>
        <v>3934920</v>
      </c>
      <c r="M63" s="90">
        <f>L63/I63*100</f>
        <v>119.00026854990311</v>
      </c>
      <c r="N63" s="89">
        <f>O63/O63</f>
        <v>1</v>
      </c>
      <c r="O63" s="80">
        <f t="shared" si="60"/>
        <v>4132000</v>
      </c>
      <c r="P63" s="91">
        <f t="shared" si="46"/>
        <v>124.96038284087088</v>
      </c>
    </row>
    <row r="64" spans="2:16" ht="17.25" customHeight="1" thickBot="1" x14ac:dyDescent="0.3">
      <c r="B64" s="9"/>
    </row>
    <row r="65" spans="2:16" ht="18.75" customHeight="1" thickBot="1" x14ac:dyDescent="0.3">
      <c r="B65" s="134" t="s">
        <v>49</v>
      </c>
      <c r="C65" s="6" t="s">
        <v>50</v>
      </c>
      <c r="D65" s="6" t="s">
        <v>51</v>
      </c>
      <c r="E65" s="6" t="s">
        <v>52</v>
      </c>
      <c r="G65" s="134" t="s">
        <v>49</v>
      </c>
      <c r="H65" s="1" t="s">
        <v>105</v>
      </c>
      <c r="I65" s="1" t="s">
        <v>2</v>
      </c>
      <c r="J65" s="1" t="s">
        <v>106</v>
      </c>
      <c r="K65" s="1" t="s">
        <v>105</v>
      </c>
      <c r="L65" s="1" t="s">
        <v>3</v>
      </c>
      <c r="M65" s="1" t="s">
        <v>106</v>
      </c>
      <c r="N65" s="1" t="s">
        <v>105</v>
      </c>
      <c r="O65" s="1" t="s">
        <v>4</v>
      </c>
      <c r="P65" s="1" t="s">
        <v>106</v>
      </c>
    </row>
    <row r="66" spans="2:16" ht="15.75" customHeight="1" thickBot="1" x14ac:dyDescent="0.3">
      <c r="B66" s="135"/>
      <c r="C66" s="7" t="s">
        <v>5</v>
      </c>
      <c r="D66" s="7" t="s">
        <v>5</v>
      </c>
      <c r="E66" s="7" t="s">
        <v>5</v>
      </c>
      <c r="G66" s="135"/>
      <c r="H66" s="11" t="s">
        <v>108</v>
      </c>
      <c r="I66" s="11" t="s">
        <v>5</v>
      </c>
      <c r="J66" s="10" t="s">
        <v>107</v>
      </c>
      <c r="K66" s="11" t="s">
        <v>108</v>
      </c>
      <c r="L66" s="11" t="s">
        <v>5</v>
      </c>
      <c r="M66" s="11" t="s">
        <v>107</v>
      </c>
      <c r="N66" s="11" t="s">
        <v>108</v>
      </c>
      <c r="O66" s="11" t="s">
        <v>5</v>
      </c>
      <c r="P66" s="11" t="s">
        <v>107</v>
      </c>
    </row>
    <row r="67" spans="2:16" x14ac:dyDescent="0.25">
      <c r="B67" s="8" t="s">
        <v>53</v>
      </c>
      <c r="C67" s="37">
        <v>2411411</v>
      </c>
      <c r="D67" s="53">
        <v>3580616</v>
      </c>
      <c r="E67" s="37">
        <v>3621768</v>
      </c>
      <c r="G67" s="95" t="s">
        <v>53</v>
      </c>
      <c r="H67" s="93">
        <f>I67/I67</f>
        <v>1</v>
      </c>
      <c r="I67" s="53">
        <v>2411411</v>
      </c>
      <c r="J67" s="100">
        <f>I67/I67*100</f>
        <v>100</v>
      </c>
      <c r="K67" s="101">
        <f>L67/L67</f>
        <v>1</v>
      </c>
      <c r="L67" s="53">
        <v>3580616</v>
      </c>
      <c r="M67" s="100">
        <f>L67/I67*100</f>
        <v>148.48634264337352</v>
      </c>
      <c r="N67" s="101">
        <f>O67/O67</f>
        <v>1</v>
      </c>
      <c r="O67" s="117">
        <v>3621768</v>
      </c>
      <c r="P67" s="100">
        <f>O67/I67*100</f>
        <v>150.19289536292237</v>
      </c>
    </row>
    <row r="68" spans="2:16" x14ac:dyDescent="0.25">
      <c r="B68" s="8" t="s">
        <v>54</v>
      </c>
      <c r="C68" s="43">
        <v>-65162</v>
      </c>
      <c r="D68" s="54">
        <v>-264879</v>
      </c>
      <c r="E68" s="43">
        <v>-268990</v>
      </c>
      <c r="G68" s="95" t="s">
        <v>54</v>
      </c>
      <c r="H68" s="92">
        <f>I68/I$67</f>
        <v>-2.7022353302692904E-2</v>
      </c>
      <c r="I68" s="54">
        <v>-65162</v>
      </c>
      <c r="J68" s="108">
        <f t="shared" ref="J68:J81" si="61">I68/I68*100</f>
        <v>100</v>
      </c>
      <c r="K68" s="102">
        <f>L68/L$67</f>
        <v>-7.397581868594677E-2</v>
      </c>
      <c r="L68" s="54">
        <v>-264879</v>
      </c>
      <c r="M68" s="108">
        <f>L68/I68*100</f>
        <v>406.4930480955158</v>
      </c>
      <c r="N68" s="102">
        <f>O68/O$67</f>
        <v>-7.427035635634309E-2</v>
      </c>
      <c r="O68" s="114">
        <v>-268990</v>
      </c>
      <c r="P68" s="108">
        <f t="shared" ref="P68:P78" si="62">O68/I68*100</f>
        <v>412.8019397808539</v>
      </c>
    </row>
    <row r="69" spans="2:16" ht="15" customHeight="1" x14ac:dyDescent="0.25">
      <c r="B69" s="8" t="s">
        <v>55</v>
      </c>
      <c r="C69" s="38">
        <f>C67+C68</f>
        <v>2346249</v>
      </c>
      <c r="D69" s="55">
        <f t="shared" ref="D69:E69" si="63">D67+D68</f>
        <v>3315737</v>
      </c>
      <c r="E69" s="38">
        <f t="shared" si="63"/>
        <v>3352778</v>
      </c>
      <c r="G69" s="95" t="s">
        <v>55</v>
      </c>
      <c r="H69" s="97">
        <f t="shared" ref="H69:H71" si="64">I69/I$67</f>
        <v>0.97297764669730713</v>
      </c>
      <c r="I69" s="55">
        <f>I67+I68</f>
        <v>2346249</v>
      </c>
      <c r="J69" s="110">
        <f t="shared" si="61"/>
        <v>100</v>
      </c>
      <c r="K69" s="103">
        <f t="shared" ref="K69:K71" si="65">L69/L$67</f>
        <v>0.92602418131405317</v>
      </c>
      <c r="L69" s="55">
        <f t="shared" ref="L69:O69" si="66">L67+L68</f>
        <v>3315737</v>
      </c>
      <c r="M69" s="110">
        <f t="shared" ref="M69:M71" si="67">L69/I69*100</f>
        <v>141.32076348247779</v>
      </c>
      <c r="N69" s="103">
        <f t="shared" ref="N69:N71" si="68">O69/O$67</f>
        <v>0.92572964364365695</v>
      </c>
      <c r="O69" s="113">
        <f t="shared" si="66"/>
        <v>3352778</v>
      </c>
      <c r="P69" s="110">
        <f t="shared" si="62"/>
        <v>142.8994961745322</v>
      </c>
    </row>
    <row r="70" spans="2:16" x14ac:dyDescent="0.25">
      <c r="B70" s="8" t="s">
        <v>56</v>
      </c>
      <c r="C70" s="43">
        <v>-1823756</v>
      </c>
      <c r="D70" s="54">
        <v>-2159111</v>
      </c>
      <c r="E70" s="43">
        <v>-1673257</v>
      </c>
      <c r="G70" s="95" t="s">
        <v>56</v>
      </c>
      <c r="H70" s="98">
        <f t="shared" si="64"/>
        <v>-0.75630243040278078</v>
      </c>
      <c r="I70" s="54">
        <v>-1823756</v>
      </c>
      <c r="J70" s="111">
        <f t="shared" si="61"/>
        <v>100</v>
      </c>
      <c r="K70" s="104">
        <f t="shared" si="65"/>
        <v>-0.60299987488186391</v>
      </c>
      <c r="L70" s="54">
        <v>-2159111</v>
      </c>
      <c r="M70" s="111">
        <f t="shared" si="67"/>
        <v>118.38815060786641</v>
      </c>
      <c r="N70" s="104">
        <f t="shared" si="68"/>
        <v>-0.46200005080391676</v>
      </c>
      <c r="O70" s="114">
        <v>-1673257</v>
      </c>
      <c r="P70" s="111">
        <f t="shared" si="62"/>
        <v>91.747854427894964</v>
      </c>
    </row>
    <row r="71" spans="2:16" x14ac:dyDescent="0.25">
      <c r="B71" s="8" t="s">
        <v>57</v>
      </c>
      <c r="C71" s="49">
        <f>C69+C70</f>
        <v>522493</v>
      </c>
      <c r="D71" s="48">
        <f t="shared" ref="D71:E71" si="69">D69+D70</f>
        <v>1156626</v>
      </c>
      <c r="E71" s="49">
        <f t="shared" si="69"/>
        <v>1679521</v>
      </c>
      <c r="G71" s="95" t="s">
        <v>57</v>
      </c>
      <c r="H71" s="92">
        <f t="shared" si="64"/>
        <v>0.21667521629452632</v>
      </c>
      <c r="I71" s="48">
        <f>I69+I70</f>
        <v>522493</v>
      </c>
      <c r="J71" s="108">
        <f t="shared" si="61"/>
        <v>100</v>
      </c>
      <c r="K71" s="102">
        <f t="shared" si="65"/>
        <v>0.32302430643218932</v>
      </c>
      <c r="L71" s="48">
        <f t="shared" ref="L71:O71" si="70">L69+L70</f>
        <v>1156626</v>
      </c>
      <c r="M71" s="108">
        <f t="shared" si="67"/>
        <v>221.36679343072538</v>
      </c>
      <c r="N71" s="102">
        <f t="shared" si="68"/>
        <v>0.46372959283974013</v>
      </c>
      <c r="O71" s="116">
        <f t="shared" si="70"/>
        <v>1679521</v>
      </c>
      <c r="P71" s="108">
        <f t="shared" si="62"/>
        <v>321.4437322605279</v>
      </c>
    </row>
    <row r="72" spans="2:16" ht="15" customHeight="1" x14ac:dyDescent="0.25">
      <c r="B72" s="8"/>
      <c r="C72" s="49"/>
      <c r="D72" s="48"/>
      <c r="E72" s="49"/>
      <c r="G72" s="95"/>
      <c r="H72" s="8"/>
      <c r="I72" s="48"/>
      <c r="J72" s="108"/>
      <c r="K72" s="105"/>
      <c r="L72" s="48"/>
      <c r="M72" s="49"/>
      <c r="N72" s="105"/>
      <c r="O72" s="116"/>
      <c r="P72" s="108"/>
    </row>
    <row r="73" spans="2:16" x14ac:dyDescent="0.25">
      <c r="B73" s="8" t="s">
        <v>68</v>
      </c>
      <c r="C73" s="49"/>
      <c r="D73" s="48"/>
      <c r="E73" s="49"/>
      <c r="G73" s="95" t="s">
        <v>68</v>
      </c>
      <c r="H73" s="8"/>
      <c r="I73" s="48"/>
      <c r="J73" s="108"/>
      <c r="K73" s="105"/>
      <c r="L73" s="48"/>
      <c r="M73" s="49"/>
      <c r="N73" s="105"/>
      <c r="O73" s="116"/>
      <c r="P73" s="108"/>
    </row>
    <row r="74" spans="2:16" x14ac:dyDescent="0.25">
      <c r="B74" s="8" t="s">
        <v>67</v>
      </c>
      <c r="C74" s="49">
        <v>-327756</v>
      </c>
      <c r="D74" s="48">
        <v>-465480</v>
      </c>
      <c r="E74" s="49">
        <v>-536022</v>
      </c>
      <c r="G74" s="95" t="s">
        <v>67</v>
      </c>
      <c r="H74" s="92">
        <f t="shared" ref="H74:H81" si="71">I74/I$67</f>
        <v>-0.13591876291515631</v>
      </c>
      <c r="I74" s="48">
        <v>-327756</v>
      </c>
      <c r="J74" s="108">
        <f t="shared" si="61"/>
        <v>100</v>
      </c>
      <c r="K74" s="102">
        <f t="shared" ref="K74:K81" si="72">L74/L$67</f>
        <v>-0.1299999776574757</v>
      </c>
      <c r="L74" s="48">
        <v>-465480</v>
      </c>
      <c r="M74" s="108">
        <f t="shared" ref="M74:M76" si="73">L74/I74*100</f>
        <v>142.02028338153994</v>
      </c>
      <c r="N74" s="102">
        <f t="shared" ref="N74:N81" si="74">O74/O$67</f>
        <v>-0.14800009277236975</v>
      </c>
      <c r="O74" s="116">
        <v>-536022</v>
      </c>
      <c r="P74" s="108">
        <f t="shared" si="62"/>
        <v>163.54300150111669</v>
      </c>
    </row>
    <row r="75" spans="2:16" x14ac:dyDescent="0.25">
      <c r="B75" s="8" t="s">
        <v>69</v>
      </c>
      <c r="C75" s="49">
        <v>-282673</v>
      </c>
      <c r="D75" s="48">
        <v>-870090</v>
      </c>
      <c r="E75" s="49">
        <v>-695379</v>
      </c>
      <c r="G75" s="95" t="s">
        <v>69</v>
      </c>
      <c r="H75" s="92">
        <f t="shared" si="71"/>
        <v>-0.11722306981265325</v>
      </c>
      <c r="I75" s="48">
        <v>-282673</v>
      </c>
      <c r="J75" s="108">
        <f t="shared" si="61"/>
        <v>100</v>
      </c>
      <c r="K75" s="102">
        <f t="shared" si="72"/>
        <v>-0.24300008713584478</v>
      </c>
      <c r="L75" s="48">
        <v>-870090</v>
      </c>
      <c r="M75" s="108">
        <f t="shared" si="73"/>
        <v>307.80796184991141</v>
      </c>
      <c r="N75" s="102">
        <f t="shared" si="74"/>
        <v>-0.19199987409464106</v>
      </c>
      <c r="O75" s="116">
        <v>-695379</v>
      </c>
      <c r="P75" s="108">
        <f t="shared" si="62"/>
        <v>246.00120987855223</v>
      </c>
    </row>
    <row r="76" spans="2:16" x14ac:dyDescent="0.25">
      <c r="B76" s="8" t="s">
        <v>70</v>
      </c>
      <c r="C76" s="49">
        <v>-38500</v>
      </c>
      <c r="D76" s="48">
        <v>53709</v>
      </c>
      <c r="E76" s="49">
        <v>32596</v>
      </c>
      <c r="G76" s="95" t="s">
        <v>70</v>
      </c>
      <c r="H76" s="92">
        <f t="shared" si="71"/>
        <v>-1.5965756148578571E-2</v>
      </c>
      <c r="I76" s="48">
        <v>-38500</v>
      </c>
      <c r="J76" s="108">
        <f t="shared" si="61"/>
        <v>100</v>
      </c>
      <c r="K76" s="102">
        <f t="shared" si="72"/>
        <v>1.4999932972427091E-2</v>
      </c>
      <c r="L76" s="48">
        <v>53709</v>
      </c>
      <c r="M76" s="108">
        <f t="shared" si="73"/>
        <v>-139.5038961038961</v>
      </c>
      <c r="N76" s="102">
        <f t="shared" si="74"/>
        <v>9.0000242975254077E-3</v>
      </c>
      <c r="O76" s="116">
        <v>32596</v>
      </c>
      <c r="P76" s="108">
        <f>-O76/I76*100</f>
        <v>84.664935064935065</v>
      </c>
    </row>
    <row r="77" spans="2:16" x14ac:dyDescent="0.25">
      <c r="B77" s="8" t="s">
        <v>71</v>
      </c>
      <c r="C77" s="50">
        <v>-21500</v>
      </c>
      <c r="D77" s="56"/>
      <c r="E77" s="50"/>
      <c r="G77" s="95" t="s">
        <v>71</v>
      </c>
      <c r="H77" s="92">
        <f t="shared" si="71"/>
        <v>-8.9159417453101106E-3</v>
      </c>
      <c r="I77" s="56">
        <v>-21500</v>
      </c>
      <c r="J77" s="108">
        <f t="shared" si="61"/>
        <v>100</v>
      </c>
      <c r="K77" s="102">
        <f t="shared" si="72"/>
        <v>0</v>
      </c>
      <c r="L77" s="56"/>
      <c r="M77" s="49"/>
      <c r="N77" s="102">
        <f t="shared" si="74"/>
        <v>0</v>
      </c>
      <c r="O77" s="118"/>
      <c r="P77" s="108">
        <f t="shared" si="62"/>
        <v>0</v>
      </c>
    </row>
    <row r="78" spans="2:16" x14ac:dyDescent="0.25">
      <c r="B78" s="8" t="s">
        <v>58</v>
      </c>
      <c r="C78" s="51">
        <f>SUM(C74:C77)</f>
        <v>-670429</v>
      </c>
      <c r="D78" s="52">
        <f t="shared" ref="D78:E78" si="75">SUM(D74:D77)</f>
        <v>-1281861</v>
      </c>
      <c r="E78" s="51">
        <f t="shared" si="75"/>
        <v>-1198805</v>
      </c>
      <c r="G78" s="95" t="s">
        <v>58</v>
      </c>
      <c r="H78" s="99">
        <f t="shared" si="71"/>
        <v>-0.27802353062169827</v>
      </c>
      <c r="I78" s="52">
        <f>SUM(I74:I77)</f>
        <v>-670429</v>
      </c>
      <c r="J78" s="112">
        <f t="shared" si="61"/>
        <v>100</v>
      </c>
      <c r="K78" s="106">
        <f t="shared" si="72"/>
        <v>-0.35800013182089341</v>
      </c>
      <c r="L78" s="52">
        <f t="shared" ref="L78:O78" si="76">SUM(L74:L77)</f>
        <v>-1281861</v>
      </c>
      <c r="M78" s="112">
        <f>L78/I78*100</f>
        <v>191.20011216698563</v>
      </c>
      <c r="N78" s="106">
        <f t="shared" si="74"/>
        <v>-0.33099994256948539</v>
      </c>
      <c r="O78" s="115">
        <f t="shared" si="76"/>
        <v>-1198805</v>
      </c>
      <c r="P78" s="112">
        <f t="shared" si="62"/>
        <v>178.8116265853655</v>
      </c>
    </row>
    <row r="79" spans="2:16" x14ac:dyDescent="0.25">
      <c r="B79" s="8" t="s">
        <v>66</v>
      </c>
      <c r="C79" s="49">
        <f>C71+C78</f>
        <v>-147936</v>
      </c>
      <c r="D79" s="48">
        <f t="shared" ref="D79:E79" si="77">D71+D78</f>
        <v>-125235</v>
      </c>
      <c r="E79" s="49">
        <f t="shared" si="77"/>
        <v>480716</v>
      </c>
      <c r="G79" s="95" t="s">
        <v>66</v>
      </c>
      <c r="H79" s="97">
        <f t="shared" si="71"/>
        <v>-6.1348314327171936E-2</v>
      </c>
      <c r="I79" s="48">
        <f>I71+I78</f>
        <v>-147936</v>
      </c>
      <c r="J79" s="110">
        <f t="shared" si="61"/>
        <v>100</v>
      </c>
      <c r="K79" s="103">
        <f t="shared" si="72"/>
        <v>-3.4975825388704064E-2</v>
      </c>
      <c r="L79" s="48">
        <f t="shared" ref="L79:O79" si="78">L71+L78</f>
        <v>-125235</v>
      </c>
      <c r="M79" s="110">
        <f>L79/I79*100</f>
        <v>84.654850746268664</v>
      </c>
      <c r="N79" s="103">
        <f t="shared" si="74"/>
        <v>0.13272965027025474</v>
      </c>
      <c r="O79" s="116">
        <f t="shared" si="78"/>
        <v>480716</v>
      </c>
      <c r="P79" s="110">
        <f>-O79/I79*100</f>
        <v>324.94862643305214</v>
      </c>
    </row>
    <row r="80" spans="2:16" x14ac:dyDescent="0.25">
      <c r="B80" s="8" t="s">
        <v>65</v>
      </c>
      <c r="C80" s="44"/>
      <c r="D80" s="45"/>
      <c r="E80" s="43">
        <v>-173845</v>
      </c>
      <c r="G80" s="95" t="s">
        <v>65</v>
      </c>
      <c r="H80" s="98"/>
      <c r="I80" s="45"/>
      <c r="J80" s="111"/>
      <c r="K80" s="104"/>
      <c r="L80" s="45"/>
      <c r="M80" s="44"/>
      <c r="N80" s="104"/>
      <c r="O80" s="114">
        <v>-173845</v>
      </c>
      <c r="P80" s="111">
        <f>O80/O80*100</f>
        <v>100</v>
      </c>
    </row>
    <row r="81" spans="2:16" ht="15.75" thickBot="1" x14ac:dyDescent="0.3">
      <c r="B81" s="4" t="s">
        <v>59</v>
      </c>
      <c r="C81" s="47">
        <f>C79+C80</f>
        <v>-147936</v>
      </c>
      <c r="D81" s="46">
        <f t="shared" ref="D81:E81" si="79">D79+D80</f>
        <v>-125235</v>
      </c>
      <c r="E81" s="47">
        <f t="shared" si="79"/>
        <v>306871</v>
      </c>
      <c r="G81" s="96" t="s">
        <v>59</v>
      </c>
      <c r="H81" s="94">
        <f t="shared" si="71"/>
        <v>-6.1348314327171936E-2</v>
      </c>
      <c r="I81" s="46">
        <f>I79+I80</f>
        <v>-147936</v>
      </c>
      <c r="J81" s="109">
        <f t="shared" si="61"/>
        <v>100</v>
      </c>
      <c r="K81" s="107">
        <f t="shared" si="72"/>
        <v>-3.4975825388704064E-2</v>
      </c>
      <c r="L81" s="46">
        <f t="shared" ref="L81:O81" si="80">L79+L80</f>
        <v>-125235</v>
      </c>
      <c r="M81" s="109">
        <f>L81/I81*100</f>
        <v>84.654850746268664</v>
      </c>
      <c r="N81" s="107">
        <f t="shared" si="74"/>
        <v>8.4729612719533665E-2</v>
      </c>
      <c r="O81" s="119">
        <f t="shared" si="80"/>
        <v>306871</v>
      </c>
      <c r="P81" s="109">
        <f>-O81/I81*100</f>
        <v>207.43497187973179</v>
      </c>
    </row>
  </sheetData>
  <mergeCells count="14">
    <mergeCell ref="B65:B66"/>
    <mergeCell ref="G65:G66"/>
    <mergeCell ref="G2:G3"/>
    <mergeCell ref="G42:G43"/>
    <mergeCell ref="G1:O1"/>
    <mergeCell ref="B1:E1"/>
    <mergeCell ref="R1:W1"/>
    <mergeCell ref="B2:B3"/>
    <mergeCell ref="B42:B43"/>
    <mergeCell ref="R2:S2"/>
    <mergeCell ref="R3:R6"/>
    <mergeCell ref="R7:R9"/>
    <mergeCell ref="R10:R12"/>
    <mergeCell ref="R13:R1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Arima</dc:creator>
  <cp:lastModifiedBy>Arima e Associados</cp:lastModifiedBy>
  <dcterms:created xsi:type="dcterms:W3CDTF">2011-05-16T21:15:34Z</dcterms:created>
  <dcterms:modified xsi:type="dcterms:W3CDTF">2011-11-24T17:30:48Z</dcterms:modified>
</cp:coreProperties>
</file>